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4\"/>
    </mc:Choice>
  </mc:AlternateContent>
  <xr:revisionPtr revIDLastSave="0" documentId="13_ncr:1_{9949CF33-DC8D-481B-A4D0-A2260A89607D}" xr6:coauthVersionLast="47" xr6:coauthVersionMax="47" xr10:uidLastSave="{00000000-0000-0000-0000-000000000000}"/>
  <bookViews>
    <workbookView xWindow="-120" yWindow="-120" windowWidth="29040" windowHeight="15840" tabRatio="952" xr2:uid="{00000000-000D-0000-FFFF-FFFF00000000}"/>
  </bookViews>
  <sheets>
    <sheet name="Príjmy 2024" sheetId="13" r:id="rId1"/>
    <sheet name="Výdavky 2024" sheetId="14" r:id="rId2"/>
    <sheet name="Sumarizácia 2024" sheetId="15" r:id="rId3"/>
    <sheet name="Príjmy viacročné" sheetId="19" r:id="rId4"/>
    <sheet name="Výdavky viacročné" sheetId="20" r:id="rId5"/>
    <sheet name="Sumarizácia 2024-26" sheetId="18" r:id="rId6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 2024'!$B$2:$J$526</definedName>
    <definedName name="_xlnm.Print_Area" localSheetId="3">'Príjmy viacročné'!$B$2:$I$328</definedName>
    <definedName name="_xlnm.Print_Area" localSheetId="2">'Sumarizácia 2024'!$B$2:$T$44</definedName>
    <definedName name="_xlnm.Print_Area" localSheetId="5">'Sumarizácia 2024-26'!$B$2:$N$33</definedName>
    <definedName name="_xlnm.Print_Area" localSheetId="1">'Výdavky 2024'!$B$2:$U$2428</definedName>
    <definedName name="_xlnm.Print_Area" localSheetId="4">'Výdavky viacročné'!$B$2:$O$1656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55" i="14" l="1"/>
  <c r="U656" i="14"/>
  <c r="U568" i="14"/>
  <c r="U569" i="14"/>
  <c r="U320" i="14"/>
  <c r="U46" i="14"/>
  <c r="I1349" i="20"/>
  <c r="I1344" i="20"/>
  <c r="I1343" i="20"/>
  <c r="I1978" i="14"/>
  <c r="I1972" i="14"/>
  <c r="I1971" i="14"/>
  <c r="M1414" i="20"/>
  <c r="B1413" i="20"/>
  <c r="B1414" i="20" s="1"/>
  <c r="B1415" i="20" s="1"/>
  <c r="B1416" i="20" s="1"/>
  <c r="B1417" i="20" s="1"/>
  <c r="B1418" i="20" s="1"/>
  <c r="B1419" i="20" s="1"/>
  <c r="B1420" i="20" s="1"/>
  <c r="B1421" i="20" s="1"/>
  <c r="M1282" i="20"/>
  <c r="M734" i="20"/>
  <c r="M783" i="20"/>
  <c r="M782" i="20" s="1"/>
  <c r="M761" i="20" s="1"/>
  <c r="M613" i="20"/>
  <c r="M612" i="20" s="1"/>
  <c r="M611" i="20" s="1"/>
  <c r="M601" i="20" s="1"/>
  <c r="M416" i="20"/>
  <c r="M418" i="20"/>
  <c r="M347" i="20"/>
  <c r="M346" i="20" s="1"/>
  <c r="M343" i="20" s="1"/>
  <c r="M285" i="20"/>
  <c r="M138" i="20"/>
  <c r="O918" i="14"/>
  <c r="O916" i="14" s="1"/>
  <c r="O915" i="14" s="1"/>
  <c r="O904" i="14" s="1"/>
  <c r="B1099" i="14"/>
  <c r="B1100" i="14" s="1"/>
  <c r="B1101" i="14" s="1"/>
  <c r="B1102" i="14" s="1"/>
  <c r="B1103" i="14" s="1"/>
  <c r="B1104" i="14" s="1"/>
  <c r="B1105" i="14" s="1"/>
  <c r="O2094" i="14"/>
  <c r="O2093" i="14" s="1"/>
  <c r="O2084" i="14" s="1"/>
  <c r="O2083" i="14" s="1"/>
  <c r="U2096" i="14"/>
  <c r="U1814" i="14"/>
  <c r="O1851" i="14"/>
  <c r="O1097" i="14"/>
  <c r="U1168" i="14"/>
  <c r="O1165" i="14"/>
  <c r="O1162" i="14" s="1"/>
  <c r="O1139" i="14" s="1"/>
  <c r="U601" i="14"/>
  <c r="U528" i="14"/>
  <c r="O632" i="14"/>
  <c r="O638" i="14"/>
  <c r="O462" i="14"/>
  <c r="O461" i="14" s="1"/>
  <c r="O457" i="14" s="1"/>
  <c r="U464" i="14"/>
  <c r="U368" i="14"/>
  <c r="U369" i="14"/>
  <c r="U370" i="14"/>
  <c r="U371" i="14"/>
  <c r="U372" i="14"/>
  <c r="O366" i="14"/>
  <c r="O181" i="14"/>
  <c r="M1262" i="20"/>
  <c r="M470" i="20"/>
  <c r="M469" i="20" s="1"/>
  <c r="M460" i="20" s="1"/>
  <c r="M406" i="20"/>
  <c r="M120" i="20"/>
  <c r="B41" i="15"/>
  <c r="B42" i="15" s="1"/>
  <c r="B43" i="15" s="1"/>
  <c r="O1798" i="14"/>
  <c r="U1822" i="14"/>
  <c r="U1800" i="14"/>
  <c r="O735" i="14"/>
  <c r="U735" i="14" s="1"/>
  <c r="U736" i="14"/>
  <c r="R735" i="14"/>
  <c r="U513" i="14"/>
  <c r="O587" i="14"/>
  <c r="U650" i="14"/>
  <c r="U507" i="14"/>
  <c r="U526" i="14"/>
  <c r="O146" i="14"/>
  <c r="U148" i="14"/>
  <c r="M643" i="20"/>
  <c r="M641" i="20"/>
  <c r="M482" i="20"/>
  <c r="M481" i="20" s="1"/>
  <c r="M472" i="20" s="1"/>
  <c r="O970" i="14"/>
  <c r="U970" i="14" s="1"/>
  <c r="O972" i="14"/>
  <c r="U972" i="14" s="1"/>
  <c r="U973" i="14"/>
  <c r="S972" i="14"/>
  <c r="U971" i="14"/>
  <c r="S970" i="14"/>
  <c r="O749" i="14"/>
  <c r="U749" i="14" s="1"/>
  <c r="U750" i="14"/>
  <c r="R749" i="14"/>
  <c r="R748" i="14" s="1"/>
  <c r="U600" i="14"/>
  <c r="U606" i="14"/>
  <c r="M250" i="20"/>
  <c r="L28" i="18"/>
  <c r="P37" i="15"/>
  <c r="M521" i="20"/>
  <c r="M520" i="20" s="1"/>
  <c r="M511" i="20" s="1"/>
  <c r="M803" i="20"/>
  <c r="M802" i="20" s="1"/>
  <c r="M785" i="20" s="1"/>
  <c r="M1337" i="20"/>
  <c r="U1197" i="14"/>
  <c r="U1835" i="14"/>
  <c r="O1953" i="14"/>
  <c r="O802" i="14"/>
  <c r="O801" i="14" s="1"/>
  <c r="O790" i="14" s="1"/>
  <c r="U804" i="14"/>
  <c r="U805" i="14"/>
  <c r="O1191" i="14"/>
  <c r="O1190" i="14" s="1"/>
  <c r="O1170" i="14" s="1"/>
  <c r="U1195" i="14"/>
  <c r="U1196" i="14"/>
  <c r="M534" i="20"/>
  <c r="M533" i="20" s="1"/>
  <c r="M524" i="20" s="1"/>
  <c r="O819" i="14"/>
  <c r="O816" i="14" s="1"/>
  <c r="O806" i="14" s="1"/>
  <c r="U617" i="14"/>
  <c r="U598" i="14"/>
  <c r="U599" i="14"/>
  <c r="U520" i="14"/>
  <c r="U521" i="14"/>
  <c r="U522" i="14"/>
  <c r="M49" i="20"/>
  <c r="I1177" i="20"/>
  <c r="M1413" i="20"/>
  <c r="M1409" i="20" s="1"/>
  <c r="M1408" i="20" s="1"/>
  <c r="M374" i="20"/>
  <c r="M39" i="20"/>
  <c r="O500" i="14"/>
  <c r="I1643" i="14"/>
  <c r="O41" i="14"/>
  <c r="O60" i="14"/>
  <c r="O52" i="20"/>
  <c r="O50" i="20" s="1"/>
  <c r="O47" i="20" s="1"/>
  <c r="O42" i="20" s="1"/>
  <c r="O7" i="20" s="1"/>
  <c r="N52" i="20"/>
  <c r="N50" i="20" s="1"/>
  <c r="N47" i="20" s="1"/>
  <c r="N42" i="20" s="1"/>
  <c r="N7" i="20" s="1"/>
  <c r="N27" i="18"/>
  <c r="M27" i="18"/>
  <c r="J153" i="20"/>
  <c r="I285" i="19"/>
  <c r="G285" i="19"/>
  <c r="B289" i="19"/>
  <c r="B288" i="19"/>
  <c r="N290" i="20"/>
  <c r="N284" i="20" s="1"/>
  <c r="N283" i="20" s="1"/>
  <c r="N267" i="20" s="1"/>
  <c r="M456" i="20" l="1"/>
  <c r="M434" i="20" s="1"/>
  <c r="M640" i="20"/>
  <c r="M619" i="20" s="1"/>
  <c r="O734" i="14"/>
  <c r="O725" i="14" s="1"/>
  <c r="O967" i="14"/>
  <c r="O944" i="14" s="1"/>
  <c r="O748" i="14"/>
  <c r="O1356" i="20"/>
  <c r="O1351" i="20" s="1"/>
  <c r="O1342" i="20" s="1"/>
  <c r="O1337" i="20"/>
  <c r="O1333" i="20" s="1"/>
  <c r="O1325" i="20" s="1"/>
  <c r="O1271" i="20"/>
  <c r="O1261" i="20" s="1"/>
  <c r="O1199" i="20" s="1"/>
  <c r="J14" i="18" s="1"/>
  <c r="O137" i="20"/>
  <c r="O133" i="20" s="1"/>
  <c r="O127" i="20" s="1"/>
  <c r="O100" i="20" s="1"/>
  <c r="J9" i="18" s="1"/>
  <c r="O405" i="20"/>
  <c r="O371" i="20" s="1"/>
  <c r="O370" i="20" s="1"/>
  <c r="O333" i="20" s="1"/>
  <c r="J12" i="18" s="1"/>
  <c r="N405" i="20"/>
  <c r="N371" i="20" s="1"/>
  <c r="N370" i="20" s="1"/>
  <c r="N333" i="20" s="1"/>
  <c r="I12" i="18" s="1"/>
  <c r="N137" i="20"/>
  <c r="N133" i="20" s="1"/>
  <c r="N127" i="20" s="1"/>
  <c r="N100" i="20" s="1"/>
  <c r="I9" i="18" s="1"/>
  <c r="N1271" i="20"/>
  <c r="N1261" i="20" s="1"/>
  <c r="N1337" i="20"/>
  <c r="N1333" i="20" s="1"/>
  <c r="N1325" i="20" s="1"/>
  <c r="N1228" i="20"/>
  <c r="N1227" i="20" s="1"/>
  <c r="N1223" i="20" s="1"/>
  <c r="N1210" i="20" s="1"/>
  <c r="N1356" i="20"/>
  <c r="N1351" i="20" s="1"/>
  <c r="N1342" i="20" s="1"/>
  <c r="K1188" i="20"/>
  <c r="K1187" i="20"/>
  <c r="K1186" i="20"/>
  <c r="K1185" i="20"/>
  <c r="K1184" i="20"/>
  <c r="K1183" i="20"/>
  <c r="J1188" i="20"/>
  <c r="J1187" i="20"/>
  <c r="J1186" i="20"/>
  <c r="J1185" i="20"/>
  <c r="J1184" i="20"/>
  <c r="J1183" i="20"/>
  <c r="K1169" i="20"/>
  <c r="K1168" i="20"/>
  <c r="K1166" i="20"/>
  <c r="K1165" i="20"/>
  <c r="J1169" i="20"/>
  <c r="J1168" i="20"/>
  <c r="J1166" i="20"/>
  <c r="J1165" i="20"/>
  <c r="K1163" i="20"/>
  <c r="K1162" i="20" s="1"/>
  <c r="J1163" i="20"/>
  <c r="J1162" i="20" s="1"/>
  <c r="K1156" i="20"/>
  <c r="K1155" i="20"/>
  <c r="K1154" i="20"/>
  <c r="K1153" i="20"/>
  <c r="J1156" i="20"/>
  <c r="J1155" i="20"/>
  <c r="J1154" i="20"/>
  <c r="J1153" i="20"/>
  <c r="K1149" i="20"/>
  <c r="K1148" i="20"/>
  <c r="K1147" i="20"/>
  <c r="K1146" i="20"/>
  <c r="K1145" i="20"/>
  <c r="J1149" i="20"/>
  <c r="J1148" i="20"/>
  <c r="J1147" i="20"/>
  <c r="J1146" i="20"/>
  <c r="J1145" i="20"/>
  <c r="K1138" i="20"/>
  <c r="K1137" i="20"/>
  <c r="K1136" i="20"/>
  <c r="K1134" i="20"/>
  <c r="J1138" i="20"/>
  <c r="J1137" i="20"/>
  <c r="J1136" i="20"/>
  <c r="J1134" i="20"/>
  <c r="K1128" i="20"/>
  <c r="K1127" i="20"/>
  <c r="K1125" i="20"/>
  <c r="J1128" i="20"/>
  <c r="J1127" i="20"/>
  <c r="J1125" i="20"/>
  <c r="K1120" i="20"/>
  <c r="K1119" i="20"/>
  <c r="K1118" i="20"/>
  <c r="K1117" i="20"/>
  <c r="K1116" i="20"/>
  <c r="J1120" i="20"/>
  <c r="J1119" i="20"/>
  <c r="J1118" i="20"/>
  <c r="J1117" i="20"/>
  <c r="J1116" i="20"/>
  <c r="K1112" i="20"/>
  <c r="K1111" i="20"/>
  <c r="K1110" i="20"/>
  <c r="K1109" i="20"/>
  <c r="K1108" i="20"/>
  <c r="J1112" i="20"/>
  <c r="J1111" i="20"/>
  <c r="J1110" i="20"/>
  <c r="J1109" i="20"/>
  <c r="J1108" i="20"/>
  <c r="K1083" i="20"/>
  <c r="K1080" i="20"/>
  <c r="J1083" i="20"/>
  <c r="J1080" i="20"/>
  <c r="K1072" i="20"/>
  <c r="J1072" i="20"/>
  <c r="K1067" i="20"/>
  <c r="K1065" i="20"/>
  <c r="J1067" i="20"/>
  <c r="J1065" i="20"/>
  <c r="K1034" i="20"/>
  <c r="K1033" i="20"/>
  <c r="K1025" i="20"/>
  <c r="K1024" i="20"/>
  <c r="K1023" i="20"/>
  <c r="K1017" i="20"/>
  <c r="K1014" i="20" s="1"/>
  <c r="K1011" i="20" s="1"/>
  <c r="K1009" i="20"/>
  <c r="K1007" i="20"/>
  <c r="K1001" i="20"/>
  <c r="K1000" i="20"/>
  <c r="K993" i="20"/>
  <c r="K992" i="20"/>
  <c r="K985" i="20"/>
  <c r="K984" i="20"/>
  <c r="K977" i="20"/>
  <c r="K976" i="20"/>
  <c r="K969" i="20"/>
  <c r="K968" i="20"/>
  <c r="K961" i="20"/>
  <c r="K960" i="20"/>
  <c r="K953" i="20"/>
  <c r="K952" i="20"/>
  <c r="K951" i="20"/>
  <c r="K945" i="20"/>
  <c r="K944" i="20"/>
  <c r="K937" i="20"/>
  <c r="K936" i="20"/>
  <c r="J1034" i="20"/>
  <c r="J1033" i="20"/>
  <c r="J1025" i="20"/>
  <c r="J1024" i="20"/>
  <c r="J1023" i="20"/>
  <c r="J1017" i="20"/>
  <c r="J1014" i="20" s="1"/>
  <c r="J1009" i="20"/>
  <c r="J1007" i="20"/>
  <c r="J1001" i="20"/>
  <c r="J1000" i="20"/>
  <c r="J993" i="20"/>
  <c r="J992" i="20"/>
  <c r="J985" i="20"/>
  <c r="J984" i="20"/>
  <c r="J977" i="20"/>
  <c r="J976" i="20"/>
  <c r="J969" i="20"/>
  <c r="J968" i="20"/>
  <c r="J961" i="20"/>
  <c r="J960" i="20"/>
  <c r="J953" i="20"/>
  <c r="J952" i="20"/>
  <c r="J951" i="20"/>
  <c r="J945" i="20"/>
  <c r="J944" i="20"/>
  <c r="J937" i="20"/>
  <c r="J936" i="20"/>
  <c r="K910" i="20"/>
  <c r="K907" i="20"/>
  <c r="K906" i="20"/>
  <c r="K905" i="20"/>
  <c r="K894" i="20"/>
  <c r="K891" i="20" s="1"/>
  <c r="K888" i="20"/>
  <c r="K885" i="20" s="1"/>
  <c r="K882" i="20" s="1"/>
  <c r="K876" i="20"/>
  <c r="K873" i="20" s="1"/>
  <c r="K867" i="20"/>
  <c r="K864" i="20" s="1"/>
  <c r="K858" i="20"/>
  <c r="K855" i="20" s="1"/>
  <c r="K849" i="20"/>
  <c r="K846" i="20" s="1"/>
  <c r="K845" i="20"/>
  <c r="K842" i="20" s="1"/>
  <c r="K839" i="20" s="1"/>
  <c r="K834" i="20"/>
  <c r="K833" i="20" s="1"/>
  <c r="K830" i="20" s="1"/>
  <c r="J910" i="20"/>
  <c r="J907" i="20"/>
  <c r="J906" i="20"/>
  <c r="J905" i="20"/>
  <c r="J894" i="20"/>
  <c r="J891" i="20" s="1"/>
  <c r="J888" i="20"/>
  <c r="J885" i="20" s="1"/>
  <c r="J882" i="20" s="1"/>
  <c r="J876" i="20"/>
  <c r="J873" i="20" s="1"/>
  <c r="J867" i="20"/>
  <c r="J864" i="20" s="1"/>
  <c r="J858" i="20"/>
  <c r="J855" i="20" s="1"/>
  <c r="J849" i="20"/>
  <c r="J846" i="20" s="1"/>
  <c r="J845" i="20"/>
  <c r="J842" i="20" s="1"/>
  <c r="J839" i="20" s="1"/>
  <c r="J834" i="20"/>
  <c r="J833" i="20" s="1"/>
  <c r="J830" i="20" s="1"/>
  <c r="K828" i="20"/>
  <c r="K827" i="20"/>
  <c r="K826" i="20"/>
  <c r="K824" i="20"/>
  <c r="K823" i="20"/>
  <c r="J828" i="20"/>
  <c r="J827" i="20"/>
  <c r="J826" i="20"/>
  <c r="J824" i="20"/>
  <c r="J823" i="20"/>
  <c r="K1367" i="20"/>
  <c r="J1367" i="20"/>
  <c r="M1246" i="20"/>
  <c r="M1245" i="20" s="1"/>
  <c r="M1244" i="20" s="1"/>
  <c r="M736" i="20"/>
  <c r="M134" i="20"/>
  <c r="I7" i="18"/>
  <c r="J7" i="18"/>
  <c r="I8" i="18"/>
  <c r="J8" i="18"/>
  <c r="I10" i="18"/>
  <c r="J10" i="18"/>
  <c r="I11" i="18"/>
  <c r="J11" i="18"/>
  <c r="I13" i="18"/>
  <c r="J13" i="18"/>
  <c r="I16" i="18"/>
  <c r="J16" i="18"/>
  <c r="I17" i="18"/>
  <c r="J17" i="18"/>
  <c r="I18" i="18"/>
  <c r="J18" i="18"/>
  <c r="H8" i="18"/>
  <c r="B27" i="18"/>
  <c r="B28" i="18"/>
  <c r="B29" i="18" s="1"/>
  <c r="B30" i="18" s="1"/>
  <c r="B31" i="18" s="1"/>
  <c r="B32" i="18" s="1"/>
  <c r="B33" i="18" s="1"/>
  <c r="B26" i="18"/>
  <c r="B25" i="18"/>
  <c r="M24" i="18"/>
  <c r="N24" i="18"/>
  <c r="M30" i="18"/>
  <c r="N30" i="18"/>
  <c r="L30" i="18"/>
  <c r="L29" i="18"/>
  <c r="L25" i="18"/>
  <c r="J1586" i="20"/>
  <c r="K1586" i="20"/>
  <c r="K1493" i="20"/>
  <c r="J1493" i="20"/>
  <c r="I1493" i="20"/>
  <c r="O1773" i="14"/>
  <c r="O1768" i="14" s="1"/>
  <c r="O1767" i="14" s="1"/>
  <c r="O1136" i="14"/>
  <c r="O1104" i="14"/>
  <c r="O1102" i="14" s="1"/>
  <c r="U1137" i="14"/>
  <c r="M733" i="20" l="1"/>
  <c r="M713" i="20" s="1"/>
  <c r="O1092" i="14"/>
  <c r="O1068" i="14" s="1"/>
  <c r="U748" i="14"/>
  <c r="O739" i="14"/>
  <c r="O716" i="14" s="1"/>
  <c r="O686" i="14" s="1"/>
  <c r="K958" i="20"/>
  <c r="K955" i="20" s="1"/>
  <c r="J1006" i="20"/>
  <c r="J1003" i="20" s="1"/>
  <c r="J966" i="20"/>
  <c r="J963" i="20" s="1"/>
  <c r="J982" i="20"/>
  <c r="J979" i="20" s="1"/>
  <c r="J998" i="20"/>
  <c r="J995" i="20" s="1"/>
  <c r="O1309" i="20"/>
  <c r="J15" i="18" s="1"/>
  <c r="J6" i="18" s="1"/>
  <c r="K821" i="20"/>
  <c r="K982" i="20"/>
  <c r="K979" i="20" s="1"/>
  <c r="K1030" i="20"/>
  <c r="K1027" i="20" s="1"/>
  <c r="J1167" i="20"/>
  <c r="K1167" i="20"/>
  <c r="J942" i="20"/>
  <c r="J939" i="20" s="1"/>
  <c r="K974" i="20"/>
  <c r="K971" i="20" s="1"/>
  <c r="J990" i="20"/>
  <c r="J987" i="20" s="1"/>
  <c r="J1022" i="20"/>
  <c r="J1019" i="20" s="1"/>
  <c r="J821" i="20"/>
  <c r="K903" i="20"/>
  <c r="K900" i="20" s="1"/>
  <c r="J1030" i="20"/>
  <c r="J1027" i="20" s="1"/>
  <c r="N1309" i="20"/>
  <c r="I15" i="18" s="1"/>
  <c r="J903" i="20"/>
  <c r="J900" i="20" s="1"/>
  <c r="J934" i="20"/>
  <c r="J931" i="20" s="1"/>
  <c r="J958" i="20"/>
  <c r="J955" i="20" s="1"/>
  <c r="J974" i="20"/>
  <c r="J971" i="20" s="1"/>
  <c r="K934" i="20"/>
  <c r="K931" i="20" s="1"/>
  <c r="K990" i="20"/>
  <c r="K987" i="20" s="1"/>
  <c r="K1006" i="20"/>
  <c r="K1003" i="20" s="1"/>
  <c r="J950" i="20"/>
  <c r="J947" i="20" s="1"/>
  <c r="K950" i="20"/>
  <c r="K947" i="20" s="1"/>
  <c r="K966" i="20"/>
  <c r="K963" i="20" s="1"/>
  <c r="K1022" i="20"/>
  <c r="K1019" i="20" s="1"/>
  <c r="K942" i="20"/>
  <c r="K939" i="20" s="1"/>
  <c r="K998" i="20"/>
  <c r="K995" i="20" s="1"/>
  <c r="N1199" i="20"/>
  <c r="I14" i="18" s="1"/>
  <c r="J1011" i="20"/>
  <c r="L24" i="18"/>
  <c r="O164" i="14"/>
  <c r="U164" i="14" s="1"/>
  <c r="K1292" i="20"/>
  <c r="K1291" i="20" s="1"/>
  <c r="K1298" i="20"/>
  <c r="J1292" i="20"/>
  <c r="J1291" i="20" s="1"/>
  <c r="J1298" i="20"/>
  <c r="K1256" i="20"/>
  <c r="J1256" i="20"/>
  <c r="J1243" i="20"/>
  <c r="J1242" i="20" s="1"/>
  <c r="J1241" i="20" s="1"/>
  <c r="J1226" i="20"/>
  <c r="K1226" i="20" s="1"/>
  <c r="K1224" i="20" s="1"/>
  <c r="J1214" i="20"/>
  <c r="J1212" i="20" s="1"/>
  <c r="J1211" i="20" s="1"/>
  <c r="K360" i="20"/>
  <c r="J360" i="20"/>
  <c r="K356" i="20"/>
  <c r="J356" i="20"/>
  <c r="J345" i="20"/>
  <c r="K345" i="20" s="1"/>
  <c r="K344" i="20" s="1"/>
  <c r="J337" i="20"/>
  <c r="K337" i="20" s="1"/>
  <c r="K335" i="20" s="1"/>
  <c r="K334" i="20" s="1"/>
  <c r="K322" i="20"/>
  <c r="J322" i="20"/>
  <c r="K315" i="20"/>
  <c r="K312" i="20" s="1"/>
  <c r="K311" i="20" s="1"/>
  <c r="J315" i="20"/>
  <c r="J312" i="20" s="1"/>
  <c r="J311" i="20" s="1"/>
  <c r="K272" i="20"/>
  <c r="K275" i="20"/>
  <c r="K279" i="20"/>
  <c r="J272" i="20"/>
  <c r="J275" i="20"/>
  <c r="J279" i="20"/>
  <c r="K236" i="20"/>
  <c r="K237" i="20"/>
  <c r="K238" i="20"/>
  <c r="K240" i="20"/>
  <c r="J236" i="20"/>
  <c r="J237" i="20"/>
  <c r="J238" i="20"/>
  <c r="J240" i="20"/>
  <c r="K222" i="20"/>
  <c r="K223" i="20"/>
  <c r="K226" i="20"/>
  <c r="J222" i="20"/>
  <c r="J223" i="20"/>
  <c r="J226" i="20"/>
  <c r="K206" i="20"/>
  <c r="J206" i="20"/>
  <c r="J1322" i="20"/>
  <c r="J1321" i="20" s="1"/>
  <c r="K1322" i="20"/>
  <c r="K1321" i="20" s="1"/>
  <c r="J203" i="20"/>
  <c r="K203" i="20" s="1"/>
  <c r="J25" i="20"/>
  <c r="K25" i="20" s="1"/>
  <c r="J27" i="20"/>
  <c r="K27" i="20" s="1"/>
  <c r="J23" i="20"/>
  <c r="K23" i="20" s="1"/>
  <c r="J196" i="20"/>
  <c r="K196" i="20" s="1"/>
  <c r="K195" i="20" s="1"/>
  <c r="K192" i="20" s="1"/>
  <c r="K179" i="20"/>
  <c r="J179" i="20"/>
  <c r="J154" i="20"/>
  <c r="K154" i="20" s="1"/>
  <c r="J147" i="20"/>
  <c r="K147" i="20" s="1"/>
  <c r="K146" i="20" s="1"/>
  <c r="K117" i="20"/>
  <c r="K116" i="20" s="1"/>
  <c r="K115" i="20" s="1"/>
  <c r="J117" i="20"/>
  <c r="J116" i="20" s="1"/>
  <c r="J115" i="20" s="1"/>
  <c r="J111" i="20"/>
  <c r="K111" i="20" s="1"/>
  <c r="J110" i="20"/>
  <c r="K110" i="20" s="1"/>
  <c r="J107" i="20"/>
  <c r="K107" i="20" s="1"/>
  <c r="K106" i="20" s="1"/>
  <c r="K105" i="20" s="1"/>
  <c r="J90" i="20"/>
  <c r="K90" i="20" s="1"/>
  <c r="K89" i="20" s="1"/>
  <c r="J66" i="20"/>
  <c r="J65" i="20" s="1"/>
  <c r="J64" i="20" s="1"/>
  <c r="J60" i="20"/>
  <c r="K60" i="20" s="1"/>
  <c r="K58" i="20" s="1"/>
  <c r="J57" i="20"/>
  <c r="K57" i="20" s="1"/>
  <c r="J32" i="20"/>
  <c r="K32" i="20" s="1"/>
  <c r="J31" i="20"/>
  <c r="J21" i="20"/>
  <c r="J20" i="20" s="1"/>
  <c r="J19" i="20" s="1"/>
  <c r="J18" i="20"/>
  <c r="J17" i="20" s="1"/>
  <c r="J16" i="20" s="1"/>
  <c r="J14" i="20"/>
  <c r="J13" i="20"/>
  <c r="K13" i="20" s="1"/>
  <c r="J11" i="20"/>
  <c r="J1159" i="20"/>
  <c r="K1159" i="20"/>
  <c r="J1115" i="20"/>
  <c r="K1115" i="20"/>
  <c r="J1107" i="20"/>
  <c r="K1107" i="20"/>
  <c r="J1098" i="20"/>
  <c r="K1098" i="20"/>
  <c r="L1098" i="20"/>
  <c r="J1090" i="20"/>
  <c r="K1090" i="20"/>
  <c r="J1056" i="20"/>
  <c r="K1056" i="20"/>
  <c r="J788" i="20"/>
  <c r="K788" i="20"/>
  <c r="J750" i="20"/>
  <c r="K750" i="20"/>
  <c r="K726" i="20"/>
  <c r="J726" i="20"/>
  <c r="G276" i="19"/>
  <c r="I276" i="19" s="1"/>
  <c r="I274" i="19" s="1"/>
  <c r="I273" i="19" s="1"/>
  <c r="G269" i="19"/>
  <c r="I269" i="19" s="1"/>
  <c r="I268" i="19" s="1"/>
  <c r="I267" i="19" s="1"/>
  <c r="K702" i="20"/>
  <c r="G266" i="19"/>
  <c r="I266" i="19" s="1"/>
  <c r="J702" i="20"/>
  <c r="G265" i="19"/>
  <c r="G264" i="19"/>
  <c r="I264" i="19" s="1"/>
  <c r="G261" i="19"/>
  <c r="G255" i="19"/>
  <c r="I255" i="19" s="1"/>
  <c r="G254" i="19"/>
  <c r="I254" i="19" s="1"/>
  <c r="G253" i="19"/>
  <c r="I253" i="19" s="1"/>
  <c r="G252" i="19"/>
  <c r="I252" i="19" s="1"/>
  <c r="I289" i="19"/>
  <c r="G286" i="19"/>
  <c r="I286" i="19" s="1"/>
  <c r="G244" i="19"/>
  <c r="I244" i="19" s="1"/>
  <c r="I243" i="19" s="1"/>
  <c r="G239" i="19"/>
  <c r="I239" i="19" s="1"/>
  <c r="G237" i="19"/>
  <c r="I237" i="19" s="1"/>
  <c r="I236" i="19" s="1"/>
  <c r="G232" i="19"/>
  <c r="I232" i="19" s="1"/>
  <c r="G230" i="19"/>
  <c r="I230" i="19" s="1"/>
  <c r="I229" i="19" s="1"/>
  <c r="G225" i="19"/>
  <c r="I225" i="19" s="1"/>
  <c r="G218" i="19"/>
  <c r="I218" i="19" s="1"/>
  <c r="G216" i="19"/>
  <c r="I216" i="19" s="1"/>
  <c r="I215" i="19" s="1"/>
  <c r="G209" i="19"/>
  <c r="I209" i="19" s="1"/>
  <c r="I208" i="19" s="1"/>
  <c r="G194" i="19"/>
  <c r="I194" i="19" s="1"/>
  <c r="I193" i="19" s="1"/>
  <c r="G199" i="19"/>
  <c r="I199" i="19" s="1"/>
  <c r="G197" i="19"/>
  <c r="I197" i="19" s="1"/>
  <c r="I196" i="19" s="1"/>
  <c r="G190" i="19"/>
  <c r="I190" i="19" s="1"/>
  <c r="G188" i="19"/>
  <c r="I188" i="19" s="1"/>
  <c r="I187" i="19" s="1"/>
  <c r="G145" i="19"/>
  <c r="I145" i="19" s="1"/>
  <c r="G138" i="19"/>
  <c r="I138" i="19" s="1"/>
  <c r="G134" i="19"/>
  <c r="I134" i="19" s="1"/>
  <c r="G130" i="19"/>
  <c r="I130" i="19" s="1"/>
  <c r="G126" i="19"/>
  <c r="I126" i="19" s="1"/>
  <c r="G122" i="19"/>
  <c r="I122" i="19" s="1"/>
  <c r="G118" i="19"/>
  <c r="I118" i="19" s="1"/>
  <c r="G114" i="19"/>
  <c r="I114" i="19" s="1"/>
  <c r="G113" i="19"/>
  <c r="I113" i="19" s="1"/>
  <c r="G110" i="19"/>
  <c r="I110" i="19" s="1"/>
  <c r="G106" i="19"/>
  <c r="I106" i="19" s="1"/>
  <c r="G102" i="19"/>
  <c r="I102" i="19" s="1"/>
  <c r="G98" i="19"/>
  <c r="G94" i="19"/>
  <c r="I94" i="19" s="1"/>
  <c r="G90" i="19"/>
  <c r="I90" i="19" s="1"/>
  <c r="G185" i="19"/>
  <c r="I185" i="19" s="1"/>
  <c r="I184" i="19" s="1"/>
  <c r="G183" i="19"/>
  <c r="G182" i="19"/>
  <c r="I182" i="19" s="1"/>
  <c r="G180" i="19"/>
  <c r="I180" i="19" s="1"/>
  <c r="G179" i="19"/>
  <c r="I179" i="19" s="1"/>
  <c r="G178" i="19"/>
  <c r="G177" i="19"/>
  <c r="I177" i="19" s="1"/>
  <c r="G175" i="19"/>
  <c r="I175" i="19" s="1"/>
  <c r="G174" i="19"/>
  <c r="I174" i="19" s="1"/>
  <c r="G173" i="19"/>
  <c r="I173" i="19" s="1"/>
  <c r="G172" i="19"/>
  <c r="I172" i="19" s="1"/>
  <c r="G171" i="19"/>
  <c r="I171" i="19" s="1"/>
  <c r="G169" i="19"/>
  <c r="I169" i="19" s="1"/>
  <c r="G168" i="19"/>
  <c r="I168" i="19" s="1"/>
  <c r="G167" i="19"/>
  <c r="I167" i="19" s="1"/>
  <c r="G166" i="19"/>
  <c r="I166" i="19" s="1"/>
  <c r="G165" i="19"/>
  <c r="I165" i="19" s="1"/>
  <c r="G163" i="19"/>
  <c r="I163" i="19" s="1"/>
  <c r="I162" i="19" s="1"/>
  <c r="G161" i="19"/>
  <c r="I161" i="19" s="1"/>
  <c r="I160" i="19" s="1"/>
  <c r="G159" i="19"/>
  <c r="I159" i="19" s="1"/>
  <c r="I158" i="19" s="1"/>
  <c r="G156" i="19"/>
  <c r="I156" i="19" s="1"/>
  <c r="G155" i="19"/>
  <c r="I155" i="19" s="1"/>
  <c r="G154" i="19"/>
  <c r="I154" i="19" s="1"/>
  <c r="G152" i="19"/>
  <c r="I152" i="19" s="1"/>
  <c r="I151" i="19"/>
  <c r="G151" i="19"/>
  <c r="G148" i="19"/>
  <c r="I148" i="19" s="1"/>
  <c r="G142" i="19"/>
  <c r="I142" i="19" s="1"/>
  <c r="I141" i="19" s="1"/>
  <c r="G140" i="19"/>
  <c r="I140" i="19" s="1"/>
  <c r="I139" i="19" s="1"/>
  <c r="G137" i="19"/>
  <c r="I137" i="19" s="1"/>
  <c r="G133" i="19"/>
  <c r="I133" i="19" s="1"/>
  <c r="G129" i="19"/>
  <c r="I129" i="19" s="1"/>
  <c r="G125" i="19"/>
  <c r="I125" i="19" s="1"/>
  <c r="G121" i="19"/>
  <c r="I121" i="19" s="1"/>
  <c r="G117" i="19"/>
  <c r="I117" i="19" s="1"/>
  <c r="G109" i="19"/>
  <c r="I109" i="19" s="1"/>
  <c r="G105" i="19"/>
  <c r="I105" i="19" s="1"/>
  <c r="G101" i="19"/>
  <c r="I101" i="19" s="1"/>
  <c r="G97" i="19"/>
  <c r="I97" i="19" s="1"/>
  <c r="G93" i="19"/>
  <c r="I93" i="19" s="1"/>
  <c r="G89" i="19"/>
  <c r="I89" i="19" s="1"/>
  <c r="G85" i="19"/>
  <c r="I85" i="19" s="1"/>
  <c r="I84" i="19" s="1"/>
  <c r="I83" i="19" s="1"/>
  <c r="G82" i="19"/>
  <c r="I82" i="19" s="1"/>
  <c r="G81" i="19"/>
  <c r="I81" i="19" s="1"/>
  <c r="G79" i="19"/>
  <c r="I79" i="19" s="1"/>
  <c r="G78" i="19"/>
  <c r="I78" i="19" s="1"/>
  <c r="G77" i="19"/>
  <c r="I77" i="19" s="1"/>
  <c r="G75" i="19"/>
  <c r="I75" i="19" s="1"/>
  <c r="I74" i="19" s="1"/>
  <c r="G73" i="19"/>
  <c r="I73" i="19" s="1"/>
  <c r="G72" i="19"/>
  <c r="I72" i="19" s="1"/>
  <c r="G70" i="19"/>
  <c r="I70" i="19" s="1"/>
  <c r="I69" i="19" s="1"/>
  <c r="I322" i="20"/>
  <c r="G68" i="19"/>
  <c r="I68" i="19" s="1"/>
  <c r="G67" i="19"/>
  <c r="I67" i="19" s="1"/>
  <c r="G65" i="19"/>
  <c r="I65" i="19" s="1"/>
  <c r="G64" i="19"/>
  <c r="G61" i="19"/>
  <c r="I61" i="19" s="1"/>
  <c r="G60" i="19"/>
  <c r="I60" i="19" s="1"/>
  <c r="M303" i="20"/>
  <c r="M302" i="20" s="1"/>
  <c r="M292" i="20" s="1"/>
  <c r="I51" i="19"/>
  <c r="I50" i="19" s="1"/>
  <c r="G57" i="19"/>
  <c r="I57" i="19" s="1"/>
  <c r="I56" i="19" s="1"/>
  <c r="I48" i="19"/>
  <c r="G55" i="19"/>
  <c r="I55" i="19" s="1"/>
  <c r="G54" i="19"/>
  <c r="I54" i="19" s="1"/>
  <c r="G28" i="19"/>
  <c r="J128" i="20"/>
  <c r="J127" i="20" s="1"/>
  <c r="K128" i="20"/>
  <c r="K127" i="20" s="1"/>
  <c r="I128" i="20"/>
  <c r="I127" i="20" s="1"/>
  <c r="K81" i="20"/>
  <c r="J81" i="20"/>
  <c r="M51" i="20"/>
  <c r="M50" i="20" s="1"/>
  <c r="K1656" i="20"/>
  <c r="K1655" i="20"/>
  <c r="K1654" i="20"/>
  <c r="K1653" i="20"/>
  <c r="K1651" i="20"/>
  <c r="K1650" i="20"/>
  <c r="K1643" i="20"/>
  <c r="K1639" i="20"/>
  <c r="K1618" i="20"/>
  <c r="K1599" i="20"/>
  <c r="K1597" i="20"/>
  <c r="K1595" i="20"/>
  <c r="K1594" i="20" s="1"/>
  <c r="K1593" i="20" s="1"/>
  <c r="K1568" i="20"/>
  <c r="K1559" i="20"/>
  <c r="K1558" i="20" s="1"/>
  <c r="K1546" i="20"/>
  <c r="K1539" i="20"/>
  <c r="K1535" i="20"/>
  <c r="K1525" i="20"/>
  <c r="K1507" i="20"/>
  <c r="K1506" i="20" s="1"/>
  <c r="K1505" i="20" s="1"/>
  <c r="K1503" i="20"/>
  <c r="K1496" i="20"/>
  <c r="K1492" i="20"/>
  <c r="K1488" i="20"/>
  <c r="K1478" i="20"/>
  <c r="K1475" i="20" s="1"/>
  <c r="K1470" i="20" s="1"/>
  <c r="K1431" i="20"/>
  <c r="K1430" i="20" s="1"/>
  <c r="K1428" i="20"/>
  <c r="K1427" i="20" s="1"/>
  <c r="K1424" i="20"/>
  <c r="K1421" i="20"/>
  <c r="K1418" i="20"/>
  <c r="K1417" i="20" s="1"/>
  <c r="K1410" i="20"/>
  <c r="K1409" i="20" s="1"/>
  <c r="K1378" i="20"/>
  <c r="K1359" i="20"/>
  <c r="K1358" i="20" s="1"/>
  <c r="K1345" i="20"/>
  <c r="K1328" i="20"/>
  <c r="K1311" i="20"/>
  <c r="K1310" i="20" s="1"/>
  <c r="K1259" i="20"/>
  <c r="K1258" i="20" s="1"/>
  <c r="K1257" i="20" s="1"/>
  <c r="K1251" i="20"/>
  <c r="K1234" i="20"/>
  <c r="K1231" i="20" s="1"/>
  <c r="K1219" i="20"/>
  <c r="K1218" i="20" s="1"/>
  <c r="K1204" i="20"/>
  <c r="K1203" i="20" s="1"/>
  <c r="K1201" i="20"/>
  <c r="K1200" i="20" s="1"/>
  <c r="K1176" i="20"/>
  <c r="K1175" i="20" s="1"/>
  <c r="K1172" i="20"/>
  <c r="K1171" i="20" s="1"/>
  <c r="K1140" i="20"/>
  <c r="K915" i="20"/>
  <c r="K808" i="20"/>
  <c r="K774" i="20"/>
  <c r="K632" i="20"/>
  <c r="K622" i="20"/>
  <c r="K615" i="20"/>
  <c r="K594" i="20"/>
  <c r="K591" i="20" s="1"/>
  <c r="K576" i="20"/>
  <c r="K573" i="20" s="1"/>
  <c r="K567" i="20"/>
  <c r="K564" i="20" s="1"/>
  <c r="K539" i="20"/>
  <c r="K536" i="20" s="1"/>
  <c r="K505" i="20"/>
  <c r="K502" i="20" s="1"/>
  <c r="K487" i="20"/>
  <c r="K484" i="20" s="1"/>
  <c r="K463" i="20"/>
  <c r="K460" i="20" s="1"/>
  <c r="K457" i="20"/>
  <c r="K449" i="20"/>
  <c r="K446" i="20" s="1"/>
  <c r="K436" i="20"/>
  <c r="K435" i="20" s="1"/>
  <c r="K362" i="20"/>
  <c r="K361" i="20" s="1"/>
  <c r="K318" i="20"/>
  <c r="K306" i="20"/>
  <c r="K305" i="20" s="1"/>
  <c r="K295" i="20"/>
  <c r="K292" i="20" s="1"/>
  <c r="K283" i="20" s="1"/>
  <c r="K255" i="20"/>
  <c r="K254" i="20" s="1"/>
  <c r="K253" i="20" s="1"/>
  <c r="K242" i="20"/>
  <c r="K241" i="20" s="1"/>
  <c r="K211" i="20"/>
  <c r="K208" i="20" s="1"/>
  <c r="K165" i="20"/>
  <c r="K164" i="20" s="1"/>
  <c r="K162" i="20"/>
  <c r="K160" i="20"/>
  <c r="K151" i="20"/>
  <c r="K124" i="20"/>
  <c r="K123" i="20" s="1"/>
  <c r="K102" i="20"/>
  <c r="K101" i="20" s="1"/>
  <c r="K87" i="20"/>
  <c r="K84" i="20"/>
  <c r="K79" i="20"/>
  <c r="K62" i="20"/>
  <c r="K43" i="20"/>
  <c r="K42" i="20" s="1"/>
  <c r="K20" i="20"/>
  <c r="K19" i="20" s="1"/>
  <c r="K17" i="20"/>
  <c r="K16" i="20" s="1"/>
  <c r="J1656" i="20"/>
  <c r="J1655" i="20"/>
  <c r="J1654" i="20"/>
  <c r="J1653" i="20"/>
  <c r="J1651" i="20"/>
  <c r="J1650" i="20"/>
  <c r="J1643" i="20"/>
  <c r="J1639" i="20"/>
  <c r="J1618" i="20"/>
  <c r="J1599" i="20"/>
  <c r="J1597" i="20"/>
  <c r="J1595" i="20"/>
  <c r="J1594" i="20" s="1"/>
  <c r="J1593" i="20" s="1"/>
  <c r="J1568" i="20"/>
  <c r="J1559" i="20"/>
  <c r="J1558" i="20" s="1"/>
  <c r="J1546" i="20"/>
  <c r="J1539" i="20"/>
  <c r="J1535" i="20"/>
  <c r="J1525" i="20"/>
  <c r="J1507" i="20"/>
  <c r="J1506" i="20" s="1"/>
  <c r="J1505" i="20" s="1"/>
  <c r="J1503" i="20"/>
  <c r="J1496" i="20"/>
  <c r="J1492" i="20"/>
  <c r="J1488" i="20"/>
  <c r="J1478" i="20"/>
  <c r="J1475" i="20" s="1"/>
  <c r="J1470" i="20" s="1"/>
  <c r="J1431" i="20"/>
  <c r="J1430" i="20" s="1"/>
  <c r="J1428" i="20"/>
  <c r="J1427" i="20" s="1"/>
  <c r="J1424" i="20"/>
  <c r="J1421" i="20"/>
  <c r="J1418" i="20"/>
  <c r="J1417" i="20" s="1"/>
  <c r="J1410" i="20"/>
  <c r="J1409" i="20" s="1"/>
  <c r="J1378" i="20"/>
  <c r="J1359" i="20"/>
  <c r="J1358" i="20" s="1"/>
  <c r="J1345" i="20"/>
  <c r="J1328" i="20"/>
  <c r="J1311" i="20"/>
  <c r="J1310" i="20" s="1"/>
  <c r="J1259" i="20"/>
  <c r="J1258" i="20" s="1"/>
  <c r="J1257" i="20" s="1"/>
  <c r="J1251" i="20"/>
  <c r="J1234" i="20"/>
  <c r="J1231" i="20" s="1"/>
  <c r="J1219" i="20"/>
  <c r="J1218" i="20" s="1"/>
  <c r="J1204" i="20"/>
  <c r="J1203" i="20" s="1"/>
  <c r="J1201" i="20"/>
  <c r="J1200" i="20" s="1"/>
  <c r="J1176" i="20"/>
  <c r="J1175" i="20" s="1"/>
  <c r="J1172" i="20"/>
  <c r="J1171" i="20" s="1"/>
  <c r="J1140" i="20"/>
  <c r="J915" i="20"/>
  <c r="J808" i="20"/>
  <c r="J774" i="20"/>
  <c r="J632" i="20"/>
  <c r="J622" i="20"/>
  <c r="J615" i="20"/>
  <c r="J594" i="20"/>
  <c r="J591" i="20" s="1"/>
  <c r="J576" i="20"/>
  <c r="J573" i="20" s="1"/>
  <c r="J567" i="20"/>
  <c r="J564" i="20" s="1"/>
  <c r="J539" i="20"/>
  <c r="J536" i="20" s="1"/>
  <c r="J505" i="20"/>
  <c r="J502" i="20" s="1"/>
  <c r="J487" i="20"/>
  <c r="J484" i="20" s="1"/>
  <c r="J463" i="20"/>
  <c r="J460" i="20" s="1"/>
  <c r="J457" i="20"/>
  <c r="J449" i="20"/>
  <c r="J446" i="20" s="1"/>
  <c r="J436" i="20"/>
  <c r="J435" i="20" s="1"/>
  <c r="J362" i="20"/>
  <c r="J361" i="20" s="1"/>
  <c r="J318" i="20"/>
  <c r="J306" i="20"/>
  <c r="J305" i="20" s="1"/>
  <c r="J295" i="20"/>
  <c r="J292" i="20" s="1"/>
  <c r="J283" i="20" s="1"/>
  <c r="J255" i="20"/>
  <c r="J254" i="20" s="1"/>
  <c r="J253" i="20" s="1"/>
  <c r="J242" i="20"/>
  <c r="J241" i="20" s="1"/>
  <c r="J211" i="20"/>
  <c r="J208" i="20" s="1"/>
  <c r="J165" i="20"/>
  <c r="J164" i="20" s="1"/>
  <c r="J162" i="20"/>
  <c r="J160" i="20"/>
  <c r="J151" i="20"/>
  <c r="J124" i="20"/>
  <c r="J123" i="20" s="1"/>
  <c r="J102" i="20"/>
  <c r="J101" i="20" s="1"/>
  <c r="J87" i="20"/>
  <c r="J84" i="20"/>
  <c r="J79" i="20"/>
  <c r="J62" i="20"/>
  <c r="J43" i="20"/>
  <c r="J42" i="20" s="1"/>
  <c r="I1656" i="20"/>
  <c r="I1655" i="20"/>
  <c r="I1654" i="20"/>
  <c r="I1653" i="20"/>
  <c r="I1651" i="20"/>
  <c r="I1650" i="20"/>
  <c r="M1646" i="20"/>
  <c r="M1645" i="20" s="1"/>
  <c r="M1638" i="20" s="1"/>
  <c r="M1637" i="20" s="1"/>
  <c r="M1636" i="20" s="1"/>
  <c r="H18" i="18" s="1"/>
  <c r="I1643" i="20"/>
  <c r="I1639" i="20"/>
  <c r="B1637" i="20"/>
  <c r="B1638" i="20" s="1"/>
  <c r="B1639" i="20" s="1"/>
  <c r="B1640" i="20" s="1"/>
  <c r="B1641" i="20" s="1"/>
  <c r="B1642" i="20" s="1"/>
  <c r="B1643" i="20" s="1"/>
  <c r="B1644" i="20" s="1"/>
  <c r="B1645" i="20" s="1"/>
  <c r="B1646" i="20" s="1"/>
  <c r="B1647" i="20" s="1"/>
  <c r="B1648" i="20" s="1"/>
  <c r="B1649" i="20" s="1"/>
  <c r="B1650" i="20" s="1"/>
  <c r="B1651" i="20" s="1"/>
  <c r="B1652" i="20" s="1"/>
  <c r="B1653" i="20" s="1"/>
  <c r="B1654" i="20" s="1"/>
  <c r="B1655" i="20" s="1"/>
  <c r="B1656" i="20" s="1"/>
  <c r="M1626" i="20"/>
  <c r="I1625" i="20"/>
  <c r="I1618" i="20"/>
  <c r="I1617" i="20"/>
  <c r="I1616" i="20"/>
  <c r="M1612" i="20"/>
  <c r="M1611" i="20" s="1"/>
  <c r="M1602" i="20" s="1"/>
  <c r="M1601" i="20" s="1"/>
  <c r="I1610" i="20"/>
  <c r="I1609" i="20"/>
  <c r="I1608" i="20"/>
  <c r="I1607" i="20"/>
  <c r="I1606" i="20"/>
  <c r="I1604" i="20"/>
  <c r="I1603" i="20"/>
  <c r="I1599" i="20"/>
  <c r="I1597" i="20"/>
  <c r="I1595" i="20"/>
  <c r="I1594" i="20" s="1"/>
  <c r="I1593" i="20" s="1"/>
  <c r="I1592" i="20"/>
  <c r="I1589" i="20"/>
  <c r="I1586" i="20" s="1"/>
  <c r="I1585" i="20"/>
  <c r="I1584" i="20"/>
  <c r="M1580" i="20"/>
  <c r="M1578" i="20"/>
  <c r="I1568" i="20"/>
  <c r="I1567" i="20"/>
  <c r="I1566" i="20"/>
  <c r="I1559" i="20"/>
  <c r="I1558" i="20" s="1"/>
  <c r="M1556" i="20"/>
  <c r="I1554" i="20"/>
  <c r="I1546" i="20"/>
  <c r="I1539" i="20"/>
  <c r="I1535" i="20"/>
  <c r="I1525" i="20"/>
  <c r="I1524" i="20"/>
  <c r="I1523" i="20"/>
  <c r="I1520" i="20"/>
  <c r="I1518" i="20"/>
  <c r="I1515" i="20"/>
  <c r="I1513" i="20"/>
  <c r="I1512" i="20"/>
  <c r="I1507" i="20"/>
  <c r="I1506" i="20" s="1"/>
  <c r="I1505" i="20" s="1"/>
  <c r="I1503" i="20"/>
  <c r="I1496" i="20"/>
  <c r="I1492" i="20"/>
  <c r="I1491" i="20"/>
  <c r="I1488" i="20"/>
  <c r="I1487" i="20"/>
  <c r="I1486" i="20"/>
  <c r="I1478" i="20"/>
  <c r="I1475" i="20" s="1"/>
  <c r="I1470" i="20" s="1"/>
  <c r="M1472" i="20"/>
  <c r="M1471" i="20" s="1"/>
  <c r="M1470" i="20" s="1"/>
  <c r="M1469" i="20" s="1"/>
  <c r="B1469" i="20"/>
  <c r="B1470" i="20" s="1"/>
  <c r="M1456" i="20"/>
  <c r="M1453" i="20"/>
  <c r="I1448" i="20"/>
  <c r="I1445" i="20"/>
  <c r="I1439" i="20"/>
  <c r="I1438" i="20"/>
  <c r="I1437" i="20"/>
  <c r="I1436" i="20"/>
  <c r="I1431" i="20"/>
  <c r="I1430" i="20" s="1"/>
  <c r="I1428" i="20"/>
  <c r="I1427" i="20" s="1"/>
  <c r="I1424" i="20"/>
  <c r="I1421" i="20"/>
  <c r="I1418" i="20"/>
  <c r="I1417" i="20" s="1"/>
  <c r="I1410" i="20"/>
  <c r="I1409" i="20" s="1"/>
  <c r="I1407" i="20"/>
  <c r="I1406" i="20"/>
  <c r="I1404" i="20"/>
  <c r="I1403" i="20"/>
  <c r="I1402" i="20"/>
  <c r="I1397" i="20"/>
  <c r="I1395" i="20"/>
  <c r="I1393" i="20"/>
  <c r="I1389" i="20"/>
  <c r="I1388" i="20"/>
  <c r="M1383" i="20"/>
  <c r="M1381" i="20"/>
  <c r="I1378" i="20"/>
  <c r="B1377" i="20"/>
  <c r="M1361" i="20"/>
  <c r="M1358" i="20" s="1"/>
  <c r="I1359" i="20"/>
  <c r="I1358" i="20" s="1"/>
  <c r="M1356" i="20"/>
  <c r="M1354" i="20"/>
  <c r="M1352" i="20"/>
  <c r="I1350" i="20"/>
  <c r="I1345" i="20"/>
  <c r="M1334" i="20"/>
  <c r="I1328" i="20"/>
  <c r="I1327" i="20"/>
  <c r="I1324" i="20"/>
  <c r="I1311" i="20"/>
  <c r="I1310" i="20" s="1"/>
  <c r="B1310" i="20"/>
  <c r="B1311" i="20" s="1"/>
  <c r="B1312" i="20" s="1"/>
  <c r="B1313" i="20" s="1"/>
  <c r="B1314" i="20" s="1"/>
  <c r="B1315" i="20" s="1"/>
  <c r="B1316" i="20" s="1"/>
  <c r="B1317" i="20" s="1"/>
  <c r="B1318" i="20" s="1"/>
  <c r="B1319" i="20" s="1"/>
  <c r="B1320" i="20" s="1"/>
  <c r="B1321" i="20" s="1"/>
  <c r="B1322" i="20" s="1"/>
  <c r="B1323" i="20" s="1"/>
  <c r="B1324" i="20" s="1"/>
  <c r="B1325" i="20" s="1"/>
  <c r="B1326" i="20" s="1"/>
  <c r="B1327" i="20" s="1"/>
  <c r="L1309" i="20"/>
  <c r="I1298" i="20"/>
  <c r="I1297" i="20"/>
  <c r="I1295" i="20"/>
  <c r="I1293" i="20"/>
  <c r="I1292" i="20"/>
  <c r="M1271" i="20"/>
  <c r="I1259" i="20"/>
  <c r="I1258" i="20" s="1"/>
  <c r="I1257" i="20" s="1"/>
  <c r="I1256" i="20"/>
  <c r="I1251" i="20"/>
  <c r="I1250" i="20"/>
  <c r="I1242" i="20"/>
  <c r="I1241" i="20" s="1"/>
  <c r="I1234" i="20"/>
  <c r="I1231" i="20" s="1"/>
  <c r="M1228" i="20"/>
  <c r="M1227" i="20" s="1"/>
  <c r="I1224" i="20"/>
  <c r="I1219" i="20"/>
  <c r="I1218" i="20" s="1"/>
  <c r="M1216" i="20"/>
  <c r="M1215" i="20" s="1"/>
  <c r="M1211" i="20" s="1"/>
  <c r="I1212" i="20"/>
  <c r="I1211" i="20" s="1"/>
  <c r="I1204" i="20"/>
  <c r="I1203" i="20" s="1"/>
  <c r="I1201" i="20"/>
  <c r="I1200" i="20" s="1"/>
  <c r="B1200" i="20"/>
  <c r="B1201" i="20" s="1"/>
  <c r="B1202" i="20" s="1"/>
  <c r="B1203" i="20" s="1"/>
  <c r="B1204" i="20" s="1"/>
  <c r="B1205" i="20" s="1"/>
  <c r="B1206" i="20" s="1"/>
  <c r="B1207" i="20" s="1"/>
  <c r="B1208" i="20" s="1"/>
  <c r="B1209" i="20" s="1"/>
  <c r="B1210" i="20" s="1"/>
  <c r="B1211" i="20" s="1"/>
  <c r="B1212" i="20" s="1"/>
  <c r="B1213" i="20" s="1"/>
  <c r="B1214" i="20" s="1"/>
  <c r="B1215" i="20" s="1"/>
  <c r="B1216" i="20" s="1"/>
  <c r="B1217" i="20" s="1"/>
  <c r="B1218" i="20" s="1"/>
  <c r="B1219" i="20" s="1"/>
  <c r="B1220" i="20" s="1"/>
  <c r="B1221" i="20" s="1"/>
  <c r="B1222" i="20" s="1"/>
  <c r="B1223" i="20" s="1"/>
  <c r="B1224" i="20" s="1"/>
  <c r="B1225" i="20" s="1"/>
  <c r="B1226" i="20" s="1"/>
  <c r="B1227" i="20" s="1"/>
  <c r="B1228" i="20" s="1"/>
  <c r="B1229" i="20" s="1"/>
  <c r="B1230" i="20" s="1"/>
  <c r="B1231" i="20" s="1"/>
  <c r="B1232" i="20" s="1"/>
  <c r="B1233" i="20" s="1"/>
  <c r="B1234" i="20" s="1"/>
  <c r="B1235" i="20" s="1"/>
  <c r="B1236" i="20" s="1"/>
  <c r="B1237" i="20" s="1"/>
  <c r="I1189" i="20"/>
  <c r="I1188" i="20"/>
  <c r="I1187" i="20"/>
  <c r="I1186" i="20"/>
  <c r="I1185" i="20"/>
  <c r="I1184" i="20"/>
  <c r="I1183" i="20"/>
  <c r="I1180" i="20"/>
  <c r="I1179" i="20"/>
  <c r="I1176" i="20"/>
  <c r="I1175" i="20" s="1"/>
  <c r="I1172" i="20"/>
  <c r="I1171" i="20" s="1"/>
  <c r="I1169" i="20"/>
  <c r="I1168" i="20"/>
  <c r="I1166" i="20"/>
  <c r="I1165" i="20"/>
  <c r="I1163" i="20"/>
  <c r="I1156" i="20"/>
  <c r="I1155" i="20"/>
  <c r="I1154" i="20"/>
  <c r="I1153" i="20"/>
  <c r="I1149" i="20"/>
  <c r="I1148" i="20"/>
  <c r="I1147" i="20"/>
  <c r="I1146" i="20"/>
  <c r="I1145" i="20"/>
  <c r="I1140" i="20"/>
  <c r="I1138" i="20"/>
  <c r="I1137" i="20"/>
  <c r="I1136" i="20"/>
  <c r="I1134" i="20"/>
  <c r="I1128" i="20"/>
  <c r="I1127" i="20"/>
  <c r="I1125" i="20"/>
  <c r="I1120" i="20"/>
  <c r="I1119" i="20"/>
  <c r="I1118" i="20"/>
  <c r="I1117" i="20"/>
  <c r="I1116" i="20"/>
  <c r="I1112" i="20"/>
  <c r="I1111" i="20"/>
  <c r="I1110" i="20"/>
  <c r="I1109" i="20"/>
  <c r="I1108" i="20"/>
  <c r="I1103" i="20"/>
  <c r="I1102" i="20"/>
  <c r="I1100" i="20"/>
  <c r="I1099" i="20"/>
  <c r="I1092" i="20"/>
  <c r="I1091" i="20"/>
  <c r="I1086" i="20"/>
  <c r="I1083" i="20"/>
  <c r="I1081" i="20"/>
  <c r="I1080" i="20"/>
  <c r="I1073" i="20"/>
  <c r="I1072" i="20"/>
  <c r="I1067" i="20"/>
  <c r="I1065" i="20"/>
  <c r="I1059" i="20"/>
  <c r="I1058" i="20"/>
  <c r="I1057" i="20"/>
  <c r="I1055" i="20"/>
  <c r="I1054" i="20"/>
  <c r="I1051" i="20"/>
  <c r="I1049" i="20"/>
  <c r="I1048" i="20"/>
  <c r="I1046" i="20"/>
  <c r="I1045" i="20"/>
  <c r="I1043" i="20"/>
  <c r="I1041" i="20"/>
  <c r="I1040" i="20"/>
  <c r="I1037" i="20"/>
  <c r="I1035" i="20"/>
  <c r="I1034" i="20"/>
  <c r="I1033" i="20"/>
  <c r="I1032" i="20"/>
  <c r="I1028" i="20"/>
  <c r="I1026" i="20"/>
  <c r="I1025" i="20"/>
  <c r="I1024" i="20"/>
  <c r="I1023" i="20"/>
  <c r="I1020" i="20"/>
  <c r="I1018" i="20"/>
  <c r="I1017" i="20"/>
  <c r="I1015" i="20"/>
  <c r="I1013" i="20"/>
  <c r="I1012" i="20"/>
  <c r="I1009" i="20"/>
  <c r="I1007" i="20"/>
  <c r="I1005" i="20"/>
  <c r="I1004" i="20"/>
  <c r="I1001" i="20"/>
  <c r="I1000" i="20"/>
  <c r="I999" i="20"/>
  <c r="I997" i="20"/>
  <c r="I996" i="20"/>
  <c r="I994" i="20"/>
  <c r="I993" i="20"/>
  <c r="I992" i="20"/>
  <c r="I991" i="20"/>
  <c r="I989" i="20"/>
  <c r="I988" i="20"/>
  <c r="I985" i="20"/>
  <c r="I984" i="20"/>
  <c r="I983" i="20"/>
  <c r="I981" i="20"/>
  <c r="I980" i="20"/>
  <c r="I977" i="20"/>
  <c r="I976" i="20"/>
  <c r="I975" i="20"/>
  <c r="I973" i="20"/>
  <c r="I972" i="20"/>
  <c r="I969" i="20"/>
  <c r="I968" i="20"/>
  <c r="I967" i="20"/>
  <c r="I965" i="20"/>
  <c r="I964" i="20"/>
  <c r="I961" i="20"/>
  <c r="I960" i="20"/>
  <c r="I959" i="20"/>
  <c r="I956" i="20"/>
  <c r="I953" i="20"/>
  <c r="I952" i="20"/>
  <c r="I951" i="20"/>
  <c r="I949" i="20"/>
  <c r="I948" i="20"/>
  <c r="I945" i="20"/>
  <c r="I944" i="20"/>
  <c r="I943" i="20"/>
  <c r="I941" i="20"/>
  <c r="I940" i="20"/>
  <c r="I937" i="20"/>
  <c r="I936" i="20"/>
  <c r="I935" i="20"/>
  <c r="I933" i="20"/>
  <c r="I932" i="20"/>
  <c r="I930" i="20"/>
  <c r="I929" i="20"/>
  <c r="I928" i="20"/>
  <c r="I927" i="20"/>
  <c r="I925" i="20"/>
  <c r="I924" i="20"/>
  <c r="I915" i="20"/>
  <c r="M912" i="20"/>
  <c r="M911" i="20" s="1"/>
  <c r="M900" i="20" s="1"/>
  <c r="M807" i="20" s="1"/>
  <c r="I910" i="20"/>
  <c r="I909" i="20"/>
  <c r="I907" i="20"/>
  <c r="I906" i="20"/>
  <c r="I905" i="20"/>
  <c r="I902" i="20"/>
  <c r="I901" i="20"/>
  <c r="I896" i="20"/>
  <c r="I894" i="20" s="1"/>
  <c r="I891" i="20" s="1"/>
  <c r="I888" i="20"/>
  <c r="I885" i="20" s="1"/>
  <c r="I882" i="20" s="1"/>
  <c r="I878" i="20"/>
  <c r="I876" i="20" s="1"/>
  <c r="I873" i="20" s="1"/>
  <c r="I869" i="20"/>
  <c r="I867" i="20" s="1"/>
  <c r="I864" i="20" s="1"/>
  <c r="I861" i="20"/>
  <c r="I858" i="20" s="1"/>
  <c r="I855" i="20" s="1"/>
  <c r="I850" i="20"/>
  <c r="I849" i="20" s="1"/>
  <c r="I846" i="20" s="1"/>
  <c r="I845" i="20"/>
  <c r="I844" i="20"/>
  <c r="I841" i="20"/>
  <c r="I840" i="20"/>
  <c r="I837" i="20"/>
  <c r="I836" i="20"/>
  <c r="I835" i="20"/>
  <c r="I834" i="20"/>
  <c r="I831" i="20"/>
  <c r="I828" i="20"/>
  <c r="I827" i="20"/>
  <c r="I826" i="20"/>
  <c r="I824" i="20"/>
  <c r="I823" i="20"/>
  <c r="I820" i="20"/>
  <c r="I819" i="20"/>
  <c r="I808" i="20"/>
  <c r="I801" i="20"/>
  <c r="I800" i="20"/>
  <c r="I799" i="20"/>
  <c r="I798" i="20"/>
  <c r="I797" i="20"/>
  <c r="I793" i="20"/>
  <c r="I792" i="20"/>
  <c r="I790" i="20"/>
  <c r="I789" i="20"/>
  <c r="I781" i="20"/>
  <c r="I780" i="20"/>
  <c r="I774" i="20" s="1"/>
  <c r="I773" i="20"/>
  <c r="I772" i="20"/>
  <c r="I771" i="20"/>
  <c r="I770" i="20"/>
  <c r="I768" i="20"/>
  <c r="I767" i="20"/>
  <c r="I763" i="20"/>
  <c r="I762" i="20"/>
  <c r="M759" i="20"/>
  <c r="M758" i="20" s="1"/>
  <c r="M738" i="20" s="1"/>
  <c r="I757" i="20"/>
  <c r="I754" i="20"/>
  <c r="I751" i="20"/>
  <c r="I747" i="20"/>
  <c r="I744" i="20"/>
  <c r="I743" i="20"/>
  <c r="I742" i="20"/>
  <c r="I732" i="20"/>
  <c r="I731" i="20"/>
  <c r="I730" i="20"/>
  <c r="I728" i="20"/>
  <c r="I723" i="20"/>
  <c r="I722" i="20"/>
  <c r="I721" i="20"/>
  <c r="I719" i="20"/>
  <c r="I715" i="20"/>
  <c r="M711" i="20"/>
  <c r="I708" i="20"/>
  <c r="I705" i="20"/>
  <c r="I704" i="20"/>
  <c r="I699" i="20"/>
  <c r="I698" i="20"/>
  <c r="I694" i="20"/>
  <c r="I693" i="20"/>
  <c r="I690" i="20"/>
  <c r="I689" i="20"/>
  <c r="I687" i="20"/>
  <c r="I686" i="20"/>
  <c r="I684" i="20"/>
  <c r="I683" i="20"/>
  <c r="I682" i="20"/>
  <c r="I677" i="20"/>
  <c r="I676" i="20"/>
  <c r="I674" i="20"/>
  <c r="I673" i="20"/>
  <c r="I672" i="20"/>
  <c r="M665" i="20"/>
  <c r="M664" i="20" s="1"/>
  <c r="M645" i="20" s="1"/>
  <c r="I662" i="20"/>
  <c r="I661" i="20"/>
  <c r="I659" i="20"/>
  <c r="I658" i="20"/>
  <c r="I655" i="20"/>
  <c r="I654" i="20"/>
  <c r="I652" i="20"/>
  <c r="I651" i="20"/>
  <c r="I650" i="20"/>
  <c r="I649" i="20"/>
  <c r="I632" i="20"/>
  <c r="I622" i="20"/>
  <c r="I615" i="20"/>
  <c r="I607" i="20"/>
  <c r="I606" i="20"/>
  <c r="I596" i="20"/>
  <c r="I594" i="20" s="1"/>
  <c r="I591" i="20" s="1"/>
  <c r="I588" i="20"/>
  <c r="I587" i="20"/>
  <c r="I578" i="20"/>
  <c r="I576" i="20" s="1"/>
  <c r="I573" i="20" s="1"/>
  <c r="I569" i="20"/>
  <c r="I567" i="20" s="1"/>
  <c r="I564" i="20" s="1"/>
  <c r="I561" i="20"/>
  <c r="I559" i="20"/>
  <c r="I551" i="20"/>
  <c r="I550" i="20"/>
  <c r="I541" i="20"/>
  <c r="I539" i="20" s="1"/>
  <c r="I536" i="20" s="1"/>
  <c r="I530" i="20"/>
  <c r="I529" i="20"/>
  <c r="I517" i="20"/>
  <c r="I516" i="20"/>
  <c r="I507" i="20"/>
  <c r="I505" i="20" s="1"/>
  <c r="I502" i="20" s="1"/>
  <c r="I499" i="20"/>
  <c r="I498" i="20"/>
  <c r="I489" i="20"/>
  <c r="I487" i="20" s="1"/>
  <c r="I484" i="20" s="1"/>
  <c r="I478" i="20"/>
  <c r="I477" i="20"/>
  <c r="I465" i="20"/>
  <c r="I463" i="20" s="1"/>
  <c r="I460" i="20" s="1"/>
  <c r="I457" i="20"/>
  <c r="I452" i="20"/>
  <c r="I449" i="20" s="1"/>
  <c r="I446" i="20" s="1"/>
  <c r="I436" i="20"/>
  <c r="I435" i="20" s="1"/>
  <c r="B434" i="20"/>
  <c r="B435" i="20" s="1"/>
  <c r="B436" i="20" s="1"/>
  <c r="B437" i="20" s="1"/>
  <c r="B438" i="20" s="1"/>
  <c r="B439" i="20" s="1"/>
  <c r="B440" i="20" s="1"/>
  <c r="B441" i="20" s="1"/>
  <c r="B442" i="20" s="1"/>
  <c r="B443" i="20" s="1"/>
  <c r="B444" i="20" s="1"/>
  <c r="B445" i="20" s="1"/>
  <c r="M405" i="20"/>
  <c r="M384" i="20"/>
  <c r="M372" i="20" s="1"/>
  <c r="M368" i="20"/>
  <c r="I365" i="20"/>
  <c r="I362" i="20" s="1"/>
  <c r="I361" i="20" s="1"/>
  <c r="I360" i="20"/>
  <c r="I359" i="20"/>
  <c r="I357" i="20"/>
  <c r="I356" i="20"/>
  <c r="I355" i="20"/>
  <c r="I344" i="20"/>
  <c r="M339" i="20"/>
  <c r="M338" i="20" s="1"/>
  <c r="M334" i="20" s="1"/>
  <c r="I335" i="20"/>
  <c r="I334" i="20" s="1"/>
  <c r="B334" i="20"/>
  <c r="B335" i="20" s="1"/>
  <c r="B336" i="20" s="1"/>
  <c r="B337" i="20" s="1"/>
  <c r="B338" i="20" s="1"/>
  <c r="B339" i="20" s="1"/>
  <c r="B340" i="20" s="1"/>
  <c r="B341" i="20" s="1"/>
  <c r="B342" i="20" s="1"/>
  <c r="B343" i="20" s="1"/>
  <c r="B344" i="20" s="1"/>
  <c r="B345" i="20" s="1"/>
  <c r="B346" i="20" s="1"/>
  <c r="B347" i="20" s="1"/>
  <c r="B348" i="20" s="1"/>
  <c r="B349" i="20" s="1"/>
  <c r="B350" i="20" s="1"/>
  <c r="B351" i="20" s="1"/>
  <c r="B352" i="20" s="1"/>
  <c r="I318" i="20"/>
  <c r="I315" i="20"/>
  <c r="I312" i="20" s="1"/>
  <c r="I311" i="20" s="1"/>
  <c r="M309" i="20"/>
  <c r="M308" i="20" s="1"/>
  <c r="I306" i="20"/>
  <c r="I305" i="20" s="1"/>
  <c r="I295" i="20"/>
  <c r="I292" i="20" s="1"/>
  <c r="I283" i="20" s="1"/>
  <c r="M291" i="20"/>
  <c r="M290" i="20" s="1"/>
  <c r="M281" i="20"/>
  <c r="M280" i="20" s="1"/>
  <c r="M268" i="20" s="1"/>
  <c r="I279" i="20"/>
  <c r="I278" i="20"/>
  <c r="I276" i="20"/>
  <c r="I275" i="20"/>
  <c r="I272" i="20"/>
  <c r="I270" i="20"/>
  <c r="I269" i="20"/>
  <c r="B268" i="20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B281" i="20" s="1"/>
  <c r="B282" i="20" s="1"/>
  <c r="B283" i="20" s="1"/>
  <c r="B284" i="20" s="1"/>
  <c r="I255" i="20"/>
  <c r="I254" i="20" s="1"/>
  <c r="I253" i="20" s="1"/>
  <c r="M248" i="20"/>
  <c r="I242" i="20"/>
  <c r="I241" i="20" s="1"/>
  <c r="I240" i="20"/>
  <c r="I238" i="20"/>
  <c r="I237" i="20"/>
  <c r="I236" i="20"/>
  <c r="M228" i="20"/>
  <c r="M227" i="20" s="1"/>
  <c r="M218" i="20" s="1"/>
  <c r="M217" i="20" s="1"/>
  <c r="I226" i="20"/>
  <c r="I223" i="20"/>
  <c r="I222" i="20"/>
  <c r="I211" i="20"/>
  <c r="I208" i="20" s="1"/>
  <c r="I206" i="20"/>
  <c r="I202" i="20"/>
  <c r="J202" i="20" s="1"/>
  <c r="K202" i="20" s="1"/>
  <c r="I200" i="20"/>
  <c r="I199" i="20"/>
  <c r="I195" i="20"/>
  <c r="I192" i="20" s="1"/>
  <c r="B192" i="20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B233" i="20" s="1"/>
  <c r="B234" i="20" s="1"/>
  <c r="B235" i="20" s="1"/>
  <c r="B236" i="20" s="1"/>
  <c r="I179" i="20"/>
  <c r="I178" i="20"/>
  <c r="M174" i="20"/>
  <c r="M172" i="20"/>
  <c r="I165" i="20"/>
  <c r="I164" i="20" s="1"/>
  <c r="I162" i="20"/>
  <c r="I160" i="20"/>
  <c r="I151" i="20"/>
  <c r="I146" i="20"/>
  <c r="M137" i="20"/>
  <c r="M133" i="20" s="1"/>
  <c r="I124" i="20"/>
  <c r="I123" i="20" s="1"/>
  <c r="M119" i="20"/>
  <c r="M115" i="20" s="1"/>
  <c r="I117" i="20"/>
  <c r="I116" i="20" s="1"/>
  <c r="I115" i="20" s="1"/>
  <c r="M113" i="20"/>
  <c r="M112" i="20" s="1"/>
  <c r="M108" i="20" s="1"/>
  <c r="I109" i="20"/>
  <c r="I108" i="20" s="1"/>
  <c r="I106" i="20"/>
  <c r="I105" i="20" s="1"/>
  <c r="I102" i="20"/>
  <c r="I101" i="20" s="1"/>
  <c r="B101" i="20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I89" i="20"/>
  <c r="I87" i="20"/>
  <c r="I84" i="20"/>
  <c r="I82" i="20"/>
  <c r="I81" i="20" s="1"/>
  <c r="I79" i="20"/>
  <c r="B78" i="20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I65" i="20"/>
  <c r="I64" i="20" s="1"/>
  <c r="I62" i="20"/>
  <c r="I59" i="20"/>
  <c r="I58" i="20" s="1"/>
  <c r="M48" i="20"/>
  <c r="I44" i="20"/>
  <c r="I43" i="20" s="1"/>
  <c r="I42" i="20" s="1"/>
  <c r="M36" i="20"/>
  <c r="I34" i="20"/>
  <c r="I30" i="20" s="1"/>
  <c r="I29" i="20" s="1"/>
  <c r="I24" i="20"/>
  <c r="I22" i="20" s="1"/>
  <c r="I20" i="20"/>
  <c r="I19" i="20" s="1"/>
  <c r="I17" i="20"/>
  <c r="I16" i="20" s="1"/>
  <c r="I10" i="20"/>
  <c r="I9" i="20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I293" i="19"/>
  <c r="I292" i="19" s="1"/>
  <c r="I291" i="19" s="1"/>
  <c r="I290" i="19" s="1"/>
  <c r="G293" i="19"/>
  <c r="G292" i="19" s="1"/>
  <c r="G291" i="19" s="1"/>
  <c r="G290" i="19" s="1"/>
  <c r="E162" i="19"/>
  <c r="E84" i="19"/>
  <c r="E83" i="19" s="1"/>
  <c r="E53" i="19"/>
  <c r="G53" i="19" s="1"/>
  <c r="I53" i="19" s="1"/>
  <c r="E51" i="19"/>
  <c r="E50" i="19" s="1"/>
  <c r="E49" i="19"/>
  <c r="G49" i="19" s="1"/>
  <c r="I49" i="19" s="1"/>
  <c r="E48" i="19"/>
  <c r="E46" i="19"/>
  <c r="G46" i="19" s="1"/>
  <c r="E43" i="19"/>
  <c r="G43" i="19" s="1"/>
  <c r="I43" i="19" s="1"/>
  <c r="I42" i="19" s="1"/>
  <c r="I41" i="19" s="1"/>
  <c r="E39" i="19"/>
  <c r="E40" i="19"/>
  <c r="E37" i="19"/>
  <c r="E35" i="19" s="1"/>
  <c r="E36" i="19"/>
  <c r="E34" i="19"/>
  <c r="E29" i="19"/>
  <c r="E30" i="19"/>
  <c r="E31" i="19"/>
  <c r="E32" i="19"/>
  <c r="E33" i="19"/>
  <c r="E28" i="19"/>
  <c r="E25" i="19"/>
  <c r="G25" i="19" s="1"/>
  <c r="E26" i="19"/>
  <c r="E24" i="19"/>
  <c r="G24" i="19" s="1"/>
  <c r="I24" i="19" s="1"/>
  <c r="E18" i="19"/>
  <c r="E19" i="19"/>
  <c r="G19" i="19" s="1"/>
  <c r="I19" i="19" s="1"/>
  <c r="E20" i="19"/>
  <c r="E17" i="19"/>
  <c r="G17" i="19" s="1"/>
  <c r="E14" i="19"/>
  <c r="E15" i="19"/>
  <c r="E13" i="19"/>
  <c r="E10" i="19"/>
  <c r="E9" i="19" s="1"/>
  <c r="I271" i="19"/>
  <c r="I270" i="19" s="1"/>
  <c r="I38" i="19"/>
  <c r="I35" i="19"/>
  <c r="I27" i="19"/>
  <c r="I9" i="19"/>
  <c r="G274" i="19"/>
  <c r="G273" i="19" s="1"/>
  <c r="G271" i="19"/>
  <c r="G270" i="19" s="1"/>
  <c r="G236" i="19"/>
  <c r="G184" i="19"/>
  <c r="G76" i="19"/>
  <c r="G66" i="19"/>
  <c r="G56" i="19"/>
  <c r="G50" i="19"/>
  <c r="G38" i="19"/>
  <c r="G35" i="19"/>
  <c r="G27" i="19"/>
  <c r="G9" i="19"/>
  <c r="E293" i="19"/>
  <c r="E292" i="19" s="1"/>
  <c r="E291" i="19" s="1"/>
  <c r="E290" i="19" s="1"/>
  <c r="E285" i="19"/>
  <c r="E284" i="19" s="1"/>
  <c r="E283" i="19" s="1"/>
  <c r="B284" i="19"/>
  <c r="B285" i="19" s="1"/>
  <c r="B286" i="19" s="1"/>
  <c r="B287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E274" i="19"/>
  <c r="E273" i="19" s="1"/>
  <c r="E271" i="19"/>
  <c r="E270" i="19" s="1"/>
  <c r="E268" i="19"/>
  <c r="E267" i="19" s="1"/>
  <c r="E258" i="19"/>
  <c r="E253" i="19"/>
  <c r="E250" i="19" s="1"/>
  <c r="E246" i="19"/>
  <c r="G246" i="19" s="1"/>
  <c r="E243" i="19"/>
  <c r="E241" i="19"/>
  <c r="G241" i="19" s="1"/>
  <c r="I241" i="19" s="1"/>
  <c r="E240" i="19"/>
  <c r="G240" i="19" s="1"/>
  <c r="E236" i="19"/>
  <c r="E234" i="19"/>
  <c r="G234" i="19" s="1"/>
  <c r="I234" i="19" s="1"/>
  <c r="E233" i="19"/>
  <c r="G233" i="19" s="1"/>
  <c r="E229" i="19"/>
  <c r="E227" i="19"/>
  <c r="G227" i="19" s="1"/>
  <c r="I227" i="19" s="1"/>
  <c r="E226" i="19"/>
  <c r="G226" i="19" s="1"/>
  <c r="E223" i="19"/>
  <c r="G223" i="19" s="1"/>
  <c r="E220" i="19"/>
  <c r="G220" i="19" s="1"/>
  <c r="I220" i="19" s="1"/>
  <c r="E219" i="19"/>
  <c r="G219" i="19" s="1"/>
  <c r="E215" i="19"/>
  <c r="E213" i="19"/>
  <c r="G213" i="19" s="1"/>
  <c r="I213" i="19" s="1"/>
  <c r="E212" i="19"/>
  <c r="G212" i="19" s="1"/>
  <c r="I212" i="19" s="1"/>
  <c r="E211" i="19"/>
  <c r="G211" i="19" s="1"/>
  <c r="E208" i="19"/>
  <c r="E206" i="19"/>
  <c r="G206" i="19" s="1"/>
  <c r="E204" i="19"/>
  <c r="G204" i="19" s="1"/>
  <c r="E201" i="19"/>
  <c r="G201" i="19" s="1"/>
  <c r="I201" i="19" s="1"/>
  <c r="E200" i="19"/>
  <c r="G200" i="19" s="1"/>
  <c r="E196" i="19"/>
  <c r="E193" i="19"/>
  <c r="E192" i="19"/>
  <c r="G192" i="19" s="1"/>
  <c r="I192" i="19" s="1"/>
  <c r="E191" i="19"/>
  <c r="G191" i="19" s="1"/>
  <c r="E187" i="19"/>
  <c r="E184" i="19"/>
  <c r="E181" i="19"/>
  <c r="E176" i="19"/>
  <c r="E170" i="19"/>
  <c r="E164" i="19"/>
  <c r="E160" i="19"/>
  <c r="E158" i="19"/>
  <c r="E153" i="19"/>
  <c r="E150" i="19"/>
  <c r="E147" i="19"/>
  <c r="G147" i="19" s="1"/>
  <c r="I147" i="19" s="1"/>
  <c r="E144" i="19"/>
  <c r="G144" i="19" s="1"/>
  <c r="E141" i="19"/>
  <c r="E139" i="19"/>
  <c r="E136" i="19"/>
  <c r="G136" i="19" s="1"/>
  <c r="I136" i="19" s="1"/>
  <c r="E132" i="19"/>
  <c r="G132" i="19" s="1"/>
  <c r="E128" i="19"/>
  <c r="G128" i="19" s="1"/>
  <c r="E124" i="19"/>
  <c r="G124" i="19" s="1"/>
  <c r="E120" i="19"/>
  <c r="G120" i="19" s="1"/>
  <c r="I120" i="19" s="1"/>
  <c r="E116" i="19"/>
  <c r="G116" i="19" s="1"/>
  <c r="E112" i="19"/>
  <c r="G112" i="19" s="1"/>
  <c r="E108" i="19"/>
  <c r="G108" i="19" s="1"/>
  <c r="E104" i="19"/>
  <c r="G104" i="19" s="1"/>
  <c r="E100" i="19"/>
  <c r="G100" i="19" s="1"/>
  <c r="I100" i="19" s="1"/>
  <c r="E96" i="19"/>
  <c r="G96" i="19" s="1"/>
  <c r="I96" i="19" s="1"/>
  <c r="E92" i="19"/>
  <c r="G92" i="19" s="1"/>
  <c r="E88" i="19"/>
  <c r="G88" i="19" s="1"/>
  <c r="E80" i="19"/>
  <c r="E76" i="19"/>
  <c r="E74" i="19"/>
  <c r="E71" i="19"/>
  <c r="E69" i="19"/>
  <c r="E66" i="19"/>
  <c r="E63" i="19"/>
  <c r="E59" i="19"/>
  <c r="E56" i="19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E7" i="13"/>
  <c r="O519" i="14"/>
  <c r="O498" i="14" s="1"/>
  <c r="U498" i="14" s="1"/>
  <c r="O1060" i="14"/>
  <c r="O1057" i="14" s="1"/>
  <c r="O2036" i="14"/>
  <c r="U2036" i="14" s="1"/>
  <c r="P2036" i="14"/>
  <c r="O2001" i="14"/>
  <c r="U2001" i="14" s="1"/>
  <c r="U1798" i="14"/>
  <c r="O453" i="14"/>
  <c r="O450" i="14" s="1"/>
  <c r="O444" i="14" s="1"/>
  <c r="O310" i="14"/>
  <c r="U310" i="14" s="1"/>
  <c r="O360" i="14"/>
  <c r="O355" i="14" s="1"/>
  <c r="O343" i="14" s="1"/>
  <c r="I2012" i="14"/>
  <c r="I2009" i="14" s="1"/>
  <c r="R2036" i="14"/>
  <c r="U2153" i="14"/>
  <c r="U2117" i="14"/>
  <c r="U2081" i="14"/>
  <c r="U2080" i="14"/>
  <c r="U2079" i="14"/>
  <c r="U2078" i="14"/>
  <c r="U2077" i="14"/>
  <c r="U2076" i="14"/>
  <c r="U2075" i="14"/>
  <c r="U2074" i="14"/>
  <c r="I2033" i="14"/>
  <c r="U2033" i="14" s="1"/>
  <c r="U2007" i="14"/>
  <c r="U1993" i="14"/>
  <c r="U1994" i="14"/>
  <c r="U1685" i="14"/>
  <c r="U1194" i="14"/>
  <c r="U1105" i="14"/>
  <c r="U1106" i="14"/>
  <c r="U1095" i="14"/>
  <c r="U1000" i="14"/>
  <c r="U999" i="14"/>
  <c r="U997" i="14"/>
  <c r="U996" i="14"/>
  <c r="U995" i="14"/>
  <c r="U643" i="14"/>
  <c r="U644" i="14"/>
  <c r="U645" i="14"/>
  <c r="U646" i="14"/>
  <c r="U647" i="14"/>
  <c r="U648" i="14"/>
  <c r="U649" i="14"/>
  <c r="U651" i="14"/>
  <c r="U652" i="14"/>
  <c r="U653" i="14"/>
  <c r="U654" i="14"/>
  <c r="U657" i="14"/>
  <c r="U658" i="14"/>
  <c r="U659" i="14"/>
  <c r="U660" i="14"/>
  <c r="U661" i="14"/>
  <c r="U662" i="14"/>
  <c r="U663" i="14"/>
  <c r="U664" i="14"/>
  <c r="U171" i="14"/>
  <c r="U50" i="14"/>
  <c r="U204" i="14"/>
  <c r="I2228" i="14"/>
  <c r="I2267" i="14"/>
  <c r="U2267" i="14" s="1"/>
  <c r="Q2383" i="14"/>
  <c r="Q2382" i="14" s="1"/>
  <c r="Q2373" i="14" s="1"/>
  <c r="Q2324" i="14"/>
  <c r="Q2237" i="14"/>
  <c r="Q2186" i="14"/>
  <c r="Q2185" i="14" s="1"/>
  <c r="Q2176" i="14" s="1"/>
  <c r="Q2169" i="14" s="1"/>
  <c r="Q2168" i="14" s="1"/>
  <c r="Q2094" i="14"/>
  <c r="Q2076" i="14"/>
  <c r="Q2074" i="14"/>
  <c r="K2115" i="14"/>
  <c r="Q2003" i="14"/>
  <c r="Q1988" i="14"/>
  <c r="Q1521" i="14"/>
  <c r="Q1520" i="14" s="1"/>
  <c r="Q1500" i="14" s="1"/>
  <c r="Q1549" i="14"/>
  <c r="Q1548" i="14" s="1"/>
  <c r="Q1527" i="14" s="1"/>
  <c r="Q1572" i="14"/>
  <c r="Q1618" i="14"/>
  <c r="Q1617" i="14" s="1"/>
  <c r="Q1598" i="14" s="1"/>
  <c r="Q1475" i="14"/>
  <c r="Q1474" i="14" s="1"/>
  <c r="Q1456" i="14" s="1"/>
  <c r="Q1192" i="14"/>
  <c r="Q1191" i="14" s="1"/>
  <c r="Q1190" i="14" s="1"/>
  <c r="Q1170" i="14" s="1"/>
  <c r="Q1135" i="14"/>
  <c r="Q1093" i="14"/>
  <c r="Q1060" i="14"/>
  <c r="Q995" i="14"/>
  <c r="Q404" i="14"/>
  <c r="Q403" i="14" s="1"/>
  <c r="Q400" i="14" s="1"/>
  <c r="Q202" i="14"/>
  <c r="Q48" i="14"/>
  <c r="H512" i="13"/>
  <c r="H308" i="13"/>
  <c r="H277" i="13"/>
  <c r="H120" i="13"/>
  <c r="E89" i="13"/>
  <c r="F89" i="13"/>
  <c r="G89" i="13"/>
  <c r="G88" i="13"/>
  <c r="I89" i="13"/>
  <c r="J89" i="13"/>
  <c r="H89" i="13"/>
  <c r="H88" i="13"/>
  <c r="P28" i="15"/>
  <c r="O63" i="14"/>
  <c r="O62" i="14" s="1"/>
  <c r="U62" i="14" s="1"/>
  <c r="S1062" i="14"/>
  <c r="L2424" i="14"/>
  <c r="L2421" i="14" s="1"/>
  <c r="K2424" i="14"/>
  <c r="K2421" i="14" s="1"/>
  <c r="J2424" i="14"/>
  <c r="J2421" i="14" s="1"/>
  <c r="O2383" i="14"/>
  <c r="U2384" i="14"/>
  <c r="O2348" i="14"/>
  <c r="U2348" i="14" s="1"/>
  <c r="U2347" i="14"/>
  <c r="O2346" i="14"/>
  <c r="U2346" i="14" s="1"/>
  <c r="O2151" i="14"/>
  <c r="U2151" i="14" s="1"/>
  <c r="U2152" i="14"/>
  <c r="S2107" i="14"/>
  <c r="S2106" i="14" s="1"/>
  <c r="S2103" i="14" s="1"/>
  <c r="U2118" i="14"/>
  <c r="L2055" i="14"/>
  <c r="L2052" i="14" s="1"/>
  <c r="K2055" i="14"/>
  <c r="K2052" i="14" s="1"/>
  <c r="J2055" i="14"/>
  <c r="J2052" i="14" s="1"/>
  <c r="S2043" i="14"/>
  <c r="S2036" i="14"/>
  <c r="R2043" i="14"/>
  <c r="O1988" i="14"/>
  <c r="S1953" i="14"/>
  <c r="Q1884" i="14"/>
  <c r="M1791" i="14"/>
  <c r="M1790" i="14" s="1"/>
  <c r="M1789" i="14" s="1"/>
  <c r="L1791" i="14"/>
  <c r="L1790" i="14" s="1"/>
  <c r="L1789" i="14" s="1"/>
  <c r="K1791" i="14"/>
  <c r="K1790" i="14" s="1"/>
  <c r="K1789" i="14" s="1"/>
  <c r="J1791" i="14"/>
  <c r="J1790" i="14" s="1"/>
  <c r="J1789" i="14" s="1"/>
  <c r="I1791" i="14"/>
  <c r="I1790" i="14" s="1"/>
  <c r="U1790" i="14" s="1"/>
  <c r="U1716" i="14"/>
  <c r="O1714" i="14"/>
  <c r="O1713" i="14" s="1"/>
  <c r="O1707" i="14" s="1"/>
  <c r="U1773" i="14"/>
  <c r="J1637" i="14"/>
  <c r="J1636" i="14" s="1"/>
  <c r="I1637" i="14"/>
  <c r="U1637" i="14" s="1"/>
  <c r="O1319" i="14"/>
  <c r="O1318" i="14" s="1"/>
  <c r="U1321" i="14"/>
  <c r="U1322" i="14"/>
  <c r="U1323" i="14"/>
  <c r="K1142" i="14"/>
  <c r="J1142" i="14"/>
  <c r="K458" i="14"/>
  <c r="R998" i="14"/>
  <c r="R994" i="14" s="1"/>
  <c r="R974" i="14" s="1"/>
  <c r="Q998" i="14"/>
  <c r="P998" i="14"/>
  <c r="P994" i="14" s="1"/>
  <c r="P974" i="14" s="1"/>
  <c r="M977" i="14"/>
  <c r="L977" i="14"/>
  <c r="K977" i="14"/>
  <c r="J977" i="14"/>
  <c r="Q819" i="14"/>
  <c r="Q816" i="14" s="1"/>
  <c r="Q806" i="14" s="1"/>
  <c r="P819" i="14"/>
  <c r="P816" i="14" s="1"/>
  <c r="P806" i="14" s="1"/>
  <c r="Q761" i="14"/>
  <c r="Q760" i="14" s="1"/>
  <c r="Q751" i="14" s="1"/>
  <c r="R492" i="14"/>
  <c r="Q477" i="14"/>
  <c r="Q476" i="14" s="1"/>
  <c r="Q465" i="14" s="1"/>
  <c r="U461" i="14"/>
  <c r="O1135" i="14"/>
  <c r="U1135" i="14" s="1"/>
  <c r="U665" i="14"/>
  <c r="U666" i="14"/>
  <c r="U667" i="14"/>
  <c r="U668" i="14"/>
  <c r="U553" i="14"/>
  <c r="U554" i="14"/>
  <c r="O490" i="14"/>
  <c r="O487" i="14" s="1"/>
  <c r="O480" i="14" s="1"/>
  <c r="O456" i="14" s="1"/>
  <c r="U491" i="14"/>
  <c r="J458" i="14"/>
  <c r="O404" i="14"/>
  <c r="O403" i="14" s="1"/>
  <c r="O316" i="14"/>
  <c r="O288" i="14"/>
  <c r="O287" i="14" s="1"/>
  <c r="U287" i="14" s="1"/>
  <c r="U289" i="14"/>
  <c r="Q288" i="14"/>
  <c r="P288" i="14"/>
  <c r="U183" i="14"/>
  <c r="U184" i="14"/>
  <c r="S139" i="14"/>
  <c r="S138" i="14" s="1"/>
  <c r="S134" i="14" s="1"/>
  <c r="R139" i="14"/>
  <c r="R138" i="14" s="1"/>
  <c r="R134" i="14" s="1"/>
  <c r="Q139" i="14"/>
  <c r="Q138" i="14" s="1"/>
  <c r="Q134" i="14" s="1"/>
  <c r="P139" i="14"/>
  <c r="P138" i="14" s="1"/>
  <c r="P134" i="14" s="1"/>
  <c r="O139" i="14"/>
  <c r="U139" i="14" s="1"/>
  <c r="O40" i="14"/>
  <c r="U42" i="14"/>
  <c r="U2212" i="14"/>
  <c r="I2115" i="14"/>
  <c r="K2012" i="14"/>
  <c r="K2009" i="14" s="1"/>
  <c r="I1674" i="14"/>
  <c r="I1673" i="14" s="1"/>
  <c r="U1673" i="14" s="1"/>
  <c r="I2069" i="14"/>
  <c r="U2069" i="14" s="1"/>
  <c r="I472" i="14"/>
  <c r="I38" i="14"/>
  <c r="I34" i="14" s="1"/>
  <c r="U34" i="14" s="1"/>
  <c r="U1842" i="14"/>
  <c r="U1843" i="14"/>
  <c r="U1844" i="14"/>
  <c r="U1845" i="14"/>
  <c r="U1846" i="14"/>
  <c r="U1847" i="14"/>
  <c r="U1848" i="14"/>
  <c r="U1849" i="14"/>
  <c r="U1850" i="14"/>
  <c r="U1851" i="14"/>
  <c r="U1852" i="14"/>
  <c r="U1853" i="14"/>
  <c r="U1854" i="14"/>
  <c r="U1855" i="14"/>
  <c r="U1856" i="14"/>
  <c r="U1857" i="14"/>
  <c r="U1858" i="14"/>
  <c r="U1859" i="14"/>
  <c r="U1830" i="14"/>
  <c r="U1831" i="14"/>
  <c r="U1832" i="14"/>
  <c r="U1833" i="14"/>
  <c r="U1834" i="14"/>
  <c r="U1836" i="14"/>
  <c r="U1837" i="14"/>
  <c r="U1838" i="14"/>
  <c r="U1839" i="14"/>
  <c r="U1840" i="14"/>
  <c r="U1841" i="14"/>
  <c r="O2173" i="14"/>
  <c r="O2170" i="14" s="1"/>
  <c r="O2169" i="14" s="1"/>
  <c r="O2168" i="14" s="1"/>
  <c r="L192" i="14"/>
  <c r="K192" i="14"/>
  <c r="J192" i="14"/>
  <c r="I192" i="14"/>
  <c r="U192" i="14" s="1"/>
  <c r="S146" i="14"/>
  <c r="S145" i="14" s="1"/>
  <c r="S141" i="14" s="1"/>
  <c r="R146" i="14"/>
  <c r="R145" i="14" s="1"/>
  <c r="R141" i="14" s="1"/>
  <c r="P146" i="14"/>
  <c r="P145" i="14" s="1"/>
  <c r="P141" i="14" s="1"/>
  <c r="Q62" i="14"/>
  <c r="P62" i="14"/>
  <c r="Q59" i="14"/>
  <c r="L23" i="14"/>
  <c r="L22" i="14" s="1"/>
  <c r="M23" i="14"/>
  <c r="M22" i="14" s="1"/>
  <c r="K23" i="14"/>
  <c r="K22" i="14" s="1"/>
  <c r="J23" i="14"/>
  <c r="J22" i="14" s="1"/>
  <c r="I23" i="14"/>
  <c r="U23" i="14" s="1"/>
  <c r="J440" i="13"/>
  <c r="H440" i="13"/>
  <c r="G440" i="13"/>
  <c r="H373" i="13"/>
  <c r="G373" i="13"/>
  <c r="E373" i="13"/>
  <c r="E372" i="13"/>
  <c r="J359" i="13"/>
  <c r="H359" i="13"/>
  <c r="G359" i="13"/>
  <c r="J277" i="13"/>
  <c r="G277" i="13"/>
  <c r="E277" i="13"/>
  <c r="I1316" i="14"/>
  <c r="U1316" i="14" s="1"/>
  <c r="I1313" i="14"/>
  <c r="U1313" i="14" s="1"/>
  <c r="I1312" i="14"/>
  <c r="I1303" i="14"/>
  <c r="I1301" i="14" s="1"/>
  <c r="U1301" i="14" s="1"/>
  <c r="I1295" i="14"/>
  <c r="U1295" i="14" s="1"/>
  <c r="I1285" i="14"/>
  <c r="U1285" i="14" s="1"/>
  <c r="I1276" i="14"/>
  <c r="I1268" i="14"/>
  <c r="U1268" i="14" s="1"/>
  <c r="I1257" i="14"/>
  <c r="U1257" i="14" s="1"/>
  <c r="I1249" i="14"/>
  <c r="U1249" i="14" s="1"/>
  <c r="I1240" i="14"/>
  <c r="U1240" i="14" s="1"/>
  <c r="I1239" i="14"/>
  <c r="U1239" i="14" s="1"/>
  <c r="I1221" i="14"/>
  <c r="U1221" i="14" s="1"/>
  <c r="I1217" i="14"/>
  <c r="O1948" i="14"/>
  <c r="U1948" i="14" s="1"/>
  <c r="U1953" i="14"/>
  <c r="O2003" i="14"/>
  <c r="U2003" i="14" s="1"/>
  <c r="O1823" i="14"/>
  <c r="O1794" i="14" s="1"/>
  <c r="O1745" i="14"/>
  <c r="O1737" i="14" s="1"/>
  <c r="O998" i="14"/>
  <c r="U998" i="14" s="1"/>
  <c r="O2043" i="14"/>
  <c r="O382" i="14"/>
  <c r="U382" i="14" s="1"/>
  <c r="U366" i="14"/>
  <c r="P38" i="15"/>
  <c r="E443" i="13"/>
  <c r="I911" i="14"/>
  <c r="U911" i="14" s="1"/>
  <c r="I910" i="14"/>
  <c r="U910" i="14" s="1"/>
  <c r="I899" i="14"/>
  <c r="U899" i="14" s="1"/>
  <c r="I887" i="14"/>
  <c r="U887" i="14" s="1"/>
  <c r="I886" i="14"/>
  <c r="U886" i="14" s="1"/>
  <c r="I877" i="14"/>
  <c r="I875" i="14" s="1"/>
  <c r="I865" i="14"/>
  <c r="I862" i="14" s="1"/>
  <c r="I853" i="14"/>
  <c r="U853" i="14" s="1"/>
  <c r="I851" i="14"/>
  <c r="U851" i="14" s="1"/>
  <c r="I842" i="14"/>
  <c r="U842" i="14" s="1"/>
  <c r="I841" i="14"/>
  <c r="U841" i="14" s="1"/>
  <c r="I730" i="14"/>
  <c r="I728" i="14" s="1"/>
  <c r="I828" i="14"/>
  <c r="U828" i="14" s="1"/>
  <c r="I813" i="14"/>
  <c r="U813" i="14" s="1"/>
  <c r="I812" i="14"/>
  <c r="U812" i="14" s="1"/>
  <c r="I797" i="14"/>
  <c r="U797" i="14" s="1"/>
  <c r="I795" i="14"/>
  <c r="U795" i="14" s="1"/>
  <c r="I779" i="14"/>
  <c r="I771" i="14"/>
  <c r="U771" i="14" s="1"/>
  <c r="I770" i="14"/>
  <c r="U770" i="14" s="1"/>
  <c r="I756" i="14"/>
  <c r="I754" i="14" s="1"/>
  <c r="U754" i="14" s="1"/>
  <c r="I745" i="14"/>
  <c r="U745" i="14" s="1"/>
  <c r="I744" i="14"/>
  <c r="U744" i="14" s="1"/>
  <c r="I706" i="14"/>
  <c r="I1973" i="14"/>
  <c r="U1973" i="14" s="1"/>
  <c r="E313" i="13"/>
  <c r="E308" i="13"/>
  <c r="U698" i="14"/>
  <c r="E286" i="13"/>
  <c r="E285" i="13"/>
  <c r="E276" i="13"/>
  <c r="E275" i="13"/>
  <c r="E258" i="13"/>
  <c r="E257" i="13"/>
  <c r="E267" i="13"/>
  <c r="E266" i="13"/>
  <c r="E248" i="13"/>
  <c r="E247" i="13"/>
  <c r="E239" i="13"/>
  <c r="E238" i="13"/>
  <c r="E232" i="13"/>
  <c r="E231" i="13"/>
  <c r="E222" i="13"/>
  <c r="E221" i="13"/>
  <c r="E48" i="13"/>
  <c r="E47" i="13"/>
  <c r="E46" i="13"/>
  <c r="E293" i="13"/>
  <c r="E292" i="13"/>
  <c r="E146" i="13"/>
  <c r="E145" i="13"/>
  <c r="E142" i="13"/>
  <c r="E141" i="13"/>
  <c r="E138" i="13"/>
  <c r="E137" i="13"/>
  <c r="E134" i="13"/>
  <c r="E133" i="13"/>
  <c r="E130" i="13"/>
  <c r="E129" i="13"/>
  <c r="E126" i="13"/>
  <c r="E125" i="13"/>
  <c r="E121" i="13"/>
  <c r="E120" i="13"/>
  <c r="E157" i="13"/>
  <c r="E156" i="13"/>
  <c r="E116" i="13"/>
  <c r="E115" i="13"/>
  <c r="E112" i="13"/>
  <c r="E111" i="13"/>
  <c r="E108" i="13"/>
  <c r="E107" i="13"/>
  <c r="E104" i="13"/>
  <c r="E103" i="13"/>
  <c r="E100" i="13"/>
  <c r="E99" i="13"/>
  <c r="E96" i="13"/>
  <c r="E95" i="13"/>
  <c r="I353" i="14"/>
  <c r="U353" i="14" s="1"/>
  <c r="I350" i="14"/>
  <c r="U350" i="14" s="1"/>
  <c r="I234" i="14"/>
  <c r="U234" i="14" s="1"/>
  <c r="I233" i="14"/>
  <c r="U233" i="14" s="1"/>
  <c r="I484" i="14"/>
  <c r="I481" i="14" s="1"/>
  <c r="I480" i="14" s="1"/>
  <c r="I351" i="14"/>
  <c r="U351" i="14" s="1"/>
  <c r="U2420" i="14"/>
  <c r="U2416" i="14"/>
  <c r="U2414" i="14"/>
  <c r="U2413" i="14"/>
  <c r="U2412" i="14"/>
  <c r="U2395" i="14"/>
  <c r="U2394" i="14"/>
  <c r="U2393" i="14"/>
  <c r="U2392" i="14"/>
  <c r="U2391" i="14"/>
  <c r="U2390" i="14"/>
  <c r="U2371" i="14"/>
  <c r="U2369" i="14"/>
  <c r="U2362" i="14"/>
  <c r="U2361" i="14"/>
  <c r="U2360" i="14"/>
  <c r="U2358" i="14"/>
  <c r="U2357" i="14"/>
  <c r="U2351" i="14"/>
  <c r="U2350" i="14"/>
  <c r="U2349" i="14"/>
  <c r="U2345" i="14"/>
  <c r="U2344" i="14"/>
  <c r="U2343" i="14"/>
  <c r="U2340" i="14"/>
  <c r="U2339" i="14"/>
  <c r="U2338" i="14"/>
  <c r="U2337" i="14"/>
  <c r="U2336" i="14"/>
  <c r="U2335" i="14"/>
  <c r="U2334" i="14"/>
  <c r="U2333" i="14"/>
  <c r="U2328" i="14"/>
  <c r="U2327" i="14"/>
  <c r="U2326" i="14"/>
  <c r="U2323" i="14"/>
  <c r="U2322" i="14"/>
  <c r="U2321" i="14"/>
  <c r="U2320" i="14"/>
  <c r="U2319" i="14"/>
  <c r="U2318" i="14"/>
  <c r="U2317" i="14"/>
  <c r="U2316" i="14"/>
  <c r="U2315" i="14"/>
  <c r="U2314" i="14"/>
  <c r="U2312" i="14"/>
  <c r="U2311" i="14"/>
  <c r="U2310" i="14"/>
  <c r="U2309" i="14"/>
  <c r="U2308" i="14"/>
  <c r="U2307" i="14"/>
  <c r="U2306" i="14"/>
  <c r="U2305" i="14"/>
  <c r="U2290" i="14"/>
  <c r="U2289" i="14"/>
  <c r="U2288" i="14"/>
  <c r="U2287" i="14"/>
  <c r="U2286" i="14"/>
  <c r="U2285" i="14"/>
  <c r="U2284" i="14"/>
  <c r="U2282" i="14"/>
  <c r="U2281" i="14"/>
  <c r="U2279" i="14"/>
  <c r="U2278" i="14"/>
  <c r="U2275" i="14"/>
  <c r="U2274" i="14"/>
  <c r="U2273" i="14"/>
  <c r="U2271" i="14"/>
  <c r="U2270" i="14"/>
  <c r="U2269" i="14"/>
  <c r="U2268" i="14"/>
  <c r="U2263" i="14"/>
  <c r="U2262" i="14"/>
  <c r="U2261" i="14"/>
  <c r="U2260" i="14"/>
  <c r="U2259" i="14"/>
  <c r="U2258" i="14"/>
  <c r="U2253" i="14"/>
  <c r="U2252" i="14"/>
  <c r="U2249" i="14"/>
  <c r="U2247" i="14"/>
  <c r="U2246" i="14"/>
  <c r="U2240" i="14"/>
  <c r="U2239" i="14"/>
  <c r="U2236" i="14"/>
  <c r="U2235" i="14"/>
  <c r="U2234" i="14"/>
  <c r="U2233" i="14"/>
  <c r="U2232" i="14"/>
  <c r="U2229" i="14"/>
  <c r="U2228" i="14"/>
  <c r="U2225" i="14"/>
  <c r="U2223" i="14"/>
  <c r="U2222" i="14"/>
  <c r="U2221" i="14"/>
  <c r="U2220" i="14"/>
  <c r="U2219" i="14"/>
  <c r="U2218" i="14"/>
  <c r="U2217" i="14"/>
  <c r="U2216" i="14"/>
  <c r="U2215" i="14"/>
  <c r="U2213" i="14"/>
  <c r="U2211" i="14"/>
  <c r="U2210" i="14"/>
  <c r="U2209" i="14"/>
  <c r="U2208" i="14"/>
  <c r="U2207" i="14"/>
  <c r="U2206" i="14"/>
  <c r="U2205" i="14"/>
  <c r="U2202" i="14"/>
  <c r="U2201" i="14"/>
  <c r="U2200" i="14"/>
  <c r="U2196" i="14"/>
  <c r="U2195" i="14"/>
  <c r="U2189" i="14"/>
  <c r="U2184" i="14"/>
  <c r="U2183" i="14"/>
  <c r="U2182" i="14"/>
  <c r="U2181" i="14"/>
  <c r="U2180" i="14"/>
  <c r="U2178" i="14"/>
  <c r="U2177" i="14"/>
  <c r="U2172" i="14"/>
  <c r="U2171" i="14"/>
  <c r="U2155" i="14"/>
  <c r="U2149" i="14"/>
  <c r="U2148" i="14"/>
  <c r="U2147" i="14"/>
  <c r="U2145" i="14"/>
  <c r="U2144" i="14"/>
  <c r="U2141" i="14"/>
  <c r="U2140" i="14"/>
  <c r="U2137" i="14"/>
  <c r="U2127" i="14"/>
  <c r="U2124" i="14"/>
  <c r="U2121" i="14"/>
  <c r="U2120" i="14"/>
  <c r="U2119" i="14"/>
  <c r="U2116" i="14"/>
  <c r="U2114" i="14"/>
  <c r="U2113" i="14"/>
  <c r="U2112" i="14"/>
  <c r="U2111" i="14"/>
  <c r="U2108" i="14"/>
  <c r="U2107" i="14"/>
  <c r="U2106" i="14"/>
  <c r="U2105" i="14"/>
  <c r="U2102" i="14"/>
  <c r="U2101" i="14"/>
  <c r="U2100" i="14"/>
  <c r="U2099" i="14"/>
  <c r="U2098" i="14"/>
  <c r="U2097" i="14"/>
  <c r="U2095" i="14"/>
  <c r="U2094" i="14"/>
  <c r="U2092" i="14"/>
  <c r="U2091" i="14"/>
  <c r="U2090" i="14"/>
  <c r="U2089" i="14"/>
  <c r="U2088" i="14"/>
  <c r="U2087" i="14"/>
  <c r="U2086" i="14"/>
  <c r="U2082" i="14"/>
  <c r="U2070" i="14"/>
  <c r="U2065" i="14"/>
  <c r="U2064" i="14"/>
  <c r="U2061" i="14"/>
  <c r="U2059" i="14"/>
  <c r="U2057" i="14"/>
  <c r="U2056" i="14"/>
  <c r="U2050" i="14"/>
  <c r="U2049" i="14"/>
  <c r="U2048" i="14"/>
  <c r="U2047" i="14"/>
  <c r="U2046" i="14"/>
  <c r="U2045" i="14"/>
  <c r="U2044" i="14"/>
  <c r="U2042" i="14"/>
  <c r="U2041" i="14"/>
  <c r="U2040" i="14"/>
  <c r="U2039" i="14"/>
  <c r="U2038" i="14"/>
  <c r="U2037" i="14"/>
  <c r="U2034" i="14"/>
  <c r="U2016" i="14"/>
  <c r="U2021" i="14"/>
  <c r="U2020" i="14"/>
  <c r="U2019" i="14"/>
  <c r="U2018" i="14"/>
  <c r="U2013" i="14"/>
  <c r="U2011" i="14"/>
  <c r="U2010" i="14"/>
  <c r="U2008" i="14"/>
  <c r="U2006" i="14"/>
  <c r="U2005" i="14"/>
  <c r="U2004" i="14"/>
  <c r="U2002" i="14"/>
  <c r="U2000" i="14"/>
  <c r="U1999" i="14"/>
  <c r="U1998" i="14"/>
  <c r="U1997" i="14"/>
  <c r="U1996" i="14"/>
  <c r="U1995" i="14"/>
  <c r="U1992" i="14"/>
  <c r="U1991" i="14"/>
  <c r="U1990" i="14"/>
  <c r="U1989" i="14"/>
  <c r="U1987" i="14"/>
  <c r="U1986" i="14"/>
  <c r="U1985" i="14"/>
  <c r="U1983" i="14"/>
  <c r="U1982" i="14"/>
  <c r="U1981" i="14"/>
  <c r="U1980" i="14"/>
  <c r="U1978" i="14"/>
  <c r="U1977" i="14"/>
  <c r="U1976" i="14"/>
  <c r="U1975" i="14"/>
  <c r="U1974" i="14"/>
  <c r="U1971" i="14"/>
  <c r="U1969" i="14"/>
  <c r="U1968" i="14"/>
  <c r="U1966" i="14"/>
  <c r="U1965" i="14"/>
  <c r="U1964" i="14"/>
  <c r="U1963" i="14"/>
  <c r="U1962" i="14"/>
  <c r="U1961" i="14"/>
  <c r="U1960" i="14"/>
  <c r="U1959" i="14"/>
  <c r="U1955" i="14"/>
  <c r="U1954" i="14"/>
  <c r="U1952" i="14"/>
  <c r="U1951" i="14"/>
  <c r="U1949" i="14"/>
  <c r="U1946" i="14"/>
  <c r="U1945" i="14"/>
  <c r="U1944" i="14"/>
  <c r="U1943" i="14"/>
  <c r="U1942" i="14"/>
  <c r="U1939" i="14"/>
  <c r="U1937" i="14"/>
  <c r="U1936" i="14"/>
  <c r="U1935" i="14"/>
  <c r="U1934" i="14"/>
  <c r="U1933" i="14"/>
  <c r="U1931" i="14"/>
  <c r="U1930" i="14"/>
  <c r="U1927" i="14"/>
  <c r="U1926" i="14"/>
  <c r="U1925" i="14"/>
  <c r="U1924" i="14"/>
  <c r="U1923" i="14"/>
  <c r="U1922" i="14"/>
  <c r="U1921" i="14"/>
  <c r="U1920" i="14"/>
  <c r="U1919" i="14"/>
  <c r="U1918" i="14"/>
  <c r="U1917" i="14"/>
  <c r="U1916" i="14"/>
  <c r="U1915" i="14"/>
  <c r="U1914" i="14"/>
  <c r="U1913" i="14"/>
  <c r="U1912" i="14"/>
  <c r="U1910" i="14"/>
  <c r="U1909" i="14"/>
  <c r="U1908" i="14"/>
  <c r="U1907" i="14"/>
  <c r="U1906" i="14"/>
  <c r="U1905" i="14"/>
  <c r="U1904" i="14"/>
  <c r="U1903" i="14"/>
  <c r="U1902" i="14"/>
  <c r="U1901" i="14"/>
  <c r="U1886" i="14"/>
  <c r="U1885" i="14"/>
  <c r="U1884" i="14"/>
  <c r="U1883" i="14"/>
  <c r="U1882" i="14"/>
  <c r="U1878" i="14"/>
  <c r="U1876" i="14"/>
  <c r="U1872" i="14"/>
  <c r="U1871" i="14"/>
  <c r="U1869" i="14"/>
  <c r="U1868" i="14"/>
  <c r="U1866" i="14"/>
  <c r="U1867" i="14"/>
  <c r="U1864" i="14"/>
  <c r="U1865" i="14"/>
  <c r="U1863" i="14"/>
  <c r="U1861" i="14"/>
  <c r="U1860" i="14"/>
  <c r="U1862" i="14"/>
  <c r="U1827" i="14"/>
  <c r="U1828" i="14"/>
  <c r="U1829" i="14"/>
  <c r="U1826" i="14"/>
  <c r="U1825" i="14"/>
  <c r="U1824" i="14"/>
  <c r="U1821" i="14"/>
  <c r="U1820" i="14"/>
  <c r="U1819" i="14"/>
  <c r="U1818" i="14"/>
  <c r="U1817" i="14"/>
  <c r="U1816" i="14"/>
  <c r="U1815" i="14"/>
  <c r="U1813" i="14"/>
  <c r="U1812" i="14"/>
  <c r="U1811" i="14"/>
  <c r="U1810" i="14"/>
  <c r="U1809" i="14"/>
  <c r="U1808" i="14"/>
  <c r="U1807" i="14"/>
  <c r="U1806" i="14"/>
  <c r="U1805" i="14"/>
  <c r="U1804" i="14"/>
  <c r="U1803" i="14"/>
  <c r="U1802" i="14"/>
  <c r="U1801" i="14"/>
  <c r="U1799" i="14"/>
  <c r="U1797" i="14"/>
  <c r="U1796" i="14"/>
  <c r="U1795" i="14"/>
  <c r="U1793" i="14"/>
  <c r="U1792" i="14"/>
  <c r="U1784" i="14"/>
  <c r="U1783" i="14"/>
  <c r="U1782" i="14"/>
  <c r="U1781" i="14"/>
  <c r="U1778" i="14"/>
  <c r="U1776" i="14"/>
  <c r="U1775" i="14"/>
  <c r="U1774" i="14"/>
  <c r="U1772" i="14"/>
  <c r="U1771" i="14"/>
  <c r="U1770" i="14"/>
  <c r="U1769" i="14"/>
  <c r="U1766" i="14"/>
  <c r="U1763" i="14"/>
  <c r="U1762" i="14"/>
  <c r="U1761" i="14"/>
  <c r="U1760" i="14"/>
  <c r="U1759" i="14"/>
  <c r="U1758" i="14"/>
  <c r="U1756" i="14"/>
  <c r="U1755" i="14"/>
  <c r="U1753" i="14"/>
  <c r="U1752" i="14"/>
  <c r="U1751" i="14"/>
  <c r="U1750" i="14"/>
  <c r="U1749" i="14"/>
  <c r="U1748" i="14"/>
  <c r="U1747" i="14"/>
  <c r="U1746" i="14"/>
  <c r="U1744" i="14"/>
  <c r="U1743" i="14"/>
  <c r="U1742" i="14"/>
  <c r="U1741" i="14"/>
  <c r="U1740" i="14"/>
  <c r="U1739" i="14"/>
  <c r="U1738" i="14"/>
  <c r="U1736" i="14"/>
  <c r="U1735" i="14"/>
  <c r="U1732" i="14"/>
  <c r="U1731" i="14"/>
  <c r="U1730" i="14"/>
  <c r="U1729" i="14"/>
  <c r="U1728" i="14"/>
  <c r="U1727" i="14"/>
  <c r="U1726" i="14"/>
  <c r="U1725" i="14"/>
  <c r="U1724" i="14"/>
  <c r="U1723" i="14"/>
  <c r="U1722" i="14"/>
  <c r="U1721" i="14"/>
  <c r="U1720" i="14"/>
  <c r="U1719" i="14"/>
  <c r="U1715" i="14"/>
  <c r="U1712" i="14"/>
  <c r="U1711" i="14"/>
  <c r="U1710" i="14"/>
  <c r="U1709" i="14"/>
  <c r="U1705" i="14"/>
  <c r="U1704" i="14"/>
  <c r="U1703" i="14"/>
  <c r="U1702" i="14"/>
  <c r="U1701" i="14"/>
  <c r="U1700" i="14"/>
  <c r="U1699" i="14"/>
  <c r="U1698" i="14"/>
  <c r="U1697" i="14"/>
  <c r="U1696" i="14"/>
  <c r="U1695" i="14"/>
  <c r="U1694" i="14"/>
  <c r="U1693" i="14"/>
  <c r="U1692" i="14"/>
  <c r="U1691" i="14"/>
  <c r="U1690" i="14"/>
  <c r="U1689" i="14"/>
  <c r="U1688" i="14"/>
  <c r="U1687" i="14"/>
  <c r="U1686" i="14"/>
  <c r="U1684" i="14"/>
  <c r="U1683" i="14"/>
  <c r="U1682" i="14"/>
  <c r="U1681" i="14"/>
  <c r="U1680" i="14"/>
  <c r="U1679" i="14"/>
  <c r="U1678" i="14"/>
  <c r="U1677" i="14"/>
  <c r="U1676" i="14"/>
  <c r="U1675" i="14"/>
  <c r="U1672" i="14"/>
  <c r="U1658" i="14"/>
  <c r="U1657" i="14"/>
  <c r="U1656" i="14"/>
  <c r="U1648" i="14"/>
  <c r="U1640" i="14"/>
  <c r="U1639" i="14"/>
  <c r="U1638" i="14"/>
  <c r="U1635" i="14"/>
  <c r="U1634" i="14"/>
  <c r="U1631" i="14"/>
  <c r="U1626" i="14"/>
  <c r="U1623" i="14"/>
  <c r="U1622" i="14"/>
  <c r="U1619" i="14"/>
  <c r="U1618" i="14"/>
  <c r="U1617" i="14"/>
  <c r="U1616" i="14"/>
  <c r="U1610" i="14"/>
  <c r="U1609" i="14"/>
  <c r="U1602" i="14"/>
  <c r="U1601" i="14"/>
  <c r="U1600" i="14"/>
  <c r="U1597" i="14"/>
  <c r="U1596" i="14"/>
  <c r="U1595" i="14"/>
  <c r="U1591" i="14"/>
  <c r="U1589" i="14"/>
  <c r="U1587" i="14"/>
  <c r="U1586" i="14"/>
  <c r="U1585" i="14"/>
  <c r="U1582" i="14"/>
  <c r="U1579" i="14"/>
  <c r="U1578" i="14"/>
  <c r="U1576" i="14"/>
  <c r="U1575" i="14"/>
  <c r="U1573" i="14"/>
  <c r="U1572" i="14"/>
  <c r="U1571" i="14"/>
  <c r="U1565" i="14"/>
  <c r="U1563" i="14"/>
  <c r="U1562" i="14"/>
  <c r="U1556" i="14"/>
  <c r="U1554" i="14"/>
  <c r="U1553" i="14"/>
  <c r="U1551" i="14"/>
  <c r="U1550" i="14"/>
  <c r="U1549" i="14"/>
  <c r="U1548" i="14"/>
  <c r="U1545" i="14"/>
  <c r="U1544" i="14"/>
  <c r="U1540" i="14"/>
  <c r="U1539" i="14"/>
  <c r="U1538" i="14"/>
  <c r="U1537" i="14"/>
  <c r="U1536" i="14"/>
  <c r="U1535" i="14"/>
  <c r="U1531" i="14"/>
  <c r="U1530" i="14"/>
  <c r="U1529" i="14"/>
  <c r="U1526" i="14"/>
  <c r="U1525" i="14"/>
  <c r="U1524" i="14"/>
  <c r="U1523" i="14"/>
  <c r="U1522" i="14"/>
  <c r="U1521" i="14"/>
  <c r="U1520" i="14"/>
  <c r="U1519" i="14"/>
  <c r="U1518" i="14"/>
  <c r="U1516" i="14"/>
  <c r="U1515" i="14"/>
  <c r="U1511" i="14"/>
  <c r="U1510" i="14"/>
  <c r="U1509" i="14"/>
  <c r="U1508" i="14"/>
  <c r="U1507" i="14"/>
  <c r="U1506" i="14"/>
  <c r="U1502" i="14"/>
  <c r="U1501" i="14"/>
  <c r="U1499" i="14"/>
  <c r="U1498" i="14"/>
  <c r="U1497" i="14"/>
  <c r="U1496" i="14"/>
  <c r="U1495" i="14"/>
  <c r="U1494" i="14"/>
  <c r="U1493" i="14"/>
  <c r="U1491" i="14"/>
  <c r="U1489" i="14"/>
  <c r="U1487" i="14"/>
  <c r="U1486" i="14"/>
  <c r="U1485" i="14"/>
  <c r="U1481" i="14"/>
  <c r="U1476" i="14"/>
  <c r="U1475" i="14"/>
  <c r="U1474" i="14"/>
  <c r="U1473" i="14"/>
  <c r="U1472" i="14"/>
  <c r="U1470" i="14"/>
  <c r="U1464" i="14"/>
  <c r="U1462" i="14"/>
  <c r="U1458" i="14"/>
  <c r="U1451" i="14"/>
  <c r="U1449" i="14"/>
  <c r="U1446" i="14"/>
  <c r="U1445" i="14"/>
  <c r="U1444" i="14"/>
  <c r="U1443" i="14"/>
  <c r="U1437" i="14"/>
  <c r="U1434" i="14"/>
  <c r="U1433" i="14"/>
  <c r="U1432" i="14"/>
  <c r="U1429" i="14"/>
  <c r="U1423" i="14"/>
  <c r="U1421" i="14"/>
  <c r="U1415" i="14"/>
  <c r="U1399" i="14"/>
  <c r="U1391" i="14"/>
  <c r="U1383" i="14"/>
  <c r="U1375" i="14"/>
  <c r="U1370" i="14"/>
  <c r="U1367" i="14"/>
  <c r="U1359" i="14"/>
  <c r="U1351" i="14"/>
  <c r="U1334" i="14"/>
  <c r="U1333" i="14"/>
  <c r="U1332" i="14"/>
  <c r="U1331" i="14"/>
  <c r="U1330" i="14"/>
  <c r="U1329" i="14"/>
  <c r="U1327" i="14"/>
  <c r="U1326" i="14"/>
  <c r="U1325" i="14"/>
  <c r="U1320" i="14"/>
  <c r="U1315" i="14"/>
  <c r="U1311" i="14"/>
  <c r="U1306" i="14"/>
  <c r="U1305" i="14"/>
  <c r="U1304" i="14"/>
  <c r="U1302" i="14"/>
  <c r="U1300" i="14"/>
  <c r="U1299" i="14"/>
  <c r="U1297" i="14"/>
  <c r="U1296" i="14"/>
  <c r="U1294" i="14"/>
  <c r="U1293" i="14"/>
  <c r="U1291" i="14"/>
  <c r="U1290" i="14"/>
  <c r="U1288" i="14"/>
  <c r="U1287" i="14"/>
  <c r="U1286" i="14"/>
  <c r="U1284" i="14"/>
  <c r="U1282" i="14"/>
  <c r="U1281" i="14"/>
  <c r="U1279" i="14"/>
  <c r="U1278" i="14"/>
  <c r="U1277" i="14"/>
  <c r="U1275" i="14"/>
  <c r="U1273" i="14"/>
  <c r="U1272" i="14"/>
  <c r="U1270" i="14"/>
  <c r="U1269" i="14"/>
  <c r="U1267" i="14"/>
  <c r="U1266" i="14"/>
  <c r="U1264" i="14"/>
  <c r="U1263" i="14"/>
  <c r="U1261" i="14"/>
  <c r="U1260" i="14"/>
  <c r="U1259" i="14"/>
  <c r="U1258" i="14"/>
  <c r="U1255" i="14"/>
  <c r="U1254" i="14"/>
  <c r="U1252" i="14"/>
  <c r="U1250" i="14"/>
  <c r="U1248" i="14"/>
  <c r="U1243" i="14"/>
  <c r="U1237" i="14"/>
  <c r="U1234" i="14"/>
  <c r="U1233" i="14"/>
  <c r="U1232" i="14"/>
  <c r="U1231" i="14"/>
  <c r="U1230" i="14"/>
  <c r="U1229" i="14"/>
  <c r="U1228" i="14"/>
  <c r="U1227" i="14"/>
  <c r="U1226" i="14"/>
  <c r="U1225" i="14"/>
  <c r="U1224" i="14"/>
  <c r="U1223" i="14"/>
  <c r="U1222" i="14"/>
  <c r="U1218" i="14"/>
  <c r="U1215" i="14"/>
  <c r="U1210" i="14"/>
  <c r="U1209" i="14"/>
  <c r="U1208" i="14"/>
  <c r="U1207" i="14"/>
  <c r="U1206" i="14"/>
  <c r="U1205" i="14"/>
  <c r="U1204" i="14"/>
  <c r="U1203" i="14"/>
  <c r="U1202" i="14"/>
  <c r="U1201" i="14"/>
  <c r="U1198" i="14"/>
  <c r="U1193" i="14"/>
  <c r="U1192" i="14"/>
  <c r="U1191" i="14"/>
  <c r="U1190" i="14"/>
  <c r="U1189" i="14"/>
  <c r="U1188" i="14"/>
  <c r="U1181" i="14"/>
  <c r="U1180" i="14"/>
  <c r="U1177" i="14"/>
  <c r="U1176" i="14"/>
  <c r="U1172" i="14"/>
  <c r="U1171" i="14"/>
  <c r="U1169" i="14"/>
  <c r="U1167" i="14"/>
  <c r="U1166" i="14"/>
  <c r="U1165" i="14"/>
  <c r="U1164" i="14"/>
  <c r="U1163" i="14"/>
  <c r="U1162" i="14"/>
  <c r="U1161" i="14"/>
  <c r="U1160" i="14"/>
  <c r="U1157" i="14"/>
  <c r="U1156" i="14"/>
  <c r="U1155" i="14"/>
  <c r="U1154" i="14"/>
  <c r="U1153" i="14"/>
  <c r="U1147" i="14"/>
  <c r="U1144" i="14"/>
  <c r="U1143" i="14"/>
  <c r="U1138" i="14"/>
  <c r="U1136" i="14"/>
  <c r="U1134" i="14"/>
  <c r="U1133" i="14"/>
  <c r="U1131" i="14"/>
  <c r="U1130" i="14"/>
  <c r="U1128" i="14"/>
  <c r="U1127" i="14"/>
  <c r="U1125" i="14"/>
  <c r="U1124" i="14"/>
  <c r="U1122" i="14"/>
  <c r="U1120" i="14"/>
  <c r="U1119" i="14"/>
  <c r="U1117" i="14"/>
  <c r="U1116" i="14"/>
  <c r="U1112" i="14"/>
  <c r="U1110" i="14"/>
  <c r="U1109" i="14"/>
  <c r="U1107" i="14"/>
  <c r="U1104" i="14"/>
  <c r="U1103" i="14"/>
  <c r="U1102" i="14"/>
  <c r="U1100" i="14"/>
  <c r="U1099" i="14"/>
  <c r="U1098" i="14"/>
  <c r="U1097" i="14"/>
  <c r="U1096" i="14"/>
  <c r="U1094" i="14"/>
  <c r="U1093" i="14"/>
  <c r="U1092" i="14"/>
  <c r="U1091" i="14"/>
  <c r="U1088" i="14"/>
  <c r="U1086" i="14"/>
  <c r="U1085" i="14"/>
  <c r="U1083" i="14"/>
  <c r="U1081" i="14"/>
  <c r="U1080" i="14"/>
  <c r="U1077" i="14"/>
  <c r="U1075" i="14"/>
  <c r="U1073" i="14"/>
  <c r="U1072" i="14"/>
  <c r="U1069" i="14"/>
  <c r="U1067" i="14"/>
  <c r="U1066" i="14"/>
  <c r="U1065" i="14"/>
  <c r="U1064" i="14"/>
  <c r="U1063" i="14"/>
  <c r="U1062" i="14"/>
  <c r="U1061" i="14"/>
  <c r="U1060" i="14"/>
  <c r="U1059" i="14"/>
  <c r="U1058" i="14"/>
  <c r="U1056" i="14"/>
  <c r="U1055" i="14"/>
  <c r="U1054" i="14"/>
  <c r="U1052" i="14"/>
  <c r="U1051" i="14"/>
  <c r="U1050" i="14"/>
  <c r="U1047" i="14"/>
  <c r="U1045" i="14"/>
  <c r="U1044" i="14"/>
  <c r="U1041" i="14"/>
  <c r="U1040" i="14"/>
  <c r="U1039" i="14"/>
  <c r="U1036" i="14"/>
  <c r="U1031" i="14"/>
  <c r="U1030" i="14"/>
  <c r="U1029" i="14"/>
  <c r="U1028" i="14"/>
  <c r="U1027" i="14"/>
  <c r="U1026" i="14"/>
  <c r="U1025" i="14"/>
  <c r="U1024" i="14"/>
  <c r="U1023" i="14"/>
  <c r="U1020" i="14"/>
  <c r="U1016" i="14"/>
  <c r="U1014" i="14"/>
  <c r="U1013" i="14"/>
  <c r="U1010" i="14"/>
  <c r="U1006" i="14"/>
  <c r="U1004" i="14"/>
  <c r="U1003" i="14"/>
  <c r="U1001" i="14"/>
  <c r="U993" i="14"/>
  <c r="U992" i="14"/>
  <c r="U989" i="14"/>
  <c r="U986" i="14"/>
  <c r="U982" i="14"/>
  <c r="U976" i="14"/>
  <c r="U975" i="14"/>
  <c r="U969" i="14"/>
  <c r="U968" i="14"/>
  <c r="U967" i="14"/>
  <c r="U966" i="14"/>
  <c r="U965" i="14"/>
  <c r="U964" i="14"/>
  <c r="U963" i="14"/>
  <c r="U962" i="14"/>
  <c r="U961" i="14"/>
  <c r="U960" i="14"/>
  <c r="U959" i="14"/>
  <c r="U958" i="14"/>
  <c r="U956" i="14"/>
  <c r="U955" i="14"/>
  <c r="U954" i="14"/>
  <c r="U953" i="14"/>
  <c r="U952" i="14"/>
  <c r="U951" i="14"/>
  <c r="U950" i="14"/>
  <c r="U949" i="14"/>
  <c r="U948" i="14"/>
  <c r="U946" i="14"/>
  <c r="U945" i="14"/>
  <c r="U943" i="14"/>
  <c r="U942" i="14"/>
  <c r="U941" i="14"/>
  <c r="U940" i="14"/>
  <c r="U939" i="14"/>
  <c r="U938" i="14"/>
  <c r="U937" i="14"/>
  <c r="U936" i="14"/>
  <c r="U935" i="14"/>
  <c r="U934" i="14"/>
  <c r="U933" i="14"/>
  <c r="U932" i="14"/>
  <c r="U931" i="14"/>
  <c r="U930" i="14"/>
  <c r="U929" i="14"/>
  <c r="U928" i="14"/>
  <c r="U927" i="14"/>
  <c r="U926" i="14"/>
  <c r="U925" i="14"/>
  <c r="U924" i="14"/>
  <c r="U923" i="14"/>
  <c r="U922" i="14"/>
  <c r="U919" i="14"/>
  <c r="U918" i="14"/>
  <c r="U917" i="14"/>
  <c r="U916" i="14"/>
  <c r="U915" i="14"/>
  <c r="U914" i="14"/>
  <c r="U913" i="14"/>
  <c r="U912" i="14"/>
  <c r="U909" i="14"/>
  <c r="U908" i="14"/>
  <c r="U906" i="14"/>
  <c r="U905" i="14"/>
  <c r="U903" i="14"/>
  <c r="U902" i="14"/>
  <c r="U901" i="14"/>
  <c r="U900" i="14"/>
  <c r="U898" i="14"/>
  <c r="U896" i="14"/>
  <c r="U895" i="14"/>
  <c r="U893" i="14"/>
  <c r="U892" i="14"/>
  <c r="U891" i="14"/>
  <c r="U890" i="14"/>
  <c r="U889" i="14"/>
  <c r="U888" i="14"/>
  <c r="U885" i="14"/>
  <c r="U883" i="14"/>
  <c r="U882" i="14"/>
  <c r="U880" i="14"/>
  <c r="U879" i="14"/>
  <c r="U878" i="14"/>
  <c r="U876" i="14"/>
  <c r="U874" i="14"/>
  <c r="U873" i="14"/>
  <c r="U871" i="14"/>
  <c r="U870" i="14"/>
  <c r="U869" i="14"/>
  <c r="U868" i="14"/>
  <c r="U867" i="14"/>
  <c r="U866" i="14"/>
  <c r="U864" i="14"/>
  <c r="U863" i="14"/>
  <c r="U861" i="14"/>
  <c r="U860" i="14"/>
  <c r="U858" i="14"/>
  <c r="U857" i="14"/>
  <c r="U856" i="14"/>
  <c r="U855" i="14"/>
  <c r="U854" i="14"/>
  <c r="U852" i="14"/>
  <c r="U850" i="14"/>
  <c r="U849" i="14"/>
  <c r="U847" i="14"/>
  <c r="U846" i="14"/>
  <c r="U844" i="14"/>
  <c r="U843" i="14"/>
  <c r="U840" i="14"/>
  <c r="U838" i="14"/>
  <c r="U837" i="14"/>
  <c r="U835" i="14"/>
  <c r="U834" i="14"/>
  <c r="U833" i="14"/>
  <c r="U832" i="14"/>
  <c r="U831" i="14"/>
  <c r="U830" i="14"/>
  <c r="U829" i="14"/>
  <c r="U827" i="14"/>
  <c r="U826" i="14"/>
  <c r="U824" i="14"/>
  <c r="U823" i="14"/>
  <c r="U820" i="14"/>
  <c r="U819" i="14"/>
  <c r="U818" i="14"/>
  <c r="U817" i="14"/>
  <c r="U816" i="14"/>
  <c r="U815" i="14"/>
  <c r="U814" i="14"/>
  <c r="U811" i="14"/>
  <c r="U810" i="14"/>
  <c r="U808" i="14"/>
  <c r="U807" i="14"/>
  <c r="U803" i="14"/>
  <c r="U802" i="14"/>
  <c r="U801" i="14"/>
  <c r="U800" i="14"/>
  <c r="U799" i="14"/>
  <c r="U798" i="14"/>
  <c r="U796" i="14"/>
  <c r="U794" i="14"/>
  <c r="U792" i="14"/>
  <c r="U791" i="14"/>
  <c r="U789" i="14"/>
  <c r="U788" i="14"/>
  <c r="U787" i="14"/>
  <c r="U786" i="14"/>
  <c r="U785" i="14"/>
  <c r="U784" i="14"/>
  <c r="U783" i="14"/>
  <c r="U782" i="14"/>
  <c r="U781" i="14"/>
  <c r="U780" i="14"/>
  <c r="U778" i="14"/>
  <c r="U776" i="14"/>
  <c r="U775" i="14"/>
  <c r="U773" i="14"/>
  <c r="U772" i="14"/>
  <c r="U769" i="14"/>
  <c r="U768" i="14"/>
  <c r="U766" i="14"/>
  <c r="U765" i="14"/>
  <c r="U763" i="14"/>
  <c r="U762" i="14"/>
  <c r="U761" i="14"/>
  <c r="U760" i="14"/>
  <c r="U759" i="14"/>
  <c r="U758" i="14"/>
  <c r="U757" i="14"/>
  <c r="U755" i="14"/>
  <c r="U753" i="14"/>
  <c r="U752" i="14"/>
  <c r="U747" i="14"/>
  <c r="U746" i="14"/>
  <c r="U743" i="14"/>
  <c r="U741" i="14"/>
  <c r="U740" i="14"/>
  <c r="U738" i="14"/>
  <c r="U737" i="14"/>
  <c r="U734" i="14"/>
  <c r="U733" i="14"/>
  <c r="U732" i="14"/>
  <c r="U731" i="14"/>
  <c r="U729" i="14"/>
  <c r="U727" i="14"/>
  <c r="U726" i="14"/>
  <c r="U724" i="14"/>
  <c r="U723" i="14"/>
  <c r="U722" i="14"/>
  <c r="U721" i="14"/>
  <c r="U720" i="14"/>
  <c r="U719" i="14"/>
  <c r="U718" i="14"/>
  <c r="U715" i="14"/>
  <c r="U714" i="14"/>
  <c r="U713" i="14"/>
  <c r="U712" i="14"/>
  <c r="U711" i="14"/>
  <c r="U710" i="14"/>
  <c r="U709" i="14"/>
  <c r="U708" i="14"/>
  <c r="U707" i="14"/>
  <c r="U705" i="14"/>
  <c r="U704" i="14"/>
  <c r="U702" i="14"/>
  <c r="U701" i="14"/>
  <c r="U699" i="14"/>
  <c r="U697" i="14"/>
  <c r="U696" i="14"/>
  <c r="U695" i="14"/>
  <c r="U694" i="14"/>
  <c r="U693" i="14"/>
  <c r="U692" i="14"/>
  <c r="U691" i="14"/>
  <c r="U688" i="14"/>
  <c r="U687" i="14"/>
  <c r="U670" i="14"/>
  <c r="U669" i="14"/>
  <c r="U642" i="14"/>
  <c r="U641" i="14"/>
  <c r="U640" i="14"/>
  <c r="U639" i="14"/>
  <c r="U638" i="14"/>
  <c r="U637" i="14"/>
  <c r="U636" i="14"/>
  <c r="U635" i="14"/>
  <c r="U634" i="14"/>
  <c r="U633" i="14"/>
  <c r="U632" i="14"/>
  <c r="U631" i="14"/>
  <c r="U630" i="14"/>
  <c r="U629" i="14"/>
  <c r="U628" i="14"/>
  <c r="U627" i="14"/>
  <c r="U626" i="14"/>
  <c r="U625" i="14"/>
  <c r="U624" i="14"/>
  <c r="U623" i="14"/>
  <c r="U622" i="14"/>
  <c r="U621" i="14"/>
  <c r="U620" i="14"/>
  <c r="U619" i="14"/>
  <c r="U618" i="14"/>
  <c r="U616" i="14"/>
  <c r="U615" i="14"/>
  <c r="U614" i="14"/>
  <c r="U613" i="14"/>
  <c r="U612" i="14"/>
  <c r="U611" i="14"/>
  <c r="U610" i="14"/>
  <c r="U609" i="14"/>
  <c r="U608" i="14"/>
  <c r="U607" i="14"/>
  <c r="U605" i="14"/>
  <c r="U604" i="14"/>
  <c r="U603" i="14"/>
  <c r="U602" i="14"/>
  <c r="U597" i="14"/>
  <c r="U596" i="14"/>
  <c r="U595" i="14"/>
  <c r="U594" i="14"/>
  <c r="U593" i="14"/>
  <c r="U592" i="14"/>
  <c r="U591" i="14"/>
  <c r="U590" i="14"/>
  <c r="U589" i="14"/>
  <c r="U588" i="14"/>
  <c r="U587" i="14"/>
  <c r="U586" i="14"/>
  <c r="U585" i="14"/>
  <c r="U584" i="14"/>
  <c r="U583" i="14"/>
  <c r="U582" i="14"/>
  <c r="U581" i="14"/>
  <c r="U580" i="14"/>
  <c r="U579" i="14"/>
  <c r="U578" i="14"/>
  <c r="U577" i="14"/>
  <c r="U576" i="14"/>
  <c r="U575" i="14"/>
  <c r="U574" i="14"/>
  <c r="U573" i="14"/>
  <c r="U572" i="14"/>
  <c r="U571" i="14"/>
  <c r="U570" i="14"/>
  <c r="U567" i="14"/>
  <c r="U566" i="14"/>
  <c r="U565" i="14"/>
  <c r="U564" i="14"/>
  <c r="U563" i="14"/>
  <c r="U562" i="14"/>
  <c r="U561" i="14"/>
  <c r="U560" i="14"/>
  <c r="U559" i="14"/>
  <c r="U557" i="14"/>
  <c r="U556" i="14"/>
  <c r="U555" i="14"/>
  <c r="U552" i="14"/>
  <c r="U551" i="14"/>
  <c r="U550" i="14"/>
  <c r="U549" i="14"/>
  <c r="U548" i="14"/>
  <c r="U547" i="14"/>
  <c r="U546" i="14"/>
  <c r="U545" i="14"/>
  <c r="U544" i="14"/>
  <c r="U543" i="14"/>
  <c r="U542" i="14"/>
  <c r="U541" i="14"/>
  <c r="U540" i="14"/>
  <c r="U539" i="14"/>
  <c r="U538" i="14"/>
  <c r="U537" i="14"/>
  <c r="U536" i="14"/>
  <c r="U535" i="14"/>
  <c r="U534" i="14"/>
  <c r="U533" i="14"/>
  <c r="U532" i="14"/>
  <c r="U531" i="14"/>
  <c r="U530" i="14"/>
  <c r="U529" i="14"/>
  <c r="U527" i="14"/>
  <c r="U525" i="14"/>
  <c r="U524" i="14"/>
  <c r="U523" i="14"/>
  <c r="U518" i="14"/>
  <c r="U517" i="14"/>
  <c r="U516" i="14"/>
  <c r="U515" i="14"/>
  <c r="U514" i="14"/>
  <c r="U512" i="14"/>
  <c r="U511" i="14"/>
  <c r="U510" i="14"/>
  <c r="U509" i="14"/>
  <c r="U508" i="14"/>
  <c r="U506" i="14"/>
  <c r="U505" i="14"/>
  <c r="U504" i="14"/>
  <c r="U503" i="14"/>
  <c r="U502" i="14"/>
  <c r="U500" i="14"/>
  <c r="U499" i="14"/>
  <c r="U497" i="14"/>
  <c r="U496" i="14"/>
  <c r="U493" i="14"/>
  <c r="U492" i="14"/>
  <c r="U489" i="14"/>
  <c r="U488" i="14"/>
  <c r="U486" i="14"/>
  <c r="U485" i="14"/>
  <c r="U483" i="14"/>
  <c r="U482" i="14"/>
  <c r="U479" i="14"/>
  <c r="U478" i="14"/>
  <c r="U473" i="14"/>
  <c r="U469" i="14"/>
  <c r="U467" i="14"/>
  <c r="U466" i="14"/>
  <c r="U463" i="14"/>
  <c r="U460" i="14"/>
  <c r="U459" i="14"/>
  <c r="U455" i="14"/>
  <c r="U454" i="14"/>
  <c r="U453" i="14"/>
  <c r="U452" i="14"/>
  <c r="U451" i="14"/>
  <c r="U449" i="14"/>
  <c r="U448" i="14"/>
  <c r="U447" i="14"/>
  <c r="U446" i="14"/>
  <c r="U432" i="14"/>
  <c r="U431" i="14"/>
  <c r="U430" i="14"/>
  <c r="U429" i="14"/>
  <c r="U428" i="14"/>
  <c r="U427" i="14"/>
  <c r="U426" i="14"/>
  <c r="U425" i="14"/>
  <c r="U424" i="14"/>
  <c r="U423" i="14"/>
  <c r="U422" i="14"/>
  <c r="U420" i="14"/>
  <c r="U419" i="14"/>
  <c r="U418" i="14"/>
  <c r="U416" i="14"/>
  <c r="U414" i="14"/>
  <c r="U412" i="14"/>
  <c r="U411" i="14"/>
  <c r="U409" i="14"/>
  <c r="U407" i="14"/>
  <c r="U406" i="14"/>
  <c r="U405" i="14"/>
  <c r="U402" i="14"/>
  <c r="U399" i="14"/>
  <c r="U398" i="14"/>
  <c r="U395" i="14"/>
  <c r="U394" i="14"/>
  <c r="U393" i="14"/>
  <c r="U392" i="14"/>
  <c r="U391" i="14"/>
  <c r="U390" i="14"/>
  <c r="U388" i="14"/>
  <c r="U387" i="14"/>
  <c r="U385" i="14"/>
  <c r="U384" i="14"/>
  <c r="U383" i="14"/>
  <c r="U381" i="14"/>
  <c r="U380" i="14"/>
  <c r="U379" i="14"/>
  <c r="U378" i="14"/>
  <c r="U376" i="14"/>
  <c r="U375" i="14"/>
  <c r="U374" i="14"/>
  <c r="U373" i="14"/>
  <c r="U367" i="14"/>
  <c r="U364" i="14"/>
  <c r="U363" i="14"/>
  <c r="U361" i="14"/>
  <c r="U359" i="14"/>
  <c r="U357" i="14"/>
  <c r="U352" i="14"/>
  <c r="U349" i="14"/>
  <c r="U348" i="14"/>
  <c r="U331" i="14"/>
  <c r="U330" i="14"/>
  <c r="U329" i="14"/>
  <c r="U328" i="14"/>
  <c r="U324" i="14"/>
  <c r="U323" i="14"/>
  <c r="U322" i="14"/>
  <c r="U321" i="14"/>
  <c r="U319" i="14"/>
  <c r="U318" i="14"/>
  <c r="U317" i="14"/>
  <c r="U315" i="14"/>
  <c r="U314" i="14"/>
  <c r="U313" i="14"/>
  <c r="U312" i="14"/>
  <c r="U311" i="14"/>
  <c r="U308" i="14"/>
  <c r="U307" i="14"/>
  <c r="U306" i="14"/>
  <c r="U305" i="14"/>
  <c r="U301" i="14"/>
  <c r="U297" i="14"/>
  <c r="U295" i="14"/>
  <c r="U294" i="14"/>
  <c r="U291" i="14"/>
  <c r="U290" i="14"/>
  <c r="U285" i="14"/>
  <c r="U284" i="14"/>
  <c r="U280" i="14"/>
  <c r="U279" i="14"/>
  <c r="U276" i="14"/>
  <c r="U275" i="14"/>
  <c r="U274" i="14"/>
  <c r="U273" i="14"/>
  <c r="U272" i="14"/>
  <c r="U271" i="14"/>
  <c r="U270" i="14"/>
  <c r="U269" i="14"/>
  <c r="U267" i="14"/>
  <c r="U266" i="14"/>
  <c r="U264" i="14"/>
  <c r="U263" i="14"/>
  <c r="U261" i="14"/>
  <c r="U260" i="14"/>
  <c r="U259" i="14"/>
  <c r="U253" i="14"/>
  <c r="U252" i="14"/>
  <c r="U250" i="14"/>
  <c r="U249" i="14"/>
  <c r="U237" i="14"/>
  <c r="U230" i="14"/>
  <c r="U228" i="14"/>
  <c r="U227" i="14"/>
  <c r="U226" i="14"/>
  <c r="U225" i="14"/>
  <c r="U223" i="14"/>
  <c r="U222" i="14"/>
  <c r="U221" i="14"/>
  <c r="U218" i="14"/>
  <c r="U217" i="14"/>
  <c r="U216" i="14"/>
  <c r="U215" i="14"/>
  <c r="U214" i="14"/>
  <c r="U213" i="14"/>
  <c r="U212" i="14"/>
  <c r="U209" i="14"/>
  <c r="U207" i="14"/>
  <c r="U203" i="14"/>
  <c r="U200" i="14"/>
  <c r="U199" i="14"/>
  <c r="U198" i="14"/>
  <c r="U196" i="14"/>
  <c r="U195" i="14"/>
  <c r="U194" i="14"/>
  <c r="U193" i="14"/>
  <c r="U191" i="14"/>
  <c r="U190" i="14"/>
  <c r="U188" i="14"/>
  <c r="U187" i="14"/>
  <c r="U186" i="14"/>
  <c r="U185" i="14"/>
  <c r="U182" i="14"/>
  <c r="U181" i="14"/>
  <c r="U180" i="14"/>
  <c r="U179" i="14"/>
  <c r="U178" i="14"/>
  <c r="U177" i="14"/>
  <c r="U176" i="14"/>
  <c r="U174" i="14"/>
  <c r="U173" i="14"/>
  <c r="U172" i="14"/>
  <c r="U170" i="14"/>
  <c r="U169" i="14"/>
  <c r="U168" i="14"/>
  <c r="U167" i="14"/>
  <c r="U166" i="14"/>
  <c r="U165" i="14"/>
  <c r="U162" i="14"/>
  <c r="U161" i="14"/>
  <c r="U160" i="14"/>
  <c r="U159" i="14"/>
  <c r="U158" i="14"/>
  <c r="U157" i="14"/>
  <c r="U154" i="14"/>
  <c r="U153" i="14"/>
  <c r="U151" i="14"/>
  <c r="U150" i="14"/>
  <c r="U147" i="14"/>
  <c r="U144" i="14"/>
  <c r="U140" i="14"/>
  <c r="U137" i="14"/>
  <c r="U136" i="14"/>
  <c r="U133" i="14"/>
  <c r="U129" i="14"/>
  <c r="U107" i="14"/>
  <c r="U105" i="14"/>
  <c r="U102" i="14"/>
  <c r="U101" i="14"/>
  <c r="U100" i="14"/>
  <c r="U99" i="14"/>
  <c r="U98" i="14"/>
  <c r="U96" i="14"/>
  <c r="U95" i="14"/>
  <c r="U92" i="14"/>
  <c r="U78" i="14"/>
  <c r="U77" i="14"/>
  <c r="U74" i="14"/>
  <c r="U72" i="14"/>
  <c r="U71" i="14"/>
  <c r="U68" i="14"/>
  <c r="U66" i="14"/>
  <c r="U65" i="14"/>
  <c r="U64" i="14"/>
  <c r="U61" i="14"/>
  <c r="U60" i="14"/>
  <c r="U57" i="14"/>
  <c r="U56" i="14"/>
  <c r="U55" i="14"/>
  <c r="U52" i="14"/>
  <c r="U49" i="14"/>
  <c r="U48" i="14"/>
  <c r="U47" i="14"/>
  <c r="U45" i="14"/>
  <c r="U44" i="14"/>
  <c r="U41" i="14"/>
  <c r="U37" i="14"/>
  <c r="U36" i="14"/>
  <c r="U35" i="14"/>
  <c r="U33" i="14"/>
  <c r="U31" i="14"/>
  <c r="U30" i="14"/>
  <c r="U29" i="14"/>
  <c r="U28" i="14"/>
  <c r="U26" i="14"/>
  <c r="U24" i="14"/>
  <c r="U21" i="14"/>
  <c r="U18" i="14"/>
  <c r="U16" i="14"/>
  <c r="U15" i="14"/>
  <c r="U14" i="14"/>
  <c r="U13" i="14"/>
  <c r="U12" i="14"/>
  <c r="I1655" i="14"/>
  <c r="U1655" i="14" s="1"/>
  <c r="I1654" i="14"/>
  <c r="U1654" i="14" s="1"/>
  <c r="I1653" i="14"/>
  <c r="U1653" i="14" s="1"/>
  <c r="I1652" i="14"/>
  <c r="U1652" i="14" s="1"/>
  <c r="I1651" i="14"/>
  <c r="I1650" i="14"/>
  <c r="U1650" i="14" s="1"/>
  <c r="I1649" i="14"/>
  <c r="U1649" i="14" s="1"/>
  <c r="I1646" i="14"/>
  <c r="U1646" i="14" s="1"/>
  <c r="I1645" i="14"/>
  <c r="U1645" i="14" s="1"/>
  <c r="I1633" i="14"/>
  <c r="U1633" i="14" s="1"/>
  <c r="I1632" i="14"/>
  <c r="U1632" i="14" s="1"/>
  <c r="I1629" i="14"/>
  <c r="U1629" i="14" s="1"/>
  <c r="I1628" i="14"/>
  <c r="U1628" i="14" s="1"/>
  <c r="I1625" i="14"/>
  <c r="U1625" i="14" s="1"/>
  <c r="I1615" i="14"/>
  <c r="U1615" i="14" s="1"/>
  <c r="I1614" i="14"/>
  <c r="U1614" i="14" s="1"/>
  <c r="I1613" i="14"/>
  <c r="U1613" i="14" s="1"/>
  <c r="I1612" i="14"/>
  <c r="U1612" i="14" s="1"/>
  <c r="I1608" i="14"/>
  <c r="U1608" i="14" s="1"/>
  <c r="I1607" i="14"/>
  <c r="U1607" i="14" s="1"/>
  <c r="I1606" i="14"/>
  <c r="U1606" i="14" s="1"/>
  <c r="I1605" i="14"/>
  <c r="U1605" i="14" s="1"/>
  <c r="I1604" i="14"/>
  <c r="U1604" i="14" s="1"/>
  <c r="I1599" i="14"/>
  <c r="U1599" i="14" s="1"/>
  <c r="I1594" i="14"/>
  <c r="U1594" i="14" s="1"/>
  <c r="I1593" i="14"/>
  <c r="U1593" i="14" s="1"/>
  <c r="I1592" i="14"/>
  <c r="I1590" i="14"/>
  <c r="U1590" i="14" s="1"/>
  <c r="I1584" i="14"/>
  <c r="U1584" i="14" s="1"/>
  <c r="I1583" i="14"/>
  <c r="I1581" i="14"/>
  <c r="U1581" i="14" s="1"/>
  <c r="I1570" i="14"/>
  <c r="U1570" i="14" s="1"/>
  <c r="I1569" i="14"/>
  <c r="U1569" i="14" s="1"/>
  <c r="I1568" i="14"/>
  <c r="I1567" i="14"/>
  <c r="U1567" i="14" s="1"/>
  <c r="I1566" i="14"/>
  <c r="U1566" i="14" s="1"/>
  <c r="I1561" i="14"/>
  <c r="U1561" i="14" s="1"/>
  <c r="I1560" i="14"/>
  <c r="U1560" i="14" s="1"/>
  <c r="I1559" i="14"/>
  <c r="U1559" i="14" s="1"/>
  <c r="I1558" i="14"/>
  <c r="U1558" i="14" s="1"/>
  <c r="I1557" i="14"/>
  <c r="U1557" i="14" s="1"/>
  <c r="I1528" i="14"/>
  <c r="U1528" i="14" s="1"/>
  <c r="I1547" i="14"/>
  <c r="U1547" i="14" s="1"/>
  <c r="I1546" i="14"/>
  <c r="U1546" i="14" s="1"/>
  <c r="I1543" i="14"/>
  <c r="U1543" i="14" s="1"/>
  <c r="I1542" i="14"/>
  <c r="U1542" i="14" s="1"/>
  <c r="I1534" i="14"/>
  <c r="U1534" i="14" s="1"/>
  <c r="I1533" i="14"/>
  <c r="U1533" i="14" s="1"/>
  <c r="I1517" i="14"/>
  <c r="U1517" i="14" s="1"/>
  <c r="I1514" i="14"/>
  <c r="I1513" i="14"/>
  <c r="U1513" i="14" s="1"/>
  <c r="I1505" i="14"/>
  <c r="U1505" i="14" s="1"/>
  <c r="I1504" i="14"/>
  <c r="U1504" i="14" s="1"/>
  <c r="I1492" i="14"/>
  <c r="U1492" i="14" s="1"/>
  <c r="I1490" i="14"/>
  <c r="U1490" i="14" s="1"/>
  <c r="I1484" i="14"/>
  <c r="U1484" i="14" s="1"/>
  <c r="I1483" i="14"/>
  <c r="U1483" i="14" s="1"/>
  <c r="I1482" i="14"/>
  <c r="U1482" i="14" s="1"/>
  <c r="I1479" i="14"/>
  <c r="U1479" i="14" s="1"/>
  <c r="I1478" i="14"/>
  <c r="U1478" i="14" s="1"/>
  <c r="I1471" i="14"/>
  <c r="U1471" i="14" s="1"/>
  <c r="I1469" i="14"/>
  <c r="U1469" i="14" s="1"/>
  <c r="I1468" i="14"/>
  <c r="U1468" i="14" s="1"/>
  <c r="I1466" i="14"/>
  <c r="U1466" i="14" s="1"/>
  <c r="I1465" i="14"/>
  <c r="U1465" i="14" s="1"/>
  <c r="I1463" i="14"/>
  <c r="U1463" i="14" s="1"/>
  <c r="I1461" i="14"/>
  <c r="U1461" i="14" s="1"/>
  <c r="I1460" i="14"/>
  <c r="U1460" i="14" s="1"/>
  <c r="I1457" i="14"/>
  <c r="U1457" i="14" s="1"/>
  <c r="I1455" i="14"/>
  <c r="U1455" i="14" s="1"/>
  <c r="I1454" i="14"/>
  <c r="I1453" i="14"/>
  <c r="U1453" i="14" s="1"/>
  <c r="I1452" i="14"/>
  <c r="U1452" i="14" s="1"/>
  <c r="I1448" i="14"/>
  <c r="U1448" i="14" s="1"/>
  <c r="I1442" i="14"/>
  <c r="U1442" i="14" s="1"/>
  <c r="I1441" i="14"/>
  <c r="U1441" i="14" s="1"/>
  <c r="I1440" i="14"/>
  <c r="U1440" i="14" s="1"/>
  <c r="I1439" i="14"/>
  <c r="U1439" i="14" s="1"/>
  <c r="I1436" i="14"/>
  <c r="U1436" i="14" s="1"/>
  <c r="I1431" i="14"/>
  <c r="U1431" i="14" s="1"/>
  <c r="I1430" i="14"/>
  <c r="U1430" i="14" s="1"/>
  <c r="I1428" i="14"/>
  <c r="U1428" i="14" s="1"/>
  <c r="I1426" i="14"/>
  <c r="U1426" i="14" s="1"/>
  <c r="I1425" i="14"/>
  <c r="U1425" i="14" s="1"/>
  <c r="I1422" i="14"/>
  <c r="U1422" i="14" s="1"/>
  <c r="I1420" i="14"/>
  <c r="I1418" i="14"/>
  <c r="U1418" i="14" s="1"/>
  <c r="I1417" i="14"/>
  <c r="U1417" i="14" s="1"/>
  <c r="I1414" i="14"/>
  <c r="U1414" i="14" s="1"/>
  <c r="I1413" i="14"/>
  <c r="I1412" i="14"/>
  <c r="U1412" i="14" s="1"/>
  <c r="I1410" i="14"/>
  <c r="U1410" i="14" s="1"/>
  <c r="I1409" i="14"/>
  <c r="U1409" i="14" s="1"/>
  <c r="I1407" i="14"/>
  <c r="U1407" i="14" s="1"/>
  <c r="I1406" i="14"/>
  <c r="U1406" i="14" s="1"/>
  <c r="I1405" i="14"/>
  <c r="U1405" i="14" s="1"/>
  <c r="I1404" i="14"/>
  <c r="U1404" i="14" s="1"/>
  <c r="I1402" i="14"/>
  <c r="U1402" i="14" s="1"/>
  <c r="I1401" i="14"/>
  <c r="U1401" i="14" s="1"/>
  <c r="I1398" i="14"/>
  <c r="U1398" i="14" s="1"/>
  <c r="I1397" i="14"/>
  <c r="U1397" i="14" s="1"/>
  <c r="I1396" i="14"/>
  <c r="I1394" i="14"/>
  <c r="U1394" i="14" s="1"/>
  <c r="I1393" i="14"/>
  <c r="U1393" i="14" s="1"/>
  <c r="I1390" i="14"/>
  <c r="U1390" i="14" s="1"/>
  <c r="I1389" i="14"/>
  <c r="I1388" i="14"/>
  <c r="U1388" i="14" s="1"/>
  <c r="I1386" i="14"/>
  <c r="U1386" i="14" s="1"/>
  <c r="I1385" i="14"/>
  <c r="U1385" i="14" s="1"/>
  <c r="I1382" i="14"/>
  <c r="I1381" i="14"/>
  <c r="U1381" i="14" s="1"/>
  <c r="I1380" i="14"/>
  <c r="U1380" i="14" s="1"/>
  <c r="I1378" i="14"/>
  <c r="U1378" i="14" s="1"/>
  <c r="I1377" i="14"/>
  <c r="U1377" i="14" s="1"/>
  <c r="I1374" i="14"/>
  <c r="U1374" i="14" s="1"/>
  <c r="I1373" i="14"/>
  <c r="U1373" i="14" s="1"/>
  <c r="I1372" i="14"/>
  <c r="U1372" i="14" s="1"/>
  <c r="I1369" i="14"/>
  <c r="U1369" i="14" s="1"/>
  <c r="I1366" i="14"/>
  <c r="U1366" i="14" s="1"/>
  <c r="I1365" i="14"/>
  <c r="U1365" i="14" s="1"/>
  <c r="I1364" i="14"/>
  <c r="U1364" i="14" s="1"/>
  <c r="I1362" i="14"/>
  <c r="U1362" i="14" s="1"/>
  <c r="I1361" i="14"/>
  <c r="U1361" i="14" s="1"/>
  <c r="I1358" i="14"/>
  <c r="U1358" i="14" s="1"/>
  <c r="I1357" i="14"/>
  <c r="U1357" i="14" s="1"/>
  <c r="I1356" i="14"/>
  <c r="U1356" i="14" s="1"/>
  <c r="I1354" i="14"/>
  <c r="U1354" i="14" s="1"/>
  <c r="I1353" i="14"/>
  <c r="U1353" i="14" s="1"/>
  <c r="I1350" i="14"/>
  <c r="U1350" i="14" s="1"/>
  <c r="I1349" i="14"/>
  <c r="I1348" i="14"/>
  <c r="U1348" i="14" s="1"/>
  <c r="I1346" i="14"/>
  <c r="U1346" i="14" s="1"/>
  <c r="I1345" i="14"/>
  <c r="U1345" i="14" s="1"/>
  <c r="I1343" i="14"/>
  <c r="I1342" i="14"/>
  <c r="U1342" i="14" s="1"/>
  <c r="I1341" i="14"/>
  <c r="U1341" i="14" s="1"/>
  <c r="I1340" i="14"/>
  <c r="U1340" i="14" s="1"/>
  <c r="I1338" i="14"/>
  <c r="U1338" i="14" s="1"/>
  <c r="I1337" i="14"/>
  <c r="U1337" i="14" s="1"/>
  <c r="I1328" i="14"/>
  <c r="U1328" i="14" s="1"/>
  <c r="I1317" i="14"/>
  <c r="U1317" i="14" s="1"/>
  <c r="I1314" i="14"/>
  <c r="I1309" i="14"/>
  <c r="U1309" i="14" s="1"/>
  <c r="I1308" i="14"/>
  <c r="U1308" i="14" s="1"/>
  <c r="I1251" i="14"/>
  <c r="U1251" i="14" s="1"/>
  <c r="I1246" i="14"/>
  <c r="I1245" i="14"/>
  <c r="U1245" i="14" s="1"/>
  <c r="I1242" i="14"/>
  <c r="U1242" i="14" s="1"/>
  <c r="I1241" i="14"/>
  <c r="U1241" i="14" s="1"/>
  <c r="I1236" i="14"/>
  <c r="U1236" i="14" s="1"/>
  <c r="I1220" i="14"/>
  <c r="U1220" i="14" s="1"/>
  <c r="I1219" i="14"/>
  <c r="U1219" i="14" s="1"/>
  <c r="I1216" i="14"/>
  <c r="U1216" i="14" s="1"/>
  <c r="I1213" i="14"/>
  <c r="U1213" i="14" s="1"/>
  <c r="I1212" i="14"/>
  <c r="U1212" i="14" s="1"/>
  <c r="I1200" i="14"/>
  <c r="U1200" i="14" s="1"/>
  <c r="I1145" i="14"/>
  <c r="U1145" i="14" s="1"/>
  <c r="I1187" i="14"/>
  <c r="U1187" i="14" s="1"/>
  <c r="I1186" i="14"/>
  <c r="U1186" i="14" s="1"/>
  <c r="I1185" i="14"/>
  <c r="I1184" i="14"/>
  <c r="U1184" i="14" s="1"/>
  <c r="I1183" i="14"/>
  <c r="U1183" i="14" s="1"/>
  <c r="I1179" i="14"/>
  <c r="U1179" i="14" s="1"/>
  <c r="I1178" i="14"/>
  <c r="U1178" i="14" s="1"/>
  <c r="I1175" i="14"/>
  <c r="U1175" i="14" s="1"/>
  <c r="I1174" i="14"/>
  <c r="U1174" i="14" s="1"/>
  <c r="I1159" i="14"/>
  <c r="U1159" i="14" s="1"/>
  <c r="I1158" i="14"/>
  <c r="U1158" i="14" s="1"/>
  <c r="I1151" i="14"/>
  <c r="U1151" i="14" s="1"/>
  <c r="I1150" i="14"/>
  <c r="U1150" i="14" s="1"/>
  <c r="I1149" i="14"/>
  <c r="U1149" i="14" s="1"/>
  <c r="I1148" i="14"/>
  <c r="U1148" i="14" s="1"/>
  <c r="I1146" i="14"/>
  <c r="U1146" i="14" s="1"/>
  <c r="I1141" i="14"/>
  <c r="U1141" i="14" s="1"/>
  <c r="I1140" i="14"/>
  <c r="U1140" i="14" s="1"/>
  <c r="I1129" i="14"/>
  <c r="U1129" i="14" s="1"/>
  <c r="I1126" i="14"/>
  <c r="U1126" i="14" s="1"/>
  <c r="I1123" i="14"/>
  <c r="U1123" i="14" s="1"/>
  <c r="I1118" i="14"/>
  <c r="U1118" i="14" s="1"/>
  <c r="I1115" i="14"/>
  <c r="U1115" i="14" s="1"/>
  <c r="I1114" i="14"/>
  <c r="U1114" i="14" s="1"/>
  <c r="I1113" i="14"/>
  <c r="U1113" i="14" s="1"/>
  <c r="I1090" i="14"/>
  <c r="U1090" i="14" s="1"/>
  <c r="I1089" i="14"/>
  <c r="U1089" i="14" s="1"/>
  <c r="I1087" i="14"/>
  <c r="U1087" i="14" s="1"/>
  <c r="I1084" i="14"/>
  <c r="U1084" i="14" s="1"/>
  <c r="I1079" i="14"/>
  <c r="U1079" i="14" s="1"/>
  <c r="I1078" i="14"/>
  <c r="U1078" i="14" s="1"/>
  <c r="I1076" i="14"/>
  <c r="U1076" i="14" s="1"/>
  <c r="I1074" i="14"/>
  <c r="I1070" i="14"/>
  <c r="U1070" i="14" s="1"/>
  <c r="I1053" i="14"/>
  <c r="U1053" i="14" s="1"/>
  <c r="I1049" i="14"/>
  <c r="U1049" i="14" s="1"/>
  <c r="I1048" i="14"/>
  <c r="U1048" i="14" s="1"/>
  <c r="I1043" i="14"/>
  <c r="U1043" i="14" s="1"/>
  <c r="I1042" i="14"/>
  <c r="U1042" i="14" s="1"/>
  <c r="I1038" i="14"/>
  <c r="U1038" i="14" s="1"/>
  <c r="I1037" i="14"/>
  <c r="U1037" i="14" s="1"/>
  <c r="I1034" i="14"/>
  <c r="U1034" i="14" s="1"/>
  <c r="I1033" i="14"/>
  <c r="U1033" i="14" s="1"/>
  <c r="I1022" i="14"/>
  <c r="U1022" i="14" s="1"/>
  <c r="I1021" i="14"/>
  <c r="U1021" i="14" s="1"/>
  <c r="I1019" i="14"/>
  <c r="U1019" i="14" s="1"/>
  <c r="I1018" i="14"/>
  <c r="U1018" i="14" s="1"/>
  <c r="I1017" i="14"/>
  <c r="U1017" i="14" s="1"/>
  <c r="I1012" i="14"/>
  <c r="U1012" i="14" s="1"/>
  <c r="I1011" i="14"/>
  <c r="U1011" i="14" s="1"/>
  <c r="I1009" i="14"/>
  <c r="U1009" i="14" s="1"/>
  <c r="I1008" i="14"/>
  <c r="I1007" i="14"/>
  <c r="U1007" i="14" s="1"/>
  <c r="I991" i="14"/>
  <c r="U991" i="14" s="1"/>
  <c r="I990" i="14"/>
  <c r="U990" i="14" s="1"/>
  <c r="I988" i="14"/>
  <c r="U988" i="14" s="1"/>
  <c r="I987" i="14"/>
  <c r="U987" i="14" s="1"/>
  <c r="I984" i="14"/>
  <c r="U984" i="14" s="1"/>
  <c r="I983" i="14"/>
  <c r="U983" i="14" s="1"/>
  <c r="I981" i="14"/>
  <c r="U981" i="14" s="1"/>
  <c r="I980" i="14"/>
  <c r="U980" i="14" s="1"/>
  <c r="I979" i="14"/>
  <c r="U979" i="14" s="1"/>
  <c r="I978" i="14"/>
  <c r="U978" i="14" s="1"/>
  <c r="L957" i="14"/>
  <c r="K957" i="14"/>
  <c r="J957" i="14"/>
  <c r="L947" i="14"/>
  <c r="K947" i="14"/>
  <c r="J947" i="14"/>
  <c r="I947" i="14"/>
  <c r="U947" i="14" s="1"/>
  <c r="I921" i="14"/>
  <c r="U921" i="14" s="1"/>
  <c r="I717" i="14"/>
  <c r="U717" i="14" s="1"/>
  <c r="E263" i="13"/>
  <c r="E262" i="13"/>
  <c r="E246" i="13"/>
  <c r="E237" i="13"/>
  <c r="E236" i="13"/>
  <c r="E235" i="13"/>
  <c r="I1875" i="14"/>
  <c r="U1875" i="14" s="1"/>
  <c r="I1880" i="14"/>
  <c r="U1880" i="14" s="1"/>
  <c r="I1879" i="14"/>
  <c r="U1879" i="14" s="1"/>
  <c r="I1877" i="14"/>
  <c r="U1877" i="14" s="1"/>
  <c r="I1874" i="14"/>
  <c r="U1874" i="14" s="1"/>
  <c r="I1785" i="14"/>
  <c r="I1780" i="14"/>
  <c r="U1780" i="14" s="1"/>
  <c r="I1779" i="14"/>
  <c r="U1779" i="14" s="1"/>
  <c r="I1765" i="14"/>
  <c r="I1764" i="14" s="1"/>
  <c r="U1764" i="14" s="1"/>
  <c r="I1757" i="14"/>
  <c r="U1757" i="14" s="1"/>
  <c r="U1787" i="14"/>
  <c r="I2133" i="14"/>
  <c r="U2133" i="14" s="1"/>
  <c r="I2134" i="14"/>
  <c r="U2134" i="14" s="1"/>
  <c r="I2132" i="14"/>
  <c r="U2132" i="14" s="1"/>
  <c r="I2131" i="14"/>
  <c r="U2131" i="14" s="1"/>
  <c r="I2146" i="14"/>
  <c r="U2146" i="14" s="1"/>
  <c r="I2143" i="14"/>
  <c r="U2143" i="14" s="1"/>
  <c r="I2126" i="14"/>
  <c r="I2125" i="14" s="1"/>
  <c r="U2125" i="14" s="1"/>
  <c r="I2123" i="14"/>
  <c r="U2123" i="14" s="1"/>
  <c r="I2110" i="14"/>
  <c r="U2110" i="14" s="1"/>
  <c r="I2085" i="14"/>
  <c r="I2084" i="14" s="1"/>
  <c r="U2084" i="14" s="1"/>
  <c r="I2104" i="14"/>
  <c r="U2104" i="14" s="1"/>
  <c r="I2067" i="14"/>
  <c r="U2067" i="14" s="1"/>
  <c r="I2072" i="14"/>
  <c r="U2072" i="14" s="1"/>
  <c r="I2071" i="14"/>
  <c r="U2071" i="14" s="1"/>
  <c r="I2068" i="14"/>
  <c r="U2068" i="14" s="1"/>
  <c r="I2062" i="14"/>
  <c r="U2062" i="14" s="1"/>
  <c r="I2060" i="14"/>
  <c r="U2060" i="14" s="1"/>
  <c r="I2058" i="14"/>
  <c r="U2058" i="14" s="1"/>
  <c r="I2054" i="14"/>
  <c r="U2054" i="14" s="1"/>
  <c r="I2053" i="14"/>
  <c r="U2053" i="14" s="1"/>
  <c r="O2154" i="14"/>
  <c r="U2154" i="14" s="1"/>
  <c r="U2136" i="14"/>
  <c r="O2015" i="14"/>
  <c r="O2009" i="14" s="1"/>
  <c r="U1972" i="14"/>
  <c r="I1979" i="14"/>
  <c r="U1979" i="14" s="1"/>
  <c r="I1967" i="14"/>
  <c r="U1967" i="14" s="1"/>
  <c r="I1941" i="14"/>
  <c r="U1941" i="14" s="1"/>
  <c r="I1940" i="14"/>
  <c r="U1940" i="14" s="1"/>
  <c r="I1932" i="14"/>
  <c r="U1932" i="14" s="1"/>
  <c r="I1900" i="14"/>
  <c r="U1900" i="14" s="1"/>
  <c r="O558" i="14"/>
  <c r="U558" i="14" s="1"/>
  <c r="U462" i="14"/>
  <c r="O2397" i="14"/>
  <c r="U2397" i="14" s="1"/>
  <c r="O2296" i="14"/>
  <c r="U2296" i="14" s="1"/>
  <c r="U2264" i="14"/>
  <c r="I2396" i="14"/>
  <c r="U2396" i="14" s="1"/>
  <c r="I2389" i="14"/>
  <c r="I2388" i="14"/>
  <c r="U2388" i="14" s="1"/>
  <c r="I2387" i="14"/>
  <c r="U2387" i="14" s="1"/>
  <c r="I2379" i="14"/>
  <c r="U2379" i="14" s="1"/>
  <c r="I2381" i="14"/>
  <c r="U2381" i="14" s="1"/>
  <c r="I2380" i="14"/>
  <c r="U2380" i="14" s="1"/>
  <c r="I2378" i="14"/>
  <c r="U2378" i="14" s="1"/>
  <c r="I2377" i="14"/>
  <c r="U2377" i="14" s="1"/>
  <c r="I2375" i="14"/>
  <c r="U2375" i="14" s="1"/>
  <c r="I2374" i="14"/>
  <c r="U2374" i="14" s="1"/>
  <c r="I2370" i="14"/>
  <c r="U2370" i="14" s="1"/>
  <c r="I2368" i="14"/>
  <c r="U2368" i="14" s="1"/>
  <c r="I2366" i="14"/>
  <c r="U2366" i="14" s="1"/>
  <c r="I2354" i="14"/>
  <c r="U2354" i="14" s="1"/>
  <c r="I2363" i="14"/>
  <c r="U2363" i="14" s="1"/>
  <c r="I2359" i="14"/>
  <c r="U2359" i="14" s="1"/>
  <c r="I2355" i="14"/>
  <c r="U2355" i="14" s="1"/>
  <c r="I2332" i="14"/>
  <c r="U2332" i="14" s="1"/>
  <c r="I2331" i="14"/>
  <c r="U2331" i="14" s="1"/>
  <c r="I2330" i="14"/>
  <c r="U2330" i="14" s="1"/>
  <c r="I2304" i="14"/>
  <c r="I2277" i="14"/>
  <c r="U2277" i="14" s="1"/>
  <c r="I2291" i="14"/>
  <c r="U2291" i="14" s="1"/>
  <c r="I2283" i="14"/>
  <c r="I2272" i="14"/>
  <c r="U2272" i="14" s="1"/>
  <c r="I2257" i="14"/>
  <c r="U2257" i="14" s="1"/>
  <c r="I2256" i="14"/>
  <c r="U2256" i="14" s="1"/>
  <c r="I2255" i="14"/>
  <c r="I2245" i="14"/>
  <c r="U2245" i="14" s="1"/>
  <c r="I2250" i="14"/>
  <c r="U2250" i="14" s="1"/>
  <c r="I2248" i="14"/>
  <c r="U2248" i="14" s="1"/>
  <c r="I2243" i="14"/>
  <c r="U2243" i="14" s="1"/>
  <c r="I2242" i="14"/>
  <c r="U2242" i="14" s="1"/>
  <c r="I2227" i="14"/>
  <c r="U2227" i="14" s="1"/>
  <c r="I2224" i="14"/>
  <c r="U2224" i="14" s="1"/>
  <c r="I2204" i="14"/>
  <c r="U2204" i="14" s="1"/>
  <c r="I2199" i="14"/>
  <c r="I2198" i="14" s="1"/>
  <c r="U2198" i="14" s="1"/>
  <c r="I2197" i="14"/>
  <c r="U2197" i="14" s="1"/>
  <c r="I2194" i="14"/>
  <c r="U2194" i="14" s="1"/>
  <c r="I2193" i="14"/>
  <c r="U2193" i="14" s="1"/>
  <c r="I2192" i="14"/>
  <c r="U2192" i="14" s="1"/>
  <c r="I2179" i="14"/>
  <c r="I2176" i="14" s="1"/>
  <c r="I2169" i="14" s="1"/>
  <c r="U2169" i="14" s="1"/>
  <c r="O2418" i="14"/>
  <c r="U2418" i="14" s="1"/>
  <c r="I2415" i="14"/>
  <c r="U2415" i="14" s="1"/>
  <c r="I2411" i="14"/>
  <c r="U2411" i="14" s="1"/>
  <c r="I2428" i="14"/>
  <c r="U2428" i="14" s="1"/>
  <c r="I2427" i="14"/>
  <c r="U2427" i="14" s="1"/>
  <c r="I2426" i="14"/>
  <c r="U2426" i="14" s="1"/>
  <c r="I2425" i="14"/>
  <c r="U2425" i="14" s="1"/>
  <c r="I2423" i="14"/>
  <c r="U2423" i="14" s="1"/>
  <c r="I2422" i="14"/>
  <c r="U2422" i="14" s="1"/>
  <c r="U2419" i="14"/>
  <c r="U1788" i="14"/>
  <c r="I1734" i="14"/>
  <c r="U1734" i="14" s="1"/>
  <c r="I1718" i="14"/>
  <c r="I1708" i="14"/>
  <c r="I1707" i="14" s="1"/>
  <c r="U1707" i="14" s="1"/>
  <c r="M1670" i="14"/>
  <c r="L1670" i="14"/>
  <c r="K1671" i="14"/>
  <c r="K1670" i="14" s="1"/>
  <c r="J1671" i="14"/>
  <c r="J1670" i="14" s="1"/>
  <c r="I1671" i="14"/>
  <c r="U1671" i="14" s="1"/>
  <c r="I690" i="14"/>
  <c r="I689" i="14" s="1"/>
  <c r="U689" i="14" s="1"/>
  <c r="I475" i="14"/>
  <c r="U475" i="14" s="1"/>
  <c r="I474" i="14"/>
  <c r="U474" i="14" s="1"/>
  <c r="I471" i="14"/>
  <c r="U471" i="14" s="1"/>
  <c r="I470" i="14"/>
  <c r="U470" i="14" s="1"/>
  <c r="I458" i="14"/>
  <c r="U458" i="14" s="1"/>
  <c r="K445" i="14"/>
  <c r="K444" i="14" s="1"/>
  <c r="J445" i="14"/>
  <c r="J444" i="14" s="1"/>
  <c r="I445" i="14"/>
  <c r="U445" i="14" s="1"/>
  <c r="O397" i="14"/>
  <c r="U397" i="14" s="1"/>
  <c r="U358" i="14"/>
  <c r="U356" i="14"/>
  <c r="I354" i="14"/>
  <c r="U354" i="14" s="1"/>
  <c r="I347" i="14"/>
  <c r="U347" i="14" s="1"/>
  <c r="I345" i="14"/>
  <c r="U345" i="14" s="1"/>
  <c r="I344" i="14"/>
  <c r="U344" i="14" s="1"/>
  <c r="I389" i="14"/>
  <c r="I401" i="14"/>
  <c r="I400" i="14" s="1"/>
  <c r="I413" i="14"/>
  <c r="U413" i="14" s="1"/>
  <c r="I421" i="14"/>
  <c r="U421" i="14" s="1"/>
  <c r="I417" i="14"/>
  <c r="U417" i="14" s="1"/>
  <c r="I327" i="14"/>
  <c r="U327" i="14" s="1"/>
  <c r="I304" i="14"/>
  <c r="I303" i="14" s="1"/>
  <c r="I302" i="14"/>
  <c r="U302" i="14" s="1"/>
  <c r="I300" i="14"/>
  <c r="U300" i="14" s="1"/>
  <c r="I299" i="14"/>
  <c r="I298" i="14"/>
  <c r="U298" i="14" s="1"/>
  <c r="I286" i="14"/>
  <c r="U286" i="14" s="1"/>
  <c r="I283" i="14"/>
  <c r="U283" i="14" s="1"/>
  <c r="I282" i="14"/>
  <c r="U282" i="14" s="1"/>
  <c r="I268" i="14"/>
  <c r="I265" i="14" s="1"/>
  <c r="U265" i="14" s="1"/>
  <c r="I262" i="14"/>
  <c r="U262" i="14" s="1"/>
  <c r="I258" i="14"/>
  <c r="U258" i="14" s="1"/>
  <c r="I256" i="14"/>
  <c r="U256" i="14" s="1"/>
  <c r="I255" i="14"/>
  <c r="U255" i="14" s="1"/>
  <c r="I251" i="14"/>
  <c r="I248" i="14" s="1"/>
  <c r="U248" i="14" s="1"/>
  <c r="O229" i="14"/>
  <c r="U229" i="14" s="1"/>
  <c r="O224" i="14"/>
  <c r="U224" i="14" s="1"/>
  <c r="O220" i="14"/>
  <c r="U220" i="14" s="1"/>
  <c r="U202" i="14"/>
  <c r="O175" i="14"/>
  <c r="U175" i="14" s="1"/>
  <c r="J9" i="15"/>
  <c r="O59" i="14"/>
  <c r="U59" i="14" s="1"/>
  <c r="O43" i="14"/>
  <c r="U43" i="14" s="1"/>
  <c r="I211" i="14"/>
  <c r="U211" i="14" s="1"/>
  <c r="I208" i="14"/>
  <c r="U208" i="14" s="1"/>
  <c r="I206" i="14"/>
  <c r="U206" i="14" s="1"/>
  <c r="I197" i="14"/>
  <c r="U197" i="14" s="1"/>
  <c r="I156" i="14"/>
  <c r="I155" i="14" s="1"/>
  <c r="I152" i="14"/>
  <c r="I149" i="14" s="1"/>
  <c r="U149" i="14" s="1"/>
  <c r="I143" i="14"/>
  <c r="I142" i="14" s="1"/>
  <c r="U142" i="14" s="1"/>
  <c r="I135" i="14"/>
  <c r="I134" i="14" s="1"/>
  <c r="I132" i="14"/>
  <c r="U132" i="14" s="1"/>
  <c r="I128" i="14"/>
  <c r="I127" i="14" s="1"/>
  <c r="U127" i="14" s="1"/>
  <c r="I70" i="14"/>
  <c r="I69" i="14" s="1"/>
  <c r="I104" i="14"/>
  <c r="U104" i="14" s="1"/>
  <c r="I106" i="14"/>
  <c r="U106" i="14" s="1"/>
  <c r="I91" i="14"/>
  <c r="U91" i="14" s="1"/>
  <c r="I94" i="14"/>
  <c r="U94" i="14" s="1"/>
  <c r="I97" i="14"/>
  <c r="U97" i="14" s="1"/>
  <c r="I76" i="14"/>
  <c r="I75" i="14" s="1"/>
  <c r="U75" i="14" s="1"/>
  <c r="I73" i="14"/>
  <c r="U73" i="14" s="1"/>
  <c r="I54" i="14"/>
  <c r="I53" i="14" s="1"/>
  <c r="U53" i="14" s="1"/>
  <c r="I27" i="14"/>
  <c r="I25" i="14" s="1"/>
  <c r="U25" i="14" s="1"/>
  <c r="I20" i="14"/>
  <c r="I19" i="14" s="1"/>
  <c r="U19" i="14" s="1"/>
  <c r="I17" i="14"/>
  <c r="U17" i="14" s="1"/>
  <c r="I11" i="14"/>
  <c r="U11" i="14" s="1"/>
  <c r="E167" i="13"/>
  <c r="E515" i="13"/>
  <c r="E435" i="13"/>
  <c r="E434" i="13"/>
  <c r="E300" i="13"/>
  <c r="E420" i="13"/>
  <c r="E418" i="13"/>
  <c r="E415" i="13"/>
  <c r="E414" i="13"/>
  <c r="E412" i="13"/>
  <c r="E411" i="13"/>
  <c r="E408" i="13"/>
  <c r="E407" i="13"/>
  <c r="E405" i="13"/>
  <c r="E404" i="13"/>
  <c r="E402" i="13"/>
  <c r="E400" i="13"/>
  <c r="E396" i="13"/>
  <c r="E395" i="13"/>
  <c r="E393" i="13"/>
  <c r="E392" i="13"/>
  <c r="E390" i="13"/>
  <c r="E389" i="13"/>
  <c r="E381" i="13"/>
  <c r="E378" i="13"/>
  <c r="E370" i="13"/>
  <c r="E369" i="13"/>
  <c r="E367" i="13"/>
  <c r="E366" i="13"/>
  <c r="E364" i="13"/>
  <c r="E362" i="13"/>
  <c r="E359" i="13"/>
  <c r="E344" i="13"/>
  <c r="E341" i="13"/>
  <c r="E339" i="13"/>
  <c r="E294" i="13"/>
  <c r="E290" i="13"/>
  <c r="E287" i="13"/>
  <c r="E281" i="13"/>
  <c r="E271" i="13"/>
  <c r="E268" i="13"/>
  <c r="E259" i="13"/>
  <c r="E253" i="13"/>
  <c r="E249" i="13"/>
  <c r="E243" i="13"/>
  <c r="E240" i="13"/>
  <c r="E233" i="13"/>
  <c r="E227" i="13"/>
  <c r="E223" i="13"/>
  <c r="E217" i="13"/>
  <c r="E214" i="13"/>
  <c r="E211" i="13"/>
  <c r="E204" i="13"/>
  <c r="E196" i="13"/>
  <c r="E189" i="13"/>
  <c r="E186" i="13"/>
  <c r="E184" i="13"/>
  <c r="E182" i="13"/>
  <c r="E174" i="13"/>
  <c r="E169" i="13"/>
  <c r="E160" i="13"/>
  <c r="E159" i="13"/>
  <c r="E153" i="13"/>
  <c r="E151" i="13"/>
  <c r="E149" i="13"/>
  <c r="E92" i="13"/>
  <c r="E85" i="13"/>
  <c r="E81" i="13"/>
  <c r="E79" i="13"/>
  <c r="E76" i="13"/>
  <c r="E74" i="13"/>
  <c r="E71" i="13"/>
  <c r="E68" i="13"/>
  <c r="E64" i="13"/>
  <c r="E61" i="13"/>
  <c r="E55" i="13"/>
  <c r="E52" i="13"/>
  <c r="E50" i="13"/>
  <c r="E40" i="13"/>
  <c r="E37" i="13"/>
  <c r="E28" i="13"/>
  <c r="E23" i="13"/>
  <c r="E9" i="13"/>
  <c r="E8" i="13"/>
  <c r="E12" i="13"/>
  <c r="E11" i="13"/>
  <c r="E16" i="13"/>
  <c r="U2302" i="14"/>
  <c r="U2301" i="14"/>
  <c r="U2300" i="14"/>
  <c r="U2299" i="14"/>
  <c r="U2298" i="14"/>
  <c r="U2297" i="14"/>
  <c r="U2295" i="14"/>
  <c r="U2294" i="14"/>
  <c r="Q2418" i="14"/>
  <c r="Q2417" i="14" s="1"/>
  <c r="Q2410" i="14" s="1"/>
  <c r="Q2409" i="14" s="1"/>
  <c r="Q2408" i="14" s="1"/>
  <c r="L19" i="15" s="1"/>
  <c r="Q2342" i="14"/>
  <c r="Q2348" i="14"/>
  <c r="K2315" i="14"/>
  <c r="Q2296" i="14"/>
  <c r="Q2292" i="14" s="1"/>
  <c r="Q2280" i="14" s="1"/>
  <c r="Q2276" i="14" s="1"/>
  <c r="K2244" i="14"/>
  <c r="K2241" i="14" s="1"/>
  <c r="K2231" i="14" s="1"/>
  <c r="Q2233" i="14"/>
  <c r="K2227" i="14"/>
  <c r="K2226" i="14" s="1"/>
  <c r="Q2136" i="14"/>
  <c r="Q2135" i="14" s="1"/>
  <c r="Q2129" i="14" s="1"/>
  <c r="Q2128" i="14" s="1"/>
  <c r="K2085" i="14"/>
  <c r="K2084" i="14" s="1"/>
  <c r="Q2097" i="14"/>
  <c r="Q2043" i="14"/>
  <c r="K2033" i="14"/>
  <c r="Q2015" i="14"/>
  <c r="Q2009" i="14" s="1"/>
  <c r="Q1985" i="14"/>
  <c r="Q2001" i="14"/>
  <c r="K1973" i="14"/>
  <c r="K1970" i="14" s="1"/>
  <c r="Q1948" i="14"/>
  <c r="Q1953" i="14"/>
  <c r="Q1926" i="14"/>
  <c r="Q1899" i="14" s="1"/>
  <c r="J1873" i="14"/>
  <c r="J1870" i="14" s="1"/>
  <c r="J1794" i="14" s="1"/>
  <c r="Q1882" i="14"/>
  <c r="Q1881" i="14" s="1"/>
  <c r="Q1870" i="14" s="1"/>
  <c r="Q1868" i="14"/>
  <c r="Q1773" i="14"/>
  <c r="Q1769" i="14"/>
  <c r="Q1745" i="14"/>
  <c r="Q1740" i="14"/>
  <c r="Q1727" i="14"/>
  <c r="Q1723" i="14"/>
  <c r="K1647" i="14"/>
  <c r="K1644" i="14" s="1"/>
  <c r="K1512" i="14"/>
  <c r="K1503" i="14"/>
  <c r="Q1319" i="14"/>
  <c r="Q1318" i="14" s="1"/>
  <c r="Q1307" i="14" s="1"/>
  <c r="Q1199" i="14" s="1"/>
  <c r="K1283" i="14"/>
  <c r="K1280" i="14" s="1"/>
  <c r="K935" i="14"/>
  <c r="K932" i="14" s="1"/>
  <c r="K931" i="14" s="1"/>
  <c r="K921" i="14"/>
  <c r="Q1133" i="14"/>
  <c r="P1133" i="14"/>
  <c r="K1121" i="14"/>
  <c r="Q1097" i="14"/>
  <c r="Q1102" i="14"/>
  <c r="Q1062" i="14"/>
  <c r="K985" i="14"/>
  <c r="K974" i="14" s="1"/>
  <c r="Q928" i="14"/>
  <c r="Q927" i="14" s="1"/>
  <c r="Q916" i="14"/>
  <c r="Q915" i="14" s="1"/>
  <c r="Q904" i="14" s="1"/>
  <c r="K848" i="14"/>
  <c r="K845" i="14" s="1"/>
  <c r="K825" i="14"/>
  <c r="K822" i="14" s="1"/>
  <c r="K809" i="14"/>
  <c r="K806" i="14" s="1"/>
  <c r="K793" i="14"/>
  <c r="K790" i="14" s="1"/>
  <c r="Q786" i="14"/>
  <c r="Q784" i="14"/>
  <c r="K717" i="14"/>
  <c r="K687" i="14"/>
  <c r="J687" i="14"/>
  <c r="Q558" i="14"/>
  <c r="Q377" i="14"/>
  <c r="Q366" i="14"/>
  <c r="Q360" i="14"/>
  <c r="Q290" i="14"/>
  <c r="Q287" i="14" s="1"/>
  <c r="Q278" i="14" s="1"/>
  <c r="Q277" i="14" s="1"/>
  <c r="Q220" i="14"/>
  <c r="K211" i="14"/>
  <c r="K210" i="14" s="1"/>
  <c r="Q201" i="14"/>
  <c r="Q189" i="14" s="1"/>
  <c r="Q164" i="14"/>
  <c r="K93" i="14"/>
  <c r="H443" i="13"/>
  <c r="H439" i="13"/>
  <c r="H204" i="13"/>
  <c r="H101" i="13"/>
  <c r="H102" i="13"/>
  <c r="H100" i="13"/>
  <c r="H86" i="13"/>
  <c r="H85" i="13"/>
  <c r="H84" i="13"/>
  <c r="H83" i="13"/>
  <c r="H82" i="13"/>
  <c r="H80" i="13"/>
  <c r="H78" i="13"/>
  <c r="H77" i="13"/>
  <c r="H75" i="13"/>
  <c r="H73" i="13"/>
  <c r="H72" i="13"/>
  <c r="H70" i="13"/>
  <c r="H69" i="13"/>
  <c r="H67" i="13"/>
  <c r="H66" i="13"/>
  <c r="H65" i="13"/>
  <c r="H63" i="13"/>
  <c r="H62" i="13"/>
  <c r="H60" i="13"/>
  <c r="H57" i="13"/>
  <c r="H37" i="13"/>
  <c r="L2411" i="14"/>
  <c r="R2342" i="14"/>
  <c r="R2341" i="14" s="1"/>
  <c r="R2329" i="14" s="1"/>
  <c r="R2313" i="14" s="1"/>
  <c r="R2293" i="14"/>
  <c r="R2292" i="14" s="1"/>
  <c r="R2280" i="14" s="1"/>
  <c r="R2276" i="14" s="1"/>
  <c r="L2244" i="14"/>
  <c r="L2241" i="14" s="1"/>
  <c r="L2231" i="14" s="1"/>
  <c r="L2227" i="14"/>
  <c r="L2226" i="14" s="1"/>
  <c r="L2224" i="14"/>
  <c r="L2199" i="14"/>
  <c r="L2198" i="14" s="1"/>
  <c r="L2194" i="14"/>
  <c r="L2191" i="14" s="1"/>
  <c r="L2190" i="14" s="1"/>
  <c r="R2171" i="14"/>
  <c r="R2170" i="14" s="1"/>
  <c r="R2168" i="14" s="1"/>
  <c r="L2085" i="14"/>
  <c r="L2084" i="14" s="1"/>
  <c r="L2012" i="14"/>
  <c r="L2009" i="14" s="1"/>
  <c r="R1999" i="14"/>
  <c r="R2001" i="14"/>
  <c r="R2003" i="14"/>
  <c r="R1984" i="14" s="1"/>
  <c r="L1970" i="14"/>
  <c r="R1953" i="14"/>
  <c r="R1948" i="14"/>
  <c r="L1900" i="14"/>
  <c r="L1899" i="14" s="1"/>
  <c r="R1870" i="14"/>
  <c r="R1823" i="14"/>
  <c r="R1787" i="14"/>
  <c r="R1786" i="14" s="1"/>
  <c r="R1777" i="14" s="1"/>
  <c r="R1767" i="14" s="1"/>
  <c r="R1738" i="14"/>
  <c r="R1731" i="14"/>
  <c r="L1512" i="14"/>
  <c r="L1503" i="14"/>
  <c r="R1657" i="14"/>
  <c r="R1656" i="14" s="1"/>
  <c r="R1644" i="14" s="1"/>
  <c r="R1620" i="14" s="1"/>
  <c r="L1637" i="14"/>
  <c r="L1636" i="14" s="1"/>
  <c r="R1572" i="14"/>
  <c r="R1571" i="14" s="1"/>
  <c r="R1552" i="14" s="1"/>
  <c r="R1549" i="14"/>
  <c r="R1548" i="14" s="1"/>
  <c r="R1527" i="14" s="1"/>
  <c r="S1523" i="14"/>
  <c r="R1523" i="14"/>
  <c r="R1444" i="14"/>
  <c r="R1443" i="14" s="1"/>
  <c r="R1435" i="14" s="1"/>
  <c r="R1433" i="14"/>
  <c r="R1432" i="14" s="1"/>
  <c r="R1424" i="14" s="1"/>
  <c r="L1325" i="14"/>
  <c r="R1322" i="14"/>
  <c r="R1318" i="14" s="1"/>
  <c r="R1307" i="14" s="1"/>
  <c r="L1283" i="14"/>
  <c r="L1280" i="14" s="1"/>
  <c r="R1224" i="14"/>
  <c r="R1223" i="14" s="1"/>
  <c r="R1211" i="14" s="1"/>
  <c r="R1165" i="14"/>
  <c r="R1162" i="14" s="1"/>
  <c r="R1139" i="14" s="1"/>
  <c r="L1160" i="14"/>
  <c r="R1135" i="14"/>
  <c r="R1132" i="14" s="1"/>
  <c r="R1108" i="14" s="1"/>
  <c r="R1097" i="14"/>
  <c r="R1093" i="14"/>
  <c r="L1082" i="14"/>
  <c r="R1062" i="14"/>
  <c r="R1060" i="14"/>
  <c r="L1035" i="14"/>
  <c r="R1028" i="14"/>
  <c r="R1027" i="14" s="1"/>
  <c r="R1002" i="14" s="1"/>
  <c r="L1021" i="14"/>
  <c r="L1015" i="14" s="1"/>
  <c r="L921" i="14"/>
  <c r="R916" i="14"/>
  <c r="R915" i="14" s="1"/>
  <c r="R904" i="14" s="1"/>
  <c r="R870" i="14"/>
  <c r="R869" i="14" s="1"/>
  <c r="R859" i="14" s="1"/>
  <c r="R857" i="14"/>
  <c r="R856" i="14" s="1"/>
  <c r="R845" i="14" s="1"/>
  <c r="R802" i="14"/>
  <c r="R801" i="14" s="1"/>
  <c r="R790" i="14" s="1"/>
  <c r="R737" i="14"/>
  <c r="R734" i="14" s="1"/>
  <c r="R725" i="14" s="1"/>
  <c r="R723" i="14"/>
  <c r="R722" i="14" s="1"/>
  <c r="L717" i="14"/>
  <c r="R558" i="14"/>
  <c r="R488" i="14"/>
  <c r="R487" i="14" s="1"/>
  <c r="R480" i="14" s="1"/>
  <c r="R477" i="14"/>
  <c r="R476" i="14" s="1"/>
  <c r="R465" i="14" s="1"/>
  <c r="L468" i="14"/>
  <c r="L465" i="14" s="1"/>
  <c r="R451" i="14"/>
  <c r="R450" i="14" s="1"/>
  <c r="R444" i="14" s="1"/>
  <c r="R430" i="14"/>
  <c r="R415" i="14" s="1"/>
  <c r="L421" i="14"/>
  <c r="L410" i="14"/>
  <c r="L408" i="14" s="1"/>
  <c r="R356" i="14"/>
  <c r="R358" i="14"/>
  <c r="R310" i="14"/>
  <c r="R175" i="14"/>
  <c r="R48" i="14"/>
  <c r="R59" i="14"/>
  <c r="R58" i="14" s="1"/>
  <c r="R51" i="14" s="1"/>
  <c r="S40" i="15"/>
  <c r="S25" i="15"/>
  <c r="I440" i="13"/>
  <c r="I273" i="13"/>
  <c r="I169" i="13"/>
  <c r="I408" i="13"/>
  <c r="I407" i="13"/>
  <c r="I396" i="13"/>
  <c r="I395" i="13"/>
  <c r="I373" i="13"/>
  <c r="I372" i="13"/>
  <c r="I359" i="13"/>
  <c r="I344" i="13"/>
  <c r="I308" i="13"/>
  <c r="I277" i="13"/>
  <c r="I153" i="13"/>
  <c r="I115" i="13"/>
  <c r="I28" i="13"/>
  <c r="I957" i="14"/>
  <c r="U957" i="14" s="1"/>
  <c r="J2272" i="14"/>
  <c r="J2227" i="14"/>
  <c r="J2226" i="14" s="1"/>
  <c r="P2097" i="14"/>
  <c r="P2093" i="14" s="1"/>
  <c r="P2084" i="14" s="1"/>
  <c r="P2083" i="14" s="1"/>
  <c r="P2076" i="14"/>
  <c r="P2073" i="14" s="1"/>
  <c r="P2063" i="14" s="1"/>
  <c r="P2051" i="14" s="1"/>
  <c r="P2043" i="14"/>
  <c r="J2033" i="14"/>
  <c r="J2012" i="14"/>
  <c r="J2009" i="14" s="1"/>
  <c r="P2003" i="14"/>
  <c r="P2001" i="14"/>
  <c r="P1988" i="14"/>
  <c r="P1985" i="14"/>
  <c r="J1973" i="14"/>
  <c r="J1970" i="14" s="1"/>
  <c r="P1948" i="14"/>
  <c r="P1953" i="14"/>
  <c r="P1884" i="14"/>
  <c r="P1881" i="14" s="1"/>
  <c r="P1870" i="14" s="1"/>
  <c r="P1773" i="14"/>
  <c r="P1769" i="14"/>
  <c r="P1745" i="14"/>
  <c r="P1740" i="14"/>
  <c r="J1647" i="14"/>
  <c r="J1644" i="14" s="1"/>
  <c r="P1575" i="14"/>
  <c r="P1571" i="14" s="1"/>
  <c r="P1552" i="14" s="1"/>
  <c r="P1324" i="14" s="1"/>
  <c r="J1571" i="14"/>
  <c r="J1283" i="14"/>
  <c r="J1280" i="14" s="1"/>
  <c r="P1135" i="14"/>
  <c r="P1102" i="14"/>
  <c r="P1097" i="14"/>
  <c r="J1071" i="14"/>
  <c r="J1082" i="14"/>
  <c r="J935" i="14"/>
  <c r="J932" i="14" s="1"/>
  <c r="J931" i="14" s="1"/>
  <c r="P928" i="14"/>
  <c r="P927" i="14" s="1"/>
  <c r="P786" i="14"/>
  <c r="P784" i="14"/>
  <c r="J921" i="14"/>
  <c r="J848" i="14"/>
  <c r="J845" i="14" s="1"/>
  <c r="J793" i="14"/>
  <c r="J790" i="14" s="1"/>
  <c r="J717" i="14"/>
  <c r="J558" i="14"/>
  <c r="P477" i="14"/>
  <c r="P476" i="14" s="1"/>
  <c r="P465" i="14" s="1"/>
  <c r="J468" i="14"/>
  <c r="J465" i="14" s="1"/>
  <c r="P366" i="14"/>
  <c r="P377" i="14"/>
  <c r="P360" i="14"/>
  <c r="P290" i="14"/>
  <c r="P287" i="14" s="1"/>
  <c r="P278" i="14" s="1"/>
  <c r="P277" i="14" s="1"/>
  <c r="P236" i="14"/>
  <c r="P235" i="14" s="1"/>
  <c r="P231" i="14" s="1"/>
  <c r="P224" i="14"/>
  <c r="P220" i="14"/>
  <c r="J211" i="14"/>
  <c r="J210" i="14" s="1"/>
  <c r="P175" i="14"/>
  <c r="P164" i="14"/>
  <c r="P61" i="14"/>
  <c r="P59" i="14" s="1"/>
  <c r="P58" i="14" s="1"/>
  <c r="P51" i="14" s="1"/>
  <c r="J55" i="14"/>
  <c r="J53" i="14" s="1"/>
  <c r="J51" i="14" s="1"/>
  <c r="G443" i="13"/>
  <c r="K251" i="14"/>
  <c r="K248" i="14" s="1"/>
  <c r="K257" i="14"/>
  <c r="K254" i="14" s="1"/>
  <c r="K268" i="14"/>
  <c r="K265" i="14" s="1"/>
  <c r="K281" i="14"/>
  <c r="K278" i="14" s="1"/>
  <c r="K277" i="14" s="1"/>
  <c r="K296" i="14"/>
  <c r="K293" i="14" s="1"/>
  <c r="K292" i="14" s="1"/>
  <c r="K304" i="14"/>
  <c r="K303" i="14" s="1"/>
  <c r="K327" i="14"/>
  <c r="K326" i="14" s="1"/>
  <c r="K325" i="14" s="1"/>
  <c r="K128" i="14"/>
  <c r="K127" i="14" s="1"/>
  <c r="K132" i="14"/>
  <c r="K131" i="14" s="1"/>
  <c r="K135" i="14"/>
  <c r="K134" i="14" s="1"/>
  <c r="K142" i="14"/>
  <c r="K141" i="14" s="1"/>
  <c r="K152" i="14"/>
  <c r="K149" i="14" s="1"/>
  <c r="K156" i="14"/>
  <c r="K155" i="14" s="1"/>
  <c r="K197" i="14"/>
  <c r="K206" i="14"/>
  <c r="K208" i="14"/>
  <c r="K232" i="14"/>
  <c r="K231" i="14" s="1"/>
  <c r="J208" i="14"/>
  <c r="L208" i="14"/>
  <c r="K91" i="14"/>
  <c r="K97" i="14"/>
  <c r="K104" i="14"/>
  <c r="K106" i="14"/>
  <c r="K11" i="14"/>
  <c r="K10" i="14" s="1"/>
  <c r="K20" i="14"/>
  <c r="K19" i="14" s="1"/>
  <c r="K27" i="14"/>
  <c r="K25" i="14" s="1"/>
  <c r="K34" i="14"/>
  <c r="K32" i="14" s="1"/>
  <c r="K53" i="14"/>
  <c r="K51" i="14" s="1"/>
  <c r="K69" i="14"/>
  <c r="K73" i="14"/>
  <c r="K76" i="14"/>
  <c r="K75" i="14" s="1"/>
  <c r="R2309" i="14"/>
  <c r="R2303" i="14" s="1"/>
  <c r="R2097" i="14"/>
  <c r="R2094" i="14"/>
  <c r="R1968" i="14"/>
  <c r="R1967" i="14" s="1"/>
  <c r="R1936" i="14"/>
  <c r="R1933" i="14" s="1"/>
  <c r="R1928" i="14" s="1"/>
  <c r="R1798" i="14"/>
  <c r="R1745" i="14"/>
  <c r="R1727" i="14"/>
  <c r="R1723" i="14"/>
  <c r="R1596" i="14"/>
  <c r="R1595" i="14" s="1"/>
  <c r="R1577" i="14" s="1"/>
  <c r="R1525" i="14"/>
  <c r="R1520" i="14" s="1"/>
  <c r="R1500" i="14" s="1"/>
  <c r="R1475" i="14"/>
  <c r="R1474" i="14" s="1"/>
  <c r="R1456" i="14" s="1"/>
  <c r="R1191" i="14"/>
  <c r="R1190" i="14" s="1"/>
  <c r="R1170" i="14" s="1"/>
  <c r="R498" i="14"/>
  <c r="R404" i="14"/>
  <c r="R403" i="14" s="1"/>
  <c r="R400" i="14" s="1"/>
  <c r="R377" i="14"/>
  <c r="R366" i="14"/>
  <c r="R316" i="14"/>
  <c r="R229" i="14"/>
  <c r="R224" i="14"/>
  <c r="R220" i="14"/>
  <c r="R164" i="14"/>
  <c r="M9" i="15"/>
  <c r="R43" i="14"/>
  <c r="R40" i="14"/>
  <c r="L2415" i="14"/>
  <c r="L2389" i="14"/>
  <c r="L2386" i="14" s="1"/>
  <c r="L2385" i="14" s="1"/>
  <c r="L2376" i="14"/>
  <c r="L2373" i="14" s="1"/>
  <c r="L2372" i="14" s="1"/>
  <c r="L2368" i="14"/>
  <c r="L2367" i="14" s="1"/>
  <c r="L2365" i="14"/>
  <c r="L2364" i="14" s="1"/>
  <c r="L2356" i="14"/>
  <c r="L2353" i="14" s="1"/>
  <c r="L2352" i="14" s="1"/>
  <c r="L2332" i="14"/>
  <c r="L2329" i="14" s="1"/>
  <c r="L2313" i="14" s="1"/>
  <c r="L2304" i="14"/>
  <c r="L2303" i="14" s="1"/>
  <c r="L2283" i="14"/>
  <c r="L2280" i="14" s="1"/>
  <c r="L2276" i="14" s="1"/>
  <c r="L2272" i="14"/>
  <c r="L2267" i="14"/>
  <c r="L2257" i="14"/>
  <c r="L2254" i="14" s="1"/>
  <c r="L2251" i="14" s="1"/>
  <c r="L2204" i="14"/>
  <c r="L2179" i="14"/>
  <c r="L2176" i="14" s="1"/>
  <c r="L2169" i="14" s="1"/>
  <c r="L2142" i="14"/>
  <c r="L2139" i="14" s="1"/>
  <c r="L2138" i="14" s="1"/>
  <c r="L2130" i="14"/>
  <c r="L2129" i="14" s="1"/>
  <c r="L2128" i="14" s="1"/>
  <c r="L2126" i="14"/>
  <c r="L2125" i="14" s="1"/>
  <c r="L2123" i="14"/>
  <c r="L2122" i="14" s="1"/>
  <c r="L2115" i="14"/>
  <c r="L2110" i="14"/>
  <c r="L2104" i="14"/>
  <c r="L2103" i="14" s="1"/>
  <c r="L2083" i="14" s="1"/>
  <c r="L2066" i="14"/>
  <c r="L2063" i="14" s="1"/>
  <c r="L1941" i="14"/>
  <c r="L1938" i="14" s="1"/>
  <c r="L1929" i="14"/>
  <c r="L1928" i="14" s="1"/>
  <c r="L1873" i="14"/>
  <c r="L1870" i="14" s="1"/>
  <c r="L1795" i="14"/>
  <c r="L1780" i="14"/>
  <c r="L1777" i="14" s="1"/>
  <c r="L1767" i="14" s="1"/>
  <c r="L1765" i="14"/>
  <c r="L1764" i="14" s="1"/>
  <c r="L1757" i="14"/>
  <c r="L1754" i="14" s="1"/>
  <c r="L1734" i="14"/>
  <c r="L1718" i="14"/>
  <c r="L1717" i="14" s="1"/>
  <c r="L1708" i="14"/>
  <c r="L1707" i="14" s="1"/>
  <c r="L1674" i="14"/>
  <c r="L1673" i="14" s="1"/>
  <c r="L1647" i="14"/>
  <c r="L1644" i="14" s="1"/>
  <c r="L1630" i="14"/>
  <c r="L1627" i="14" s="1"/>
  <c r="L1624" i="14"/>
  <c r="L1621" i="14" s="1"/>
  <c r="L1611" i="14"/>
  <c r="L1603" i="14"/>
  <c r="L1599" i="14"/>
  <c r="L1588" i="14"/>
  <c r="L1580" i="14"/>
  <c r="L1564" i="14"/>
  <c r="L1555" i="14"/>
  <c r="L1541" i="14"/>
  <c r="L1532" i="14"/>
  <c r="L1528" i="14"/>
  <c r="L1497" i="14"/>
  <c r="L1488" i="14"/>
  <c r="L1480" i="14"/>
  <c r="L1467" i="14"/>
  <c r="L1459" i="14"/>
  <c r="L1450" i="14"/>
  <c r="L1447" i="14" s="1"/>
  <c r="L1438" i="14"/>
  <c r="L1435" i="14" s="1"/>
  <c r="L1427" i="14"/>
  <c r="L1424" i="14" s="1"/>
  <c r="L1419" i="14"/>
  <c r="L1416" i="14" s="1"/>
  <c r="L1411" i="14"/>
  <c r="L1408" i="14" s="1"/>
  <c r="L1403" i="14"/>
  <c r="L1400" i="14" s="1"/>
  <c r="L1395" i="14"/>
  <c r="L1392" i="14" s="1"/>
  <c r="L1387" i="14"/>
  <c r="L1384" i="14" s="1"/>
  <c r="L1379" i="14"/>
  <c r="L1376" i="14" s="1"/>
  <c r="L1371" i="14"/>
  <c r="L1368" i="14" s="1"/>
  <c r="L1363" i="14"/>
  <c r="L1360" i="14" s="1"/>
  <c r="L1355" i="14"/>
  <c r="L1352" i="14" s="1"/>
  <c r="L1347" i="14"/>
  <c r="L1344" i="14" s="1"/>
  <c r="L1339" i="14"/>
  <c r="L1336" i="14" s="1"/>
  <c r="L1328" i="14"/>
  <c r="L1310" i="14"/>
  <c r="L1307" i="14" s="1"/>
  <c r="L1301" i="14"/>
  <c r="L1298" i="14" s="1"/>
  <c r="L1292" i="14"/>
  <c r="L1289" i="14" s="1"/>
  <c r="L1274" i="14"/>
  <c r="L1271" i="14" s="1"/>
  <c r="L1265" i="14"/>
  <c r="L1262" i="14" s="1"/>
  <c r="L1256" i="14"/>
  <c r="L1253" i="14" s="1"/>
  <c r="L1247" i="14"/>
  <c r="L1244" i="14" s="1"/>
  <c r="L1238" i="14"/>
  <c r="L1235" i="14" s="1"/>
  <c r="L1230" i="14"/>
  <c r="L1227" i="14" s="1"/>
  <c r="L1226" i="14" s="1"/>
  <c r="L1214" i="14"/>
  <c r="L1211" i="14" s="1"/>
  <c r="L1200" i="14"/>
  <c r="L1182" i="14"/>
  <c r="L1173" i="14"/>
  <c r="L1152" i="14"/>
  <c r="L1142" i="14"/>
  <c r="L1121" i="14"/>
  <c r="L1111" i="14"/>
  <c r="L1071" i="14"/>
  <c r="L1046" i="14"/>
  <c r="L1032" i="14" s="1"/>
  <c r="L1005" i="14"/>
  <c r="L985" i="14"/>
  <c r="L935" i="14"/>
  <c r="L932" i="14" s="1"/>
  <c r="L931" i="14" s="1"/>
  <c r="L907" i="14"/>
  <c r="L904" i="14" s="1"/>
  <c r="L897" i="14"/>
  <c r="L894" i="14" s="1"/>
  <c r="L884" i="14"/>
  <c r="L881" i="14" s="1"/>
  <c r="L875" i="14"/>
  <c r="L872" i="14" s="1"/>
  <c r="L862" i="14"/>
  <c r="L859" i="14" s="1"/>
  <c r="L848" i="14"/>
  <c r="L845" i="14" s="1"/>
  <c r="L839" i="14"/>
  <c r="L836" i="14" s="1"/>
  <c r="L825" i="14"/>
  <c r="L822" i="14" s="1"/>
  <c r="L809" i="14"/>
  <c r="L806" i="14" s="1"/>
  <c r="L793" i="14"/>
  <c r="L790" i="14" s="1"/>
  <c r="L777" i="14"/>
  <c r="L774" i="14" s="1"/>
  <c r="L767" i="14"/>
  <c r="L764" i="14" s="1"/>
  <c r="L754" i="14"/>
  <c r="L751" i="14" s="1"/>
  <c r="L742" i="14"/>
  <c r="L739" i="14" s="1"/>
  <c r="L728" i="14"/>
  <c r="L725" i="14" s="1"/>
  <c r="L703" i="14"/>
  <c r="L700" i="14" s="1"/>
  <c r="L690" i="14"/>
  <c r="L689" i="14" s="1"/>
  <c r="L481" i="14"/>
  <c r="L480" i="14" s="1"/>
  <c r="L458" i="14"/>
  <c r="L457" i="14" s="1"/>
  <c r="L445" i="14"/>
  <c r="L444" i="14" s="1"/>
  <c r="L417" i="14"/>
  <c r="L401" i="14"/>
  <c r="L400" i="14" s="1"/>
  <c r="L389" i="14"/>
  <c r="L386" i="14" s="1"/>
  <c r="L363" i="14"/>
  <c r="L346" i="14"/>
  <c r="L343" i="14" s="1"/>
  <c r="L327" i="14"/>
  <c r="L326" i="14" s="1"/>
  <c r="L325" i="14" s="1"/>
  <c r="L304" i="14"/>
  <c r="L303" i="14" s="1"/>
  <c r="L296" i="14"/>
  <c r="L293" i="14" s="1"/>
  <c r="L292" i="14" s="1"/>
  <c r="L281" i="14"/>
  <c r="L278" i="14" s="1"/>
  <c r="L277" i="14" s="1"/>
  <c r="L268" i="14"/>
  <c r="L265" i="14" s="1"/>
  <c r="L257" i="14"/>
  <c r="L254" i="14" s="1"/>
  <c r="L251" i="14"/>
  <c r="L248" i="14" s="1"/>
  <c r="L232" i="14"/>
  <c r="L231" i="14" s="1"/>
  <c r="L211" i="14"/>
  <c r="L210" i="14" s="1"/>
  <c r="L206" i="14"/>
  <c r="L205" i="14" s="1"/>
  <c r="L197" i="14"/>
  <c r="L156" i="14"/>
  <c r="L155" i="14" s="1"/>
  <c r="L152" i="14"/>
  <c r="L149" i="14" s="1"/>
  <c r="L142" i="14"/>
  <c r="L141" i="14" s="1"/>
  <c r="L135" i="14"/>
  <c r="L134" i="14" s="1"/>
  <c r="L132" i="14"/>
  <c r="L131" i="14" s="1"/>
  <c r="L128" i="14"/>
  <c r="L127" i="14" s="1"/>
  <c r="L106" i="14"/>
  <c r="L104" i="14"/>
  <c r="L97" i="14"/>
  <c r="L93" i="14"/>
  <c r="L91" i="14"/>
  <c r="L76" i="14"/>
  <c r="L75" i="14" s="1"/>
  <c r="L73" i="14"/>
  <c r="L69" i="14"/>
  <c r="L53" i="14"/>
  <c r="L51" i="14" s="1"/>
  <c r="L34" i="14"/>
  <c r="L32" i="14" s="1"/>
  <c r="L27" i="14"/>
  <c r="L25" i="14" s="1"/>
  <c r="L20" i="14"/>
  <c r="L19" i="14" s="1"/>
  <c r="L11" i="14"/>
  <c r="L10" i="14" s="1"/>
  <c r="E440" i="13"/>
  <c r="E430" i="13"/>
  <c r="E429" i="13"/>
  <c r="E57" i="13"/>
  <c r="I430" i="13"/>
  <c r="I429" i="13"/>
  <c r="I435" i="13"/>
  <c r="I434" i="13"/>
  <c r="I515" i="13"/>
  <c r="I514" i="13"/>
  <c r="I9" i="13"/>
  <c r="I12" i="13"/>
  <c r="I11" i="13"/>
  <c r="I16" i="13"/>
  <c r="I23" i="13"/>
  <c r="I37" i="13"/>
  <c r="I40" i="13"/>
  <c r="I47" i="13"/>
  <c r="I46" i="13"/>
  <c r="I50" i="13"/>
  <c r="I52" i="13"/>
  <c r="I55" i="13"/>
  <c r="I57" i="13"/>
  <c r="I61" i="13"/>
  <c r="I64" i="13"/>
  <c r="I68" i="13"/>
  <c r="I71" i="13"/>
  <c r="I74" i="13"/>
  <c r="I76" i="13"/>
  <c r="I79" i="13"/>
  <c r="I81" i="13"/>
  <c r="I85" i="13"/>
  <c r="I92" i="13"/>
  <c r="I88" i="13"/>
  <c r="I95" i="13"/>
  <c r="I99" i="13"/>
  <c r="I103" i="13"/>
  <c r="I107" i="13"/>
  <c r="I111" i="13"/>
  <c r="I120" i="13"/>
  <c r="I125" i="13"/>
  <c r="I129" i="13"/>
  <c r="I133" i="13"/>
  <c r="I137" i="13"/>
  <c r="I141" i="13"/>
  <c r="I145" i="13"/>
  <c r="I149" i="13"/>
  <c r="I151" i="13"/>
  <c r="I156" i="13"/>
  <c r="I159" i="13"/>
  <c r="I167" i="13"/>
  <c r="I174" i="13"/>
  <c r="I182" i="13"/>
  <c r="I184" i="13"/>
  <c r="I186" i="13"/>
  <c r="I189" i="13"/>
  <c r="I196" i="13"/>
  <c r="I204" i="13"/>
  <c r="I211" i="13"/>
  <c r="I214" i="13"/>
  <c r="I217" i="13"/>
  <c r="I219" i="13"/>
  <c r="I223" i="13"/>
  <c r="I227" i="13"/>
  <c r="I229" i="13"/>
  <c r="I233" i="13"/>
  <c r="I236" i="13"/>
  <c r="I238" i="13"/>
  <c r="I240" i="13"/>
  <c r="I243" i="13"/>
  <c r="I245" i="13"/>
  <c r="I249" i="13"/>
  <c r="I253" i="13"/>
  <c r="I255" i="13"/>
  <c r="I259" i="13"/>
  <c r="I262" i="13"/>
  <c r="I264" i="13"/>
  <c r="I268" i="13"/>
  <c r="I271" i="13"/>
  <c r="I281" i="13"/>
  <c r="I283" i="13"/>
  <c r="I287" i="13"/>
  <c r="I290" i="13"/>
  <c r="I292" i="13"/>
  <c r="I294" i="13"/>
  <c r="I300" i="13"/>
  <c r="I339" i="13"/>
  <c r="I341" i="13"/>
  <c r="I362" i="13"/>
  <c r="I364" i="13"/>
  <c r="I367" i="13"/>
  <c r="I366" i="13"/>
  <c r="I370" i="13"/>
  <c r="I378" i="13"/>
  <c r="I381" i="13"/>
  <c r="I390" i="13"/>
  <c r="I389" i="13"/>
  <c r="I393" i="13"/>
  <c r="I392" i="13"/>
  <c r="I400" i="13"/>
  <c r="I402" i="13"/>
  <c r="I399" i="13"/>
  <c r="I405" i="13"/>
  <c r="I404" i="13"/>
  <c r="I412" i="13"/>
  <c r="I411" i="13"/>
  <c r="I415" i="13"/>
  <c r="I414" i="13"/>
  <c r="I418" i="13"/>
  <c r="I420" i="13"/>
  <c r="I417" i="13"/>
  <c r="J435" i="13"/>
  <c r="J434" i="13"/>
  <c r="M251" i="14"/>
  <c r="M248" i="14" s="1"/>
  <c r="Q146" i="14"/>
  <c r="Q145" i="14" s="1"/>
  <c r="Q141" i="14" s="1"/>
  <c r="Q43" i="14"/>
  <c r="Q1139" i="14"/>
  <c r="H344" i="13"/>
  <c r="K2199" i="14"/>
  <c r="K2198" i="14" s="1"/>
  <c r="Q2239" i="14"/>
  <c r="Q2036" i="14"/>
  <c r="Q2035" i="14" s="1"/>
  <c r="Q224" i="14"/>
  <c r="K2365" i="14"/>
  <c r="K2364" i="14" s="1"/>
  <c r="K1630" i="14"/>
  <c r="K1627" i="14" s="1"/>
  <c r="K1182" i="14"/>
  <c r="K1152" i="14"/>
  <c r="K1046" i="14"/>
  <c r="K1015" i="14"/>
  <c r="K1082" i="14"/>
  <c r="K703" i="14"/>
  <c r="K700" i="14" s="1"/>
  <c r="K2411" i="14"/>
  <c r="K2224" i="14"/>
  <c r="K2194" i="14"/>
  <c r="K2191" i="14" s="1"/>
  <c r="K2190" i="14" s="1"/>
  <c r="K1941" i="14"/>
  <c r="K1938" i="14" s="1"/>
  <c r="Q1714" i="14"/>
  <c r="Q1713" i="14" s="1"/>
  <c r="Q1707" i="14" s="1"/>
  <c r="K1637" i="14"/>
  <c r="K1636" i="14" s="1"/>
  <c r="K1642" i="14"/>
  <c r="K1641" i="14" s="1"/>
  <c r="Q1575" i="14"/>
  <c r="K1325" i="14"/>
  <c r="K468" i="14"/>
  <c r="K465" i="14" s="1"/>
  <c r="K421" i="14"/>
  <c r="K410" i="14"/>
  <c r="K408" i="14" s="1"/>
  <c r="Q316" i="14"/>
  <c r="Q310" i="14"/>
  <c r="S229" i="14"/>
  <c r="J2411" i="14"/>
  <c r="J2224" i="14"/>
  <c r="J2194" i="14"/>
  <c r="J2191" i="14" s="1"/>
  <c r="J2190" i="14" s="1"/>
  <c r="J2085" i="14"/>
  <c r="J2084" i="14" s="1"/>
  <c r="J1941" i="14"/>
  <c r="J1938" i="14" s="1"/>
  <c r="J1708" i="14"/>
  <c r="J1707" i="14" s="1"/>
  <c r="P1170" i="14"/>
  <c r="P1139" i="14"/>
  <c r="P761" i="14"/>
  <c r="P760" i="14" s="1"/>
  <c r="P751" i="14" s="1"/>
  <c r="H381" i="13"/>
  <c r="H156" i="13"/>
  <c r="T43" i="15"/>
  <c r="T40" i="15"/>
  <c r="T25" i="15"/>
  <c r="S462" i="14"/>
  <c r="S461" i="14" s="1"/>
  <c r="S457" i="14" s="1"/>
  <c r="S456" i="14" s="1"/>
  <c r="M2427" i="14"/>
  <c r="M2424" i="14" s="1"/>
  <c r="M2421" i="14" s="1"/>
  <c r="M2415" i="14"/>
  <c r="M2411" i="14"/>
  <c r="S2235" i="14"/>
  <c r="S2232" i="14" s="1"/>
  <c r="S2231" i="14" s="1"/>
  <c r="S2230" i="14" s="1"/>
  <c r="M2395" i="14"/>
  <c r="M2389" i="14" s="1"/>
  <c r="M2386" i="14" s="1"/>
  <c r="M2385" i="14" s="1"/>
  <c r="M2376" i="14"/>
  <c r="M2373" i="14" s="1"/>
  <c r="M2372" i="14" s="1"/>
  <c r="M2368" i="14"/>
  <c r="M2367" i="14" s="1"/>
  <c r="M2365" i="14"/>
  <c r="M2364" i="14" s="1"/>
  <c r="M2362" i="14"/>
  <c r="M2356" i="14" s="1"/>
  <c r="M2353" i="14" s="1"/>
  <c r="M2352" i="14" s="1"/>
  <c r="S2348" i="14"/>
  <c r="S2341" i="14" s="1"/>
  <c r="S2329" i="14" s="1"/>
  <c r="S2313" i="14" s="1"/>
  <c r="M2339" i="14"/>
  <c r="M2332" i="14" s="1"/>
  <c r="M2329" i="14" s="1"/>
  <c r="M2318" i="14"/>
  <c r="M2317" i="14" s="1"/>
  <c r="M2315" i="14"/>
  <c r="S2310" i="14"/>
  <c r="S2309" i="14" s="1"/>
  <c r="S2303" i="14" s="1"/>
  <c r="M2304" i="14"/>
  <c r="M2303" i="14" s="1"/>
  <c r="S2296" i="14"/>
  <c r="S2293" i="14"/>
  <c r="M2290" i="14"/>
  <c r="M2283" i="14" s="1"/>
  <c r="M2280" i="14" s="1"/>
  <c r="M2277" i="14"/>
  <c r="M2267" i="14"/>
  <c r="M2262" i="14"/>
  <c r="M2257" i="14" s="1"/>
  <c r="M2254" i="14" s="1"/>
  <c r="M2252" i="14"/>
  <c r="M2244" i="14"/>
  <c r="M2241" i="14" s="1"/>
  <c r="M2231" i="14" s="1"/>
  <c r="M2204" i="14"/>
  <c r="M2203" i="14" s="1"/>
  <c r="M2199" i="14"/>
  <c r="M2198" i="14" s="1"/>
  <c r="S2188" i="14"/>
  <c r="S2185" i="14" s="1"/>
  <c r="S2176" i="14" s="1"/>
  <c r="S2169" i="14" s="1"/>
  <c r="M2183" i="14"/>
  <c r="M2179" i="14" s="1"/>
  <c r="M2176" i="14" s="1"/>
  <c r="M2169" i="14" s="1"/>
  <c r="M2168" i="14" s="1"/>
  <c r="J421" i="14"/>
  <c r="P310" i="14"/>
  <c r="P309" i="14" s="1"/>
  <c r="P303" i="14" s="1"/>
  <c r="J156" i="14"/>
  <c r="J155" i="14" s="1"/>
  <c r="G381" i="13"/>
  <c r="M2148" i="14"/>
  <c r="M2142" i="14" s="1"/>
  <c r="M2139" i="14" s="1"/>
  <c r="M2138" i="14" s="1"/>
  <c r="M2130" i="14"/>
  <c r="M2129" i="14" s="1"/>
  <c r="M2128" i="14" s="1"/>
  <c r="S2120" i="14"/>
  <c r="S2119" i="14" s="1"/>
  <c r="S2109" i="14" s="1"/>
  <c r="M2123" i="14"/>
  <c r="M2122" i="14" s="1"/>
  <c r="M2113" i="14"/>
  <c r="M2110" i="14"/>
  <c r="M2104" i="14"/>
  <c r="M2103" i="14" s="1"/>
  <c r="S2094" i="14"/>
  <c r="S2097" i="14"/>
  <c r="M2085" i="14"/>
  <c r="M2084" i="14" s="1"/>
  <c r="M2071" i="14"/>
  <c r="M2066" i="14" s="1"/>
  <c r="M2063" i="14" s="1"/>
  <c r="M2061" i="14"/>
  <c r="M2055" i="14" s="1"/>
  <c r="M2052" i="14" s="1"/>
  <c r="S2051" i="14"/>
  <c r="S2003" i="14"/>
  <c r="S1984" i="14" s="1"/>
  <c r="S1970" i="14" s="1"/>
  <c r="M1973" i="14"/>
  <c r="M1970" i="14" s="1"/>
  <c r="S1968" i="14"/>
  <c r="S1967" i="14" s="1"/>
  <c r="S1948" i="14"/>
  <c r="S1947" i="14" s="1"/>
  <c r="S1938" i="14" s="1"/>
  <c r="M1941" i="14"/>
  <c r="M1938" i="14" s="1"/>
  <c r="S1934" i="14"/>
  <c r="S1936" i="14"/>
  <c r="M1929" i="14"/>
  <c r="M1928" i="14" s="1"/>
  <c r="N1898" i="14"/>
  <c r="M1900" i="14"/>
  <c r="M1899" i="14" s="1"/>
  <c r="M1674" i="14"/>
  <c r="M1673" i="14" s="1"/>
  <c r="M1734" i="14"/>
  <c r="M1879" i="14"/>
  <c r="M1873" i="14" s="1"/>
  <c r="M1870" i="14" s="1"/>
  <c r="S1868" i="14"/>
  <c r="S1823" i="14"/>
  <c r="S1798" i="14"/>
  <c r="M1795" i="14"/>
  <c r="M1784" i="14"/>
  <c r="M1780" i="14" s="1"/>
  <c r="M1777" i="14" s="1"/>
  <c r="M1767" i="14" s="1"/>
  <c r="S1769" i="14"/>
  <c r="S1773" i="14"/>
  <c r="M1765" i="14"/>
  <c r="M1764" i="14" s="1"/>
  <c r="M1762" i="14"/>
  <c r="M1757" i="14" s="1"/>
  <c r="M1754" i="14" s="1"/>
  <c r="S1745" i="14"/>
  <c r="S1737" i="14" s="1"/>
  <c r="S1733" i="14" s="1"/>
  <c r="S1727" i="14"/>
  <c r="S1723" i="14"/>
  <c r="M1718" i="14"/>
  <c r="M1717" i="14" s="1"/>
  <c r="M1708" i="14"/>
  <c r="M1707" i="14" s="1"/>
  <c r="M1325" i="14"/>
  <c r="M1654" i="14"/>
  <c r="M1647" i="14" s="1"/>
  <c r="M1644" i="14" s="1"/>
  <c r="M1637" i="14"/>
  <c r="M1636" i="14" s="1"/>
  <c r="M1633" i="14"/>
  <c r="M1630" i="14" s="1"/>
  <c r="M1627" i="14" s="1"/>
  <c r="M1624" i="14"/>
  <c r="M1621" i="14" s="1"/>
  <c r="S1618" i="14"/>
  <c r="S1617" i="14" s="1"/>
  <c r="S1598" i="14" s="1"/>
  <c r="M1611" i="14"/>
  <c r="M1603" i="14"/>
  <c r="M1599" i="14"/>
  <c r="S1596" i="14"/>
  <c r="S1595" i="14" s="1"/>
  <c r="S1577" i="14" s="1"/>
  <c r="M1591" i="14"/>
  <c r="M1588" i="14" s="1"/>
  <c r="M1580" i="14"/>
  <c r="M1555" i="14"/>
  <c r="M1564" i="14"/>
  <c r="S1549" i="14"/>
  <c r="S1548" i="14" s="1"/>
  <c r="S1527" i="14" s="1"/>
  <c r="M1541" i="14"/>
  <c r="M1532" i="14"/>
  <c r="M1528" i="14"/>
  <c r="S1521" i="14"/>
  <c r="S1525" i="14"/>
  <c r="M1503" i="14"/>
  <c r="M1514" i="14"/>
  <c r="M1512" i="14" s="1"/>
  <c r="M1498" i="14"/>
  <c r="M1497" i="14" s="1"/>
  <c r="S1495" i="14"/>
  <c r="S1494" i="14" s="1"/>
  <c r="S1477" i="14" s="1"/>
  <c r="M1488" i="14"/>
  <c r="M1480" i="14"/>
  <c r="N1456" i="14"/>
  <c r="S1475" i="14"/>
  <c r="S1474" i="14" s="1"/>
  <c r="S1456" i="14" s="1"/>
  <c r="M1467" i="14"/>
  <c r="M1459" i="14"/>
  <c r="M1450" i="14"/>
  <c r="M1447" i="14" s="1"/>
  <c r="M1438" i="14"/>
  <c r="M1435" i="14" s="1"/>
  <c r="M1427" i="14"/>
  <c r="M1424" i="14" s="1"/>
  <c r="M1419" i="14"/>
  <c r="M1416" i="14" s="1"/>
  <c r="M1411" i="14"/>
  <c r="M1408" i="14" s="1"/>
  <c r="M1403" i="14"/>
  <c r="M1400" i="14" s="1"/>
  <c r="M1395" i="14"/>
  <c r="M1392" i="14" s="1"/>
  <c r="M1387" i="14"/>
  <c r="M1384" i="14" s="1"/>
  <c r="M1379" i="14"/>
  <c r="M1376" i="14" s="1"/>
  <c r="M1371" i="14"/>
  <c r="M1368" i="14" s="1"/>
  <c r="M1363" i="14"/>
  <c r="M1360" i="14" s="1"/>
  <c r="M1355" i="14"/>
  <c r="M1352" i="14" s="1"/>
  <c r="M1347" i="14"/>
  <c r="M1344" i="14" s="1"/>
  <c r="M1339" i="14"/>
  <c r="M1336" i="14" s="1"/>
  <c r="M1316" i="14"/>
  <c r="M1310" i="14" s="1"/>
  <c r="M1307" i="14" s="1"/>
  <c r="M1301" i="14"/>
  <c r="M1298" i="14" s="1"/>
  <c r="M1292" i="14"/>
  <c r="M1289" i="14" s="1"/>
  <c r="M1283" i="14"/>
  <c r="M1280" i="14" s="1"/>
  <c r="M1274" i="14"/>
  <c r="M1271" i="14" s="1"/>
  <c r="M1265" i="14"/>
  <c r="M1262" i="14" s="1"/>
  <c r="M1256" i="14"/>
  <c r="M1253" i="14" s="1"/>
  <c r="M1247" i="14"/>
  <c r="M1244" i="14" s="1"/>
  <c r="M1238" i="14"/>
  <c r="M1235" i="14" s="1"/>
  <c r="M1230" i="14"/>
  <c r="M1227" i="14" s="1"/>
  <c r="M1226" i="14" s="1"/>
  <c r="M1221" i="14"/>
  <c r="M1214" i="14" s="1"/>
  <c r="M1211" i="14" s="1"/>
  <c r="S1191" i="14"/>
  <c r="S1190" i="14" s="1"/>
  <c r="S1170" i="14" s="1"/>
  <c r="M1186" i="14"/>
  <c r="M1182" i="14" s="1"/>
  <c r="M1173" i="14"/>
  <c r="N1139" i="14"/>
  <c r="S1163" i="14"/>
  <c r="S1165" i="14"/>
  <c r="M1158" i="14"/>
  <c r="M1152" i="14" s="1"/>
  <c r="M1142" i="14"/>
  <c r="M1128" i="14"/>
  <c r="M1121" i="14" s="1"/>
  <c r="M1117" i="14"/>
  <c r="M1111" i="14" s="1"/>
  <c r="S1093" i="14"/>
  <c r="S1097" i="14"/>
  <c r="S1102" i="14"/>
  <c r="M1089" i="14"/>
  <c r="M1082" i="14" s="1"/>
  <c r="M1071" i="14"/>
  <c r="S1058" i="14"/>
  <c r="S1057" i="14" s="1"/>
  <c r="S1032" i="14" s="1"/>
  <c r="M1053" i="14"/>
  <c r="M1046" i="14" s="1"/>
  <c r="M1035" i="14"/>
  <c r="S1028" i="14"/>
  <c r="S1027" i="14" s="1"/>
  <c r="S1002" i="14" s="1"/>
  <c r="M1021" i="14"/>
  <c r="M1015" i="14" s="1"/>
  <c r="M1005" i="14"/>
  <c r="M991" i="14"/>
  <c r="M985" i="14" s="1"/>
  <c r="S968" i="14"/>
  <c r="S967" i="14" s="1"/>
  <c r="S944" i="14" s="1"/>
  <c r="M963" i="14"/>
  <c r="M957" i="14" s="1"/>
  <c r="M953" i="14"/>
  <c r="M947" i="14" s="1"/>
  <c r="M941" i="14"/>
  <c r="M935" i="14" s="1"/>
  <c r="M932" i="14" s="1"/>
  <c r="M931" i="14" s="1"/>
  <c r="S916" i="14"/>
  <c r="S915" i="14" s="1"/>
  <c r="S904" i="14" s="1"/>
  <c r="M907" i="14"/>
  <c r="M904" i="14" s="1"/>
  <c r="M897" i="14"/>
  <c r="M894" i="14" s="1"/>
  <c r="S891" i="14"/>
  <c r="S890" i="14" s="1"/>
  <c r="S881" i="14" s="1"/>
  <c r="M884" i="14"/>
  <c r="M881" i="14" s="1"/>
  <c r="M875" i="14"/>
  <c r="M872" i="14" s="1"/>
  <c r="M862" i="14"/>
  <c r="M859" i="14" s="1"/>
  <c r="M848" i="14"/>
  <c r="M845" i="14" s="1"/>
  <c r="S833" i="14"/>
  <c r="S832" i="14" s="1"/>
  <c r="S822" i="14" s="1"/>
  <c r="M839" i="14"/>
  <c r="M836" i="14" s="1"/>
  <c r="M825" i="14"/>
  <c r="M822" i="14" s="1"/>
  <c r="S817" i="14"/>
  <c r="S816" i="14" s="1"/>
  <c r="S806" i="14" s="1"/>
  <c r="M809" i="14"/>
  <c r="M806" i="14" s="1"/>
  <c r="M793" i="14"/>
  <c r="M790" i="14" s="1"/>
  <c r="S786" i="14"/>
  <c r="S783" i="14" s="1"/>
  <c r="S774" i="14" s="1"/>
  <c r="M777" i="14"/>
  <c r="M774" i="14" s="1"/>
  <c r="M767" i="14"/>
  <c r="M764" i="14" s="1"/>
  <c r="S761" i="14"/>
  <c r="S760" i="14" s="1"/>
  <c r="S751" i="14" s="1"/>
  <c r="M754" i="14"/>
  <c r="M751" i="14" s="1"/>
  <c r="M742" i="14"/>
  <c r="M739" i="14" s="1"/>
  <c r="M728" i="14"/>
  <c r="M725" i="14" s="1"/>
  <c r="M708" i="14"/>
  <c r="M703" i="14" s="1"/>
  <c r="M700" i="14" s="1"/>
  <c r="M690" i="14"/>
  <c r="M689" i="14" s="1"/>
  <c r="S558" i="14"/>
  <c r="S498" i="14"/>
  <c r="S496" i="14"/>
  <c r="M481" i="14"/>
  <c r="M480" i="14" s="1"/>
  <c r="M474" i="14"/>
  <c r="M468" i="14" s="1"/>
  <c r="M465" i="14" s="1"/>
  <c r="M458" i="14"/>
  <c r="S453" i="14"/>
  <c r="S450" i="14" s="1"/>
  <c r="S444" i="14" s="1"/>
  <c r="M445" i="14"/>
  <c r="M444" i="14" s="1"/>
  <c r="S426" i="14"/>
  <c r="S428" i="14"/>
  <c r="M418" i="14"/>
  <c r="M417" i="14" s="1"/>
  <c r="M421" i="14"/>
  <c r="M410" i="14"/>
  <c r="M408" i="14" s="1"/>
  <c r="S404" i="14"/>
  <c r="S406" i="14"/>
  <c r="M401" i="14"/>
  <c r="M400" i="14" s="1"/>
  <c r="S397" i="14"/>
  <c r="S396" i="14" s="1"/>
  <c r="S386" i="14" s="1"/>
  <c r="M389" i="14"/>
  <c r="M386" i="14" s="1"/>
  <c r="S377" i="14"/>
  <c r="S366" i="14"/>
  <c r="M363" i="14"/>
  <c r="M353" i="14"/>
  <c r="M346" i="14" s="1"/>
  <c r="M343" i="14" s="1"/>
  <c r="M327" i="14"/>
  <c r="M326" i="14" s="1"/>
  <c r="M325" i="14" s="1"/>
  <c r="S323" i="14"/>
  <c r="S310" i="14"/>
  <c r="S309" i="14" s="1"/>
  <c r="M304" i="14"/>
  <c r="M303" i="14" s="1"/>
  <c r="M296" i="14"/>
  <c r="M293" i="14" s="1"/>
  <c r="M292" i="14" s="1"/>
  <c r="M281" i="14"/>
  <c r="M278" i="14" s="1"/>
  <c r="M277" i="14" s="1"/>
  <c r="M275" i="14"/>
  <c r="M272" i="14"/>
  <c r="M268" i="14" s="1"/>
  <c r="M262" i="14"/>
  <c r="M257" i="14" s="1"/>
  <c r="M254" i="14" s="1"/>
  <c r="S236" i="14"/>
  <c r="S235" i="14" s="1"/>
  <c r="S231" i="14" s="1"/>
  <c r="M232" i="14"/>
  <c r="M231" i="14" s="1"/>
  <c r="S220" i="14"/>
  <c r="S224" i="14"/>
  <c r="S227" i="14"/>
  <c r="M211" i="14"/>
  <c r="M210" i="14" s="1"/>
  <c r="M208" i="14"/>
  <c r="M206" i="14"/>
  <c r="M196" i="14"/>
  <c r="M192" i="14" s="1"/>
  <c r="M197" i="14"/>
  <c r="S164" i="14"/>
  <c r="S175" i="14"/>
  <c r="M156" i="14"/>
  <c r="M155" i="14" s="1"/>
  <c r="M152" i="14"/>
  <c r="M149" i="14" s="1"/>
  <c r="M142" i="14"/>
  <c r="M141" i="14" s="1"/>
  <c r="M135" i="14"/>
  <c r="M134" i="14" s="1"/>
  <c r="M132" i="14"/>
  <c r="M131" i="14" s="1"/>
  <c r="M128" i="14"/>
  <c r="M127" i="14" s="1"/>
  <c r="S101" i="14"/>
  <c r="S100" i="14" s="1"/>
  <c r="S90" i="14" s="1"/>
  <c r="S89" i="14" s="1"/>
  <c r="N9" i="15" s="1"/>
  <c r="M104" i="14"/>
  <c r="M97" i="14"/>
  <c r="M93" i="14"/>
  <c r="M91" i="14"/>
  <c r="M76" i="14"/>
  <c r="M75" i="14" s="1"/>
  <c r="M73" i="14"/>
  <c r="M69" i="14"/>
  <c r="M53" i="14"/>
  <c r="M51" i="14" s="1"/>
  <c r="M34" i="14"/>
  <c r="M32" i="14" s="1"/>
  <c r="S43" i="14"/>
  <c r="S40" i="14"/>
  <c r="M11" i="14"/>
  <c r="M10" i="14" s="1"/>
  <c r="M27" i="14"/>
  <c r="M25" i="14" s="1"/>
  <c r="M20" i="14"/>
  <c r="M19" i="14" s="1"/>
  <c r="J443" i="13"/>
  <c r="J439" i="13"/>
  <c r="J344" i="13"/>
  <c r="J418" i="13"/>
  <c r="H418" i="13"/>
  <c r="G418" i="13"/>
  <c r="J396" i="13"/>
  <c r="J395" i="13"/>
  <c r="J393" i="13"/>
  <c r="J392" i="13"/>
  <c r="H393" i="13"/>
  <c r="H392" i="13"/>
  <c r="G393" i="13"/>
  <c r="G392" i="13"/>
  <c r="J373" i="13"/>
  <c r="J372" i="13"/>
  <c r="J381" i="13"/>
  <c r="J379" i="13"/>
  <c r="J378" i="13"/>
  <c r="J370" i="13"/>
  <c r="J369" i="13"/>
  <c r="H370" i="13"/>
  <c r="G370" i="13"/>
  <c r="J341" i="13"/>
  <c r="J330" i="13"/>
  <c r="J308" i="13"/>
  <c r="J300" i="13"/>
  <c r="J45" i="13"/>
  <c r="J40" i="13"/>
  <c r="N19" i="15"/>
  <c r="K2370" i="14"/>
  <c r="M2370" i="14"/>
  <c r="J2370" i="14"/>
  <c r="K2272" i="14"/>
  <c r="M2272" i="14"/>
  <c r="K2204" i="14"/>
  <c r="J2204" i="14"/>
  <c r="M2126" i="14"/>
  <c r="M2125" i="14" s="1"/>
  <c r="K2126" i="14"/>
  <c r="K2125" i="14" s="1"/>
  <c r="J2126" i="14"/>
  <c r="J2125" i="14" s="1"/>
  <c r="M2115" i="14"/>
  <c r="J2115" i="14"/>
  <c r="K1328" i="14"/>
  <c r="M1328" i="14"/>
  <c r="J1328" i="14"/>
  <c r="M1200" i="14"/>
  <c r="K1200" i="14"/>
  <c r="J1200" i="14"/>
  <c r="M106" i="14"/>
  <c r="J106" i="14"/>
  <c r="J17" i="14"/>
  <c r="J515" i="13"/>
  <c r="J514" i="13"/>
  <c r="J430" i="13"/>
  <c r="J429" i="13"/>
  <c r="J420" i="13"/>
  <c r="J415" i="13"/>
  <c r="J414" i="13"/>
  <c r="J412" i="13"/>
  <c r="J411" i="13"/>
  <c r="J408" i="13"/>
  <c r="J407" i="13"/>
  <c r="J405" i="13"/>
  <c r="J404" i="13"/>
  <c r="J402" i="13"/>
  <c r="J400" i="13"/>
  <c r="J390" i="13"/>
  <c r="J389" i="13"/>
  <c r="J367" i="13"/>
  <c r="J364" i="13"/>
  <c r="J362" i="13"/>
  <c r="J339" i="13"/>
  <c r="J294" i="13"/>
  <c r="J292" i="13"/>
  <c r="J290" i="13"/>
  <c r="J287" i="13"/>
  <c r="J283" i="13"/>
  <c r="J281" i="13"/>
  <c r="J273" i="13"/>
  <c r="J271" i="13"/>
  <c r="J268" i="13"/>
  <c r="J264" i="13"/>
  <c r="J262" i="13"/>
  <c r="J259" i="13"/>
  <c r="J255" i="13"/>
  <c r="J253" i="13"/>
  <c r="J249" i="13"/>
  <c r="J245" i="13"/>
  <c r="J243" i="13"/>
  <c r="J240" i="13"/>
  <c r="J238" i="13"/>
  <c r="J236" i="13"/>
  <c r="J233" i="13"/>
  <c r="J229" i="13"/>
  <c r="J227" i="13"/>
  <c r="J223" i="13"/>
  <c r="J219" i="13"/>
  <c r="J217" i="13"/>
  <c r="J214" i="13"/>
  <c r="J211" i="13"/>
  <c r="J204" i="13"/>
  <c r="J196" i="13"/>
  <c r="J189" i="13"/>
  <c r="J186" i="13"/>
  <c r="J184" i="13"/>
  <c r="J182" i="13"/>
  <c r="J174" i="13"/>
  <c r="J169" i="13"/>
  <c r="J167" i="13"/>
  <c r="J159" i="13"/>
  <c r="J156" i="13"/>
  <c r="J153" i="13"/>
  <c r="J151" i="13"/>
  <c r="J149" i="13"/>
  <c r="J145" i="13"/>
  <c r="J141" i="13"/>
  <c r="J137" i="13"/>
  <c r="J133" i="13"/>
  <c r="J129" i="13"/>
  <c r="J125" i="13"/>
  <c r="J120" i="13"/>
  <c r="J115" i="13"/>
  <c r="J111" i="13"/>
  <c r="J107" i="13"/>
  <c r="J103" i="13"/>
  <c r="J99" i="13"/>
  <c r="J95" i="13"/>
  <c r="J92" i="13"/>
  <c r="J85" i="13"/>
  <c r="J81" i="13"/>
  <c r="J79" i="13"/>
  <c r="J76" i="13"/>
  <c r="J74" i="13"/>
  <c r="J71" i="13"/>
  <c r="J68" i="13"/>
  <c r="J64" i="13"/>
  <c r="J61" i="13"/>
  <c r="J57" i="13"/>
  <c r="J55" i="13"/>
  <c r="J52" i="13"/>
  <c r="J50" i="13"/>
  <c r="J47" i="13"/>
  <c r="J46" i="13"/>
  <c r="J37" i="13"/>
  <c r="J28" i="13"/>
  <c r="J23" i="13"/>
  <c r="J16" i="13"/>
  <c r="J12" i="13"/>
  <c r="J11" i="13"/>
  <c r="J9" i="13"/>
  <c r="K1929" i="14"/>
  <c r="K1928" i="14" s="1"/>
  <c r="K1708" i="14"/>
  <c r="K1707" i="14" s="1"/>
  <c r="H378" i="13"/>
  <c r="H145" i="13"/>
  <c r="H141" i="13"/>
  <c r="H129" i="13"/>
  <c r="H111" i="13"/>
  <c r="H95" i="13"/>
  <c r="K1674" i="14"/>
  <c r="K1673" i="14" s="1"/>
  <c r="K1900" i="14"/>
  <c r="K1899" i="14" s="1"/>
  <c r="J2267" i="14"/>
  <c r="J1929" i="14"/>
  <c r="J1928" i="14" s="1"/>
  <c r="J1900" i="14"/>
  <c r="J1899" i="14" s="1"/>
  <c r="P1823" i="14"/>
  <c r="Q1798" i="14"/>
  <c r="P1798" i="14"/>
  <c r="J1674" i="14"/>
  <c r="J1673" i="14" s="1"/>
  <c r="J1182" i="14"/>
  <c r="P498" i="14"/>
  <c r="P558" i="14"/>
  <c r="J410" i="14"/>
  <c r="J408" i="14" s="1"/>
  <c r="J346" i="14"/>
  <c r="J343" i="14" s="1"/>
  <c r="Q175" i="14"/>
  <c r="J1152" i="14"/>
  <c r="J1111" i="14"/>
  <c r="K1111" i="14"/>
  <c r="J1015" i="14"/>
  <c r="B2409" i="14"/>
  <c r="B2410" i="14" s="1"/>
  <c r="B2411" i="14" s="1"/>
  <c r="B2412" i="14" s="1"/>
  <c r="B2413" i="14" s="1"/>
  <c r="B2414" i="14" s="1"/>
  <c r="B2415" i="14" s="1"/>
  <c r="B2416" i="14" s="1"/>
  <c r="B2417" i="14" s="1"/>
  <c r="B2418" i="14" s="1"/>
  <c r="B2419" i="14" s="1"/>
  <c r="B2420" i="14" s="1"/>
  <c r="B2421" i="14" s="1"/>
  <c r="B2422" i="14" s="1"/>
  <c r="B2423" i="14" s="1"/>
  <c r="B2424" i="14" s="1"/>
  <c r="B2425" i="14" s="1"/>
  <c r="B2426" i="14" s="1"/>
  <c r="B2427" i="14" s="1"/>
  <c r="B2428" i="14" s="1"/>
  <c r="B2168" i="14"/>
  <c r="B2169" i="14" s="1"/>
  <c r="B2170" i="14" s="1"/>
  <c r="B2171" i="14" s="1"/>
  <c r="B2172" i="14" s="1"/>
  <c r="B2173" i="14" s="1"/>
  <c r="B2174" i="14" s="1"/>
  <c r="B2175" i="14" s="1"/>
  <c r="B2176" i="14" s="1"/>
  <c r="B2177" i="14" s="1"/>
  <c r="B2178" i="14" s="1"/>
  <c r="B2179" i="14" s="1"/>
  <c r="B2180" i="14" s="1"/>
  <c r="B2181" i="14" s="1"/>
  <c r="B2182" i="14" s="1"/>
  <c r="B2183" i="14" s="1"/>
  <c r="B2184" i="14" s="1"/>
  <c r="B2185" i="14" s="1"/>
  <c r="B2188" i="14" s="1"/>
  <c r="B2189" i="14" s="1"/>
  <c r="B2190" i="14" s="1"/>
  <c r="B2191" i="14" s="1"/>
  <c r="B2192" i="14" s="1"/>
  <c r="B2193" i="14" s="1"/>
  <c r="B2194" i="14" s="1"/>
  <c r="B2195" i="14" s="1"/>
  <c r="B2196" i="14" s="1"/>
  <c r="B2197" i="14" s="1"/>
  <c r="B2198" i="14" s="1"/>
  <c r="B2199" i="14" s="1"/>
  <c r="B2200" i="14" s="1"/>
  <c r="B2201" i="14" s="1"/>
  <c r="B2202" i="14" s="1"/>
  <c r="B2203" i="14" s="1"/>
  <c r="B2204" i="14" s="1"/>
  <c r="B2205" i="14" s="1"/>
  <c r="B2206" i="14" s="1"/>
  <c r="B2207" i="14" s="1"/>
  <c r="B2208" i="14" s="1"/>
  <c r="B2209" i="14" s="1"/>
  <c r="B2210" i="14" s="1"/>
  <c r="B2211" i="14" s="1"/>
  <c r="B2212" i="14" s="1"/>
  <c r="B2213" i="14" s="1"/>
  <c r="B2214" i="14" s="1"/>
  <c r="B2215" i="14" s="1"/>
  <c r="B2216" i="14" s="1"/>
  <c r="B2217" i="14" s="1"/>
  <c r="B2218" i="14" s="1"/>
  <c r="B2219" i="14" s="1"/>
  <c r="B2220" i="14" s="1"/>
  <c r="B2221" i="14" s="1"/>
  <c r="B2222" i="14" s="1"/>
  <c r="B2223" i="14" s="1"/>
  <c r="B2224" i="14" s="1"/>
  <c r="B2225" i="14" s="1"/>
  <c r="B2226" i="14" s="1"/>
  <c r="B2227" i="14" s="1"/>
  <c r="B2228" i="14" s="1"/>
  <c r="B2229" i="14" s="1"/>
  <c r="B2230" i="14" s="1"/>
  <c r="B2231" i="14" s="1"/>
  <c r="B2232" i="14" s="1"/>
  <c r="B2233" i="14" s="1"/>
  <c r="B2234" i="14" s="1"/>
  <c r="B2235" i="14" s="1"/>
  <c r="B2236" i="14" s="1"/>
  <c r="B2239" i="14" s="1"/>
  <c r="B2240" i="14" s="1"/>
  <c r="B2241" i="14" s="1"/>
  <c r="B2242" i="14" s="1"/>
  <c r="B2243" i="14" s="1"/>
  <c r="B2244" i="14" s="1"/>
  <c r="B2245" i="14" s="1"/>
  <c r="B2246" i="14" s="1"/>
  <c r="B2247" i="14" s="1"/>
  <c r="B2248" i="14" s="1"/>
  <c r="B2249" i="14" s="1"/>
  <c r="B2250" i="14" s="1"/>
  <c r="B2251" i="14" s="1"/>
  <c r="B2252" i="14" s="1"/>
  <c r="B2253" i="14" s="1"/>
  <c r="B2254" i="14" s="1"/>
  <c r="B2255" i="14" s="1"/>
  <c r="B2256" i="14" s="1"/>
  <c r="B2257" i="14" s="1"/>
  <c r="B2258" i="14" s="1"/>
  <c r="B2259" i="14" s="1"/>
  <c r="B2260" i="14" s="1"/>
  <c r="B2261" i="14" s="1"/>
  <c r="B2262" i="14" s="1"/>
  <c r="B2263" i="14" s="1"/>
  <c r="B2264" i="14" s="1"/>
  <c r="B2265" i="14" s="1"/>
  <c r="B2266" i="14" s="1"/>
  <c r="B2267" i="14" s="1"/>
  <c r="B2268" i="14" s="1"/>
  <c r="B2269" i="14" s="1"/>
  <c r="B2270" i="14" s="1"/>
  <c r="B2271" i="14" s="1"/>
  <c r="B2272" i="14" s="1"/>
  <c r="B2273" i="14" s="1"/>
  <c r="B2274" i="14" s="1"/>
  <c r="B2275" i="14" s="1"/>
  <c r="B2276" i="14" s="1"/>
  <c r="B2277" i="14" s="1"/>
  <c r="B2278" i="14" s="1"/>
  <c r="B2279" i="14" s="1"/>
  <c r="B2280" i="14" s="1"/>
  <c r="B2281" i="14" s="1"/>
  <c r="B2282" i="14" s="1"/>
  <c r="B2283" i="14" s="1"/>
  <c r="B2284" i="14" s="1"/>
  <c r="B2285" i="14" s="1"/>
  <c r="B2286" i="14" s="1"/>
  <c r="B2287" i="14" s="1"/>
  <c r="B2288" i="14" s="1"/>
  <c r="B2289" i="14" s="1"/>
  <c r="B2290" i="14" s="1"/>
  <c r="B2291" i="14" s="1"/>
  <c r="B2292" i="14" s="1"/>
  <c r="B2293" i="14" s="1"/>
  <c r="B2294" i="14" s="1"/>
  <c r="B2295" i="14" s="1"/>
  <c r="B2296" i="14" s="1"/>
  <c r="B2297" i="14" s="1"/>
  <c r="B2298" i="14" s="1"/>
  <c r="B2299" i="14" s="1"/>
  <c r="B2300" i="14" s="1"/>
  <c r="B2301" i="14" s="1"/>
  <c r="B2302" i="14" s="1"/>
  <c r="B2303" i="14" s="1"/>
  <c r="B2304" i="14" s="1"/>
  <c r="B2305" i="14" s="1"/>
  <c r="B2306" i="14" s="1"/>
  <c r="B2307" i="14" s="1"/>
  <c r="B2308" i="14" s="1"/>
  <c r="B2309" i="14" s="1"/>
  <c r="B2310" i="14" s="1"/>
  <c r="B2311" i="14" s="1"/>
  <c r="B2312" i="14" s="1"/>
  <c r="B2313" i="14" s="1"/>
  <c r="B2314" i="14" s="1"/>
  <c r="B2315" i="14" s="1"/>
  <c r="B2316" i="14" s="1"/>
  <c r="B2317" i="14" s="1"/>
  <c r="B2318" i="14" s="1"/>
  <c r="B2319" i="14" s="1"/>
  <c r="B2320" i="14" s="1"/>
  <c r="B2321" i="14" s="1"/>
  <c r="B2322" i="14" s="1"/>
  <c r="B2323" i="14" s="1"/>
  <c r="B2324" i="14" s="1"/>
  <c r="B2325" i="14" s="1"/>
  <c r="B2326" i="14" s="1"/>
  <c r="B2327" i="14" s="1"/>
  <c r="B2328" i="14" s="1"/>
  <c r="B2329" i="14" s="1"/>
  <c r="B2330" i="14" s="1"/>
  <c r="B2331" i="14" s="1"/>
  <c r="B2332" i="14" s="1"/>
  <c r="B2333" i="14" s="1"/>
  <c r="B2334" i="14" s="1"/>
  <c r="B2335" i="14" s="1"/>
  <c r="B2336" i="14" s="1"/>
  <c r="B2337" i="14" s="1"/>
  <c r="B2338" i="14" s="1"/>
  <c r="B2339" i="14" s="1"/>
  <c r="B2340" i="14" s="1"/>
  <c r="B2341" i="14" s="1"/>
  <c r="B2342" i="14" s="1"/>
  <c r="B2343" i="14" s="1"/>
  <c r="B2344" i="14" s="1"/>
  <c r="B2345" i="14" s="1"/>
  <c r="B2346" i="14" s="1"/>
  <c r="B2347" i="14" s="1"/>
  <c r="B2348" i="14" s="1"/>
  <c r="B2349" i="14" s="1"/>
  <c r="B2350" i="14" s="1"/>
  <c r="B2351" i="14" s="1"/>
  <c r="B2352" i="14" s="1"/>
  <c r="B2353" i="14" s="1"/>
  <c r="B2354" i="14" s="1"/>
  <c r="B2355" i="14" s="1"/>
  <c r="B2356" i="14" s="1"/>
  <c r="B2357" i="14" s="1"/>
  <c r="B2358" i="14" s="1"/>
  <c r="B2359" i="14" s="1"/>
  <c r="B2360" i="14" s="1"/>
  <c r="B2361" i="14" s="1"/>
  <c r="B2362" i="14" s="1"/>
  <c r="B2363" i="14" s="1"/>
  <c r="B2364" i="14" s="1"/>
  <c r="B2365" i="14" s="1"/>
  <c r="B2366" i="14" s="1"/>
  <c r="B2367" i="14" s="1"/>
  <c r="B2368" i="14" s="1"/>
  <c r="B2369" i="14" s="1"/>
  <c r="B2370" i="14" s="1"/>
  <c r="B2371" i="14" s="1"/>
  <c r="B2372" i="14" s="1"/>
  <c r="B2373" i="14" s="1"/>
  <c r="B2374" i="14" s="1"/>
  <c r="B2375" i="14" s="1"/>
  <c r="B2376" i="14" s="1"/>
  <c r="B2377" i="14" s="1"/>
  <c r="B2378" i="14" s="1"/>
  <c r="B2379" i="14" s="1"/>
  <c r="B2380" i="14" s="1"/>
  <c r="B2381" i="14" s="1"/>
  <c r="B2382" i="14" s="1"/>
  <c r="B2383" i="14" s="1"/>
  <c r="B2384" i="14" s="1"/>
  <c r="B2385" i="14" s="1"/>
  <c r="B2386" i="14" s="1"/>
  <c r="B2387" i="14" s="1"/>
  <c r="B2388" i="14" s="1"/>
  <c r="B2389" i="14" s="1"/>
  <c r="B2390" i="14" s="1"/>
  <c r="B2391" i="14" s="1"/>
  <c r="B2392" i="14" s="1"/>
  <c r="B2393" i="14" s="1"/>
  <c r="B2394" i="14" s="1"/>
  <c r="B2395" i="14" s="1"/>
  <c r="B2396" i="14" s="1"/>
  <c r="B2397" i="14" s="1"/>
  <c r="B2032" i="14"/>
  <c r="B2033" i="14" s="1"/>
  <c r="B2034" i="14" s="1"/>
  <c r="B2035" i="14" s="1"/>
  <c r="B2036" i="14" s="1"/>
  <c r="B2037" i="14" s="1"/>
  <c r="B2038" i="14" s="1"/>
  <c r="B2039" i="14" s="1"/>
  <c r="B2040" i="14" s="1"/>
  <c r="B2041" i="14" s="1"/>
  <c r="B2042" i="14" s="1"/>
  <c r="B2043" i="14" s="1"/>
  <c r="B2044" i="14" s="1"/>
  <c r="B2045" i="14" s="1"/>
  <c r="B2046" i="14" s="1"/>
  <c r="B2047" i="14" s="1"/>
  <c r="B2048" i="14" s="1"/>
  <c r="B2049" i="14" s="1"/>
  <c r="B2050" i="14" s="1"/>
  <c r="B2051" i="14" s="1"/>
  <c r="B2052" i="14" s="1"/>
  <c r="B2053" i="14" s="1"/>
  <c r="B2054" i="14" s="1"/>
  <c r="B2055" i="14" s="1"/>
  <c r="B2056" i="14" s="1"/>
  <c r="B2057" i="14" s="1"/>
  <c r="B2058" i="14" s="1"/>
  <c r="B2059" i="14" s="1"/>
  <c r="B2060" i="14" s="1"/>
  <c r="B2061" i="14" s="1"/>
  <c r="B2062" i="14" s="1"/>
  <c r="B2063" i="14" s="1"/>
  <c r="B2064" i="14" s="1"/>
  <c r="B2065" i="14" s="1"/>
  <c r="B2066" i="14" s="1"/>
  <c r="B2067" i="14" s="1"/>
  <c r="B2068" i="14" s="1"/>
  <c r="B2069" i="14" s="1"/>
  <c r="B2070" i="14" s="1"/>
  <c r="B2071" i="14" s="1"/>
  <c r="B2072" i="14" s="1"/>
  <c r="B2073" i="14" s="1"/>
  <c r="B2074" i="14" s="1"/>
  <c r="B2075" i="14" s="1"/>
  <c r="B2076" i="14" s="1"/>
  <c r="B2077" i="14" s="1"/>
  <c r="B2078" i="14" s="1"/>
  <c r="B2079" i="14" s="1"/>
  <c r="B2080" i="14" s="1"/>
  <c r="B2081" i="14" s="1"/>
  <c r="B2082" i="14" s="1"/>
  <c r="B2083" i="14" s="1"/>
  <c r="B2084" i="14" s="1"/>
  <c r="B2085" i="14" s="1"/>
  <c r="B2086" i="14" s="1"/>
  <c r="B2087" i="14" s="1"/>
  <c r="B2088" i="14" s="1"/>
  <c r="B2089" i="14" s="1"/>
  <c r="B2090" i="14" s="1"/>
  <c r="B2091" i="14" s="1"/>
  <c r="B2092" i="14" s="1"/>
  <c r="B2093" i="14" s="1"/>
  <c r="B1899" i="14"/>
  <c r="B1900" i="14" s="1"/>
  <c r="B1901" i="14" s="1"/>
  <c r="B1902" i="14" s="1"/>
  <c r="B1903" i="14" s="1"/>
  <c r="B1904" i="14" s="1"/>
  <c r="B1905" i="14" s="1"/>
  <c r="B1906" i="14" s="1"/>
  <c r="B1907" i="14" s="1"/>
  <c r="B1908" i="14" s="1"/>
  <c r="B1909" i="14" s="1"/>
  <c r="B1910" i="14" s="1"/>
  <c r="B1911" i="14" s="1"/>
  <c r="B1912" i="14" s="1"/>
  <c r="B1913" i="14" s="1"/>
  <c r="B1914" i="14" s="1"/>
  <c r="B1915" i="14" s="1"/>
  <c r="B1916" i="14" s="1"/>
  <c r="B1917" i="14" s="1"/>
  <c r="B1918" i="14" s="1"/>
  <c r="B1919" i="14" s="1"/>
  <c r="B1920" i="14" s="1"/>
  <c r="B1921" i="14" s="1"/>
  <c r="B1922" i="14" s="1"/>
  <c r="B1923" i="14" s="1"/>
  <c r="B1924" i="14" s="1"/>
  <c r="B1925" i="14" s="1"/>
  <c r="B1926" i="14" s="1"/>
  <c r="B1927" i="14" s="1"/>
  <c r="B1928" i="14" s="1"/>
  <c r="B1929" i="14" s="1"/>
  <c r="B1930" i="14" s="1"/>
  <c r="B1931" i="14" s="1"/>
  <c r="B1932" i="14" s="1"/>
  <c r="B1933" i="14" s="1"/>
  <c r="B1934" i="14" s="1"/>
  <c r="B1935" i="14" s="1"/>
  <c r="B1936" i="14" s="1"/>
  <c r="B1937" i="14" s="1"/>
  <c r="B1938" i="14" s="1"/>
  <c r="B1939" i="14" s="1"/>
  <c r="B1940" i="14" s="1"/>
  <c r="B1941" i="14" s="1"/>
  <c r="B1942" i="14" s="1"/>
  <c r="B1943" i="14" s="1"/>
  <c r="B1944" i="14" s="1"/>
  <c r="B1945" i="14" s="1"/>
  <c r="B1946" i="14" s="1"/>
  <c r="B1947" i="14" s="1"/>
  <c r="B1948" i="14" s="1"/>
  <c r="B1949" i="14" s="1"/>
  <c r="B1950" i="14" s="1"/>
  <c r="B1951" i="14" s="1"/>
  <c r="B1952" i="14" s="1"/>
  <c r="B1953" i="14" s="1"/>
  <c r="B1954" i="14" s="1"/>
  <c r="B1955" i="14" s="1"/>
  <c r="B1956" i="14" s="1"/>
  <c r="B1957" i="14" s="1"/>
  <c r="B1959" i="14" s="1"/>
  <c r="B1960" i="14" s="1"/>
  <c r="B1961" i="14" s="1"/>
  <c r="B1962" i="14" s="1"/>
  <c r="B1963" i="14" s="1"/>
  <c r="B1964" i="14" s="1"/>
  <c r="B1965" i="14" s="1"/>
  <c r="B1966" i="14" s="1"/>
  <c r="B1967" i="14" s="1"/>
  <c r="B1968" i="14" s="1"/>
  <c r="B1969" i="14" s="1"/>
  <c r="B1970" i="14" s="1"/>
  <c r="B1971" i="14" s="1"/>
  <c r="B1972" i="14" s="1"/>
  <c r="B1973" i="14" s="1"/>
  <c r="B1974" i="14" s="1"/>
  <c r="B1975" i="14" s="1"/>
  <c r="B1976" i="14" s="1"/>
  <c r="B1977" i="14" s="1"/>
  <c r="B1978" i="14" s="1"/>
  <c r="B1979" i="14" s="1"/>
  <c r="B1980" i="14" s="1"/>
  <c r="B1981" i="14" s="1"/>
  <c r="B1982" i="14" s="1"/>
  <c r="B1983" i="14" s="1"/>
  <c r="B1984" i="14" s="1"/>
  <c r="B1985" i="14" s="1"/>
  <c r="B1986" i="14" s="1"/>
  <c r="B1987" i="14" s="1"/>
  <c r="B1988" i="14" s="1"/>
  <c r="B1989" i="14" s="1"/>
  <c r="B1990" i="14" s="1"/>
  <c r="B1991" i="14" s="1"/>
  <c r="B1992" i="14" s="1"/>
  <c r="B1993" i="14" s="1"/>
  <c r="B1994" i="14" s="1"/>
  <c r="B1995" i="14" s="1"/>
  <c r="B1996" i="14" s="1"/>
  <c r="B1997" i="14" s="1"/>
  <c r="B1998" i="14" s="1"/>
  <c r="B1999" i="14" s="1"/>
  <c r="B2000" i="14" s="1"/>
  <c r="B2001" i="14" s="1"/>
  <c r="B2002" i="14" s="1"/>
  <c r="B2003" i="14" s="1"/>
  <c r="B2004" i="14" s="1"/>
  <c r="B2005" i="14" s="1"/>
  <c r="B2006" i="14" s="1"/>
  <c r="B2007" i="14" s="1"/>
  <c r="B2008" i="14" s="1"/>
  <c r="B2009" i="14" s="1"/>
  <c r="B2010" i="14" s="1"/>
  <c r="B2011" i="14" s="1"/>
  <c r="B2012" i="14" s="1"/>
  <c r="B2013" i="14" s="1"/>
  <c r="B2014" i="14" s="1"/>
  <c r="B2015" i="14" s="1"/>
  <c r="B2016" i="14" s="1"/>
  <c r="B2017" i="14" s="1"/>
  <c r="B2018" i="14" s="1"/>
  <c r="B2019" i="14" s="1"/>
  <c r="B2020" i="14" s="1"/>
  <c r="B2021" i="14" s="1"/>
  <c r="B1670" i="14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B1793" i="14" s="1"/>
  <c r="B1794" i="14" s="1"/>
  <c r="B1795" i="14" s="1"/>
  <c r="B1796" i="14" s="1"/>
  <c r="B1797" i="14" s="1"/>
  <c r="B686" i="14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444" i="14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343" i="14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248" i="14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127" i="14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90" i="14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27" i="15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4" i="15"/>
  <c r="R40" i="15"/>
  <c r="H515" i="13"/>
  <c r="H514" i="13"/>
  <c r="G515" i="13"/>
  <c r="G514" i="13"/>
  <c r="G308" i="13"/>
  <c r="Q2326" i="14"/>
  <c r="Q2321" i="14" s="1"/>
  <c r="P2303" i="14"/>
  <c r="Q2310" i="14"/>
  <c r="Q2309" i="14" s="1"/>
  <c r="Q2303" i="14" s="1"/>
  <c r="K2376" i="14"/>
  <c r="K2373" i="14" s="1"/>
  <c r="K2372" i="14" s="1"/>
  <c r="K2356" i="14"/>
  <c r="K2353" i="14" s="1"/>
  <c r="K2352" i="14" s="1"/>
  <c r="K2332" i="14"/>
  <c r="K2329" i="14" s="1"/>
  <c r="K2283" i="14"/>
  <c r="K2280" i="14" s="1"/>
  <c r="K2179" i="14"/>
  <c r="K2176" i="14" s="1"/>
  <c r="K2169" i="14" s="1"/>
  <c r="K1780" i="14"/>
  <c r="K1777" i="14" s="1"/>
  <c r="K1767" i="14" s="1"/>
  <c r="K1532" i="14"/>
  <c r="K897" i="14"/>
  <c r="K894" i="14" s="1"/>
  <c r="K754" i="14"/>
  <c r="K751" i="14" s="1"/>
  <c r="P453" i="14"/>
  <c r="P450" i="14" s="1"/>
  <c r="P444" i="14" s="1"/>
  <c r="Q453" i="14"/>
  <c r="Q450" i="14" s="1"/>
  <c r="Q444" i="14" s="1"/>
  <c r="J97" i="14"/>
  <c r="J93" i="14"/>
  <c r="Q1620" i="14"/>
  <c r="P1620" i="14"/>
  <c r="K1624" i="14"/>
  <c r="K1621" i="14" s="1"/>
  <c r="J1630" i="14"/>
  <c r="J1627" i="14" s="1"/>
  <c r="J1624" i="14"/>
  <c r="J1621" i="14" s="1"/>
  <c r="K1541" i="14"/>
  <c r="J1541" i="14"/>
  <c r="J1532" i="14"/>
  <c r="J985" i="14"/>
  <c r="Q2372" i="14"/>
  <c r="P2326" i="14"/>
  <c r="P2321" i="14" s="1"/>
  <c r="P2313" i="14" s="1"/>
  <c r="P2372" i="14"/>
  <c r="J2389" i="14"/>
  <c r="J2386" i="14" s="1"/>
  <c r="J2385" i="14" s="1"/>
  <c r="J2376" i="14"/>
  <c r="J2373" i="14" s="1"/>
  <c r="J2372" i="14" s="1"/>
  <c r="J2356" i="14"/>
  <c r="J2353" i="14" s="1"/>
  <c r="J2352" i="14" s="1"/>
  <c r="J2332" i="14"/>
  <c r="J2329" i="14" s="1"/>
  <c r="J2313" i="14" s="1"/>
  <c r="J2283" i="14"/>
  <c r="J2280" i="14" s="1"/>
  <c r="J2276" i="14" s="1"/>
  <c r="K2277" i="14"/>
  <c r="J2257" i="14"/>
  <c r="J2254" i="14" s="1"/>
  <c r="J2251" i="14" s="1"/>
  <c r="J2244" i="14"/>
  <c r="J2241" i="14" s="1"/>
  <c r="J2231" i="14" s="1"/>
  <c r="J2199" i="14"/>
  <c r="J2198" i="14" s="1"/>
  <c r="J2179" i="14"/>
  <c r="J2176" i="14" s="1"/>
  <c r="J2169" i="14" s="1"/>
  <c r="P1727" i="14"/>
  <c r="P1722" i="14" s="1"/>
  <c r="P1717" i="14" s="1"/>
  <c r="J1780" i="14"/>
  <c r="J1777" i="14" s="1"/>
  <c r="J1767" i="14" s="1"/>
  <c r="J11" i="14"/>
  <c r="P43" i="14"/>
  <c r="J34" i="14"/>
  <c r="J32" i="14" s="1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4" i="13"/>
  <c r="B515" i="13"/>
  <c r="B516" i="13"/>
  <c r="B517" i="13"/>
  <c r="H341" i="13"/>
  <c r="G341" i="13"/>
  <c r="G378" i="13"/>
  <c r="G377" i="13"/>
  <c r="G300" i="13"/>
  <c r="H408" i="13"/>
  <c r="H407" i="13"/>
  <c r="G408" i="13"/>
  <c r="G407" i="13"/>
  <c r="H400" i="13"/>
  <c r="G400" i="13"/>
  <c r="H367" i="13"/>
  <c r="H366" i="13"/>
  <c r="G367" i="13"/>
  <c r="G344" i="13"/>
  <c r="H259" i="13"/>
  <c r="G259" i="13"/>
  <c r="H92" i="13"/>
  <c r="G92" i="13"/>
  <c r="H420" i="13"/>
  <c r="H417" i="13"/>
  <c r="G420" i="13"/>
  <c r="G417" i="13"/>
  <c r="H300" i="13"/>
  <c r="H249" i="13"/>
  <c r="G233" i="13"/>
  <c r="G226" i="13"/>
  <c r="H233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G435" i="13"/>
  <c r="G434" i="13"/>
  <c r="H435" i="13"/>
  <c r="H434" i="13"/>
  <c r="G430" i="13"/>
  <c r="G429" i="13"/>
  <c r="G428" i="13"/>
  <c r="H430" i="13"/>
  <c r="H429" i="13"/>
  <c r="G390" i="13"/>
  <c r="G389" i="13"/>
  <c r="H390" i="13"/>
  <c r="H389" i="13"/>
  <c r="G294" i="13"/>
  <c r="H294" i="13"/>
  <c r="G292" i="13"/>
  <c r="H292" i="13"/>
  <c r="G290" i="13"/>
  <c r="G289" i="13"/>
  <c r="H290" i="13"/>
  <c r="G287" i="13"/>
  <c r="H287" i="13"/>
  <c r="G283" i="13"/>
  <c r="H283" i="13"/>
  <c r="G281" i="13"/>
  <c r="H281" i="13"/>
  <c r="G273" i="13"/>
  <c r="H273" i="13"/>
  <c r="G271" i="13"/>
  <c r="G270" i="13"/>
  <c r="H271" i="13"/>
  <c r="G268" i="13"/>
  <c r="H268" i="13"/>
  <c r="G264" i="13"/>
  <c r="H264" i="13"/>
  <c r="G262" i="13"/>
  <c r="H262" i="13"/>
  <c r="G255" i="13"/>
  <c r="H255" i="13"/>
  <c r="G253" i="13"/>
  <c r="H253" i="13"/>
  <c r="G249" i="13"/>
  <c r="G242" i="13"/>
  <c r="G245" i="13"/>
  <c r="H245" i="13"/>
  <c r="G243" i="13"/>
  <c r="H243" i="13"/>
  <c r="G240" i="13"/>
  <c r="H240" i="13"/>
  <c r="G238" i="13"/>
  <c r="H238" i="13"/>
  <c r="G236" i="13"/>
  <c r="H236" i="13"/>
  <c r="G229" i="13"/>
  <c r="H229" i="13"/>
  <c r="H226" i="13"/>
  <c r="G227" i="13"/>
  <c r="H227" i="13"/>
  <c r="G223" i="13"/>
  <c r="H223" i="13"/>
  <c r="G219" i="13"/>
  <c r="H219" i="13"/>
  <c r="H216" i="13"/>
  <c r="G217" i="13"/>
  <c r="H217" i="13"/>
  <c r="G214" i="13"/>
  <c r="H214" i="13"/>
  <c r="H166" i="13"/>
  <c r="G211" i="13"/>
  <c r="H211" i="13"/>
  <c r="G204" i="13"/>
  <c r="G196" i="13"/>
  <c r="H196" i="13"/>
  <c r="G189" i="13"/>
  <c r="H189" i="13"/>
  <c r="G186" i="13"/>
  <c r="H186" i="13"/>
  <c r="G184" i="13"/>
  <c r="H184" i="13"/>
  <c r="G182" i="13"/>
  <c r="H182" i="13"/>
  <c r="G174" i="13"/>
  <c r="H174" i="13"/>
  <c r="G169" i="13"/>
  <c r="G166" i="13"/>
  <c r="H169" i="13"/>
  <c r="G167" i="13"/>
  <c r="H167" i="13"/>
  <c r="G95" i="13"/>
  <c r="G99" i="13"/>
  <c r="G103" i="13"/>
  <c r="H103" i="13"/>
  <c r="G107" i="13"/>
  <c r="H107" i="13"/>
  <c r="G111" i="13"/>
  <c r="G115" i="13"/>
  <c r="H115" i="13"/>
  <c r="G120" i="13"/>
  <c r="G125" i="13"/>
  <c r="H125" i="13"/>
  <c r="G129" i="13"/>
  <c r="G133" i="13"/>
  <c r="H133" i="13"/>
  <c r="G137" i="13"/>
  <c r="H137" i="13"/>
  <c r="G141" i="13"/>
  <c r="G145" i="13"/>
  <c r="G149" i="13"/>
  <c r="H149" i="13"/>
  <c r="G151" i="13"/>
  <c r="H151" i="13"/>
  <c r="G153" i="13"/>
  <c r="H153" i="13"/>
  <c r="G156" i="13"/>
  <c r="H159" i="13"/>
  <c r="G159" i="13"/>
  <c r="G85" i="13"/>
  <c r="G49" i="13"/>
  <c r="G81" i="13"/>
  <c r="H81" i="13"/>
  <c r="G79" i="13"/>
  <c r="H79" i="13"/>
  <c r="G76" i="13"/>
  <c r="H76" i="13"/>
  <c r="G74" i="13"/>
  <c r="H74" i="13"/>
  <c r="G71" i="13"/>
  <c r="H71" i="13"/>
  <c r="G68" i="13"/>
  <c r="H68" i="13"/>
  <c r="G64" i="13"/>
  <c r="H64" i="13"/>
  <c r="G61" i="13"/>
  <c r="H61" i="13"/>
  <c r="G57" i="13"/>
  <c r="G55" i="13"/>
  <c r="H55" i="13"/>
  <c r="G52" i="13"/>
  <c r="H52" i="13"/>
  <c r="G50" i="13"/>
  <c r="H50" i="13"/>
  <c r="H49" i="13"/>
  <c r="G47" i="13"/>
  <c r="G46" i="13"/>
  <c r="H47" i="13"/>
  <c r="H46" i="13"/>
  <c r="G40" i="13"/>
  <c r="H40" i="13"/>
  <c r="G37" i="13"/>
  <c r="G22" i="13"/>
  <c r="G28" i="13"/>
  <c r="H28" i="13"/>
  <c r="G23" i="13"/>
  <c r="H23" i="13"/>
  <c r="H22" i="13"/>
  <c r="G16" i="13"/>
  <c r="H16" i="13"/>
  <c r="G9" i="13"/>
  <c r="H9" i="13"/>
  <c r="H8" i="13"/>
  <c r="H7" i="13"/>
  <c r="Q40" i="15"/>
  <c r="R25" i="15"/>
  <c r="Q25" i="15"/>
  <c r="K2415" i="14"/>
  <c r="J2415" i="14"/>
  <c r="K2368" i="14"/>
  <c r="J2368" i="14"/>
  <c r="J2365" i="14"/>
  <c r="J2364" i="14" s="1"/>
  <c r="K2304" i="14"/>
  <c r="K2303" i="14" s="1"/>
  <c r="J2304" i="14"/>
  <c r="J2303" i="14" s="1"/>
  <c r="P2239" i="14"/>
  <c r="P2232" i="14" s="1"/>
  <c r="P2231" i="14" s="1"/>
  <c r="P2230" i="14" s="1"/>
  <c r="K2142" i="14"/>
  <c r="K2139" i="14" s="1"/>
  <c r="K2138" i="14" s="1"/>
  <c r="J2142" i="14"/>
  <c r="J2139" i="14" s="1"/>
  <c r="J2138" i="14" s="1"/>
  <c r="K2130" i="14"/>
  <c r="K2129" i="14" s="1"/>
  <c r="K2128" i="14" s="1"/>
  <c r="J2130" i="14"/>
  <c r="J2129" i="14" s="1"/>
  <c r="J2128" i="14" s="1"/>
  <c r="K2123" i="14"/>
  <c r="K2122" i="14" s="1"/>
  <c r="J2123" i="14"/>
  <c r="J2122" i="14" s="1"/>
  <c r="K2110" i="14"/>
  <c r="J2110" i="14"/>
  <c r="K2104" i="14"/>
  <c r="K2103" i="14" s="1"/>
  <c r="K2083" i="14" s="1"/>
  <c r="J2104" i="14"/>
  <c r="J2103" i="14" s="1"/>
  <c r="K2066" i="14"/>
  <c r="K2063" i="14" s="1"/>
  <c r="J2066" i="14"/>
  <c r="J2063" i="14" s="1"/>
  <c r="J2051" i="14" s="1"/>
  <c r="Q1968" i="14"/>
  <c r="Q1967" i="14" s="1"/>
  <c r="P1968" i="14"/>
  <c r="P1967" i="14" s="1"/>
  <c r="K1873" i="14"/>
  <c r="K1870" i="14" s="1"/>
  <c r="K1794" i="14" s="1"/>
  <c r="K1765" i="14"/>
  <c r="K1764" i="14" s="1"/>
  <c r="J1765" i="14"/>
  <c r="J1764" i="14" s="1"/>
  <c r="K1757" i="14"/>
  <c r="K1754" i="14" s="1"/>
  <c r="J1757" i="14"/>
  <c r="J1754" i="14" s="1"/>
  <c r="K1734" i="14"/>
  <c r="J1734" i="14"/>
  <c r="K1718" i="14"/>
  <c r="K1717" i="14" s="1"/>
  <c r="J1718" i="14"/>
  <c r="J1717" i="14" s="1"/>
  <c r="J1642" i="14"/>
  <c r="J1641" i="14" s="1"/>
  <c r="K1611" i="14"/>
  <c r="J1611" i="14"/>
  <c r="K1603" i="14"/>
  <c r="J1603" i="14"/>
  <c r="K1599" i="14"/>
  <c r="J1599" i="14"/>
  <c r="J1588" i="14"/>
  <c r="K1580" i="14"/>
  <c r="J1580" i="14"/>
  <c r="K1564" i="14"/>
  <c r="J1564" i="14"/>
  <c r="K1555" i="14"/>
  <c r="J1555" i="14"/>
  <c r="K1528" i="14"/>
  <c r="J1528" i="14"/>
  <c r="J1512" i="14"/>
  <c r="J1503" i="14"/>
  <c r="K1488" i="14"/>
  <c r="J1488" i="14"/>
  <c r="K1480" i="14"/>
  <c r="J1480" i="14"/>
  <c r="K1467" i="14"/>
  <c r="J1467" i="14"/>
  <c r="K1459" i="14"/>
  <c r="J1459" i="14"/>
  <c r="K1450" i="14"/>
  <c r="K1447" i="14" s="1"/>
  <c r="J1450" i="14"/>
  <c r="J1447" i="14" s="1"/>
  <c r="K1438" i="14"/>
  <c r="K1435" i="14" s="1"/>
  <c r="J1438" i="14"/>
  <c r="J1435" i="14" s="1"/>
  <c r="K1427" i="14"/>
  <c r="K1424" i="14" s="1"/>
  <c r="J1427" i="14"/>
  <c r="J1424" i="14" s="1"/>
  <c r="K1419" i="14"/>
  <c r="K1416" i="14" s="1"/>
  <c r="J1419" i="14"/>
  <c r="J1416" i="14" s="1"/>
  <c r="K1411" i="14"/>
  <c r="K1408" i="14" s="1"/>
  <c r="J1411" i="14"/>
  <c r="J1408" i="14" s="1"/>
  <c r="K1403" i="14"/>
  <c r="K1400" i="14" s="1"/>
  <c r="J1403" i="14"/>
  <c r="J1400" i="14" s="1"/>
  <c r="K1395" i="14"/>
  <c r="K1392" i="14" s="1"/>
  <c r="J1395" i="14"/>
  <c r="J1392" i="14" s="1"/>
  <c r="K1387" i="14"/>
  <c r="K1384" i="14" s="1"/>
  <c r="J1387" i="14"/>
  <c r="J1384" i="14" s="1"/>
  <c r="K1379" i="14"/>
  <c r="K1376" i="14" s="1"/>
  <c r="J1379" i="14"/>
  <c r="J1376" i="14" s="1"/>
  <c r="K1371" i="14"/>
  <c r="K1368" i="14" s="1"/>
  <c r="J1371" i="14"/>
  <c r="J1368" i="14" s="1"/>
  <c r="K1363" i="14"/>
  <c r="K1360" i="14" s="1"/>
  <c r="J1363" i="14"/>
  <c r="J1360" i="14" s="1"/>
  <c r="K1355" i="14"/>
  <c r="K1352" i="14" s="1"/>
  <c r="J1355" i="14"/>
  <c r="J1352" i="14" s="1"/>
  <c r="K1347" i="14"/>
  <c r="K1344" i="14" s="1"/>
  <c r="J1347" i="14"/>
  <c r="J1344" i="14" s="1"/>
  <c r="K1339" i="14"/>
  <c r="K1336" i="14" s="1"/>
  <c r="J1339" i="14"/>
  <c r="J1336" i="14" s="1"/>
  <c r="J1310" i="14"/>
  <c r="J1307" i="14" s="1"/>
  <c r="K1301" i="14"/>
  <c r="K1298" i="14" s="1"/>
  <c r="J1301" i="14"/>
  <c r="J1298" i="14" s="1"/>
  <c r="K1292" i="14"/>
  <c r="K1289" i="14" s="1"/>
  <c r="J1292" i="14"/>
  <c r="J1289" i="14" s="1"/>
  <c r="K1274" i="14"/>
  <c r="K1271" i="14" s="1"/>
  <c r="J1274" i="14"/>
  <c r="J1271" i="14" s="1"/>
  <c r="K1265" i="14"/>
  <c r="K1262" i="14" s="1"/>
  <c r="J1265" i="14"/>
  <c r="J1262" i="14" s="1"/>
  <c r="K1256" i="14"/>
  <c r="K1253" i="14" s="1"/>
  <c r="J1256" i="14"/>
  <c r="J1253" i="14" s="1"/>
  <c r="K1247" i="14"/>
  <c r="K1244" i="14" s="1"/>
  <c r="J1247" i="14"/>
  <c r="J1244" i="14" s="1"/>
  <c r="K1238" i="14"/>
  <c r="K1235" i="14" s="1"/>
  <c r="J1238" i="14"/>
  <c r="J1235" i="14" s="1"/>
  <c r="K1230" i="14"/>
  <c r="K1227" i="14" s="1"/>
  <c r="K1226" i="14" s="1"/>
  <c r="J1230" i="14"/>
  <c r="J1227" i="14" s="1"/>
  <c r="J1226" i="14" s="1"/>
  <c r="K1214" i="14"/>
  <c r="K1211" i="14" s="1"/>
  <c r="J1214" i="14"/>
  <c r="J1211" i="14" s="1"/>
  <c r="K1173" i="14"/>
  <c r="J1173" i="14"/>
  <c r="J1121" i="14"/>
  <c r="K1071" i="14"/>
  <c r="J1046" i="14"/>
  <c r="K1035" i="14"/>
  <c r="J1035" i="14"/>
  <c r="K1005" i="14"/>
  <c r="J1005" i="14"/>
  <c r="Q931" i="14"/>
  <c r="P931" i="14"/>
  <c r="K907" i="14"/>
  <c r="K904" i="14" s="1"/>
  <c r="J907" i="14"/>
  <c r="J904" i="14" s="1"/>
  <c r="J897" i="14"/>
  <c r="J894" i="14" s="1"/>
  <c r="K884" i="14"/>
  <c r="K881" i="14" s="1"/>
  <c r="J884" i="14"/>
  <c r="J881" i="14" s="1"/>
  <c r="K875" i="14"/>
  <c r="K872" i="14" s="1"/>
  <c r="J875" i="14"/>
  <c r="J872" i="14" s="1"/>
  <c r="K862" i="14"/>
  <c r="K859" i="14" s="1"/>
  <c r="J862" i="14"/>
  <c r="J859" i="14" s="1"/>
  <c r="K839" i="14"/>
  <c r="K836" i="14" s="1"/>
  <c r="J839" i="14"/>
  <c r="J836" i="14" s="1"/>
  <c r="J825" i="14"/>
  <c r="J822" i="14" s="1"/>
  <c r="J809" i="14"/>
  <c r="J806" i="14" s="1"/>
  <c r="K777" i="14"/>
  <c r="K774" i="14" s="1"/>
  <c r="J777" i="14"/>
  <c r="J774" i="14" s="1"/>
  <c r="K767" i="14"/>
  <c r="K764" i="14" s="1"/>
  <c r="J767" i="14"/>
  <c r="J764" i="14" s="1"/>
  <c r="J754" i="14"/>
  <c r="J751" i="14" s="1"/>
  <c r="K742" i="14"/>
  <c r="K739" i="14" s="1"/>
  <c r="J742" i="14"/>
  <c r="J739" i="14" s="1"/>
  <c r="K728" i="14"/>
  <c r="K725" i="14" s="1"/>
  <c r="J728" i="14"/>
  <c r="J725" i="14" s="1"/>
  <c r="J703" i="14"/>
  <c r="J700" i="14" s="1"/>
  <c r="K690" i="14"/>
  <c r="K689" i="14" s="1"/>
  <c r="J690" i="14"/>
  <c r="J689" i="14" s="1"/>
  <c r="K481" i="14"/>
  <c r="K480" i="14" s="1"/>
  <c r="J481" i="14"/>
  <c r="J480" i="14" s="1"/>
  <c r="Q462" i="14"/>
  <c r="Q461" i="14" s="1"/>
  <c r="P462" i="14"/>
  <c r="P461" i="14" s="1"/>
  <c r="J417" i="14"/>
  <c r="K401" i="14"/>
  <c r="K400" i="14" s="1"/>
  <c r="J401" i="14"/>
  <c r="J400" i="14" s="1"/>
  <c r="K389" i="14"/>
  <c r="K386" i="14" s="1"/>
  <c r="K362" i="14" s="1"/>
  <c r="J389" i="14"/>
  <c r="J386" i="14" s="1"/>
  <c r="J362" i="14" s="1"/>
  <c r="Q358" i="14"/>
  <c r="P358" i="14"/>
  <c r="Q356" i="14"/>
  <c r="P356" i="14"/>
  <c r="J327" i="14"/>
  <c r="J326" i="14" s="1"/>
  <c r="J325" i="14" s="1"/>
  <c r="J304" i="14"/>
  <c r="J303" i="14" s="1"/>
  <c r="J296" i="14"/>
  <c r="J293" i="14" s="1"/>
  <c r="J292" i="14" s="1"/>
  <c r="J281" i="14"/>
  <c r="J278" i="14" s="1"/>
  <c r="J277" i="14" s="1"/>
  <c r="J268" i="14"/>
  <c r="J265" i="14" s="1"/>
  <c r="J257" i="14"/>
  <c r="J254" i="14" s="1"/>
  <c r="J251" i="14"/>
  <c r="J248" i="14" s="1"/>
  <c r="Q236" i="14"/>
  <c r="Q235" i="14" s="1"/>
  <c r="Q231" i="14" s="1"/>
  <c r="J232" i="14"/>
  <c r="J231" i="14" s="1"/>
  <c r="J206" i="14"/>
  <c r="J197" i="14"/>
  <c r="J189" i="14" s="1"/>
  <c r="J152" i="14"/>
  <c r="J149" i="14" s="1"/>
  <c r="J142" i="14"/>
  <c r="J141" i="14" s="1"/>
  <c r="J135" i="14"/>
  <c r="J134" i="14" s="1"/>
  <c r="J132" i="14"/>
  <c r="J131" i="14" s="1"/>
  <c r="J128" i="14"/>
  <c r="J127" i="14" s="1"/>
  <c r="J104" i="14"/>
  <c r="J91" i="14"/>
  <c r="J76" i="14"/>
  <c r="J75" i="14" s="1"/>
  <c r="J73" i="14"/>
  <c r="J69" i="14"/>
  <c r="Q40" i="14"/>
  <c r="P40" i="14"/>
  <c r="J27" i="14"/>
  <c r="J25" i="14" s="1"/>
  <c r="J20" i="14"/>
  <c r="J19" i="14" s="1"/>
  <c r="H415" i="13"/>
  <c r="H414" i="13"/>
  <c r="G415" i="13"/>
  <c r="G414" i="13"/>
  <c r="H412" i="13"/>
  <c r="H411" i="13"/>
  <c r="G412" i="13"/>
  <c r="G411" i="13"/>
  <c r="H405" i="13"/>
  <c r="H404" i="13"/>
  <c r="G405" i="13"/>
  <c r="G404" i="13"/>
  <c r="H402" i="13"/>
  <c r="H399" i="13"/>
  <c r="G402" i="13"/>
  <c r="G399" i="13"/>
  <c r="H396" i="13"/>
  <c r="H395" i="13"/>
  <c r="G396" i="13"/>
  <c r="G395" i="13"/>
  <c r="H364" i="13"/>
  <c r="G364" i="13"/>
  <c r="H362" i="13"/>
  <c r="G362" i="13"/>
  <c r="H339" i="13"/>
  <c r="G339" i="13"/>
  <c r="H12" i="13"/>
  <c r="H11" i="13"/>
  <c r="G12" i="13"/>
  <c r="G11" i="13"/>
  <c r="K9" i="15"/>
  <c r="L9" i="15"/>
  <c r="P2408" i="14"/>
  <c r="K19" i="15" s="1"/>
  <c r="K346" i="14"/>
  <c r="K343" i="14" s="1"/>
  <c r="K2257" i="14"/>
  <c r="K2254" i="14" s="1"/>
  <c r="K2251" i="14" s="1"/>
  <c r="K2230" i="14" s="1"/>
  <c r="K1310" i="14"/>
  <c r="K1307" i="14" s="1"/>
  <c r="K2389" i="14"/>
  <c r="K2386" i="14" s="1"/>
  <c r="K2385" i="14" s="1"/>
  <c r="K1588" i="14"/>
  <c r="Q1823" i="14"/>
  <c r="K417" i="14"/>
  <c r="Q498" i="14"/>
  <c r="K2267" i="14"/>
  <c r="I443" i="13"/>
  <c r="P40" i="15"/>
  <c r="U2188" i="14"/>
  <c r="U2185" i="14"/>
  <c r="U201" i="14"/>
  <c r="U2135" i="14"/>
  <c r="U2293" i="14"/>
  <c r="U1881" i="14"/>
  <c r="U877" i="14"/>
  <c r="U477" i="14"/>
  <c r="U1786" i="14"/>
  <c r="U355" i="14"/>
  <c r="U476" i="14"/>
  <c r="U1768" i="14"/>
  <c r="U2093" i="14"/>
  <c r="U235" i="14"/>
  <c r="U236" i="14"/>
  <c r="U2073" i="14"/>
  <c r="U2342" i="14"/>
  <c r="P25" i="15"/>
  <c r="E439" i="13"/>
  <c r="E438" i="13"/>
  <c r="E437" i="13"/>
  <c r="E517" i="13"/>
  <c r="U480" i="14"/>
  <c r="U1674" i="14"/>
  <c r="U490" i="14"/>
  <c r="U487" i="14"/>
  <c r="O1132" i="14"/>
  <c r="U1132" i="14" s="1"/>
  <c r="U2043" i="14"/>
  <c r="I1256" i="14"/>
  <c r="U1256" i="14" s="1"/>
  <c r="U756" i="14"/>
  <c r="U1745" i="14"/>
  <c r="I1636" i="14"/>
  <c r="U1636" i="14" s="1"/>
  <c r="U1714" i="14"/>
  <c r="U1319" i="14"/>
  <c r="I410" i="14"/>
  <c r="U410" i="14" s="1"/>
  <c r="U152" i="14"/>
  <c r="I1754" i="14"/>
  <c r="U1754" i="14" s="1"/>
  <c r="I848" i="14"/>
  <c r="I845" i="14" s="1"/>
  <c r="U845" i="14" s="1"/>
  <c r="U304" i="14"/>
  <c r="I2424" i="14"/>
  <c r="U2126" i="14"/>
  <c r="U730" i="14"/>
  <c r="I1488" i="14"/>
  <c r="U1488" i="14" s="1"/>
  <c r="O396" i="14"/>
  <c r="I1624" i="14"/>
  <c r="I1621" i="14" s="1"/>
  <c r="U1621" i="14" s="1"/>
  <c r="U1583" i="14"/>
  <c r="U2389" i="14"/>
  <c r="I1929" i="14"/>
  <c r="U1929" i="14" s="1"/>
  <c r="U1217" i="14"/>
  <c r="U1988" i="14"/>
  <c r="O1984" i="14"/>
  <c r="O1970" i="14" s="1"/>
  <c r="U1514" i="14"/>
  <c r="U1568" i="14"/>
  <c r="U299" i="14"/>
  <c r="I326" i="14"/>
  <c r="I325" i="14" s="1"/>
  <c r="U325" i="14" s="1"/>
  <c r="U2283" i="14"/>
  <c r="I2280" i="14"/>
  <c r="U1008" i="14"/>
  <c r="U1389" i="14"/>
  <c r="U1396" i="14"/>
  <c r="U472" i="14"/>
  <c r="U2115" i="14"/>
  <c r="U40" i="14"/>
  <c r="U1713" i="14"/>
  <c r="U1708" i="14"/>
  <c r="U63" i="14"/>
  <c r="I777" i="14"/>
  <c r="I774" i="14" s="1"/>
  <c r="U774" i="14" s="1"/>
  <c r="U779" i="14"/>
  <c r="I232" i="14"/>
  <c r="I231" i="14" s="1"/>
  <c r="U231" i="14" s="1"/>
  <c r="I1292" i="14"/>
  <c r="U1292" i="14" s="1"/>
  <c r="I361" i="13"/>
  <c r="I280" i="13"/>
  <c r="I261" i="13"/>
  <c r="I252" i="13"/>
  <c r="I226" i="13"/>
  <c r="H270" i="13"/>
  <c r="E399" i="13"/>
  <c r="H235" i="13"/>
  <c r="G252" i="13"/>
  <c r="J361" i="13"/>
  <c r="J399" i="13"/>
  <c r="G361" i="13"/>
  <c r="E361" i="13"/>
  <c r="J242" i="13"/>
  <c r="J270" i="13"/>
  <c r="J289" i="13"/>
  <c r="J88" i="13"/>
  <c r="E88" i="13"/>
  <c r="H361" i="13"/>
  <c r="I270" i="13"/>
  <c r="H252" i="13"/>
  <c r="H261" i="13"/>
  <c r="H280" i="13"/>
  <c r="H289" i="13"/>
  <c r="H428" i="13"/>
  <c r="I289" i="13"/>
  <c r="I242" i="13"/>
  <c r="I235" i="13"/>
  <c r="I216" i="13"/>
  <c r="I166" i="13"/>
  <c r="I21" i="13"/>
  <c r="I49" i="13"/>
  <c r="I22" i="13"/>
  <c r="H99" i="13"/>
  <c r="E245" i="13"/>
  <c r="E242" i="13"/>
  <c r="H299" i="13"/>
  <c r="H298" i="13"/>
  <c r="J8" i="13"/>
  <c r="J7" i="13"/>
  <c r="E289" i="13"/>
  <c r="E219" i="13"/>
  <c r="E216" i="13"/>
  <c r="J49" i="13"/>
  <c r="J166" i="13"/>
  <c r="J216" i="13"/>
  <c r="J235" i="13"/>
  <c r="J252" i="13"/>
  <c r="J280" i="13"/>
  <c r="I377" i="13"/>
  <c r="E166" i="13"/>
  <c r="E299" i="13"/>
  <c r="E298" i="13"/>
  <c r="E297" i="13"/>
  <c r="E283" i="13"/>
  <c r="E280" i="13"/>
  <c r="I94" i="13"/>
  <c r="H242" i="13"/>
  <c r="G299" i="13"/>
  <c r="G298" i="13"/>
  <c r="G297" i="13"/>
  <c r="H377" i="13"/>
  <c r="J417" i="13"/>
  <c r="J377" i="13"/>
  <c r="E428" i="13"/>
  <c r="G439" i="13"/>
  <c r="G438" i="13"/>
  <c r="G437" i="13"/>
  <c r="G517" i="13"/>
  <c r="G524" i="13"/>
  <c r="I299" i="13"/>
  <c r="I298" i="13"/>
  <c r="I297" i="13"/>
  <c r="H438" i="13"/>
  <c r="H437" i="13"/>
  <c r="H517" i="13"/>
  <c r="E22" i="13"/>
  <c r="E49" i="13"/>
  <c r="E417" i="13"/>
  <c r="E229" i="13"/>
  <c r="E226" i="13"/>
  <c r="I428" i="13"/>
  <c r="G261" i="13"/>
  <c r="J428" i="13"/>
  <c r="J517" i="13"/>
  <c r="I439" i="13"/>
  <c r="I438" i="13"/>
  <c r="I437" i="13"/>
  <c r="I517" i="13"/>
  <c r="I524" i="13"/>
  <c r="M6" i="15"/>
  <c r="J438" i="13"/>
  <c r="J437" i="13"/>
  <c r="J226" i="13"/>
  <c r="J261" i="13"/>
  <c r="E264" i="13"/>
  <c r="E261" i="13"/>
  <c r="E273" i="13"/>
  <c r="E270" i="13"/>
  <c r="J94" i="13"/>
  <c r="J22" i="13"/>
  <c r="G235" i="13"/>
  <c r="J299" i="13"/>
  <c r="J298" i="13"/>
  <c r="J297" i="13"/>
  <c r="I8" i="13"/>
  <c r="I7" i="13"/>
  <c r="E377" i="13"/>
  <c r="E255" i="13"/>
  <c r="E252" i="13"/>
  <c r="G8" i="13"/>
  <c r="G7" i="13"/>
  <c r="G216" i="13"/>
  <c r="R2076" i="14"/>
  <c r="R2073" i="14" s="1"/>
  <c r="R2063" i="14" s="1"/>
  <c r="R2051" i="14" s="1"/>
  <c r="U76" i="14"/>
  <c r="Q2073" i="14"/>
  <c r="Q2063" i="14" s="1"/>
  <c r="Q2051" i="14" s="1"/>
  <c r="U1785" i="14"/>
  <c r="U1643" i="14"/>
  <c r="I1642" i="14"/>
  <c r="I1641" i="14" s="1"/>
  <c r="U1641" i="14" s="1"/>
  <c r="U706" i="14"/>
  <c r="I703" i="14"/>
  <c r="U703" i="14" s="1"/>
  <c r="U1276" i="14"/>
  <c r="I1274" i="14"/>
  <c r="I1271" i="14" s="1"/>
  <c r="U1271" i="14" s="1"/>
  <c r="U316" i="14"/>
  <c r="U1318" i="14"/>
  <c r="O1307" i="14"/>
  <c r="O1199" i="14" s="1"/>
  <c r="U2383" i="14"/>
  <c r="O2382" i="14"/>
  <c r="O2373" i="14" s="1"/>
  <c r="O2372" i="14" s="1"/>
  <c r="I1630" i="14"/>
  <c r="G280" i="13"/>
  <c r="U1074" i="14"/>
  <c r="U2012" i="14"/>
  <c r="P130" i="14"/>
  <c r="I2122" i="14"/>
  <c r="U2122" i="14" s="1"/>
  <c r="U1312" i="14"/>
  <c r="U146" i="14"/>
  <c r="O145" i="14"/>
  <c r="U145" i="14" s="1"/>
  <c r="U1246" i="14"/>
  <c r="U1314" i="14"/>
  <c r="U1343" i="14"/>
  <c r="U1349" i="14"/>
  <c r="U1413" i="14"/>
  <c r="U1420" i="14"/>
  <c r="U1454" i="14"/>
  <c r="I1532" i="14"/>
  <c r="U1532" i="14" s="1"/>
  <c r="U450" i="14"/>
  <c r="G94" i="13"/>
  <c r="G21" i="13"/>
  <c r="H524" i="13"/>
  <c r="L6" i="15"/>
  <c r="K6" i="15"/>
  <c r="N6" i="15"/>
  <c r="J524" i="13"/>
  <c r="H94" i="13"/>
  <c r="E524" i="13"/>
  <c r="J6" i="15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G422" i="13"/>
  <c r="I422" i="13"/>
  <c r="H297" i="13"/>
  <c r="H21" i="13"/>
  <c r="J21" i="13"/>
  <c r="J422" i="13"/>
  <c r="O1032" i="14"/>
  <c r="U1057" i="14"/>
  <c r="E94" i="13"/>
  <c r="E21" i="13"/>
  <c r="E422" i="13"/>
  <c r="O2035" i="14"/>
  <c r="U2035" i="14" s="1"/>
  <c r="D6" i="15"/>
  <c r="P6" i="15" s="1"/>
  <c r="E523" i="13"/>
  <c r="E525" i="13"/>
  <c r="H6" i="15"/>
  <c r="J523" i="13"/>
  <c r="J525" i="13"/>
  <c r="H422" i="13"/>
  <c r="E6" i="15"/>
  <c r="Q6" i="15" s="1"/>
  <c r="G523" i="13"/>
  <c r="G525" i="13"/>
  <c r="I523" i="13"/>
  <c r="G6" i="15"/>
  <c r="S6" i="15" s="1"/>
  <c r="I525" i="13"/>
  <c r="F6" i="15"/>
  <c r="H523" i="13"/>
  <c r="H525" i="13"/>
  <c r="T6" i="15"/>
  <c r="R6" i="15"/>
  <c r="B285" i="20" l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B304" i="20" s="1"/>
  <c r="B305" i="20" s="1"/>
  <c r="B306" i="20" s="1"/>
  <c r="B307" i="20" s="1"/>
  <c r="B308" i="20" s="1"/>
  <c r="B309" i="20" s="1"/>
  <c r="B310" i="20" s="1"/>
  <c r="B311" i="20" s="1"/>
  <c r="B312" i="20" s="1"/>
  <c r="B313" i="20" s="1"/>
  <c r="B314" i="20" s="1"/>
  <c r="B315" i="20" s="1"/>
  <c r="B316" i="20" s="1"/>
  <c r="B317" i="20" s="1"/>
  <c r="B318" i="20" s="1"/>
  <c r="B319" i="20" s="1"/>
  <c r="B2094" i="14"/>
  <c r="B2095" i="14" s="1"/>
  <c r="B2096" i="14" s="1"/>
  <c r="B2097" i="14" s="1"/>
  <c r="B2098" i="14" s="1"/>
  <c r="B2099" i="14" s="1"/>
  <c r="B2100" i="14" s="1"/>
  <c r="B2101" i="14" s="1"/>
  <c r="B2102" i="14" s="1"/>
  <c r="B2103" i="14" s="1"/>
  <c r="B2104" i="14" s="1"/>
  <c r="B2105" i="14" s="1"/>
  <c r="B2106" i="14" s="1"/>
  <c r="B2107" i="14" s="1"/>
  <c r="B2108" i="14" s="1"/>
  <c r="B2109" i="14" s="1"/>
  <c r="B2110" i="14" s="1"/>
  <c r="B2111" i="14" s="1"/>
  <c r="B2112" i="14" s="1"/>
  <c r="B2113" i="14" s="1"/>
  <c r="B2114" i="14" s="1"/>
  <c r="B2115" i="14" s="1"/>
  <c r="B2116" i="14" s="1"/>
  <c r="B2117" i="14" s="1"/>
  <c r="B2118" i="14" s="1"/>
  <c r="B2119" i="14" s="1"/>
  <c r="B2120" i="14" s="1"/>
  <c r="B2121" i="14" s="1"/>
  <c r="B2122" i="14" s="1"/>
  <c r="B2123" i="14" s="1"/>
  <c r="B2124" i="14" s="1"/>
  <c r="B2125" i="14" s="1"/>
  <c r="B2126" i="14" s="1"/>
  <c r="B2127" i="14" s="1"/>
  <c r="B2128" i="14" s="1"/>
  <c r="B2129" i="14" s="1"/>
  <c r="B2130" i="14" s="1"/>
  <c r="B2131" i="14" s="1"/>
  <c r="B2132" i="14" s="1"/>
  <c r="B2133" i="14" s="1"/>
  <c r="B2134" i="14" s="1"/>
  <c r="B2135" i="14" s="1"/>
  <c r="B2136" i="14" s="1"/>
  <c r="B2137" i="14" s="1"/>
  <c r="B2138" i="14" s="1"/>
  <c r="B2139" i="14" s="1"/>
  <c r="B2140" i="14" s="1"/>
  <c r="B2141" i="14" s="1"/>
  <c r="B2142" i="14" s="1"/>
  <c r="B2143" i="14" s="1"/>
  <c r="B2144" i="14" s="1"/>
  <c r="B2145" i="14" s="1"/>
  <c r="B2146" i="14" s="1"/>
  <c r="B2147" i="14" s="1"/>
  <c r="B2148" i="14" s="1"/>
  <c r="B2149" i="14" s="1"/>
  <c r="B2150" i="14" s="1"/>
  <c r="B2151" i="14" s="1"/>
  <c r="B2152" i="14" s="1"/>
  <c r="B2153" i="14" s="1"/>
  <c r="B2154" i="14" s="1"/>
  <c r="B2155" i="14" s="1"/>
  <c r="Q1722" i="14"/>
  <c r="Q1717" i="14" s="1"/>
  <c r="M1794" i="14"/>
  <c r="O2417" i="14"/>
  <c r="U2417" i="14" s="1"/>
  <c r="L974" i="14"/>
  <c r="U519" i="14"/>
  <c r="I1938" i="14"/>
  <c r="U2015" i="14"/>
  <c r="I2103" i="14"/>
  <c r="B460" i="14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366" i="14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K2410" i="14"/>
  <c r="K2409" i="14" s="1"/>
  <c r="K2408" i="14" s="1"/>
  <c r="F19" i="15" s="1"/>
  <c r="R19" i="15" s="1"/>
  <c r="B119" i="20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798" i="14"/>
  <c r="B1799" i="14" s="1"/>
  <c r="B1800" i="14" s="1"/>
  <c r="B1801" i="14" s="1"/>
  <c r="B1802" i="14" s="1"/>
  <c r="B1803" i="14" s="1"/>
  <c r="B1804" i="14" s="1"/>
  <c r="B1805" i="14" s="1"/>
  <c r="B1806" i="14" s="1"/>
  <c r="B1807" i="14" s="1"/>
  <c r="B1808" i="14" s="1"/>
  <c r="B733" i="14"/>
  <c r="B734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735" i="14"/>
  <c r="B736" i="14" s="1"/>
  <c r="U2176" i="14"/>
  <c r="O138" i="14"/>
  <c r="U138" i="14" s="1"/>
  <c r="U20" i="14"/>
  <c r="P783" i="14"/>
  <c r="P774" i="14" s="1"/>
  <c r="P716" i="14" s="1"/>
  <c r="P686" i="14" s="1"/>
  <c r="K1500" i="14"/>
  <c r="Q1984" i="14"/>
  <c r="Q1970" i="14" s="1"/>
  <c r="Q994" i="14"/>
  <c r="Q974" i="14" s="1"/>
  <c r="I2055" i="14"/>
  <c r="I2052" i="14" s="1"/>
  <c r="U2052" i="14" s="1"/>
  <c r="U865" i="14"/>
  <c r="Q2341" i="14"/>
  <c r="Q2329" i="14" s="1"/>
  <c r="Q2313" i="14" s="1"/>
  <c r="I131" i="14"/>
  <c r="U131" i="14" s="1"/>
  <c r="U1791" i="14"/>
  <c r="I1789" i="14"/>
  <c r="U1789" i="14" s="1"/>
  <c r="I1371" i="14"/>
  <c r="U1371" i="14" s="1"/>
  <c r="U2179" i="14"/>
  <c r="I809" i="14"/>
  <c r="I806" i="14" s="1"/>
  <c r="U806" i="14" s="1"/>
  <c r="U156" i="14"/>
  <c r="I839" i="14"/>
  <c r="U839" i="14" s="1"/>
  <c r="I2226" i="14"/>
  <c r="I2203" i="14" s="1"/>
  <c r="U2203" i="14" s="1"/>
  <c r="B146" i="14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P1132" i="14"/>
  <c r="P1108" i="14" s="1"/>
  <c r="U2199" i="14"/>
  <c r="I1670" i="14"/>
  <c r="U1670" i="14" s="1"/>
  <c r="U484" i="14"/>
  <c r="U404" i="14"/>
  <c r="U481" i="14"/>
  <c r="I1503" i="14"/>
  <c r="U1503" i="14" s="1"/>
  <c r="J1139" i="14"/>
  <c r="I1411" i="14"/>
  <c r="U1411" i="14" s="1"/>
  <c r="I1580" i="14"/>
  <c r="U1580" i="14" s="1"/>
  <c r="I1142" i="14"/>
  <c r="U1142" i="14" s="1"/>
  <c r="I1777" i="14"/>
  <c r="U1777" i="14" s="1"/>
  <c r="I1467" i="14"/>
  <c r="U1467" i="14" s="1"/>
  <c r="I22" i="14"/>
  <c r="U22" i="14" s="1"/>
  <c r="L103" i="14"/>
  <c r="L1500" i="14"/>
  <c r="U128" i="14"/>
  <c r="I93" i="14"/>
  <c r="U93" i="14" s="1"/>
  <c r="I2365" i="14"/>
  <c r="U2365" i="14" s="1"/>
  <c r="I2356" i="14"/>
  <c r="I2353" i="14" s="1"/>
  <c r="I51" i="14"/>
  <c r="K1108" i="14"/>
  <c r="S1768" i="14"/>
  <c r="S1767" i="14" s="1"/>
  <c r="L1108" i="14"/>
  <c r="L1733" i="14"/>
  <c r="L1706" i="14" s="1"/>
  <c r="L1794" i="14"/>
  <c r="L2168" i="14"/>
  <c r="K103" i="14"/>
  <c r="K247" i="14"/>
  <c r="F11" i="15" s="1"/>
  <c r="Q1737" i="14"/>
  <c r="Q1733" i="14" s="1"/>
  <c r="I1459" i="14"/>
  <c r="U1459" i="14" s="1"/>
  <c r="R365" i="14"/>
  <c r="R362" i="14" s="1"/>
  <c r="I296" i="14"/>
  <c r="I293" i="14" s="1"/>
  <c r="I292" i="14" s="1"/>
  <c r="U292" i="14" s="1"/>
  <c r="I444" i="14"/>
  <c r="U444" i="14" s="1"/>
  <c r="U27" i="14"/>
  <c r="I103" i="14"/>
  <c r="U103" i="14" s="1"/>
  <c r="I189" i="14"/>
  <c r="U189" i="14" s="1"/>
  <c r="O39" i="14"/>
  <c r="U39" i="14" s="1"/>
  <c r="U2170" i="14"/>
  <c r="I767" i="14"/>
  <c r="U767" i="14" s="1"/>
  <c r="I1298" i="14"/>
  <c r="U1298" i="14" s="1"/>
  <c r="P2035" i="14"/>
  <c r="P2032" i="14" s="1"/>
  <c r="P2031" i="14" s="1"/>
  <c r="K17" i="15" s="1"/>
  <c r="I1450" i="14"/>
  <c r="I1447" i="14" s="1"/>
  <c r="U1447" i="14" s="1"/>
  <c r="U690" i="14"/>
  <c r="I346" i="14"/>
  <c r="U346" i="14" s="1"/>
  <c r="U135" i="14"/>
  <c r="I897" i="14"/>
  <c r="I894" i="14" s="1"/>
  <c r="U894" i="14" s="1"/>
  <c r="I2421" i="14"/>
  <c r="U2421" i="14" s="1"/>
  <c r="I1339" i="14"/>
  <c r="U1339" i="14" s="1"/>
  <c r="I281" i="14"/>
  <c r="U281" i="14" s="1"/>
  <c r="O2341" i="14"/>
  <c r="O2329" i="14" s="1"/>
  <c r="O2313" i="14" s="1"/>
  <c r="U1303" i="14"/>
  <c r="Q457" i="14"/>
  <c r="Q456" i="14" s="1"/>
  <c r="K2051" i="14"/>
  <c r="K2032" i="14" s="1"/>
  <c r="I1438" i="14"/>
  <c r="I1435" i="14" s="1"/>
  <c r="U1435" i="14" s="1"/>
  <c r="I742" i="14"/>
  <c r="I739" i="14" s="1"/>
  <c r="U739" i="14" s="1"/>
  <c r="O994" i="14"/>
  <c r="O974" i="14" s="1"/>
  <c r="I1265" i="14"/>
  <c r="U1265" i="14" s="1"/>
  <c r="M974" i="14"/>
  <c r="M1108" i="14"/>
  <c r="Q309" i="14"/>
  <c r="Q303" i="14" s="1"/>
  <c r="Q247" i="14" s="1"/>
  <c r="L11" i="15" s="1"/>
  <c r="K457" i="14"/>
  <c r="K456" i="14" s="1"/>
  <c r="K443" i="14" s="1"/>
  <c r="F13" i="15" s="1"/>
  <c r="Q1947" i="14"/>
  <c r="Q1938" i="14" s="1"/>
  <c r="S2168" i="14"/>
  <c r="U401" i="14"/>
  <c r="Q495" i="14"/>
  <c r="Q494" i="14" s="1"/>
  <c r="B317" i="14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S39" i="14"/>
  <c r="S32" i="14" s="1"/>
  <c r="S8" i="14" s="1"/>
  <c r="N8" i="15" s="1"/>
  <c r="M1002" i="14"/>
  <c r="S1520" i="14"/>
  <c r="S1500" i="14" s="1"/>
  <c r="S1324" i="14" s="1"/>
  <c r="Q1571" i="14"/>
  <c r="Q1552" i="14" s="1"/>
  <c r="Q1324" i="14" s="1"/>
  <c r="Q1132" i="14"/>
  <c r="Q1108" i="14" s="1"/>
  <c r="L189" i="14"/>
  <c r="J1170" i="14"/>
  <c r="L456" i="14"/>
  <c r="L443" i="14" s="1"/>
  <c r="G13" i="15" s="1"/>
  <c r="L1456" i="14"/>
  <c r="P1737" i="14"/>
  <c r="P1733" i="14" s="1"/>
  <c r="Q2093" i="14"/>
  <c r="Q2084" i="14" s="1"/>
  <c r="Q2083" i="14" s="1"/>
  <c r="U360" i="14"/>
  <c r="O1947" i="14"/>
  <c r="O1938" i="14" s="1"/>
  <c r="U1938" i="14" s="1"/>
  <c r="B2186" i="14"/>
  <c r="B2187" i="14" s="1"/>
  <c r="M189" i="14"/>
  <c r="S1162" i="14"/>
  <c r="S1139" i="14" s="1"/>
  <c r="L1002" i="14"/>
  <c r="L90" i="14"/>
  <c r="L1598" i="14"/>
  <c r="P457" i="14"/>
  <c r="P456" i="14" s="1"/>
  <c r="L415" i="14"/>
  <c r="R1797" i="14"/>
  <c r="R1794" i="14" s="1"/>
  <c r="L2230" i="14"/>
  <c r="K944" i="14"/>
  <c r="Q783" i="14"/>
  <c r="Q774" i="14" s="1"/>
  <c r="Q716" i="14" s="1"/>
  <c r="Q686" i="14" s="1"/>
  <c r="L944" i="14"/>
  <c r="I1347" i="14"/>
  <c r="U1347" i="14" s="1"/>
  <c r="M103" i="14"/>
  <c r="P495" i="14"/>
  <c r="P494" i="14" s="1"/>
  <c r="J103" i="14"/>
  <c r="M205" i="14"/>
  <c r="S716" i="14"/>
  <c r="S686" i="14" s="1"/>
  <c r="M1068" i="14"/>
  <c r="S1092" i="14"/>
  <c r="S1068" i="14" s="1"/>
  <c r="M1456" i="14"/>
  <c r="M1477" i="14"/>
  <c r="M1500" i="14"/>
  <c r="M1527" i="14"/>
  <c r="S1722" i="14"/>
  <c r="S1717" i="14" s="1"/>
  <c r="M1733" i="14"/>
  <c r="M1706" i="14" s="1"/>
  <c r="M1669" i="14" s="1"/>
  <c r="H15" i="15" s="1"/>
  <c r="M2083" i="14"/>
  <c r="M2109" i="14"/>
  <c r="S2292" i="14"/>
  <c r="S2280" i="14" s="1"/>
  <c r="S2276" i="14" s="1"/>
  <c r="S2265" i="14" s="1"/>
  <c r="L1620" i="14"/>
  <c r="R1722" i="14"/>
  <c r="R1717" i="14" s="1"/>
  <c r="P365" i="14"/>
  <c r="P362" i="14" s="1"/>
  <c r="R1057" i="14"/>
  <c r="R1032" i="14" s="1"/>
  <c r="R1092" i="14"/>
  <c r="R1068" i="14" s="1"/>
  <c r="R1947" i="14"/>
  <c r="R1938" i="14" s="1"/>
  <c r="Q1768" i="14"/>
  <c r="Q1767" i="14" s="1"/>
  <c r="J944" i="14"/>
  <c r="S2035" i="14"/>
  <c r="S2032" i="14" s="1"/>
  <c r="I2410" i="14"/>
  <c r="I2367" i="14"/>
  <c r="U2367" i="14" s="1"/>
  <c r="I1082" i="14"/>
  <c r="U1082" i="14" s="1"/>
  <c r="I1121" i="14"/>
  <c r="U1121" i="14" s="1"/>
  <c r="L1170" i="14"/>
  <c r="L2266" i="14"/>
  <c r="R39" i="14"/>
  <c r="R32" i="14" s="1"/>
  <c r="R8" i="14" s="1"/>
  <c r="M8" i="15" s="1"/>
  <c r="R219" i="14"/>
  <c r="R210" i="14" s="1"/>
  <c r="R1335" i="14"/>
  <c r="R1324" i="14" s="1"/>
  <c r="J457" i="14"/>
  <c r="J456" i="14" s="1"/>
  <c r="J443" i="14" s="1"/>
  <c r="E13" i="15" s="1"/>
  <c r="I944" i="14"/>
  <c r="U944" i="14" s="1"/>
  <c r="U268" i="14"/>
  <c r="K2313" i="14"/>
  <c r="R1199" i="14"/>
  <c r="I1182" i="14"/>
  <c r="U1182" i="14" s="1"/>
  <c r="I1214" i="14"/>
  <c r="U1214" i="14" s="1"/>
  <c r="Q58" i="14"/>
  <c r="Q51" i="14" s="1"/>
  <c r="K189" i="14"/>
  <c r="Q130" i="14"/>
  <c r="L716" i="14"/>
  <c r="L686" i="14" s="1"/>
  <c r="L1139" i="14"/>
  <c r="L1335" i="14"/>
  <c r="L1477" i="14"/>
  <c r="L1527" i="14"/>
  <c r="L1577" i="14"/>
  <c r="L2410" i="14"/>
  <c r="L2409" i="14" s="1"/>
  <c r="L2408" i="14" s="1"/>
  <c r="G19" i="15" s="1"/>
  <c r="S19" i="15" s="1"/>
  <c r="R495" i="14"/>
  <c r="R494" i="14" s="1"/>
  <c r="K67" i="14"/>
  <c r="P163" i="14"/>
  <c r="P155" i="14" s="1"/>
  <c r="P1092" i="14"/>
  <c r="P1068" i="14" s="1"/>
  <c r="P1768" i="14"/>
  <c r="P1767" i="14" s="1"/>
  <c r="R355" i="14"/>
  <c r="R343" i="14" s="1"/>
  <c r="R456" i="14"/>
  <c r="R1737" i="14"/>
  <c r="R1733" i="14" s="1"/>
  <c r="Q1092" i="14"/>
  <c r="Q1068" i="14" s="1"/>
  <c r="U69" i="14"/>
  <c r="I67" i="14"/>
  <c r="U67" i="14" s="1"/>
  <c r="I1310" i="14"/>
  <c r="I1307" i="14" s="1"/>
  <c r="U1307" i="14" s="1"/>
  <c r="I257" i="14"/>
  <c r="I1611" i="14"/>
  <c r="U1611" i="14" s="1"/>
  <c r="I1005" i="14"/>
  <c r="U1005" i="14" s="1"/>
  <c r="I468" i="14"/>
  <c r="I465" i="14" s="1"/>
  <c r="U465" i="14" s="1"/>
  <c r="U54" i="14"/>
  <c r="I751" i="14"/>
  <c r="U751" i="14" s="1"/>
  <c r="O278" i="14"/>
  <c r="O277" i="14" s="1"/>
  <c r="I2386" i="14"/>
  <c r="I2385" i="14" s="1"/>
  <c r="U2385" i="14" s="1"/>
  <c r="O58" i="14"/>
  <c r="O51" i="14" s="1"/>
  <c r="I2266" i="14"/>
  <c r="U2266" i="14" s="1"/>
  <c r="I2329" i="14"/>
  <c r="I141" i="14"/>
  <c r="I1111" i="14"/>
  <c r="U1111" i="14" s="1"/>
  <c r="I2191" i="14"/>
  <c r="U2191" i="14" s="1"/>
  <c r="I2142" i="14"/>
  <c r="I2139" i="14" s="1"/>
  <c r="I2138" i="14" s="1"/>
  <c r="I1395" i="14"/>
  <c r="U1395" i="14" s="1"/>
  <c r="I1541" i="14"/>
  <c r="U1541" i="14" s="1"/>
  <c r="U70" i="14"/>
  <c r="U1823" i="14"/>
  <c r="I1355" i="14"/>
  <c r="U1355" i="14" s="1"/>
  <c r="I205" i="14"/>
  <c r="U205" i="14" s="1"/>
  <c r="U1765" i="14"/>
  <c r="U38" i="14"/>
  <c r="R130" i="14"/>
  <c r="I1899" i="14"/>
  <c r="U1899" i="14" s="1"/>
  <c r="I1419" i="14"/>
  <c r="U1419" i="14" s="1"/>
  <c r="I415" i="14"/>
  <c r="U415" i="14" s="1"/>
  <c r="U143" i="14"/>
  <c r="I1071" i="14"/>
  <c r="U1071" i="14" s="1"/>
  <c r="O309" i="14"/>
  <c r="O303" i="14" s="1"/>
  <c r="I977" i="14"/>
  <c r="U977" i="14" s="1"/>
  <c r="I1035" i="14"/>
  <c r="U1035" i="14" s="1"/>
  <c r="I1480" i="14"/>
  <c r="U1480" i="14" s="1"/>
  <c r="I1283" i="14"/>
  <c r="I1280" i="14" s="1"/>
  <c r="U1280" i="14" s="1"/>
  <c r="U1185" i="14"/>
  <c r="I1512" i="14"/>
  <c r="U1512" i="14" s="1"/>
  <c r="I1247" i="14"/>
  <c r="U1247" i="14" s="1"/>
  <c r="O377" i="14"/>
  <c r="U377" i="14" s="1"/>
  <c r="I1015" i="14"/>
  <c r="U1015" i="14" s="1"/>
  <c r="I1403" i="14"/>
  <c r="I1400" i="14" s="1"/>
  <c r="U1400" i="14" s="1"/>
  <c r="I825" i="14"/>
  <c r="U825" i="14" s="1"/>
  <c r="O2150" i="14"/>
  <c r="U2150" i="14" s="1"/>
  <c r="U2085" i="14"/>
  <c r="I907" i="14"/>
  <c r="I904" i="14" s="1"/>
  <c r="U904" i="14" s="1"/>
  <c r="I1152" i="14"/>
  <c r="U1152" i="14" s="1"/>
  <c r="R163" i="14"/>
  <c r="R155" i="14" s="1"/>
  <c r="R1970" i="14"/>
  <c r="I2376" i="14"/>
  <c r="U2376" i="14" s="1"/>
  <c r="I2066" i="14"/>
  <c r="I2063" i="14" s="1"/>
  <c r="U2063" i="14" s="1"/>
  <c r="I1603" i="14"/>
  <c r="U1603" i="14" s="1"/>
  <c r="I793" i="14"/>
  <c r="I790" i="14" s="1"/>
  <c r="U790" i="14" s="1"/>
  <c r="I10" i="14"/>
  <c r="U10" i="14" s="1"/>
  <c r="I1046" i="14"/>
  <c r="U1046" i="14" s="1"/>
  <c r="I2130" i="14"/>
  <c r="I2129" i="14" s="1"/>
  <c r="U2129" i="14" s="1"/>
  <c r="I1363" i="14"/>
  <c r="I1360" i="14" s="1"/>
  <c r="U1360" i="14" s="1"/>
  <c r="I1564" i="14"/>
  <c r="U1564" i="14" s="1"/>
  <c r="I2244" i="14"/>
  <c r="U2244" i="14" s="1"/>
  <c r="I1873" i="14"/>
  <c r="U1873" i="14" s="1"/>
  <c r="O2292" i="14"/>
  <c r="O2280" i="14" s="1"/>
  <c r="U2280" i="14" s="1"/>
  <c r="I1970" i="14"/>
  <c r="U1970" i="14" s="1"/>
  <c r="I1555" i="14"/>
  <c r="U1555" i="14" s="1"/>
  <c r="U251" i="14"/>
  <c r="I32" i="14"/>
  <c r="I1427" i="14"/>
  <c r="U1427" i="14" s="1"/>
  <c r="U288" i="14"/>
  <c r="I1387" i="14"/>
  <c r="I1384" i="14" s="1"/>
  <c r="U1384" i="14" s="1"/>
  <c r="I2276" i="14"/>
  <c r="I884" i="14"/>
  <c r="U884" i="14" s="1"/>
  <c r="I985" i="14"/>
  <c r="U985" i="14" s="1"/>
  <c r="I2083" i="14"/>
  <c r="U2083" i="14" s="1"/>
  <c r="I1173" i="14"/>
  <c r="U1173" i="14" s="1"/>
  <c r="K2266" i="14"/>
  <c r="J974" i="14"/>
  <c r="S163" i="14"/>
  <c r="S155" i="14" s="1"/>
  <c r="S219" i="14"/>
  <c r="S210" i="14" s="1"/>
  <c r="M716" i="14"/>
  <c r="M686" i="14" s="1"/>
  <c r="M1139" i="14"/>
  <c r="M1577" i="14"/>
  <c r="S1797" i="14"/>
  <c r="S1794" i="14" s="1"/>
  <c r="S1933" i="14"/>
  <c r="S1928" i="14" s="1"/>
  <c r="S1898" i="14" s="1"/>
  <c r="N16" i="15" s="1"/>
  <c r="P1947" i="14"/>
  <c r="P1938" i="14" s="1"/>
  <c r="R309" i="14"/>
  <c r="R303" i="14" s="1"/>
  <c r="R247" i="14" s="1"/>
  <c r="M11" i="15" s="1"/>
  <c r="Q1057" i="14"/>
  <c r="Q1032" i="14" s="1"/>
  <c r="J1108" i="14"/>
  <c r="M688" i="14"/>
  <c r="M687" i="14" s="1"/>
  <c r="L688" i="14"/>
  <c r="L687" i="14" s="1"/>
  <c r="O219" i="14"/>
  <c r="O210" i="14" s="1"/>
  <c r="I210" i="14"/>
  <c r="Q2265" i="14"/>
  <c r="Q163" i="14"/>
  <c r="Q155" i="14" s="1"/>
  <c r="J2266" i="14"/>
  <c r="J2265" i="14" s="1"/>
  <c r="S365" i="14"/>
  <c r="S362" i="14" s="1"/>
  <c r="M2051" i="14"/>
  <c r="M2032" i="14" s="1"/>
  <c r="M2410" i="14"/>
  <c r="M2409" i="14" s="1"/>
  <c r="M2408" i="14" s="1"/>
  <c r="H19" i="15" s="1"/>
  <c r="T19" i="15" s="1"/>
  <c r="J2410" i="14"/>
  <c r="J2409" i="14" s="1"/>
  <c r="J2408" i="14" s="1"/>
  <c r="E19" i="15" s="1"/>
  <c r="Q19" i="15" s="1"/>
  <c r="K1620" i="14"/>
  <c r="J2203" i="14"/>
  <c r="M67" i="14"/>
  <c r="S303" i="14"/>
  <c r="S247" i="14" s="1"/>
  <c r="N11" i="15" s="1"/>
  <c r="S2093" i="14"/>
  <c r="S2084" i="14" s="1"/>
  <c r="S2083" i="14" s="1"/>
  <c r="Q2232" i="14"/>
  <c r="Q2231" i="14" s="1"/>
  <c r="Q2230" i="14" s="1"/>
  <c r="L362" i="14"/>
  <c r="L1068" i="14"/>
  <c r="L67" i="14"/>
  <c r="L1552" i="14"/>
  <c r="L2109" i="14"/>
  <c r="K130" i="14"/>
  <c r="J1335" i="14"/>
  <c r="J1898" i="14"/>
  <c r="E16" i="15" s="1"/>
  <c r="M130" i="14"/>
  <c r="M2313" i="14"/>
  <c r="Q1797" i="14"/>
  <c r="Q1794" i="14" s="1"/>
  <c r="M1898" i="14"/>
  <c r="H16" i="15" s="1"/>
  <c r="P219" i="14"/>
  <c r="P210" i="14" s="1"/>
  <c r="S495" i="14"/>
  <c r="S494" i="14" s="1"/>
  <c r="S443" i="14" s="1"/>
  <c r="N13" i="15" s="1"/>
  <c r="M90" i="14"/>
  <c r="M265" i="14"/>
  <c r="M247" i="14" s="1"/>
  <c r="H11" i="15" s="1"/>
  <c r="M1552" i="14"/>
  <c r="M1598" i="14"/>
  <c r="M2266" i="14"/>
  <c r="U1984" i="14"/>
  <c r="J1456" i="14"/>
  <c r="Q39" i="14"/>
  <c r="Q32" i="14" s="1"/>
  <c r="J205" i="14"/>
  <c r="K1002" i="14"/>
  <c r="K1068" i="14"/>
  <c r="J2032" i="14"/>
  <c r="M457" i="14"/>
  <c r="M456" i="14" s="1"/>
  <c r="M443" i="14" s="1"/>
  <c r="H13" i="15" s="1"/>
  <c r="R716" i="14"/>
  <c r="R686" i="14" s="1"/>
  <c r="K1598" i="14"/>
  <c r="U777" i="14"/>
  <c r="K415" i="14"/>
  <c r="K342" i="14" s="1"/>
  <c r="F12" i="15" s="1"/>
  <c r="J1527" i="14"/>
  <c r="K205" i="14"/>
  <c r="M1620" i="14"/>
  <c r="I1253" i="14"/>
  <c r="U1253" i="14" s="1"/>
  <c r="M1199" i="14"/>
  <c r="M9" i="14"/>
  <c r="L9" i="14"/>
  <c r="O1108" i="14"/>
  <c r="U2341" i="14"/>
  <c r="J1598" i="14"/>
  <c r="J10" i="14"/>
  <c r="J9" i="14" s="1"/>
  <c r="M1032" i="14"/>
  <c r="M1335" i="14"/>
  <c r="U862" i="14"/>
  <c r="I859" i="14"/>
  <c r="U859" i="14" s="1"/>
  <c r="U403" i="14"/>
  <c r="O400" i="14"/>
  <c r="U400" i="14" s="1"/>
  <c r="U1624" i="14"/>
  <c r="I408" i="14"/>
  <c r="U408" i="14" s="1"/>
  <c r="U848" i="14"/>
  <c r="U2103" i="14"/>
  <c r="U232" i="14"/>
  <c r="P2167" i="14"/>
  <c r="K18" i="15" s="1"/>
  <c r="J2367" i="14"/>
  <c r="M944" i="14"/>
  <c r="K9" i="14"/>
  <c r="J1068" i="14"/>
  <c r="Q365" i="14"/>
  <c r="Q362" i="14" s="1"/>
  <c r="K1898" i="14"/>
  <c r="F16" i="15" s="1"/>
  <c r="J2083" i="14"/>
  <c r="U326" i="14"/>
  <c r="P39" i="14"/>
  <c r="P32" i="14" s="1"/>
  <c r="P8" i="14" s="1"/>
  <c r="K8" i="15" s="1"/>
  <c r="K2276" i="14"/>
  <c r="K90" i="14"/>
  <c r="P1797" i="14"/>
  <c r="P1794" i="14" s="1"/>
  <c r="L130" i="14"/>
  <c r="L247" i="14"/>
  <c r="G11" i="15" s="1"/>
  <c r="S130" i="14"/>
  <c r="K2109" i="14"/>
  <c r="I872" i="14"/>
  <c r="U872" i="14" s="1"/>
  <c r="U875" i="14"/>
  <c r="U1737" i="14"/>
  <c r="O1733" i="14"/>
  <c r="O1706" i="14" s="1"/>
  <c r="O1669" i="14" s="1"/>
  <c r="J15" i="15" s="1"/>
  <c r="U728" i="14"/>
  <c r="I725" i="14"/>
  <c r="U725" i="14" s="1"/>
  <c r="J1477" i="14"/>
  <c r="J1577" i="14"/>
  <c r="O2032" i="14"/>
  <c r="I1289" i="14"/>
  <c r="U1289" i="14" s="1"/>
  <c r="Q355" i="14"/>
  <c r="Q343" i="14" s="1"/>
  <c r="J415" i="14"/>
  <c r="J342" i="14" s="1"/>
  <c r="E12" i="15" s="1"/>
  <c r="K1032" i="14"/>
  <c r="K1456" i="14"/>
  <c r="K1552" i="14"/>
  <c r="S403" i="14"/>
  <c r="S400" i="14" s="1"/>
  <c r="P1984" i="14"/>
  <c r="P1970" i="14" s="1"/>
  <c r="I1238" i="14"/>
  <c r="R2035" i="14"/>
  <c r="R2032" i="14" s="1"/>
  <c r="L2203" i="14"/>
  <c r="S425" i="14"/>
  <c r="S415" i="14" s="1"/>
  <c r="M1170" i="14"/>
  <c r="M2251" i="14"/>
  <c r="M2230" i="14" s="1"/>
  <c r="R2093" i="14"/>
  <c r="R2084" i="14" s="1"/>
  <c r="R2083" i="14" s="1"/>
  <c r="J1552" i="14"/>
  <c r="Q219" i="14"/>
  <c r="Q210" i="14" s="1"/>
  <c r="I1733" i="14"/>
  <c r="K1577" i="14"/>
  <c r="K716" i="14"/>
  <c r="K686" i="14" s="1"/>
  <c r="U1382" i="14"/>
  <c r="I1379" i="14"/>
  <c r="P247" i="14"/>
  <c r="K11" i="15" s="1"/>
  <c r="U2255" i="14"/>
  <c r="I2254" i="14"/>
  <c r="U2304" i="14"/>
  <c r="I2303" i="14"/>
  <c r="J1500" i="14"/>
  <c r="U1718" i="14"/>
  <c r="I1717" i="14"/>
  <c r="U1717" i="14" s="1"/>
  <c r="U1592" i="14"/>
  <c r="I1588" i="14"/>
  <c r="U1588" i="14" s="1"/>
  <c r="U1651" i="14"/>
  <c r="I1647" i="14"/>
  <c r="I1644" i="14" s="1"/>
  <c r="U2009" i="14"/>
  <c r="I386" i="14"/>
  <c r="I362" i="14" s="1"/>
  <c r="U389" i="14"/>
  <c r="Q2032" i="14"/>
  <c r="K2367" i="14"/>
  <c r="J2168" i="14"/>
  <c r="K2203" i="14"/>
  <c r="L2051" i="14"/>
  <c r="L2032" i="14" s="1"/>
  <c r="J1002" i="14"/>
  <c r="K1170" i="14"/>
  <c r="K1199" i="14"/>
  <c r="J1733" i="14"/>
  <c r="J1706" i="14" s="1"/>
  <c r="J1669" i="14" s="1"/>
  <c r="E15" i="15" s="1"/>
  <c r="K1733" i="14"/>
  <c r="K1706" i="14" s="1"/>
  <c r="K1669" i="14" s="1"/>
  <c r="F15" i="15" s="1"/>
  <c r="K2168" i="14"/>
  <c r="M362" i="14"/>
  <c r="K1139" i="14"/>
  <c r="L1199" i="14"/>
  <c r="J716" i="14"/>
  <c r="J686" i="14" s="1"/>
  <c r="I700" i="14"/>
  <c r="U700" i="14" s="1"/>
  <c r="U2424" i="14"/>
  <c r="U1274" i="14"/>
  <c r="P355" i="14"/>
  <c r="P343" i="14" s="1"/>
  <c r="J2109" i="14"/>
  <c r="L1898" i="14"/>
  <c r="G16" i="15" s="1"/>
  <c r="B44" i="14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I1627" i="14"/>
  <c r="U1627" i="14" s="1"/>
  <c r="U1630" i="14"/>
  <c r="J130" i="14"/>
  <c r="J1199" i="14"/>
  <c r="U2382" i="14"/>
  <c r="U396" i="14"/>
  <c r="O386" i="14"/>
  <c r="J247" i="14"/>
  <c r="E11" i="15" s="1"/>
  <c r="J1620" i="14"/>
  <c r="L2265" i="14"/>
  <c r="J67" i="14"/>
  <c r="J90" i="14"/>
  <c r="J1032" i="14"/>
  <c r="K1527" i="14"/>
  <c r="R2265" i="14"/>
  <c r="R2167" i="14" s="1"/>
  <c r="M18" i="15" s="1"/>
  <c r="J2230" i="14"/>
  <c r="B353" i="20"/>
  <c r="B354" i="20" s="1"/>
  <c r="B355" i="20" s="1"/>
  <c r="B356" i="20" s="1"/>
  <c r="B357" i="20" s="1"/>
  <c r="B358" i="20" s="1"/>
  <c r="B359" i="20" s="1"/>
  <c r="B360" i="20" s="1"/>
  <c r="B361" i="20" s="1"/>
  <c r="B362" i="20" s="1"/>
  <c r="B363" i="20" s="1"/>
  <c r="B364" i="20" s="1"/>
  <c r="B365" i="20" s="1"/>
  <c r="B366" i="20" s="1"/>
  <c r="B367" i="20" s="1"/>
  <c r="B368" i="20" s="1"/>
  <c r="B369" i="20" s="1"/>
  <c r="B370" i="20" s="1"/>
  <c r="B371" i="20" s="1"/>
  <c r="B372" i="20" s="1"/>
  <c r="B373" i="20" s="1"/>
  <c r="B374" i="20" s="1"/>
  <c r="B375" i="20" s="1"/>
  <c r="B376" i="20" s="1"/>
  <c r="B377" i="20" s="1"/>
  <c r="B378" i="20" s="1"/>
  <c r="B379" i="20" s="1"/>
  <c r="B380" i="20" s="1"/>
  <c r="B381" i="20" s="1"/>
  <c r="B382" i="20" s="1"/>
  <c r="B383" i="20" s="1"/>
  <c r="B384" i="20" s="1"/>
  <c r="B385" i="20" s="1"/>
  <c r="B386" i="20" s="1"/>
  <c r="B387" i="20" s="1"/>
  <c r="B388" i="20" s="1"/>
  <c r="B389" i="20" s="1"/>
  <c r="B390" i="20" s="1"/>
  <c r="B391" i="20" s="1"/>
  <c r="B392" i="20" s="1"/>
  <c r="B393" i="20" s="1"/>
  <c r="B394" i="20" s="1"/>
  <c r="B395" i="20" s="1"/>
  <c r="B396" i="20" s="1"/>
  <c r="B38" i="20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U1642" i="14"/>
  <c r="O141" i="14"/>
  <c r="I2109" i="14"/>
  <c r="U2109" i="14" s="1"/>
  <c r="I1928" i="14"/>
  <c r="K1335" i="14"/>
  <c r="K1477" i="14"/>
  <c r="M415" i="14"/>
  <c r="M2276" i="14"/>
  <c r="O495" i="14"/>
  <c r="G80" i="19"/>
  <c r="G187" i="19"/>
  <c r="G69" i="19"/>
  <c r="G158" i="19"/>
  <c r="G193" i="19"/>
  <c r="B312" i="19"/>
  <c r="B313" i="19" s="1"/>
  <c r="B314" i="19" s="1"/>
  <c r="B315" i="19" s="1"/>
  <c r="B316" i="19" s="1"/>
  <c r="B317" i="19" s="1"/>
  <c r="B318" i="19" s="1"/>
  <c r="B319" i="19" s="1"/>
  <c r="B320" i="19" s="1"/>
  <c r="G71" i="19"/>
  <c r="G160" i="19"/>
  <c r="G215" i="19"/>
  <c r="G284" i="19"/>
  <c r="G283" i="19" s="1"/>
  <c r="I6" i="18"/>
  <c r="M1577" i="20"/>
  <c r="M1565" i="20" s="1"/>
  <c r="M1564" i="20" s="1"/>
  <c r="M1555" i="20"/>
  <c r="M1543" i="20" s="1"/>
  <c r="M1542" i="20" s="1"/>
  <c r="M1533" i="20" s="1"/>
  <c r="I1420" i="20"/>
  <c r="J1420" i="20"/>
  <c r="K1420" i="20"/>
  <c r="B1328" i="20"/>
  <c r="B1329" i="20" s="1"/>
  <c r="B1330" i="20" s="1"/>
  <c r="B1331" i="20" s="1"/>
  <c r="B1332" i="20" s="1"/>
  <c r="B1333" i="20" s="1"/>
  <c r="B1334" i="20" s="1"/>
  <c r="B1335" i="20" s="1"/>
  <c r="B1336" i="20" s="1"/>
  <c r="B1337" i="20" s="1"/>
  <c r="B1471" i="20"/>
  <c r="B1472" i="20" s="1"/>
  <c r="B1473" i="20" s="1"/>
  <c r="B1474" i="20" s="1"/>
  <c r="B1475" i="20" s="1"/>
  <c r="B1476" i="20" s="1"/>
  <c r="B1477" i="20" s="1"/>
  <c r="B1478" i="20" s="1"/>
  <c r="B1479" i="20" s="1"/>
  <c r="B1378" i="20"/>
  <c r="B1379" i="20" s="1"/>
  <c r="B1380" i="20" s="1"/>
  <c r="B1381" i="20" s="1"/>
  <c r="B1382" i="20" s="1"/>
  <c r="B1383" i="20" s="1"/>
  <c r="B1384" i="20" s="1"/>
  <c r="B1385" i="20" s="1"/>
  <c r="B1386" i="20" s="1"/>
  <c r="B1387" i="20" s="1"/>
  <c r="B1388" i="20" s="1"/>
  <c r="B1389" i="20" s="1"/>
  <c r="B1390" i="20" s="1"/>
  <c r="B1391" i="20" s="1"/>
  <c r="B1392" i="20" s="1"/>
  <c r="B1393" i="20" s="1"/>
  <c r="B1394" i="20" s="1"/>
  <c r="B1395" i="20" s="1"/>
  <c r="B1396" i="20" s="1"/>
  <c r="B1397" i="20" s="1"/>
  <c r="B1398" i="20" s="1"/>
  <c r="B1399" i="20" s="1"/>
  <c r="B1400" i="20" s="1"/>
  <c r="B1401" i="20" s="1"/>
  <c r="B1402" i="20" s="1"/>
  <c r="J335" i="20"/>
  <c r="J334" i="20" s="1"/>
  <c r="J344" i="20"/>
  <c r="J1224" i="20"/>
  <c r="J1223" i="20" s="1"/>
  <c r="K1342" i="20"/>
  <c r="K1214" i="20"/>
  <c r="K1212" i="20" s="1"/>
  <c r="K1211" i="20" s="1"/>
  <c r="K1243" i="20"/>
  <c r="K1242" i="20" s="1"/>
  <c r="K1241" i="20" s="1"/>
  <c r="K1223" i="20" s="1"/>
  <c r="O163" i="14"/>
  <c r="M1351" i="20"/>
  <c r="M1342" i="20" s="1"/>
  <c r="J1342" i="20"/>
  <c r="I1342" i="20"/>
  <c r="I1322" i="20"/>
  <c r="I1321" i="20" s="1"/>
  <c r="J195" i="20"/>
  <c r="J192" i="20" s="1"/>
  <c r="K24" i="20"/>
  <c r="K22" i="20" s="1"/>
  <c r="J24" i="20"/>
  <c r="J22" i="20" s="1"/>
  <c r="M1223" i="20"/>
  <c r="M1210" i="20" s="1"/>
  <c r="J146" i="20"/>
  <c r="J143" i="20" s="1"/>
  <c r="B1238" i="20"/>
  <c r="B1239" i="20" s="1"/>
  <c r="B1240" i="20" s="1"/>
  <c r="B1241" i="20" s="1"/>
  <c r="J109" i="20"/>
  <c r="J108" i="20" s="1"/>
  <c r="J58" i="20"/>
  <c r="J56" i="20" s="1"/>
  <c r="J10" i="20"/>
  <c r="J9" i="20" s="1"/>
  <c r="K109" i="20"/>
  <c r="K108" i="20" s="1"/>
  <c r="K104" i="20" s="1"/>
  <c r="J89" i="20"/>
  <c r="J86" i="20" s="1"/>
  <c r="J30" i="20"/>
  <c r="J29" i="20" s="1"/>
  <c r="J106" i="20"/>
  <c r="J105" i="20" s="1"/>
  <c r="K14" i="20"/>
  <c r="K10" i="20" s="1"/>
  <c r="K9" i="20" s="1"/>
  <c r="K31" i="20"/>
  <c r="K30" i="20" s="1"/>
  <c r="K29" i="20" s="1"/>
  <c r="K66" i="20"/>
  <c r="K65" i="20" s="1"/>
  <c r="K64" i="20" s="1"/>
  <c r="I1162" i="20"/>
  <c r="I1159" i="20" s="1"/>
  <c r="I1107" i="20"/>
  <c r="I1115" i="20"/>
  <c r="I1098" i="20"/>
  <c r="I1090" i="20"/>
  <c r="I1056" i="20"/>
  <c r="I788" i="20"/>
  <c r="I750" i="20"/>
  <c r="I726" i="20"/>
  <c r="M710" i="20"/>
  <c r="M688" i="20" s="1"/>
  <c r="M614" i="20" s="1"/>
  <c r="M433" i="20" s="1"/>
  <c r="H13" i="18" s="1"/>
  <c r="E127" i="19"/>
  <c r="E249" i="19"/>
  <c r="E248" i="19" s="1"/>
  <c r="E247" i="19" s="1"/>
  <c r="I47" i="19"/>
  <c r="E203" i="19"/>
  <c r="E23" i="19"/>
  <c r="E27" i="19"/>
  <c r="E38" i="19"/>
  <c r="G63" i="19"/>
  <c r="G150" i="19"/>
  <c r="G176" i="19"/>
  <c r="G181" i="19"/>
  <c r="E103" i="19"/>
  <c r="G243" i="19"/>
  <c r="G23" i="19"/>
  <c r="G22" i="19" s="1"/>
  <c r="I119" i="19"/>
  <c r="E95" i="19"/>
  <c r="I146" i="19"/>
  <c r="G164" i="19"/>
  <c r="G208" i="19"/>
  <c r="E189" i="19"/>
  <c r="E149" i="19"/>
  <c r="E320" i="19"/>
  <c r="E327" i="19" s="1"/>
  <c r="H5" i="18" s="1"/>
  <c r="E111" i="19"/>
  <c r="E135" i="19"/>
  <c r="E143" i="19"/>
  <c r="I178" i="19"/>
  <c r="I176" i="19" s="1"/>
  <c r="I258" i="19"/>
  <c r="E186" i="19"/>
  <c r="E47" i="19"/>
  <c r="G153" i="19"/>
  <c r="G170" i="19"/>
  <c r="G250" i="19"/>
  <c r="G162" i="19"/>
  <c r="I64" i="19"/>
  <c r="I66" i="19"/>
  <c r="I183" i="19"/>
  <c r="E210" i="19"/>
  <c r="E207" i="19" s="1"/>
  <c r="E238" i="19"/>
  <c r="E235" i="19" s="1"/>
  <c r="I135" i="19"/>
  <c r="G42" i="19"/>
  <c r="G41" i="19" s="1"/>
  <c r="G59" i="19"/>
  <c r="G139" i="19"/>
  <c r="G229" i="19"/>
  <c r="G258" i="19"/>
  <c r="I52" i="19"/>
  <c r="I63" i="19"/>
  <c r="I71" i="19"/>
  <c r="I76" i="19"/>
  <c r="I150" i="19"/>
  <c r="I164" i="19"/>
  <c r="I170" i="19"/>
  <c r="I284" i="19"/>
  <c r="I283" i="19" s="1"/>
  <c r="I320" i="19" s="1"/>
  <c r="I327" i="19" s="1"/>
  <c r="J5" i="18" s="1"/>
  <c r="J20" i="18" s="1"/>
  <c r="E217" i="19"/>
  <c r="E214" i="19" s="1"/>
  <c r="E16" i="19"/>
  <c r="E12" i="19"/>
  <c r="E11" i="19" s="1"/>
  <c r="E87" i="19"/>
  <c r="E119" i="19"/>
  <c r="G47" i="19"/>
  <c r="G74" i="19"/>
  <c r="G141" i="19"/>
  <c r="G196" i="19"/>
  <c r="G268" i="19"/>
  <c r="G267" i="19" s="1"/>
  <c r="I59" i="19"/>
  <c r="I181" i="19"/>
  <c r="E224" i="19"/>
  <c r="E231" i="19"/>
  <c r="E228" i="19" s="1"/>
  <c r="E198" i="19"/>
  <c r="E195" i="19" s="1"/>
  <c r="E91" i="19"/>
  <c r="E99" i="19"/>
  <c r="E107" i="19"/>
  <c r="E115" i="19"/>
  <c r="E123" i="19"/>
  <c r="E131" i="19"/>
  <c r="E146" i="19"/>
  <c r="I191" i="19"/>
  <c r="I189" i="19" s="1"/>
  <c r="I186" i="19" s="1"/>
  <c r="G189" i="19"/>
  <c r="G186" i="19" s="1"/>
  <c r="I200" i="19"/>
  <c r="I198" i="19" s="1"/>
  <c r="I195" i="19" s="1"/>
  <c r="G198" i="19"/>
  <c r="E205" i="19"/>
  <c r="E202" i="19" s="1"/>
  <c r="E245" i="19"/>
  <c r="E242" i="19" s="1"/>
  <c r="G12" i="19"/>
  <c r="G11" i="19" s="1"/>
  <c r="G52" i="19"/>
  <c r="G135" i="19"/>
  <c r="I12" i="19"/>
  <c r="I11" i="19" s="1"/>
  <c r="I250" i="19"/>
  <c r="G91" i="19"/>
  <c r="I92" i="19"/>
  <c r="I91" i="19" s="1"/>
  <c r="I108" i="19"/>
  <c r="I107" i="19" s="1"/>
  <c r="G107" i="19"/>
  <c r="I116" i="19"/>
  <c r="I115" i="19" s="1"/>
  <c r="G115" i="19"/>
  <c r="I124" i="19"/>
  <c r="I123" i="19" s="1"/>
  <c r="G123" i="19"/>
  <c r="G131" i="19"/>
  <c r="I132" i="19"/>
  <c r="I131" i="19" s="1"/>
  <c r="G205" i="19"/>
  <c r="I206" i="19"/>
  <c r="I205" i="19" s="1"/>
  <c r="E222" i="19"/>
  <c r="I240" i="19"/>
  <c r="I238" i="19" s="1"/>
  <c r="I235" i="19" s="1"/>
  <c r="G238" i="19"/>
  <c r="G235" i="19" s="1"/>
  <c r="I246" i="19"/>
  <c r="I245" i="19" s="1"/>
  <c r="I242" i="19" s="1"/>
  <c r="G245" i="19"/>
  <c r="I25" i="19"/>
  <c r="I23" i="19" s="1"/>
  <c r="I22" i="19" s="1"/>
  <c r="I80" i="19"/>
  <c r="I223" i="19"/>
  <c r="I222" i="19" s="1"/>
  <c r="G222" i="19"/>
  <c r="I233" i="19"/>
  <c r="I231" i="19" s="1"/>
  <c r="I228" i="19" s="1"/>
  <c r="G231" i="19"/>
  <c r="G99" i="19"/>
  <c r="I46" i="19"/>
  <c r="I45" i="19" s="1"/>
  <c r="G45" i="19"/>
  <c r="I88" i="19"/>
  <c r="I87" i="19" s="1"/>
  <c r="G87" i="19"/>
  <c r="G103" i="19"/>
  <c r="I104" i="19"/>
  <c r="I103" i="19" s="1"/>
  <c r="I112" i="19"/>
  <c r="I111" i="19" s="1"/>
  <c r="G111" i="19"/>
  <c r="I128" i="19"/>
  <c r="I127" i="19" s="1"/>
  <c r="G127" i="19"/>
  <c r="I144" i="19"/>
  <c r="I143" i="19" s="1"/>
  <c r="G143" i="19"/>
  <c r="I204" i="19"/>
  <c r="I203" i="19" s="1"/>
  <c r="G203" i="19"/>
  <c r="I211" i="19"/>
  <c r="I210" i="19" s="1"/>
  <c r="I207" i="19" s="1"/>
  <c r="G210" i="19"/>
  <c r="G207" i="19" s="1"/>
  <c r="I219" i="19"/>
  <c r="I217" i="19" s="1"/>
  <c r="I214" i="19" s="1"/>
  <c r="G217" i="19"/>
  <c r="I226" i="19"/>
  <c r="I224" i="19" s="1"/>
  <c r="G224" i="19"/>
  <c r="G119" i="19"/>
  <c r="G146" i="19"/>
  <c r="I17" i="19"/>
  <c r="I16" i="19" s="1"/>
  <c r="G16" i="19"/>
  <c r="I153" i="19"/>
  <c r="E45" i="19"/>
  <c r="G320" i="19"/>
  <c r="G327" i="19" s="1"/>
  <c r="I5" i="18" s="1"/>
  <c r="E42" i="19"/>
  <c r="E41" i="19" s="1"/>
  <c r="E52" i="19"/>
  <c r="I99" i="19"/>
  <c r="G84" i="19"/>
  <c r="G83" i="19" s="1"/>
  <c r="I98" i="19"/>
  <c r="I95" i="19" s="1"/>
  <c r="I702" i="20"/>
  <c r="G214" i="19"/>
  <c r="B446" i="20"/>
  <c r="B447" i="20" s="1"/>
  <c r="B448" i="20" s="1"/>
  <c r="B449" i="20" s="1"/>
  <c r="G95" i="19"/>
  <c r="M371" i="20"/>
  <c r="M370" i="20" s="1"/>
  <c r="M367" i="20"/>
  <c r="M361" i="20" s="1"/>
  <c r="M342" i="20" s="1"/>
  <c r="M305" i="20"/>
  <c r="M171" i="20"/>
  <c r="M164" i="20" s="1"/>
  <c r="B237" i="20"/>
  <c r="B238" i="20" s="1"/>
  <c r="B239" i="20" s="1"/>
  <c r="B240" i="20" s="1"/>
  <c r="B241" i="20" s="1"/>
  <c r="B242" i="20" s="1"/>
  <c r="B243" i="20" s="1"/>
  <c r="B244" i="20" s="1"/>
  <c r="M127" i="20"/>
  <c r="J78" i="20"/>
  <c r="J1164" i="20"/>
  <c r="I78" i="20"/>
  <c r="I177" i="20"/>
  <c r="I176" i="20" s="1"/>
  <c r="I514" i="20"/>
  <c r="I511" i="20" s="1"/>
  <c r="I1006" i="20"/>
  <c r="I1003" i="20" s="1"/>
  <c r="I1167" i="20"/>
  <c r="I1164" i="20" s="1"/>
  <c r="I1514" i="20"/>
  <c r="I1511" i="20" s="1"/>
  <c r="I1510" i="20" s="1"/>
  <c r="K78" i="20"/>
  <c r="K1514" i="20"/>
  <c r="K1511" i="20" s="1"/>
  <c r="K1510" i="20" s="1"/>
  <c r="K1039" i="20"/>
  <c r="K514" i="20"/>
  <c r="K511" i="20" s="1"/>
  <c r="B90" i="20"/>
  <c r="J604" i="20"/>
  <c r="J601" i="20" s="1"/>
  <c r="I56" i="20"/>
  <c r="I619" i="20"/>
  <c r="J548" i="20"/>
  <c r="J545" i="20" s="1"/>
  <c r="K201" i="20"/>
  <c r="K198" i="20" s="1"/>
  <c r="K527" i="20"/>
  <c r="K524" i="20" s="1"/>
  <c r="K1071" i="20"/>
  <c r="J1063" i="20"/>
  <c r="J1053" i="20" s="1"/>
  <c r="K221" i="20"/>
  <c r="K218" i="20" s="1"/>
  <c r="K217" i="20" s="1"/>
  <c r="K548" i="20"/>
  <c r="K545" i="20" s="1"/>
  <c r="K619" i="20"/>
  <c r="K741" i="20"/>
  <c r="K796" i="20"/>
  <c r="K1047" i="20"/>
  <c r="K1248" i="20"/>
  <c r="K1244" i="20" s="1"/>
  <c r="K1565" i="20"/>
  <c r="K1564" i="20" s="1"/>
  <c r="K1583" i="20"/>
  <c r="K1582" i="20" s="1"/>
  <c r="J1390" i="20"/>
  <c r="J1387" i="20" s="1"/>
  <c r="I656" i="20"/>
  <c r="I1039" i="20"/>
  <c r="J585" i="20"/>
  <c r="J582" i="20" s="1"/>
  <c r="J1248" i="20"/>
  <c r="J1244" i="20" s="1"/>
  <c r="M47" i="20"/>
  <c r="M42" i="20" s="1"/>
  <c r="I221" i="20"/>
  <c r="I218" i="20" s="1"/>
  <c r="I217" i="20" s="1"/>
  <c r="I316" i="20"/>
  <c r="I496" i="20"/>
  <c r="I493" i="20" s="1"/>
  <c r="I548" i="20"/>
  <c r="I545" i="20" s="1"/>
  <c r="I1565" i="20"/>
  <c r="I1564" i="20" s="1"/>
  <c r="J221" i="20"/>
  <c r="J218" i="20" s="1"/>
  <c r="J217" i="20" s="1"/>
  <c r="J475" i="20"/>
  <c r="J472" i="20" s="1"/>
  <c r="J527" i="20"/>
  <c r="J524" i="20" s="1"/>
  <c r="K1615" i="20"/>
  <c r="K1614" i="20" s="1"/>
  <c r="K1652" i="20"/>
  <c r="K1649" i="20" s="1"/>
  <c r="K1444" i="20"/>
  <c r="K1441" i="20" s="1"/>
  <c r="K1440" i="20" s="1"/>
  <c r="I1181" i="20"/>
  <c r="I1178" i="20" s="1"/>
  <c r="I1325" i="20"/>
  <c r="I1401" i="20"/>
  <c r="I1398" i="20" s="1"/>
  <c r="J656" i="20"/>
  <c r="I557" i="20"/>
  <c r="I554" i="20" s="1"/>
  <c r="I585" i="20"/>
  <c r="I582" i="20" s="1"/>
  <c r="I966" i="20"/>
  <c r="I963" i="20" s="1"/>
  <c r="I1248" i="20"/>
  <c r="I1244" i="20" s="1"/>
  <c r="J1325" i="20"/>
  <c r="K1063" i="20"/>
  <c r="K1053" i="20" s="1"/>
  <c r="K1132" i="20"/>
  <c r="I353" i="20"/>
  <c r="I350" i="20" s="1"/>
  <c r="I343" i="20" s="1"/>
  <c r="I342" i="20" s="1"/>
  <c r="I333" i="20" s="1"/>
  <c r="D12" i="18" s="1"/>
  <c r="I475" i="20"/>
  <c r="I472" i="20" s="1"/>
  <c r="I796" i="20"/>
  <c r="I926" i="20"/>
  <c r="I923" i="20" s="1"/>
  <c r="I950" i="20"/>
  <c r="I947" i="20" s="1"/>
  <c r="I1071" i="20"/>
  <c r="I1638" i="20"/>
  <c r="J1565" i="20"/>
  <c r="J1564" i="20" s="1"/>
  <c r="J1583" i="20"/>
  <c r="J1582" i="20" s="1"/>
  <c r="J1596" i="20"/>
  <c r="J1638" i="20"/>
  <c r="K557" i="20"/>
  <c r="K554" i="20" s="1"/>
  <c r="K585" i="20"/>
  <c r="K582" i="20" s="1"/>
  <c r="K1288" i="20"/>
  <c r="K1261" i="20" s="1"/>
  <c r="I8" i="20"/>
  <c r="I159" i="20"/>
  <c r="I201" i="20"/>
  <c r="I198" i="20" s="1"/>
  <c r="M247" i="20"/>
  <c r="M241" i="20" s="1"/>
  <c r="M191" i="20" s="1"/>
  <c r="H10" i="18" s="1"/>
  <c r="I1444" i="20"/>
  <c r="I1441" i="20" s="1"/>
  <c r="I1440" i="20" s="1"/>
  <c r="I1485" i="20"/>
  <c r="I1484" i="20" s="1"/>
  <c r="I1469" i="20" s="1"/>
  <c r="I1652" i="20"/>
  <c r="I1649" i="20" s="1"/>
  <c r="M284" i="20"/>
  <c r="M283" i="20" s="1"/>
  <c r="M1380" i="20"/>
  <c r="M1377" i="20" s="1"/>
  <c r="I1390" i="20"/>
  <c r="I1387" i="20" s="1"/>
  <c r="M1452" i="20"/>
  <c r="M1441" i="20" s="1"/>
  <c r="M1440" i="20" s="1"/>
  <c r="I1495" i="20"/>
  <c r="J741" i="20"/>
  <c r="J926" i="20"/>
  <c r="J923" i="20" s="1"/>
  <c r="J1047" i="20"/>
  <c r="I648" i="20"/>
  <c r="I670" i="20"/>
  <c r="I974" i="20"/>
  <c r="I971" i="20" s="1"/>
  <c r="I1132" i="20"/>
  <c r="K1408" i="20"/>
  <c r="J680" i="20"/>
  <c r="J764" i="20"/>
  <c r="J761" i="20" s="1"/>
  <c r="J1401" i="20"/>
  <c r="J1398" i="20" s="1"/>
  <c r="K353" i="20"/>
  <c r="K350" i="20" s="1"/>
  <c r="K343" i="20" s="1"/>
  <c r="K342" i="20" s="1"/>
  <c r="K333" i="20" s="1"/>
  <c r="F12" i="18" s="1"/>
  <c r="N12" i="18" s="1"/>
  <c r="K656" i="20"/>
  <c r="K691" i="20"/>
  <c r="K1435" i="20"/>
  <c r="K1434" i="20" s="1"/>
  <c r="K1433" i="20" s="1"/>
  <c r="K1485" i="20"/>
  <c r="K1484" i="20" s="1"/>
  <c r="K1469" i="20" s="1"/>
  <c r="K1522" i="20"/>
  <c r="K1521" i="20" s="1"/>
  <c r="K1605" i="20"/>
  <c r="K1602" i="20" s="1"/>
  <c r="K1601" i="20" s="1"/>
  <c r="K1638" i="20"/>
  <c r="I903" i="20"/>
  <c r="I900" i="20" s="1"/>
  <c r="I958" i="20"/>
  <c r="I955" i="20" s="1"/>
  <c r="I990" i="20"/>
  <c r="I987" i="20" s="1"/>
  <c r="I998" i="20"/>
  <c r="I995" i="20" s="1"/>
  <c r="I1014" i="20"/>
  <c r="I1011" i="20" s="1"/>
  <c r="I1022" i="20"/>
  <c r="I1019" i="20" s="1"/>
  <c r="I1063" i="20"/>
  <c r="I1079" i="20"/>
  <c r="M1261" i="20"/>
  <c r="I1543" i="20"/>
  <c r="I1542" i="20" s="1"/>
  <c r="J514" i="20"/>
  <c r="J511" i="20" s="1"/>
  <c r="J557" i="20"/>
  <c r="J554" i="20" s="1"/>
  <c r="J1079" i="20"/>
  <c r="J1288" i="20"/>
  <c r="J1261" i="20" s="1"/>
  <c r="K86" i="20"/>
  <c r="K143" i="20"/>
  <c r="K234" i="20"/>
  <c r="K231" i="20" s="1"/>
  <c r="K230" i="20" s="1"/>
  <c r="K1390" i="20"/>
  <c r="K1387" i="20" s="1"/>
  <c r="K1401" i="20"/>
  <c r="K1398" i="20" s="1"/>
  <c r="I1435" i="20"/>
  <c r="I1434" i="20" s="1"/>
  <c r="I1433" i="20" s="1"/>
  <c r="I1522" i="20"/>
  <c r="I1521" i="20" s="1"/>
  <c r="J496" i="20"/>
  <c r="J493" i="20" s="1"/>
  <c r="K1079" i="20"/>
  <c r="K1124" i="20"/>
  <c r="K1144" i="20"/>
  <c r="K1164" i="20"/>
  <c r="K1596" i="20"/>
  <c r="J818" i="20"/>
  <c r="I143" i="20"/>
  <c r="I527" i="20"/>
  <c r="I524" i="20" s="1"/>
  <c r="I604" i="20"/>
  <c r="I601" i="20" s="1"/>
  <c r="I680" i="20"/>
  <c r="I691" i="20"/>
  <c r="I716" i="20"/>
  <c r="I741" i="20"/>
  <c r="I764" i="20"/>
  <c r="I761" i="20" s="1"/>
  <c r="I821" i="20"/>
  <c r="I818" i="20" s="1"/>
  <c r="I833" i="20"/>
  <c r="I830" i="20" s="1"/>
  <c r="I842" i="20"/>
  <c r="I839" i="20" s="1"/>
  <c r="I942" i="20"/>
  <c r="I939" i="20" s="1"/>
  <c r="I982" i="20"/>
  <c r="I979" i="20" s="1"/>
  <c r="I1030" i="20"/>
  <c r="I1027" i="20" s="1"/>
  <c r="I1047" i="20"/>
  <c r="I1124" i="20"/>
  <c r="I1144" i="20"/>
  <c r="I1152" i="20"/>
  <c r="I1408" i="20"/>
  <c r="J159" i="20"/>
  <c r="J177" i="20"/>
  <c r="J176" i="20" s="1"/>
  <c r="J271" i="20"/>
  <c r="J268" i="20" s="1"/>
  <c r="J1408" i="20"/>
  <c r="J1534" i="20"/>
  <c r="J1605" i="20"/>
  <c r="J1602" i="20" s="1"/>
  <c r="J1601" i="20" s="1"/>
  <c r="J1615" i="20"/>
  <c r="J1614" i="20" s="1"/>
  <c r="J1652" i="20"/>
  <c r="J1649" i="20" s="1"/>
  <c r="K316" i="20"/>
  <c r="K926" i="20"/>
  <c r="K923" i="20" s="1"/>
  <c r="K1152" i="20"/>
  <c r="I86" i="20"/>
  <c r="M104" i="20"/>
  <c r="I234" i="20"/>
  <c r="I231" i="20" s="1"/>
  <c r="I230" i="20" s="1"/>
  <c r="I934" i="20"/>
  <c r="I931" i="20" s="1"/>
  <c r="I1291" i="20"/>
  <c r="I1288" i="20" s="1"/>
  <c r="I1261" i="20" s="1"/>
  <c r="J234" i="20"/>
  <c r="J231" i="20" s="1"/>
  <c r="J230" i="20" s="1"/>
  <c r="J316" i="20"/>
  <c r="J353" i="20"/>
  <c r="J350" i="20" s="1"/>
  <c r="J796" i="20"/>
  <c r="J1124" i="20"/>
  <c r="J1514" i="20"/>
  <c r="J1511" i="20" s="1"/>
  <c r="J1510" i="20" s="1"/>
  <c r="K475" i="20"/>
  <c r="K472" i="20" s="1"/>
  <c r="K1325" i="20"/>
  <c r="K1495" i="20"/>
  <c r="I271" i="20"/>
  <c r="I268" i="20" s="1"/>
  <c r="M1333" i="20"/>
  <c r="M1325" i="20" s="1"/>
  <c r="J619" i="20"/>
  <c r="J648" i="20"/>
  <c r="J670" i="20"/>
  <c r="J691" i="20"/>
  <c r="J716" i="20"/>
  <c r="J1039" i="20"/>
  <c r="J1132" i="20"/>
  <c r="J1543" i="20"/>
  <c r="J1542" i="20" s="1"/>
  <c r="K56" i="20"/>
  <c r="K159" i="20"/>
  <c r="K648" i="20"/>
  <c r="K680" i="20"/>
  <c r="K716" i="20"/>
  <c r="K1181" i="20"/>
  <c r="K1178" i="20" s="1"/>
  <c r="K1534" i="20"/>
  <c r="K1543" i="20"/>
  <c r="K1542" i="20" s="1"/>
  <c r="I104" i="20"/>
  <c r="J1181" i="20"/>
  <c r="J1178" i="20" s="1"/>
  <c r="J1495" i="20"/>
  <c r="K496" i="20"/>
  <c r="K493" i="20" s="1"/>
  <c r="K604" i="20"/>
  <c r="K601" i="20" s="1"/>
  <c r="K670" i="20"/>
  <c r="K764" i="20"/>
  <c r="K761" i="20" s="1"/>
  <c r="J1435" i="20"/>
  <c r="J1434" i="20" s="1"/>
  <c r="J1433" i="20" s="1"/>
  <c r="J1444" i="20"/>
  <c r="J1441" i="20" s="1"/>
  <c r="J1440" i="20" s="1"/>
  <c r="K818" i="20"/>
  <c r="K807" i="20" s="1"/>
  <c r="I1223" i="20"/>
  <c r="I1534" i="20"/>
  <c r="J201" i="20"/>
  <c r="J198" i="20" s="1"/>
  <c r="J1071" i="20"/>
  <c r="J1144" i="20"/>
  <c r="J1152" i="20"/>
  <c r="I1583" i="20"/>
  <c r="I1582" i="20" s="1"/>
  <c r="I1596" i="20"/>
  <c r="I1605" i="20"/>
  <c r="I1602" i="20" s="1"/>
  <c r="I1601" i="20" s="1"/>
  <c r="I1615" i="20"/>
  <c r="I1614" i="20" s="1"/>
  <c r="K177" i="20"/>
  <c r="K176" i="20" s="1"/>
  <c r="K271" i="20"/>
  <c r="K268" i="20" s="1"/>
  <c r="J1485" i="20"/>
  <c r="J1484" i="20" s="1"/>
  <c r="J1469" i="20" s="1"/>
  <c r="J1522" i="20"/>
  <c r="J1521" i="20" s="1"/>
  <c r="M35" i="20"/>
  <c r="M29" i="20" s="1"/>
  <c r="B1809" i="14" l="1"/>
  <c r="B1810" i="14" s="1"/>
  <c r="B1811" i="14" s="1"/>
  <c r="B1812" i="14" s="1"/>
  <c r="B1813" i="14" s="1"/>
  <c r="B1814" i="14" s="1"/>
  <c r="B1815" i="14" s="1"/>
  <c r="B1816" i="14" s="1"/>
  <c r="B1817" i="14" s="1"/>
  <c r="B1818" i="14" s="1"/>
  <c r="B1819" i="14" s="1"/>
  <c r="B1820" i="14" s="1"/>
  <c r="B1821" i="14" s="1"/>
  <c r="B1822" i="14" s="1"/>
  <c r="B1823" i="14" s="1"/>
  <c r="B1824" i="14" s="1"/>
  <c r="B1825" i="14" s="1"/>
  <c r="B1826" i="14" s="1"/>
  <c r="B1827" i="14" s="1"/>
  <c r="B1828" i="14" s="1"/>
  <c r="B1829" i="14" s="1"/>
  <c r="B1830" i="14" s="1"/>
  <c r="B1831" i="14" s="1"/>
  <c r="B1832" i="14" s="1"/>
  <c r="B1833" i="14" s="1"/>
  <c r="B1834" i="14" s="1"/>
  <c r="B1835" i="14" s="1"/>
  <c r="B1836" i="14" s="1"/>
  <c r="B1837" i="14" s="1"/>
  <c r="B1838" i="14" s="1"/>
  <c r="B1839" i="14" s="1"/>
  <c r="B1840" i="14" s="1"/>
  <c r="B1841" i="14" s="1"/>
  <c r="B1842" i="14" s="1"/>
  <c r="B1843" i="14" s="1"/>
  <c r="B1844" i="14" s="1"/>
  <c r="B1845" i="14" s="1"/>
  <c r="B1846" i="14" s="1"/>
  <c r="B1847" i="14" s="1"/>
  <c r="B1848" i="14" s="1"/>
  <c r="B1849" i="14" s="1"/>
  <c r="B1850" i="14" s="1"/>
  <c r="B1851" i="14" s="1"/>
  <c r="B1852" i="14" s="1"/>
  <c r="B1853" i="14" s="1"/>
  <c r="B1854" i="14" s="1"/>
  <c r="B1855" i="14" s="1"/>
  <c r="B1856" i="14" s="1"/>
  <c r="B1857" i="14" s="1"/>
  <c r="B1858" i="14" s="1"/>
  <c r="B1859" i="14" s="1"/>
  <c r="B1860" i="14" s="1"/>
  <c r="B1861" i="14" s="1"/>
  <c r="B1862" i="14" s="1"/>
  <c r="B1863" i="14" s="1"/>
  <c r="B1864" i="14" s="1"/>
  <c r="B1865" i="14" s="1"/>
  <c r="B1866" i="14" s="1"/>
  <c r="B1867" i="14" s="1"/>
  <c r="B1868" i="14" s="1"/>
  <c r="B1869" i="14" s="1"/>
  <c r="B1870" i="14" s="1"/>
  <c r="B1871" i="14" s="1"/>
  <c r="B1872" i="14" s="1"/>
  <c r="B1873" i="14" s="1"/>
  <c r="B1874" i="14" s="1"/>
  <c r="B1875" i="14" s="1"/>
  <c r="B1876" i="14" s="1"/>
  <c r="B1877" i="14" s="1"/>
  <c r="B1878" i="14" s="1"/>
  <c r="B1879" i="14" s="1"/>
  <c r="B1880" i="14" s="1"/>
  <c r="B1881" i="14" s="1"/>
  <c r="B1882" i="14" s="1"/>
  <c r="B1883" i="14" s="1"/>
  <c r="B1884" i="14" s="1"/>
  <c r="B1885" i="14" s="1"/>
  <c r="B1886" i="14" s="1"/>
  <c r="U2055" i="14"/>
  <c r="U2356" i="14"/>
  <c r="I2364" i="14"/>
  <c r="U2364" i="14" s="1"/>
  <c r="U1450" i="14"/>
  <c r="O1898" i="14"/>
  <c r="J16" i="15" s="1"/>
  <c r="O2410" i="14"/>
  <c r="O2409" i="14" s="1"/>
  <c r="O2408" i="14" s="1"/>
  <c r="J19" i="15" s="1"/>
  <c r="U1438" i="14"/>
  <c r="Q1898" i="14"/>
  <c r="L16" i="15" s="1"/>
  <c r="R16" i="15" s="1"/>
  <c r="U2226" i="14"/>
  <c r="B417" i="14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16" i="14"/>
  <c r="U296" i="14"/>
  <c r="I1262" i="14"/>
  <c r="U1262" i="14" s="1"/>
  <c r="I1408" i="14"/>
  <c r="U1408" i="14" s="1"/>
  <c r="B59" i="14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O134" i="14"/>
  <c r="U134" i="14" s="1"/>
  <c r="K89" i="14"/>
  <c r="F9" i="15" s="1"/>
  <c r="R9" i="15" s="1"/>
  <c r="I764" i="14"/>
  <c r="U764" i="14" s="1"/>
  <c r="O2276" i="14"/>
  <c r="O2265" i="14" s="1"/>
  <c r="U1310" i="14"/>
  <c r="O247" i="14"/>
  <c r="J11" i="15" s="1"/>
  <c r="R11" i="15"/>
  <c r="Q443" i="14"/>
  <c r="L13" i="15" s="1"/>
  <c r="R13" i="15" s="1"/>
  <c r="L1669" i="14"/>
  <c r="G15" i="15" s="1"/>
  <c r="B509" i="14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I1368" i="14"/>
  <c r="U1368" i="14" s="1"/>
  <c r="I836" i="14"/>
  <c r="U836" i="14" s="1"/>
  <c r="U58" i="14"/>
  <c r="I1352" i="14"/>
  <c r="U1352" i="14" s="1"/>
  <c r="O32" i="14"/>
  <c r="U32" i="14" s="1"/>
  <c r="I343" i="14"/>
  <c r="U343" i="14" s="1"/>
  <c r="I90" i="14"/>
  <c r="U90" i="14" s="1"/>
  <c r="I1344" i="14"/>
  <c r="U1344" i="14" s="1"/>
  <c r="I1767" i="14"/>
  <c r="U1767" i="14" s="1"/>
  <c r="M126" i="14"/>
  <c r="H10" i="15" s="1"/>
  <c r="U2329" i="14"/>
  <c r="S920" i="14"/>
  <c r="S685" i="14" s="1"/>
  <c r="N14" i="15" s="1"/>
  <c r="U2353" i="14"/>
  <c r="I2352" i="14"/>
  <c r="U2352" i="14" s="1"/>
  <c r="I457" i="14"/>
  <c r="I456" i="14" s="1"/>
  <c r="U994" i="14"/>
  <c r="I1456" i="14"/>
  <c r="U1456" i="14" s="1"/>
  <c r="U809" i="14"/>
  <c r="I130" i="14"/>
  <c r="I126" i="14" s="1"/>
  <c r="D10" i="15" s="1"/>
  <c r="U51" i="14"/>
  <c r="Q1706" i="14"/>
  <c r="Q1669" i="14" s="1"/>
  <c r="L15" i="15" s="1"/>
  <c r="R15" i="15" s="1"/>
  <c r="L89" i="14"/>
  <c r="G9" i="15" s="1"/>
  <c r="S9" i="15" s="1"/>
  <c r="P920" i="14"/>
  <c r="P685" i="14" s="1"/>
  <c r="K14" i="15" s="1"/>
  <c r="J89" i="14"/>
  <c r="E9" i="15" s="1"/>
  <c r="Q9" i="15" s="1"/>
  <c r="I278" i="14"/>
  <c r="I277" i="14" s="1"/>
  <c r="U277" i="14" s="1"/>
  <c r="U1947" i="14"/>
  <c r="P342" i="14"/>
  <c r="K12" i="15" s="1"/>
  <c r="Q12" i="15" s="1"/>
  <c r="L126" i="14"/>
  <c r="G10" i="15" s="1"/>
  <c r="O920" i="14"/>
  <c r="O685" i="14" s="1"/>
  <c r="J14" i="15" s="1"/>
  <c r="I1336" i="14"/>
  <c r="U1336" i="14" s="1"/>
  <c r="B974" i="14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970" i="14"/>
  <c r="B971" i="14" s="1"/>
  <c r="B972" i="14" s="1"/>
  <c r="B973" i="14" s="1"/>
  <c r="I2409" i="14"/>
  <c r="I2408" i="14" s="1"/>
  <c r="D19" i="15" s="1"/>
  <c r="U2130" i="14"/>
  <c r="Q920" i="14"/>
  <c r="Q685" i="14" s="1"/>
  <c r="L14" i="15" s="1"/>
  <c r="Q2031" i="14"/>
  <c r="L17" i="15" s="1"/>
  <c r="Q126" i="14"/>
  <c r="L10" i="15" s="1"/>
  <c r="U897" i="14"/>
  <c r="U742" i="14"/>
  <c r="P126" i="14"/>
  <c r="K10" i="15" s="1"/>
  <c r="U1283" i="14"/>
  <c r="R342" i="14"/>
  <c r="M12" i="15" s="1"/>
  <c r="I89" i="14"/>
  <c r="U89" i="14" s="1"/>
  <c r="S2167" i="14"/>
  <c r="N18" i="15" s="1"/>
  <c r="S1706" i="14"/>
  <c r="S1669" i="14" s="1"/>
  <c r="N15" i="15" s="1"/>
  <c r="T15" i="15" s="1"/>
  <c r="R1898" i="14"/>
  <c r="M16" i="15" s="1"/>
  <c r="S16" i="15" s="1"/>
  <c r="K2031" i="14"/>
  <c r="F17" i="15" s="1"/>
  <c r="P1706" i="14"/>
  <c r="P1669" i="14" s="1"/>
  <c r="K15" i="15" s="1"/>
  <c r="Q15" i="15" s="1"/>
  <c r="R443" i="14"/>
  <c r="M13" i="15" s="1"/>
  <c r="S13" i="15" s="1"/>
  <c r="I1500" i="14"/>
  <c r="U1500" i="14" s="1"/>
  <c r="I974" i="14"/>
  <c r="U974" i="14" s="1"/>
  <c r="U303" i="14"/>
  <c r="I1032" i="14"/>
  <c r="U1032" i="14" s="1"/>
  <c r="R126" i="14"/>
  <c r="M10" i="15" s="1"/>
  <c r="B1338" i="20"/>
  <c r="B1339" i="20" s="1"/>
  <c r="B1340" i="20" s="1"/>
  <c r="B1341" i="20" s="1"/>
  <c r="B1342" i="20" s="1"/>
  <c r="B1343" i="20" s="1"/>
  <c r="B1344" i="20" s="1"/>
  <c r="B1345" i="20" s="1"/>
  <c r="B1346" i="20" s="1"/>
  <c r="B1347" i="20" s="1"/>
  <c r="B1348" i="20" s="1"/>
  <c r="B1349" i="20" s="1"/>
  <c r="B1350" i="20" s="1"/>
  <c r="B1351" i="20" s="1"/>
  <c r="B1352" i="20" s="1"/>
  <c r="B1353" i="20" s="1"/>
  <c r="B1354" i="20" s="1"/>
  <c r="B1355" i="20" s="1"/>
  <c r="B1356" i="20" s="1"/>
  <c r="B1357" i="20" s="1"/>
  <c r="B1358" i="20" s="1"/>
  <c r="B1359" i="20" s="1"/>
  <c r="B1360" i="20" s="1"/>
  <c r="B1361" i="20" s="1"/>
  <c r="B1362" i="20" s="1"/>
  <c r="B1363" i="20" s="1"/>
  <c r="B1364" i="20" s="1"/>
  <c r="B1365" i="20" s="1"/>
  <c r="B1366" i="20" s="1"/>
  <c r="B1367" i="20" s="1"/>
  <c r="M1324" i="14"/>
  <c r="I1870" i="14"/>
  <c r="I1794" i="14" s="1"/>
  <c r="U1794" i="14" s="1"/>
  <c r="P443" i="14"/>
  <c r="K13" i="15" s="1"/>
  <c r="Q13" i="15" s="1"/>
  <c r="U293" i="14"/>
  <c r="I2051" i="14"/>
  <c r="I2032" i="14" s="1"/>
  <c r="U2032" i="14" s="1"/>
  <c r="I1552" i="14"/>
  <c r="U1552" i="14" s="1"/>
  <c r="M89" i="14"/>
  <c r="H9" i="15" s="1"/>
  <c r="T9" i="15" s="1"/>
  <c r="I1598" i="14"/>
  <c r="U1598" i="14" s="1"/>
  <c r="I1211" i="14"/>
  <c r="U1211" i="14" s="1"/>
  <c r="U1363" i="14"/>
  <c r="I1170" i="14"/>
  <c r="U1170" i="14" s="1"/>
  <c r="U907" i="14"/>
  <c r="S11" i="15"/>
  <c r="I1108" i="14"/>
  <c r="U1108" i="14" s="1"/>
  <c r="I1244" i="14"/>
  <c r="U1244" i="14" s="1"/>
  <c r="L920" i="14"/>
  <c r="I2128" i="14"/>
  <c r="U2128" i="14" s="1"/>
  <c r="I1416" i="14"/>
  <c r="U1416" i="14" s="1"/>
  <c r="I2313" i="14"/>
  <c r="U2313" i="14" s="1"/>
  <c r="L342" i="14"/>
  <c r="G12" i="15" s="1"/>
  <c r="U468" i="14"/>
  <c r="L2031" i="14"/>
  <c r="G17" i="15" s="1"/>
  <c r="I1392" i="14"/>
  <c r="U1392" i="14" s="1"/>
  <c r="M8" i="14"/>
  <c r="H8" i="15" s="1"/>
  <c r="T8" i="15" s="1"/>
  <c r="M2031" i="14"/>
  <c r="H17" i="15" s="1"/>
  <c r="U793" i="14"/>
  <c r="R920" i="14"/>
  <c r="R685" i="14" s="1"/>
  <c r="M14" i="15" s="1"/>
  <c r="Q342" i="14"/>
  <c r="L12" i="15" s="1"/>
  <c r="R12" i="15" s="1"/>
  <c r="Q8" i="14"/>
  <c r="L8" i="15" s="1"/>
  <c r="R1706" i="14"/>
  <c r="R1669" i="14" s="1"/>
  <c r="M15" i="15" s="1"/>
  <c r="S2031" i="14"/>
  <c r="N17" i="15" s="1"/>
  <c r="Q2167" i="14"/>
  <c r="L18" i="15" s="1"/>
  <c r="U210" i="14"/>
  <c r="I1477" i="14"/>
  <c r="U1477" i="14" s="1"/>
  <c r="I2373" i="14"/>
  <c r="I2372" i="14" s="1"/>
  <c r="U2372" i="14" s="1"/>
  <c r="U219" i="14"/>
  <c r="S126" i="14"/>
  <c r="N10" i="15" s="1"/>
  <c r="K8" i="14"/>
  <c r="F8" i="15" s="1"/>
  <c r="U2292" i="14"/>
  <c r="U2386" i="14"/>
  <c r="L1324" i="14"/>
  <c r="I1527" i="14"/>
  <c r="U1527" i="14" s="1"/>
  <c r="I1068" i="14"/>
  <c r="U1068" i="14" s="1"/>
  <c r="I1139" i="14"/>
  <c r="U1139" i="14" s="1"/>
  <c r="I822" i="14"/>
  <c r="U822" i="14" s="1"/>
  <c r="M2265" i="14"/>
  <c r="M2167" i="14" s="1"/>
  <c r="H18" i="15" s="1"/>
  <c r="I1002" i="14"/>
  <c r="U1002" i="14" s="1"/>
  <c r="O2139" i="14"/>
  <c r="O2138" i="14" s="1"/>
  <c r="U2138" i="14" s="1"/>
  <c r="U1403" i="14"/>
  <c r="U1387" i="14"/>
  <c r="B397" i="20"/>
  <c r="P1898" i="14"/>
  <c r="K16" i="15" s="1"/>
  <c r="Q16" i="15" s="1"/>
  <c r="U2066" i="14"/>
  <c r="I9" i="14"/>
  <c r="U309" i="14"/>
  <c r="I2241" i="14"/>
  <c r="T16" i="15"/>
  <c r="U257" i="14"/>
  <c r="I254" i="14"/>
  <c r="J126" i="14"/>
  <c r="E10" i="15" s="1"/>
  <c r="T11" i="15"/>
  <c r="I2190" i="14"/>
  <c r="U2190" i="14" s="1"/>
  <c r="K2265" i="14"/>
  <c r="K2167" i="14" s="1"/>
  <c r="F18" i="15" s="1"/>
  <c r="I1424" i="14"/>
  <c r="U1424" i="14" s="1"/>
  <c r="I881" i="14"/>
  <c r="U881" i="14" s="1"/>
  <c r="K126" i="14"/>
  <c r="F10" i="15" s="1"/>
  <c r="O365" i="14"/>
  <c r="U365" i="14" s="1"/>
  <c r="U2142" i="14"/>
  <c r="T13" i="15"/>
  <c r="I342" i="14"/>
  <c r="D12" i="15" s="1"/>
  <c r="U386" i="14"/>
  <c r="L8" i="14"/>
  <c r="G8" i="15" s="1"/>
  <c r="S8" i="15" s="1"/>
  <c r="U1647" i="14"/>
  <c r="U2410" i="14"/>
  <c r="M342" i="14"/>
  <c r="H12" i="15" s="1"/>
  <c r="Q11" i="15"/>
  <c r="S342" i="14"/>
  <c r="N12" i="15" s="1"/>
  <c r="J2167" i="14"/>
  <c r="E18" i="15" s="1"/>
  <c r="Q18" i="15" s="1"/>
  <c r="M920" i="14"/>
  <c r="J8" i="14"/>
  <c r="E8" i="15" s="1"/>
  <c r="Q8" i="15" s="1"/>
  <c r="J2031" i="14"/>
  <c r="E17" i="15" s="1"/>
  <c r="Q17" i="15" s="1"/>
  <c r="U1644" i="14"/>
  <c r="I1620" i="14"/>
  <c r="U1620" i="14" s="1"/>
  <c r="L2167" i="14"/>
  <c r="G18" i="15" s="1"/>
  <c r="S18" i="15" s="1"/>
  <c r="R2031" i="14"/>
  <c r="M17" i="15" s="1"/>
  <c r="I1235" i="14"/>
  <c r="U1238" i="14"/>
  <c r="K920" i="14"/>
  <c r="J1324" i="14"/>
  <c r="I1577" i="14"/>
  <c r="U1577" i="14" s="1"/>
  <c r="I1376" i="14"/>
  <c r="U1376" i="14" s="1"/>
  <c r="U1379" i="14"/>
  <c r="U2254" i="14"/>
  <c r="I2251" i="14"/>
  <c r="U2251" i="14" s="1"/>
  <c r="J920" i="14"/>
  <c r="U1733" i="14"/>
  <c r="U2303" i="14"/>
  <c r="I2265" i="14"/>
  <c r="U1928" i="14"/>
  <c r="I1898" i="14"/>
  <c r="U495" i="14"/>
  <c r="O494" i="14"/>
  <c r="K1324" i="14"/>
  <c r="U141" i="14"/>
  <c r="O130" i="14"/>
  <c r="I20" i="18"/>
  <c r="I249" i="19"/>
  <c r="I248" i="19" s="1"/>
  <c r="I247" i="19" s="1"/>
  <c r="I8" i="19"/>
  <c r="I7" i="19" s="1"/>
  <c r="B134" i="20"/>
  <c r="B135" i="20" s="1"/>
  <c r="B136" i="20" s="1"/>
  <c r="B137" i="20" s="1"/>
  <c r="B138" i="20" s="1"/>
  <c r="B139" i="20" s="1"/>
  <c r="B140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M1468" i="20"/>
  <c r="H17" i="18" s="1"/>
  <c r="J343" i="20"/>
  <c r="J342" i="20" s="1"/>
  <c r="J333" i="20" s="1"/>
  <c r="E12" i="18" s="1"/>
  <c r="M12" i="18" s="1"/>
  <c r="B1480" i="20"/>
  <c r="B1481" i="20" s="1"/>
  <c r="B1482" i="20" s="1"/>
  <c r="B1483" i="20" s="1"/>
  <c r="B1484" i="20" s="1"/>
  <c r="B1485" i="20" s="1"/>
  <c r="B1486" i="20" s="1"/>
  <c r="B1487" i="20" s="1"/>
  <c r="B1488" i="20" s="1"/>
  <c r="B1489" i="20" s="1"/>
  <c r="B1490" i="20" s="1"/>
  <c r="B1491" i="20" s="1"/>
  <c r="B1403" i="20"/>
  <c r="B1404" i="20" s="1"/>
  <c r="B1405" i="20" s="1"/>
  <c r="B1406" i="20" s="1"/>
  <c r="B1407" i="20" s="1"/>
  <c r="I1309" i="20"/>
  <c r="D15" i="18" s="1"/>
  <c r="K1309" i="20"/>
  <c r="F15" i="18" s="1"/>
  <c r="N15" i="18" s="1"/>
  <c r="J1309" i="20"/>
  <c r="E15" i="18" s="1"/>
  <c r="M15" i="18" s="1"/>
  <c r="M1309" i="20"/>
  <c r="H15" i="18" s="1"/>
  <c r="O155" i="14"/>
  <c r="U163" i="14"/>
  <c r="K8" i="20"/>
  <c r="K7" i="20" s="1"/>
  <c r="F7" i="18" s="1"/>
  <c r="J8" i="20"/>
  <c r="J7" i="20" s="1"/>
  <c r="E7" i="18" s="1"/>
  <c r="B1242" i="20"/>
  <c r="I1053" i="20"/>
  <c r="J104" i="20"/>
  <c r="J100" i="20" s="1"/>
  <c r="E9" i="18" s="1"/>
  <c r="M9" i="18" s="1"/>
  <c r="I807" i="20"/>
  <c r="J807" i="20"/>
  <c r="G249" i="19"/>
  <c r="G248" i="19" s="1"/>
  <c r="G247" i="19" s="1"/>
  <c r="E8" i="19"/>
  <c r="E7" i="19" s="1"/>
  <c r="G149" i="19"/>
  <c r="E22" i="19"/>
  <c r="I202" i="19"/>
  <c r="G242" i="19"/>
  <c r="G8" i="19"/>
  <c r="G7" i="19" s="1"/>
  <c r="I44" i="19"/>
  <c r="I86" i="19"/>
  <c r="G202" i="19"/>
  <c r="E221" i="19"/>
  <c r="G228" i="19"/>
  <c r="G195" i="19"/>
  <c r="G44" i="19"/>
  <c r="G86" i="19"/>
  <c r="I149" i="19"/>
  <c r="I221" i="19"/>
  <c r="I21" i="19" s="1"/>
  <c r="E86" i="19"/>
  <c r="E44" i="19"/>
  <c r="G221" i="19"/>
  <c r="B450" i="20"/>
  <c r="B451" i="20" s="1"/>
  <c r="B452" i="20" s="1"/>
  <c r="M333" i="20"/>
  <c r="H12" i="18" s="1"/>
  <c r="L12" i="18" s="1"/>
  <c r="I267" i="20"/>
  <c r="D11" i="18" s="1"/>
  <c r="M267" i="20"/>
  <c r="H11" i="18" s="1"/>
  <c r="B320" i="20"/>
  <c r="B321" i="20" s="1"/>
  <c r="B322" i="20" s="1"/>
  <c r="B323" i="20" s="1"/>
  <c r="B324" i="20" s="1"/>
  <c r="B245" i="20"/>
  <c r="B246" i="20" s="1"/>
  <c r="I785" i="20"/>
  <c r="M7" i="20"/>
  <c r="H7" i="18" s="1"/>
  <c r="J77" i="20"/>
  <c r="E8" i="18" s="1"/>
  <c r="M8" i="18" s="1"/>
  <c r="I7" i="20"/>
  <c r="D7" i="18" s="1"/>
  <c r="K1509" i="20"/>
  <c r="K1036" i="20"/>
  <c r="J1085" i="20"/>
  <c r="J688" i="20"/>
  <c r="I1036" i="20"/>
  <c r="J1210" i="20"/>
  <c r="J1199" i="20" s="1"/>
  <c r="E14" i="18" s="1"/>
  <c r="M14" i="18" s="1"/>
  <c r="I1386" i="20"/>
  <c r="I1377" i="20" s="1"/>
  <c r="I1376" i="20" s="1"/>
  <c r="D16" i="18" s="1"/>
  <c r="K785" i="20"/>
  <c r="K1637" i="20"/>
  <c r="K1636" i="20" s="1"/>
  <c r="F18" i="18" s="1"/>
  <c r="N18" i="18" s="1"/>
  <c r="J645" i="20"/>
  <c r="K1210" i="20"/>
  <c r="K1199" i="20" s="1"/>
  <c r="F14" i="18" s="1"/>
  <c r="N14" i="18" s="1"/>
  <c r="I1085" i="20"/>
  <c r="I100" i="20"/>
  <c r="D9" i="18" s="1"/>
  <c r="M1376" i="20"/>
  <c r="H16" i="18" s="1"/>
  <c r="M100" i="20"/>
  <c r="H9" i="18" s="1"/>
  <c r="K738" i="20"/>
  <c r="K1068" i="20"/>
  <c r="I645" i="20"/>
  <c r="I191" i="20"/>
  <c r="D10" i="18" s="1"/>
  <c r="L10" i="18" s="1"/>
  <c r="J267" i="20"/>
  <c r="E11" i="18" s="1"/>
  <c r="M11" i="18" s="1"/>
  <c r="J713" i="20"/>
  <c r="K1158" i="20"/>
  <c r="J456" i="20"/>
  <c r="J434" i="20" s="1"/>
  <c r="I1104" i="20"/>
  <c r="I1158" i="20"/>
  <c r="I667" i="20"/>
  <c r="K1533" i="20"/>
  <c r="J1637" i="20"/>
  <c r="J1636" i="20" s="1"/>
  <c r="E18" i="18" s="1"/>
  <c r="M18" i="18" s="1"/>
  <c r="K1085" i="20"/>
  <c r="K1121" i="20"/>
  <c r="K688" i="20"/>
  <c r="J1036" i="20"/>
  <c r="J667" i="20"/>
  <c r="I1121" i="20"/>
  <c r="I456" i="20"/>
  <c r="I434" i="20" s="1"/>
  <c r="I1068" i="20"/>
  <c r="J738" i="20"/>
  <c r="K1104" i="20"/>
  <c r="M1199" i="20"/>
  <c r="H14" i="18" s="1"/>
  <c r="J1509" i="20"/>
  <c r="I1210" i="20"/>
  <c r="I1199" i="20" s="1"/>
  <c r="D14" i="18" s="1"/>
  <c r="I1637" i="20"/>
  <c r="I1636" i="20" s="1"/>
  <c r="D18" i="18" s="1"/>
  <c r="L18" i="18" s="1"/>
  <c r="J1533" i="20"/>
  <c r="J1068" i="20"/>
  <c r="K922" i="20"/>
  <c r="K1139" i="20"/>
  <c r="I738" i="20"/>
  <c r="J1158" i="20"/>
  <c r="K1386" i="20"/>
  <c r="K1377" i="20" s="1"/>
  <c r="K1376" i="20" s="1"/>
  <c r="F16" i="18" s="1"/>
  <c r="N16" i="18" s="1"/>
  <c r="I922" i="20"/>
  <c r="I77" i="20"/>
  <c r="D8" i="18" s="1"/>
  <c r="L8" i="18" s="1"/>
  <c r="J191" i="20"/>
  <c r="E10" i="18" s="1"/>
  <c r="M10" i="18" s="1"/>
  <c r="K713" i="20"/>
  <c r="J1104" i="20"/>
  <c r="I1509" i="20"/>
  <c r="J1386" i="20"/>
  <c r="J1377" i="20" s="1"/>
  <c r="J1376" i="20" s="1"/>
  <c r="E16" i="18" s="1"/>
  <c r="M16" i="18" s="1"/>
  <c r="K191" i="20"/>
  <c r="F10" i="18" s="1"/>
  <c r="N10" i="18" s="1"/>
  <c r="K267" i="20"/>
  <c r="F11" i="18" s="1"/>
  <c r="N11" i="18" s="1"/>
  <c r="K77" i="20"/>
  <c r="F8" i="18" s="1"/>
  <c r="N8" i="18" s="1"/>
  <c r="K100" i="20"/>
  <c r="F9" i="18" s="1"/>
  <c r="N9" i="18" s="1"/>
  <c r="I1533" i="20"/>
  <c r="I688" i="20"/>
  <c r="K645" i="20"/>
  <c r="I713" i="20"/>
  <c r="J1121" i="20"/>
  <c r="I1139" i="20"/>
  <c r="K667" i="20"/>
  <c r="J785" i="20"/>
  <c r="J1139" i="20"/>
  <c r="J922" i="20"/>
  <c r="K456" i="20"/>
  <c r="K434" i="20" s="1"/>
  <c r="U2276" i="14" l="1"/>
  <c r="P19" i="15"/>
  <c r="B1106" i="14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525" i="14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O8" i="14"/>
  <c r="J8" i="15" s="1"/>
  <c r="U457" i="14"/>
  <c r="S15" i="15"/>
  <c r="T10" i="15"/>
  <c r="I1706" i="14"/>
  <c r="U1706" i="14" s="1"/>
  <c r="U130" i="14"/>
  <c r="U278" i="14"/>
  <c r="S12" i="15"/>
  <c r="D9" i="15"/>
  <c r="P9" i="15" s="1"/>
  <c r="U2409" i="14"/>
  <c r="Q10" i="15"/>
  <c r="U2408" i="14"/>
  <c r="S10" i="15"/>
  <c r="R17" i="15"/>
  <c r="B398" i="20"/>
  <c r="B399" i="20" s="1"/>
  <c r="B400" i="20" s="1"/>
  <c r="B401" i="20" s="1"/>
  <c r="B402" i="20" s="1"/>
  <c r="B403" i="20" s="1"/>
  <c r="B404" i="20" s="1"/>
  <c r="B405" i="20" s="1"/>
  <c r="B406" i="20" s="1"/>
  <c r="R10" i="15"/>
  <c r="T18" i="15"/>
  <c r="M685" i="14"/>
  <c r="H14" i="15" s="1"/>
  <c r="T14" i="15" s="1"/>
  <c r="B247" i="20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B258" i="20" s="1"/>
  <c r="B259" i="20" s="1"/>
  <c r="U2051" i="14"/>
  <c r="U1870" i="14"/>
  <c r="L685" i="14"/>
  <c r="G14" i="15" s="1"/>
  <c r="G7" i="15" s="1"/>
  <c r="G20" i="15" s="1"/>
  <c r="R8" i="15"/>
  <c r="T17" i="15"/>
  <c r="U2373" i="14"/>
  <c r="R18" i="15"/>
  <c r="M7" i="15"/>
  <c r="M21" i="15" s="1"/>
  <c r="L7" i="15"/>
  <c r="L21" i="15" s="1"/>
  <c r="I716" i="14"/>
  <c r="U716" i="14" s="1"/>
  <c r="N7" i="15"/>
  <c r="N21" i="15" s="1"/>
  <c r="O2031" i="14"/>
  <c r="J17" i="15" s="1"/>
  <c r="I920" i="14"/>
  <c r="U920" i="14" s="1"/>
  <c r="I2168" i="14"/>
  <c r="U2168" i="14" s="1"/>
  <c r="U2139" i="14"/>
  <c r="K7" i="15"/>
  <c r="K21" i="15" s="1"/>
  <c r="U9" i="14"/>
  <c r="I8" i="14"/>
  <c r="D8" i="15" s="1"/>
  <c r="O362" i="14"/>
  <c r="U2241" i="14"/>
  <c r="I2231" i="14"/>
  <c r="U2231" i="14" s="1"/>
  <c r="U254" i="14"/>
  <c r="I247" i="14"/>
  <c r="T12" i="15"/>
  <c r="S17" i="15"/>
  <c r="J685" i="14"/>
  <c r="E14" i="15" s="1"/>
  <c r="Q14" i="15" s="1"/>
  <c r="U1235" i="14"/>
  <c r="I1199" i="14"/>
  <c r="U1199" i="14" s="1"/>
  <c r="I1335" i="14"/>
  <c r="I1324" i="14" s="1"/>
  <c r="U1324" i="14" s="1"/>
  <c r="K685" i="14"/>
  <c r="F14" i="15" s="1"/>
  <c r="R14" i="15" s="1"/>
  <c r="I2031" i="14"/>
  <c r="D17" i="15" s="1"/>
  <c r="U2265" i="14"/>
  <c r="O2167" i="14"/>
  <c r="J18" i="15" s="1"/>
  <c r="U1898" i="14"/>
  <c r="D16" i="15"/>
  <c r="U494" i="14"/>
  <c r="O443" i="14"/>
  <c r="J13" i="15" s="1"/>
  <c r="I443" i="14"/>
  <c r="U456" i="14"/>
  <c r="G21" i="19"/>
  <c r="I277" i="19"/>
  <c r="I326" i="19" s="1"/>
  <c r="I328" i="19"/>
  <c r="F5" i="18"/>
  <c r="N5" i="18" s="1"/>
  <c r="B1243" i="20"/>
  <c r="B1244" i="20" s="1"/>
  <c r="B1245" i="20" s="1"/>
  <c r="B1246" i="20" s="1"/>
  <c r="B1247" i="20" s="1"/>
  <c r="B1248" i="20" s="1"/>
  <c r="B1249" i="20" s="1"/>
  <c r="B1250" i="20" s="1"/>
  <c r="B1251" i="20" s="1"/>
  <c r="B1252" i="20" s="1"/>
  <c r="B1253" i="20" s="1"/>
  <c r="B1254" i="20" s="1"/>
  <c r="B1255" i="20" s="1"/>
  <c r="B1256" i="20" s="1"/>
  <c r="B1257" i="20" s="1"/>
  <c r="B1258" i="20" s="1"/>
  <c r="B1259" i="20" s="1"/>
  <c r="B1260" i="20" s="1"/>
  <c r="B1261" i="20" s="1"/>
  <c r="B1262" i="20" s="1"/>
  <c r="B1263" i="20" s="1"/>
  <c r="L15" i="18"/>
  <c r="L16" i="18"/>
  <c r="L11" i="18"/>
  <c r="M7" i="18"/>
  <c r="N7" i="18"/>
  <c r="L14" i="18"/>
  <c r="L9" i="18"/>
  <c r="L7" i="18"/>
  <c r="H6" i="18"/>
  <c r="B1492" i="20"/>
  <c r="B1493" i="20" s="1"/>
  <c r="B1408" i="20"/>
  <c r="B1409" i="20" s="1"/>
  <c r="B1410" i="20" s="1"/>
  <c r="B1411" i="20" s="1"/>
  <c r="B1412" i="20" s="1"/>
  <c r="J914" i="20"/>
  <c r="K914" i="20"/>
  <c r="I914" i="20"/>
  <c r="U155" i="14"/>
  <c r="O126" i="14"/>
  <c r="G277" i="19"/>
  <c r="G326" i="19" s="1"/>
  <c r="E21" i="19"/>
  <c r="E277" i="19" s="1"/>
  <c r="E326" i="19" s="1"/>
  <c r="B453" i="20"/>
  <c r="B454" i="20" s="1"/>
  <c r="B455" i="20" s="1"/>
  <c r="B456" i="20" s="1"/>
  <c r="B457" i="20" s="1"/>
  <c r="B458" i="20" s="1"/>
  <c r="B459" i="20" s="1"/>
  <c r="B460" i="20" s="1"/>
  <c r="B461" i="20" s="1"/>
  <c r="K1468" i="20"/>
  <c r="F17" i="18" s="1"/>
  <c r="N17" i="18" s="1"/>
  <c r="J1468" i="20"/>
  <c r="E17" i="18" s="1"/>
  <c r="M17" i="18" s="1"/>
  <c r="I1468" i="20"/>
  <c r="D17" i="18" s="1"/>
  <c r="L17" i="18" s="1"/>
  <c r="J614" i="20"/>
  <c r="K614" i="20"/>
  <c r="I614" i="20"/>
  <c r="B1264" i="20" l="1"/>
  <c r="B597" i="14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P8" i="15"/>
  <c r="I1669" i="14"/>
  <c r="U1669" i="14" s="1"/>
  <c r="H7" i="15"/>
  <c r="H20" i="15" s="1"/>
  <c r="B407" i="20"/>
  <c r="B408" i="20" s="1"/>
  <c r="B409" i="20" s="1"/>
  <c r="S14" i="15"/>
  <c r="S7" i="15" s="1"/>
  <c r="S22" i="15" s="1"/>
  <c r="S44" i="15" s="1"/>
  <c r="I686" i="14"/>
  <c r="U686" i="14" s="1"/>
  <c r="P17" i="15"/>
  <c r="U8" i="14"/>
  <c r="I2230" i="14"/>
  <c r="U2230" i="14" s="1"/>
  <c r="D11" i="15"/>
  <c r="P11" i="15" s="1"/>
  <c r="U247" i="14"/>
  <c r="U362" i="14"/>
  <c r="O342" i="14"/>
  <c r="U1335" i="14"/>
  <c r="E7" i="15"/>
  <c r="F7" i="15"/>
  <c r="F20" i="15" s="1"/>
  <c r="B1422" i="20"/>
  <c r="B1423" i="20" s="1"/>
  <c r="B1424" i="20" s="1"/>
  <c r="B1425" i="20" s="1"/>
  <c r="B1426" i="20" s="1"/>
  <c r="B1427" i="20" s="1"/>
  <c r="B1428" i="20" s="1"/>
  <c r="B1429" i="20" s="1"/>
  <c r="B1430" i="20" s="1"/>
  <c r="B1431" i="20" s="1"/>
  <c r="B1432" i="20" s="1"/>
  <c r="B1433" i="20" s="1"/>
  <c r="B1434" i="20" s="1"/>
  <c r="B1435" i="20" s="1"/>
  <c r="B1436" i="20" s="1"/>
  <c r="B1437" i="20" s="1"/>
  <c r="B1438" i="20" s="1"/>
  <c r="B1439" i="20" s="1"/>
  <c r="B1440" i="20" s="1"/>
  <c r="B1441" i="20" s="1"/>
  <c r="B1442" i="20" s="1"/>
  <c r="B1443" i="20" s="1"/>
  <c r="B1444" i="20" s="1"/>
  <c r="B1445" i="20" s="1"/>
  <c r="B1446" i="20" s="1"/>
  <c r="B1447" i="20" s="1"/>
  <c r="B1448" i="20" s="1"/>
  <c r="B1449" i="20" s="1"/>
  <c r="B1450" i="20" s="1"/>
  <c r="B1451" i="20" s="1"/>
  <c r="B1452" i="20" s="1"/>
  <c r="B1453" i="20" s="1"/>
  <c r="B1454" i="20" s="1"/>
  <c r="B1455" i="20" s="1"/>
  <c r="B1456" i="20" s="1"/>
  <c r="B1457" i="20" s="1"/>
  <c r="U2031" i="14"/>
  <c r="U443" i="14"/>
  <c r="D13" i="15"/>
  <c r="P13" i="15" s="1"/>
  <c r="P16" i="15"/>
  <c r="E328" i="19"/>
  <c r="D5" i="18"/>
  <c r="L5" i="18" s="1"/>
  <c r="G328" i="19"/>
  <c r="E5" i="18"/>
  <c r="M5" i="18" s="1"/>
  <c r="H20" i="18"/>
  <c r="B1494" i="20"/>
  <c r="B1495" i="20" s="1"/>
  <c r="B1496" i="20" s="1"/>
  <c r="B1497" i="20" s="1"/>
  <c r="B1498" i="20" s="1"/>
  <c r="B1499" i="20" s="1"/>
  <c r="B1500" i="20" s="1"/>
  <c r="B1501" i="20" s="1"/>
  <c r="B1502" i="20" s="1"/>
  <c r="B1503" i="20" s="1"/>
  <c r="B1504" i="20" s="1"/>
  <c r="B1505" i="20" s="1"/>
  <c r="B1506" i="20" s="1"/>
  <c r="U126" i="14"/>
  <c r="J10" i="15"/>
  <c r="B462" i="20"/>
  <c r="B463" i="20" s="1"/>
  <c r="B464" i="20" s="1"/>
  <c r="B465" i="20" s="1"/>
  <c r="B466" i="20" s="1"/>
  <c r="B467" i="20" s="1"/>
  <c r="B468" i="20" s="1"/>
  <c r="K433" i="20"/>
  <c r="F13" i="18" s="1"/>
  <c r="I433" i="20"/>
  <c r="D13" i="18" s="1"/>
  <c r="J433" i="20"/>
  <c r="E13" i="18" s="1"/>
  <c r="B1265" i="20" l="1"/>
  <c r="B1266" i="20" s="1"/>
  <c r="B1267" i="20" s="1"/>
  <c r="B1268" i="20" s="1"/>
  <c r="B1269" i="20" s="1"/>
  <c r="B1270" i="20" s="1"/>
  <c r="B1271" i="20" s="1"/>
  <c r="B1272" i="20" s="1"/>
  <c r="B1273" i="20" s="1"/>
  <c r="B1274" i="20" s="1"/>
  <c r="B1275" i="20" s="1"/>
  <c r="B1276" i="20" s="1"/>
  <c r="B1277" i="20" s="1"/>
  <c r="B1278" i="20" s="1"/>
  <c r="B1279" i="20" s="1"/>
  <c r="B1280" i="20" s="1"/>
  <c r="B1281" i="20" s="1"/>
  <c r="B1282" i="20" s="1"/>
  <c r="B1283" i="20" s="1"/>
  <c r="B1284" i="20" s="1"/>
  <c r="B1285" i="20" s="1"/>
  <c r="B1286" i="20" s="1"/>
  <c r="B1287" i="20" s="1"/>
  <c r="B1288" i="20" s="1"/>
  <c r="B1289" i="20" s="1"/>
  <c r="B1290" i="20" s="1"/>
  <c r="B1291" i="20" s="1"/>
  <c r="B1292" i="20" s="1"/>
  <c r="B1293" i="20" s="1"/>
  <c r="B1294" i="20" s="1"/>
  <c r="B1295" i="20" s="1"/>
  <c r="B1296" i="20" s="1"/>
  <c r="B1297" i="20" s="1"/>
  <c r="B1298" i="20" s="1"/>
  <c r="B410" i="20"/>
  <c r="B411" i="20" s="1"/>
  <c r="B412" i="20" s="1"/>
  <c r="B413" i="20" s="1"/>
  <c r="B414" i="20" s="1"/>
  <c r="B415" i="20" s="1"/>
  <c r="B416" i="20" s="1"/>
  <c r="B417" i="20" s="1"/>
  <c r="B418" i="20" s="1"/>
  <c r="B419" i="20" s="1"/>
  <c r="B472" i="20"/>
  <c r="B473" i="20" s="1"/>
  <c r="B474" i="20" s="1"/>
  <c r="B475" i="20" s="1"/>
  <c r="B476" i="20" s="1"/>
  <c r="B477" i="20" s="1"/>
  <c r="B478" i="20" s="1"/>
  <c r="B479" i="20" s="1"/>
  <c r="B480" i="20" s="1"/>
  <c r="B481" i="20" s="1"/>
  <c r="B482" i="20" s="1"/>
  <c r="B483" i="20" s="1"/>
  <c r="B469" i="20"/>
  <c r="B470" i="20" s="1"/>
  <c r="B471" i="20" s="1"/>
  <c r="D15" i="15"/>
  <c r="P15" i="15" s="1"/>
  <c r="I2167" i="14"/>
  <c r="D18" i="15" s="1"/>
  <c r="P18" i="15" s="1"/>
  <c r="T7" i="15"/>
  <c r="T22" i="15" s="1"/>
  <c r="T44" i="15" s="1"/>
  <c r="I685" i="14"/>
  <c r="D14" i="15" s="1"/>
  <c r="P14" i="15" s="1"/>
  <c r="J12" i="15"/>
  <c r="P12" i="15" s="1"/>
  <c r="U342" i="14"/>
  <c r="Q7" i="15"/>
  <c r="Q22" i="15" s="1"/>
  <c r="Q44" i="15" s="1"/>
  <c r="E20" i="15"/>
  <c r="R7" i="15"/>
  <c r="R22" i="15" s="1"/>
  <c r="R44" i="15" s="1"/>
  <c r="M13" i="18"/>
  <c r="E6" i="18"/>
  <c r="L13" i="18"/>
  <c r="D6" i="18"/>
  <c r="N13" i="18"/>
  <c r="F6" i="18"/>
  <c r="B1507" i="20"/>
  <c r="B1508" i="20" s="1"/>
  <c r="B1509" i="20" s="1"/>
  <c r="B1510" i="20" s="1"/>
  <c r="B1511" i="20" s="1"/>
  <c r="B1512" i="20" s="1"/>
  <c r="B1513" i="20" s="1"/>
  <c r="B1514" i="20" s="1"/>
  <c r="B1515" i="20" s="1"/>
  <c r="B1516" i="20" s="1"/>
  <c r="B1517" i="20" s="1"/>
  <c r="P10" i="15"/>
  <c r="B484" i="20" l="1"/>
  <c r="B485" i="20" s="1"/>
  <c r="B486" i="20" s="1"/>
  <c r="B487" i="20" s="1"/>
  <c r="B488" i="20" s="1"/>
  <c r="B420" i="20"/>
  <c r="B421" i="20" s="1"/>
  <c r="B422" i="20" s="1"/>
  <c r="B423" i="20" s="1"/>
  <c r="B424" i="20" s="1"/>
  <c r="B425" i="20" s="1"/>
  <c r="B426" i="20" s="1"/>
  <c r="U685" i="14"/>
  <c r="U2167" i="14"/>
  <c r="J7" i="15"/>
  <c r="J21" i="15" s="1"/>
  <c r="D7" i="15"/>
  <c r="D20" i="15" s="1"/>
  <c r="F19" i="18"/>
  <c r="N6" i="18"/>
  <c r="N21" i="18" s="1"/>
  <c r="N33" i="18" s="1"/>
  <c r="E19" i="18"/>
  <c r="M6" i="18"/>
  <c r="M21" i="18" s="1"/>
  <c r="M33" i="18" s="1"/>
  <c r="D19" i="18"/>
  <c r="L6" i="18"/>
  <c r="L21" i="18" s="1"/>
  <c r="L33" i="18" s="1"/>
  <c r="B1518" i="20"/>
  <c r="B1519" i="20" s="1"/>
  <c r="B1520" i="20" s="1"/>
  <c r="B1521" i="20" s="1"/>
  <c r="B1522" i="20" s="1"/>
  <c r="B1523" i="20" s="1"/>
  <c r="B1524" i="20" s="1"/>
  <c r="B1525" i="20" s="1"/>
  <c r="B1526" i="20" s="1"/>
  <c r="B1527" i="20" s="1"/>
  <c r="B1528" i="20" s="1"/>
  <c r="B1529" i="20" s="1"/>
  <c r="B489" i="20"/>
  <c r="B490" i="20" s="1"/>
  <c r="B491" i="20" s="1"/>
  <c r="B492" i="20" s="1"/>
  <c r="B493" i="20" s="1"/>
  <c r="B494" i="20" s="1"/>
  <c r="B495" i="20" s="1"/>
  <c r="B496" i="20" s="1"/>
  <c r="B497" i="20" s="1"/>
  <c r="B498" i="20" s="1"/>
  <c r="B499" i="20" s="1"/>
  <c r="B500" i="20" s="1"/>
  <c r="B501" i="20" s="1"/>
  <c r="B502" i="20" s="1"/>
  <c r="B503" i="20" s="1"/>
  <c r="P7" i="15" l="1"/>
  <c r="P22" i="15" s="1"/>
  <c r="P44" i="15" s="1"/>
  <c r="B1530" i="20"/>
  <c r="B1531" i="20" s="1"/>
  <c r="B1532" i="20" s="1"/>
  <c r="B1533" i="20" s="1"/>
  <c r="B1534" i="20" s="1"/>
  <c r="B1535" i="20" s="1"/>
  <c r="B1536" i="20" s="1"/>
  <c r="B1537" i="20" s="1"/>
  <c r="B1538" i="20" s="1"/>
  <c r="B1539" i="20" s="1"/>
  <c r="B1540" i="20" s="1"/>
  <c r="B1541" i="20" s="1"/>
  <c r="B1542" i="20" s="1"/>
  <c r="B1543" i="20" s="1"/>
  <c r="B1544" i="20" s="1"/>
  <c r="B1545" i="20" s="1"/>
  <c r="B1546" i="20" s="1"/>
  <c r="B1547" i="20" s="1"/>
  <c r="B1548" i="20" s="1"/>
  <c r="B1549" i="20" s="1"/>
  <c r="B1550" i="20" s="1"/>
  <c r="B1551" i="20" s="1"/>
  <c r="B1552" i="20" s="1"/>
  <c r="B1553" i="20" s="1"/>
  <c r="B1554" i="20" s="1"/>
  <c r="B1555" i="20" s="1"/>
  <c r="B1556" i="20" s="1"/>
  <c r="B1557" i="20" s="1"/>
  <c r="B504" i="20"/>
  <c r="B505" i="20" s="1"/>
  <c r="B506" i="20" s="1"/>
  <c r="B507" i="20" s="1"/>
  <c r="B508" i="20" s="1"/>
  <c r="B509" i="20" s="1"/>
  <c r="B510" i="20" s="1"/>
  <c r="B511" i="20" s="1"/>
  <c r="B1558" i="20" l="1"/>
  <c r="B1559" i="20" s="1"/>
  <c r="B1560" i="20" s="1"/>
  <c r="B1561" i="20" s="1"/>
  <c r="B1562" i="20" s="1"/>
  <c r="B1563" i="20" s="1"/>
  <c r="B1564" i="20" s="1"/>
  <c r="B1565" i="20" s="1"/>
  <c r="B1566" i="20" s="1"/>
  <c r="B1567" i="20" s="1"/>
  <c r="B1568" i="20" s="1"/>
  <c r="B1569" i="20" s="1"/>
  <c r="B1570" i="20" s="1"/>
  <c r="B1571" i="20" s="1"/>
  <c r="B1572" i="20" s="1"/>
  <c r="B1573" i="20" s="1"/>
  <c r="B1574" i="20" s="1"/>
  <c r="B1575" i="20" s="1"/>
  <c r="B1576" i="20" s="1"/>
  <c r="B1577" i="20" s="1"/>
  <c r="B1578" i="20" s="1"/>
  <c r="B1579" i="20" s="1"/>
  <c r="B1580" i="20" s="1"/>
  <c r="B1581" i="20" s="1"/>
  <c r="B1582" i="20" s="1"/>
  <c r="B1583" i="20" s="1"/>
  <c r="B1584" i="20" s="1"/>
  <c r="B1585" i="20" s="1"/>
  <c r="B1586" i="20" s="1"/>
  <c r="B512" i="20"/>
  <c r="B513" i="20" s="1"/>
  <c r="B514" i="20" s="1"/>
  <c r="B1587" i="20" l="1"/>
  <c r="B1588" i="20" s="1"/>
  <c r="B1589" i="20" s="1"/>
  <c r="B1590" i="20" s="1"/>
  <c r="B1591" i="20" s="1"/>
  <c r="B1592" i="20" s="1"/>
  <c r="B1593" i="20" s="1"/>
  <c r="B1594" i="20" s="1"/>
  <c r="B1595" i="20" s="1"/>
  <c r="B1596" i="20" s="1"/>
  <c r="B1597" i="20" s="1"/>
  <c r="B1598" i="20" s="1"/>
  <c r="B1599" i="20" s="1"/>
  <c r="B1600" i="20" s="1"/>
  <c r="B1601" i="20" s="1"/>
  <c r="B1602" i="20" s="1"/>
  <c r="B1603" i="20" s="1"/>
  <c r="B1604" i="20" s="1"/>
  <c r="B1605" i="20" s="1"/>
  <c r="B1606" i="20" s="1"/>
  <c r="B1607" i="20" s="1"/>
  <c r="B1608" i="20" s="1"/>
  <c r="B1609" i="20" s="1"/>
  <c r="B1610" i="20" s="1"/>
  <c r="B1611" i="20" s="1"/>
  <c r="B1612" i="20" s="1"/>
  <c r="B1613" i="20" s="1"/>
  <c r="B1614" i="20" s="1"/>
  <c r="B1615" i="20" s="1"/>
  <c r="B1616" i="20" s="1"/>
  <c r="B1617" i="20" s="1"/>
  <c r="B1618" i="20" s="1"/>
  <c r="B1619" i="20" s="1"/>
  <c r="B1620" i="20" s="1"/>
  <c r="B1621" i="20" s="1"/>
  <c r="B1622" i="20" s="1"/>
  <c r="B1623" i="20" s="1"/>
  <c r="B1624" i="20" s="1"/>
  <c r="B1625" i="20" s="1"/>
  <c r="B1626" i="20" s="1"/>
  <c r="B515" i="20"/>
  <c r="B516" i="20" s="1"/>
  <c r="B517" i="20" s="1"/>
  <c r="B518" i="20" s="1"/>
  <c r="B519" i="20" s="1"/>
  <c r="B520" i="20" l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6" i="20" s="1"/>
  <c r="B537" i="20" s="1"/>
  <c r="B538" i="20" s="1"/>
  <c r="B539" i="20" s="1"/>
  <c r="B540" i="20" s="1"/>
  <c r="B541" i="20" s="1"/>
  <c r="B542" i="20" s="1"/>
  <c r="B543" i="20" s="1"/>
  <c r="B544" i="20" s="1"/>
  <c r="B545" i="20" s="1"/>
  <c r="B546" i="20" s="1"/>
  <c r="B547" i="20" s="1"/>
  <c r="B548" i="20" s="1"/>
  <c r="B549" i="20" s="1"/>
  <c r="B550" i="20" s="1"/>
  <c r="B551" i="20" s="1"/>
  <c r="B552" i="20" s="1"/>
  <c r="B553" i="20" s="1"/>
  <c r="B554" i="20" s="1"/>
  <c r="B555" i="20" s="1"/>
  <c r="B556" i="20" s="1"/>
  <c r="B557" i="20" s="1"/>
  <c r="B558" i="20" s="1"/>
  <c r="B559" i="20" s="1"/>
  <c r="B560" i="20" s="1"/>
  <c r="B561" i="20" s="1"/>
  <c r="B562" i="20" s="1"/>
  <c r="B563" i="20" s="1"/>
  <c r="B564" i="20" s="1"/>
  <c r="B565" i="20" s="1"/>
  <c r="B566" i="20" s="1"/>
  <c r="B567" i="20" s="1"/>
  <c r="B568" i="20" s="1"/>
  <c r="B569" i="20" s="1"/>
  <c r="B570" i="20" s="1"/>
  <c r="B571" i="20" s="1"/>
  <c r="B572" i="20" s="1"/>
  <c r="B573" i="20" s="1"/>
  <c r="B574" i="20" s="1"/>
  <c r="B575" i="20" s="1"/>
  <c r="B576" i="20" s="1"/>
  <c r="B577" i="20" s="1"/>
  <c r="B578" i="20" s="1"/>
  <c r="B579" i="20" s="1"/>
  <c r="B580" i="20" s="1"/>
  <c r="B581" i="20" s="1"/>
  <c r="B582" i="20" s="1"/>
  <c r="B583" i="20" s="1"/>
  <c r="B533" i="20" l="1"/>
  <c r="B534" i="20" s="1"/>
  <c r="B535" i="20" s="1"/>
  <c r="B584" i="20"/>
  <c r="B585" i="20" s="1"/>
  <c r="B586" i="20" s="1"/>
  <c r="B587" i="20" s="1"/>
  <c r="B588" i="20" s="1"/>
  <c r="B589" i="20" s="1"/>
  <c r="B590" i="20" s="1"/>
  <c r="B591" i="20" s="1"/>
  <c r="B592" i="20" s="1"/>
  <c r="B593" i="20" s="1"/>
  <c r="B594" i="20" s="1"/>
  <c r="B595" i="20" s="1"/>
  <c r="B596" i="20" s="1"/>
  <c r="B597" i="20" s="1"/>
  <c r="B598" i="20" l="1"/>
  <c r="B599" i="20" s="1"/>
  <c r="B600" i="20" s="1"/>
  <c r="B601" i="20" s="1"/>
  <c r="B602" i="20" s="1"/>
  <c r="B603" i="20" s="1"/>
  <c r="B604" i="20" s="1"/>
  <c r="B605" i="20" s="1"/>
  <c r="B606" i="20" s="1"/>
  <c r="B607" i="20" s="1"/>
  <c r="B608" i="20" l="1"/>
  <c r="B609" i="20" s="1"/>
  <c r="B610" i="20" s="1"/>
  <c r="B614" i="20" l="1"/>
  <c r="B615" i="20" s="1"/>
  <c r="B616" i="20" s="1"/>
  <c r="B617" i="20" s="1"/>
  <c r="B618" i="20" s="1"/>
  <c r="B619" i="20" s="1"/>
  <c r="B620" i="20" s="1"/>
  <c r="B621" i="20" s="1"/>
  <c r="B622" i="20" s="1"/>
  <c r="B623" i="20" s="1"/>
  <c r="B624" i="20" s="1"/>
  <c r="B625" i="20" s="1"/>
  <c r="B626" i="20" s="1"/>
  <c r="B627" i="20" s="1"/>
  <c r="B628" i="20" s="1"/>
  <c r="B629" i="20" s="1"/>
  <c r="B630" i="20" s="1"/>
  <c r="B631" i="20" s="1"/>
  <c r="B632" i="20" s="1"/>
  <c r="B633" i="20" s="1"/>
  <c r="B634" i="20" s="1"/>
  <c r="B635" i="20" s="1"/>
  <c r="B636" i="20" s="1"/>
  <c r="B637" i="20" s="1"/>
  <c r="B638" i="20" s="1"/>
  <c r="B639" i="20" s="1"/>
  <c r="B611" i="20"/>
  <c r="B612" i="20" s="1"/>
  <c r="B613" i="20" s="1"/>
  <c r="B645" i="20" l="1"/>
  <c r="B646" i="20" s="1"/>
  <c r="B647" i="20" s="1"/>
  <c r="B648" i="20" s="1"/>
  <c r="B649" i="20" s="1"/>
  <c r="B650" i="20" s="1"/>
  <c r="B651" i="20" s="1"/>
  <c r="B652" i="20" s="1"/>
  <c r="B653" i="20" s="1"/>
  <c r="B654" i="20" s="1"/>
  <c r="B655" i="20" s="1"/>
  <c r="B656" i="20" s="1"/>
  <c r="B657" i="20" s="1"/>
  <c r="B658" i="20" s="1"/>
  <c r="B659" i="20" s="1"/>
  <c r="B660" i="20" s="1"/>
  <c r="B661" i="20" s="1"/>
  <c r="B662" i="20" s="1"/>
  <c r="B663" i="20" s="1"/>
  <c r="B664" i="20" s="1"/>
  <c r="B665" i="20" s="1"/>
  <c r="B666" i="20" s="1"/>
  <c r="B667" i="20" s="1"/>
  <c r="B668" i="20" s="1"/>
  <c r="B669" i="20" s="1"/>
  <c r="B670" i="20" s="1"/>
  <c r="B671" i="20" s="1"/>
  <c r="B672" i="20" s="1"/>
  <c r="B673" i="20" s="1"/>
  <c r="B674" i="20" s="1"/>
  <c r="B675" i="20" s="1"/>
  <c r="B676" i="20" s="1"/>
  <c r="B677" i="20" s="1"/>
  <c r="B640" i="20"/>
  <c r="B641" i="20" s="1"/>
  <c r="B642" i="20" s="1"/>
  <c r="B643" i="20" s="1"/>
  <c r="B644" i="20" s="1"/>
  <c r="B678" i="20" l="1"/>
  <c r="B679" i="20" s="1"/>
  <c r="B680" i="20" s="1"/>
  <c r="B681" i="20" s="1"/>
  <c r="B682" i="20" s="1"/>
  <c r="B683" i="20" s="1"/>
  <c r="B684" i="20" s="1"/>
  <c r="B685" i="20" s="1"/>
  <c r="B686" i="20" s="1"/>
  <c r="B687" i="20" s="1"/>
  <c r="B688" i="20" s="1"/>
  <c r="B689" i="20" s="1"/>
  <c r="B690" i="20" s="1"/>
  <c r="B691" i="20" s="1"/>
  <c r="B692" i="20" s="1"/>
  <c r="B693" i="20" s="1"/>
  <c r="B694" i="20" s="1"/>
  <c r="B695" i="20" s="1"/>
  <c r="B696" i="20" s="1"/>
  <c r="B697" i="20" s="1"/>
  <c r="B698" i="20" l="1"/>
  <c r="B699" i="20" s="1"/>
  <c r="B700" i="20" s="1"/>
  <c r="B701" i="20" s="1"/>
  <c r="B702" i="20" s="1"/>
  <c r="B703" i="20" s="1"/>
  <c r="B704" i="20" s="1"/>
  <c r="B705" i="20" s="1"/>
  <c r="B706" i="20" s="1"/>
  <c r="B707" i="20" s="1"/>
  <c r="B708" i="20" s="1"/>
  <c r="B709" i="20" s="1"/>
  <c r="B710" i="20" s="1"/>
  <c r="B711" i="20" s="1"/>
  <c r="B712" i="20" s="1"/>
  <c r="B713" i="20" s="1"/>
  <c r="B714" i="20" l="1"/>
  <c r="B715" i="20" s="1"/>
  <c r="B716" i="20" s="1"/>
  <c r="B717" i="20" s="1"/>
  <c r="B718" i="20" s="1"/>
  <c r="B719" i="20" s="1"/>
  <c r="B720" i="20" s="1"/>
  <c r="B721" i="20" s="1"/>
  <c r="B722" i="20" s="1"/>
  <c r="B723" i="20" s="1"/>
  <c r="B724" i="20" s="1"/>
  <c r="B725" i="20" s="1"/>
  <c r="B726" i="20" s="1"/>
  <c r="B727" i="20" s="1"/>
  <c r="B728" i="20" s="1"/>
  <c r="B729" i="20" s="1"/>
  <c r="B730" i="20" s="1"/>
  <c r="B731" i="20" s="1"/>
  <c r="B732" i="20" l="1"/>
  <c r="B734" i="20"/>
  <c r="B735" i="20" s="1"/>
  <c r="B738" i="20"/>
  <c r="B739" i="20" s="1"/>
  <c r="B740" i="20" s="1"/>
  <c r="B741" i="20" s="1"/>
  <c r="B742" i="20" s="1"/>
  <c r="B743" i="20" s="1"/>
  <c r="B744" i="20" s="1"/>
  <c r="B745" i="20" s="1"/>
  <c r="B746" i="20" s="1"/>
  <c r="B747" i="20" s="1"/>
  <c r="B748" i="20" s="1"/>
  <c r="B749" i="20" s="1"/>
  <c r="B750" i="20" s="1"/>
  <c r="B751" i="20" s="1"/>
  <c r="B752" i="20" s="1"/>
  <c r="B753" i="20" s="1"/>
  <c r="B754" i="20" s="1"/>
  <c r="B755" i="20" s="1"/>
  <c r="B756" i="20" s="1"/>
  <c r="B757" i="20" s="1"/>
  <c r="B758" i="20" s="1"/>
  <c r="B759" i="20" s="1"/>
  <c r="B760" i="20" s="1"/>
  <c r="B761" i="20" s="1"/>
  <c r="B762" i="20" s="1"/>
  <c r="B763" i="20" s="1"/>
  <c r="B764" i="20" s="1"/>
  <c r="B765" i="20" s="1"/>
  <c r="B766" i="20" s="1"/>
  <c r="B767" i="20" s="1"/>
  <c r="B768" i="20" s="1"/>
  <c r="B769" i="20" s="1"/>
  <c r="B770" i="20" s="1"/>
  <c r="B771" i="20" s="1"/>
  <c r="B772" i="20" s="1"/>
  <c r="B773" i="20" s="1"/>
  <c r="B774" i="20" s="1"/>
  <c r="B775" i="20" s="1"/>
  <c r="B776" i="20" s="1"/>
  <c r="B777" i="20" s="1"/>
  <c r="B778" i="20" s="1"/>
  <c r="B779" i="20" s="1"/>
  <c r="B780" i="20" s="1"/>
  <c r="B781" i="20" s="1"/>
  <c r="B733" i="20"/>
  <c r="B736" i="20" s="1"/>
  <c r="B737" i="20" s="1"/>
  <c r="B785" i="20" l="1"/>
  <c r="B786" i="20" s="1"/>
  <c r="B787" i="20" s="1"/>
  <c r="B788" i="20" s="1"/>
  <c r="B789" i="20" s="1"/>
  <c r="B790" i="20" s="1"/>
  <c r="B791" i="20" s="1"/>
  <c r="B792" i="20" s="1"/>
  <c r="B793" i="20" s="1"/>
  <c r="B794" i="20" s="1"/>
  <c r="B795" i="20" s="1"/>
  <c r="B796" i="20" s="1"/>
  <c r="B797" i="20" s="1"/>
  <c r="B798" i="20" s="1"/>
  <c r="B799" i="20" s="1"/>
  <c r="B800" i="20" s="1"/>
  <c r="B801" i="20" s="1"/>
  <c r="B802" i="20" s="1"/>
  <c r="B782" i="20"/>
  <c r="B783" i="20" s="1"/>
  <c r="B784" i="20" s="1"/>
  <c r="B803" i="20" l="1"/>
  <c r="B804" i="20" s="1"/>
  <c r="B805" i="20" s="1"/>
  <c r="B806" i="20" s="1"/>
  <c r="B807" i="20" s="1"/>
  <c r="B808" i="20" s="1"/>
  <c r="B809" i="20" s="1"/>
  <c r="B810" i="20" s="1"/>
  <c r="B811" i="20" s="1"/>
  <c r="B812" i="20" s="1"/>
  <c r="B813" i="20" s="1"/>
  <c r="B814" i="20" s="1"/>
  <c r="B815" i="20" s="1"/>
  <c r="B816" i="20" s="1"/>
  <c r="B817" i="20" s="1"/>
  <c r="B818" i="20" s="1"/>
  <c r="B819" i="20" s="1"/>
  <c r="B820" i="20" s="1"/>
  <c r="B821" i="20" s="1"/>
  <c r="B822" i="20" s="1"/>
  <c r="B823" i="20" s="1"/>
  <c r="B824" i="20" s="1"/>
  <c r="B825" i="20" s="1"/>
  <c r="B826" i="20" s="1"/>
  <c r="B827" i="20" s="1"/>
  <c r="B828" i="20" s="1"/>
  <c r="B829" i="20" s="1"/>
  <c r="B830" i="20" s="1"/>
  <c r="B831" i="20" s="1"/>
  <c r="B832" i="20" s="1"/>
  <c r="B833" i="20" s="1"/>
  <c r="B834" i="20" s="1"/>
  <c r="B835" i="20" s="1"/>
  <c r="B836" i="20" s="1"/>
  <c r="B837" i="20" s="1"/>
  <c r="B838" i="20" s="1"/>
  <c r="B839" i="20" s="1"/>
  <c r="B840" i="20" s="1"/>
  <c r="B841" i="20" s="1"/>
  <c r="B842" i="20" s="1"/>
  <c r="B843" i="20" s="1"/>
  <c r="B844" i="20" s="1"/>
  <c r="B845" i="20" s="1"/>
  <c r="B846" i="20" s="1"/>
  <c r="B847" i="20" s="1"/>
  <c r="B848" i="20" s="1"/>
  <c r="B849" i="20" s="1"/>
  <c r="B850" i="20" s="1"/>
  <c r="B851" i="20" s="1"/>
  <c r="B852" i="20" s="1"/>
  <c r="B853" i="20" s="1"/>
  <c r="B854" i="20" s="1"/>
  <c r="B855" i="20" s="1"/>
  <c r="B856" i="20" s="1"/>
  <c r="B857" i="20" s="1"/>
  <c r="B858" i="20" s="1"/>
  <c r="B859" i="20" s="1"/>
  <c r="B860" i="20" s="1"/>
  <c r="B861" i="20" s="1"/>
  <c r="B862" i="20" s="1"/>
  <c r="B863" i="20" s="1"/>
  <c r="B864" i="20" s="1"/>
  <c r="B865" i="20" s="1"/>
  <c r="B866" i="20" s="1"/>
  <c r="B867" i="20" s="1"/>
  <c r="B868" i="20" s="1"/>
  <c r="B869" i="20" s="1"/>
  <c r="B870" i="20" s="1"/>
  <c r="B871" i="20" s="1"/>
  <c r="B872" i="20" s="1"/>
  <c r="B873" i="20" s="1"/>
  <c r="B874" i="20" s="1"/>
  <c r="B875" i="20" s="1"/>
  <c r="B876" i="20" s="1"/>
  <c r="B877" i="20" s="1"/>
  <c r="B878" i="20" s="1"/>
  <c r="B879" i="20" s="1"/>
  <c r="B880" i="20" s="1"/>
  <c r="B881" i="20" s="1"/>
  <c r="B882" i="20" s="1"/>
  <c r="B883" i="20" s="1"/>
  <c r="B884" i="20" s="1"/>
  <c r="B885" i="20" s="1"/>
  <c r="B886" i="20" s="1"/>
  <c r="B887" i="20" s="1"/>
  <c r="B888" i="20" s="1"/>
  <c r="B889" i="20" s="1"/>
  <c r="B890" i="20" s="1"/>
  <c r="B891" i="20" s="1"/>
  <c r="B892" i="20" s="1"/>
  <c r="B893" i="20" s="1"/>
  <c r="B894" i="20" s="1"/>
  <c r="B895" i="20" s="1"/>
  <c r="B896" i="20" s="1"/>
  <c r="B897" i="20" s="1"/>
  <c r="B898" i="20" s="1"/>
  <c r="B899" i="20" s="1"/>
  <c r="B900" i="20" s="1"/>
  <c r="B901" i="20" s="1"/>
  <c r="B902" i="20" s="1"/>
  <c r="B903" i="20" s="1"/>
  <c r="B904" i="20" s="1"/>
  <c r="B905" i="20" s="1"/>
  <c r="B906" i="20" s="1"/>
  <c r="B907" i="20" s="1"/>
  <c r="B908" i="20" s="1"/>
  <c r="B909" i="20" s="1"/>
  <c r="B910" i="20" l="1"/>
  <c r="B911" i="20" s="1"/>
  <c r="B912" i="20" s="1"/>
  <c r="B913" i="20" s="1"/>
  <c r="B914" i="20" s="1"/>
  <c r="B915" i="20" s="1"/>
  <c r="B916" i="20" s="1"/>
  <c r="B917" i="20" s="1"/>
  <c r="B918" i="20" s="1"/>
  <c r="B919" i="20" s="1"/>
  <c r="B920" i="20" s="1"/>
  <c r="B921" i="20" s="1"/>
  <c r="B922" i="20" s="1"/>
  <c r="B923" i="20" s="1"/>
  <c r="B924" i="20" s="1"/>
  <c r="B925" i="20" s="1"/>
  <c r="B926" i="20" s="1"/>
  <c r="B927" i="20" s="1"/>
  <c r="B928" i="20" s="1"/>
  <c r="B929" i="20" s="1"/>
  <c r="B930" i="20" s="1"/>
  <c r="B931" i="20" s="1"/>
  <c r="B932" i="20" s="1"/>
  <c r="B933" i="20" s="1"/>
  <c r="B934" i="20" s="1"/>
  <c r="B935" i="20" s="1"/>
  <c r="B936" i="20" s="1"/>
  <c r="B937" i="20" s="1"/>
  <c r="B938" i="20" s="1"/>
  <c r="B939" i="20" s="1"/>
  <c r="B940" i="20" s="1"/>
  <c r="B941" i="20" s="1"/>
  <c r="B942" i="20" s="1"/>
  <c r="B943" i="20" s="1"/>
  <c r="B944" i="20" s="1"/>
  <c r="B945" i="20" s="1"/>
  <c r="B946" i="20" s="1"/>
  <c r="B947" i="20" s="1"/>
  <c r="B948" i="20" s="1"/>
  <c r="B949" i="20" s="1"/>
  <c r="B950" i="20" s="1"/>
  <c r="B951" i="20" s="1"/>
  <c r="B952" i="20" s="1"/>
  <c r="B953" i="20" s="1"/>
  <c r="B954" i="20" s="1"/>
  <c r="B955" i="20" s="1"/>
  <c r="B956" i="20" s="1"/>
  <c r="B957" i="20" s="1"/>
  <c r="B958" i="20" s="1"/>
  <c r="B959" i="20" s="1"/>
  <c r="B960" i="20" s="1"/>
  <c r="B961" i="20" s="1"/>
  <c r="B962" i="20" s="1"/>
  <c r="B963" i="20" s="1"/>
  <c r="B964" i="20" s="1"/>
  <c r="B965" i="20" s="1"/>
  <c r="B966" i="20" s="1"/>
  <c r="B967" i="20" s="1"/>
  <c r="B968" i="20" s="1"/>
  <c r="B969" i="20" s="1"/>
  <c r="B970" i="20" s="1"/>
  <c r="B971" i="20" s="1"/>
  <c r="B972" i="20" s="1"/>
  <c r="B973" i="20" s="1"/>
  <c r="B974" i="20" s="1"/>
  <c r="B975" i="20" s="1"/>
  <c r="B976" i="20" s="1"/>
  <c r="B977" i="20" s="1"/>
  <c r="B978" i="20" s="1"/>
  <c r="B979" i="20" s="1"/>
  <c r="B980" i="20" s="1"/>
  <c r="B981" i="20" s="1"/>
  <c r="B982" i="20" s="1"/>
  <c r="B983" i="20" s="1"/>
  <c r="B984" i="20" s="1"/>
  <c r="B985" i="20" s="1"/>
  <c r="B986" i="20" s="1"/>
  <c r="B987" i="20" s="1"/>
  <c r="B988" i="20" s="1"/>
  <c r="B989" i="20" s="1"/>
  <c r="B990" i="20" s="1"/>
  <c r="B991" i="20" s="1"/>
  <c r="B992" i="20" s="1"/>
  <c r="B993" i="20" s="1"/>
  <c r="B994" i="20" s="1"/>
  <c r="B995" i="20" s="1"/>
  <c r="B996" i="20" s="1"/>
  <c r="B997" i="20" s="1"/>
  <c r="B998" i="20" s="1"/>
  <c r="B999" i="20" s="1"/>
  <c r="B1000" i="20" s="1"/>
  <c r="B1001" i="20" s="1"/>
  <c r="B1002" i="20" s="1"/>
  <c r="B1003" i="20" s="1"/>
  <c r="B1004" i="20" s="1"/>
  <c r="B1005" i="20" s="1"/>
  <c r="B1006" i="20" s="1"/>
  <c r="B1007" i="20" s="1"/>
  <c r="B1008" i="20" s="1"/>
  <c r="B1009" i="20" s="1"/>
  <c r="B1010" i="20" s="1"/>
  <c r="B1011" i="20" l="1"/>
  <c r="B1012" i="20" s="1"/>
  <c r="B1013" i="20" s="1"/>
  <c r="B1014" i="20" s="1"/>
  <c r="B1015" i="20" s="1"/>
  <c r="B1016" i="20" s="1"/>
  <c r="B1017" i="20" s="1"/>
  <c r="B1018" i="20" s="1"/>
  <c r="B1019" i="20" s="1"/>
  <c r="B1020" i="20" s="1"/>
  <c r="B1021" i="20" s="1"/>
  <c r="B1022" i="20" s="1"/>
  <c r="B1023" i="20" s="1"/>
  <c r="B1024" i="20" s="1"/>
  <c r="B1025" i="20" s="1"/>
  <c r="B1026" i="20" s="1"/>
  <c r="B1027" i="20" s="1"/>
  <c r="B1028" i="20" s="1"/>
  <c r="B1029" i="20" s="1"/>
  <c r="B1030" i="20" s="1"/>
  <c r="B1031" i="20" s="1"/>
  <c r="B1032" i="20" s="1"/>
  <c r="B1033" i="20" s="1"/>
  <c r="B1034" i="20" s="1"/>
  <c r="B1035" i="20" s="1"/>
  <c r="B1036" i="20" s="1"/>
  <c r="B1037" i="20" s="1"/>
  <c r="B1038" i="20" s="1"/>
  <c r="B1039" i="20" s="1"/>
  <c r="B1040" i="20" s="1"/>
  <c r="B1041" i="20" s="1"/>
  <c r="B1042" i="20" s="1"/>
  <c r="B1043" i="20" s="1"/>
  <c r="B1044" i="20" s="1"/>
  <c r="B1045" i="20" s="1"/>
  <c r="B1046" i="20" s="1"/>
  <c r="B1047" i="20" s="1"/>
  <c r="B1048" i="20" s="1"/>
  <c r="B1049" i="20" s="1"/>
  <c r="B1050" i="20" l="1"/>
  <c r="B1051" i="20" s="1"/>
  <c r="B1052" i="20" s="1"/>
  <c r="B1053" i="20" s="1"/>
  <c r="B1054" i="20" s="1"/>
  <c r="B1055" i="20" s="1"/>
  <c r="B1056" i="20" s="1"/>
  <c r="B1057" i="20" s="1"/>
  <c r="B1058" i="20" s="1"/>
  <c r="B1059" i="20" s="1"/>
  <c r="B1060" i="20" s="1"/>
  <c r="B1061" i="20" s="1"/>
  <c r="B1062" i="20" s="1"/>
  <c r="B1063" i="20" s="1"/>
  <c r="B1064" i="20" s="1"/>
  <c r="B1065" i="20" s="1"/>
  <c r="B1066" i="20" s="1"/>
  <c r="B1067" i="20" s="1"/>
  <c r="B1068" i="20" s="1"/>
  <c r="B1069" i="20" s="1"/>
  <c r="B1070" i="20" s="1"/>
  <c r="B1071" i="20" s="1"/>
  <c r="B1072" i="20" s="1"/>
  <c r="B1073" i="20" s="1"/>
  <c r="B1074" i="20" s="1"/>
  <c r="B1075" i="20" s="1"/>
  <c r="B1076" i="20" s="1"/>
  <c r="B1077" i="20" s="1"/>
  <c r="B1078" i="20" s="1"/>
  <c r="B1079" i="20" s="1"/>
  <c r="B1080" i="20" s="1"/>
  <c r="B1081" i="20" s="1"/>
  <c r="B1082" i="20" s="1"/>
  <c r="B1083" i="20" s="1"/>
  <c r="B1084" i="20" s="1"/>
  <c r="B1085" i="20" s="1"/>
  <c r="B1086" i="20" s="1"/>
  <c r="B1087" i="20" s="1"/>
  <c r="B1088" i="20" s="1"/>
  <c r="B1089" i="20" s="1"/>
  <c r="B1090" i="20" s="1"/>
  <c r="B1091" i="20" l="1"/>
  <c r="B1092" i="20" s="1"/>
  <c r="B1093" i="20" s="1"/>
  <c r="B1094" i="20" s="1"/>
  <c r="B1095" i="20" s="1"/>
  <c r="B1096" i="20" s="1"/>
  <c r="B1097" i="20" s="1"/>
  <c r="B1098" i="20" s="1"/>
  <c r="B1099" i="20" s="1"/>
  <c r="B1100" i="20" s="1"/>
  <c r="B1101" i="20" s="1"/>
  <c r="B1102" i="20" s="1"/>
  <c r="B1103" i="20" s="1"/>
  <c r="B1104" i="20" s="1"/>
  <c r="B1105" i="20" s="1"/>
  <c r="B1106" i="20" s="1"/>
  <c r="B1107" i="20" s="1"/>
  <c r="B1108" i="20" s="1"/>
  <c r="B1109" i="20" s="1"/>
  <c r="B1110" i="20" s="1"/>
  <c r="B1111" i="20" s="1"/>
  <c r="B1112" i="20" s="1"/>
  <c r="B1113" i="20" s="1"/>
  <c r="B1114" i="20" s="1"/>
  <c r="B1115" i="20" s="1"/>
  <c r="B1116" i="20" s="1"/>
  <c r="B1117" i="20" s="1"/>
  <c r="B1118" i="20" s="1"/>
  <c r="B1119" i="20" s="1"/>
  <c r="B1120" i="20" s="1"/>
  <c r="B1121" i="20" s="1"/>
  <c r="B1122" i="20" s="1"/>
  <c r="B1123" i="20" s="1"/>
  <c r="B1124" i="20" s="1"/>
  <c r="B1125" i="20" s="1"/>
  <c r="B1126" i="20" s="1"/>
  <c r="B1127" i="20" s="1"/>
  <c r="B1128" i="20" s="1"/>
  <c r="B1129" i="20" s="1"/>
  <c r="B1130" i="20" s="1"/>
  <c r="B1131" i="20" s="1"/>
  <c r="B1132" i="20" s="1"/>
  <c r="B1133" i="20" s="1"/>
  <c r="B1134" i="20" s="1"/>
  <c r="B1135" i="20" s="1"/>
  <c r="B1136" i="20" s="1"/>
  <c r="B1137" i="20" l="1"/>
  <c r="B1138" i="20" s="1"/>
  <c r="B1139" i="20" s="1"/>
  <c r="B1140" i="20" s="1"/>
  <c r="B1141" i="20" s="1"/>
  <c r="B1142" i="20" s="1"/>
  <c r="B1143" i="20" s="1"/>
  <c r="B1144" i="20" s="1"/>
  <c r="B1145" i="20" s="1"/>
  <c r="B1146" i="20" s="1"/>
  <c r="B1147" i="20" s="1"/>
  <c r="B1148" i="20" s="1"/>
  <c r="B1149" i="20" s="1"/>
  <c r="B1150" i="20" l="1"/>
  <c r="B1151" i="20" s="1"/>
  <c r="B1152" i="20" s="1"/>
  <c r="B1153" i="20" s="1"/>
  <c r="B1154" i="20" s="1"/>
  <c r="B1155" i="20" s="1"/>
  <c r="B1156" i="20" s="1"/>
  <c r="B1157" i="20" s="1"/>
  <c r="B1158" i="20" s="1"/>
  <c r="B1159" i="20" s="1"/>
  <c r="B1160" i="20" s="1"/>
  <c r="B1161" i="20" l="1"/>
  <c r="B1162" i="20" s="1"/>
  <c r="B1163" i="20" l="1"/>
  <c r="B1164" i="20" s="1"/>
  <c r="B1165" i="20" s="1"/>
  <c r="B1166" i="20" s="1"/>
  <c r="B1167" i="20" s="1"/>
  <c r="B1168" i="20" s="1"/>
  <c r="B1169" i="20" s="1"/>
  <c r="B1170" i="20" s="1"/>
  <c r="B1171" i="20" s="1"/>
  <c r="B1172" i="20" s="1"/>
  <c r="B1173" i="20" s="1"/>
  <c r="B1174" i="20" s="1"/>
  <c r="B1175" i="20" s="1"/>
  <c r="B1176" i="20" s="1"/>
  <c r="B1177" i="20" s="1"/>
  <c r="B1178" i="20" s="1"/>
  <c r="B1179" i="20" s="1"/>
  <c r="B1180" i="20" s="1"/>
  <c r="B1181" i="20" s="1"/>
  <c r="B1182" i="20" s="1"/>
  <c r="B1183" i="20" s="1"/>
  <c r="B1184" i="20" s="1"/>
  <c r="B1185" i="20" s="1"/>
  <c r="B1186" i="20" s="1"/>
  <c r="B1187" i="20" s="1"/>
  <c r="B1188" i="20" s="1"/>
  <c r="B1189" i="20" s="1"/>
</calcChain>
</file>

<file path=xl/sharedStrings.xml><?xml version="1.0" encoding="utf-8"?>
<sst xmlns="http://schemas.openxmlformats.org/spreadsheetml/2006/main" count="6365" uniqueCount="1209">
  <si>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</si>
  <si>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</si>
  <si>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</si>
  <si>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</si>
  <si>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</si>
  <si>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</si>
  <si>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</si>
  <si>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</si>
  <si>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</si>
  <si>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Lyžiarsky kurz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</si>
  <si>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</si>
  <si>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</si>
  <si>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</si>
  <si>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</si>
  <si>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</si>
  <si>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mládež</t>
  </si>
  <si>
    <t>Register adries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</si>
  <si>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</si>
  <si>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</si>
  <si>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</si>
  <si>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</si>
  <si>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</si>
  <si>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</si>
  <si>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</si>
  <si>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</si>
  <si>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</si>
  <si>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</si>
  <si>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</si>
  <si>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</si>
  <si>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</si>
  <si>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</si>
  <si>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</si>
  <si>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</si>
  <si>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</si>
  <si>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</si>
  <si>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</si>
  <si>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</si>
  <si>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</si>
  <si>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</si>
  <si>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Výsledok hospodárenia</t>
  </si>
  <si>
    <t>Križovatka pod starým mostom a CSS - rekonštrukcia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</si>
  <si>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</si>
  <si>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</si>
  <si>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</si>
  <si>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</si>
  <si>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</si>
  <si>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</si>
  <si>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</si>
  <si>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</si>
  <si>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</si>
  <si>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</si>
  <si>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</si>
  <si>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</si>
  <si>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</si>
  <si>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</si>
  <si>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</si>
  <si>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</si>
  <si>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</si>
  <si>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</si>
  <si>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</si>
  <si>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</si>
  <si>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</si>
  <si>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</si>
  <si>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</si>
  <si>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</si>
  <si>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</si>
  <si>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</si>
  <si>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</si>
  <si>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</si>
  <si>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</si>
  <si>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</si>
  <si>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</si>
  <si>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</si>
  <si>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</si>
  <si>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</si>
  <si>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</si>
  <si>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</si>
  <si>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</si>
  <si>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</si>
  <si>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</si>
  <si>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</si>
  <si>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</si>
  <si>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</si>
  <si>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</si>
  <si>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</si>
  <si>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</si>
  <si>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</si>
  <si>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</si>
  <si>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</si>
  <si>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</si>
  <si>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</si>
  <si>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</si>
  <si>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</si>
  <si>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</si>
  <si>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</si>
  <si>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</si>
  <si>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</si>
  <si>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</si>
  <si>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</si>
  <si>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</si>
  <si>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</si>
  <si>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</si>
  <si>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</si>
  <si>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</si>
  <si>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</si>
  <si>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</si>
  <si>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</si>
  <si>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</si>
  <si>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</si>
  <si>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</si>
  <si>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</si>
  <si>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</si>
  <si>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</si>
  <si>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</si>
  <si>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</si>
  <si>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</si>
  <si>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</si>
  <si>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</si>
  <si>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</si>
  <si>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</si>
  <si>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</si>
  <si>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</si>
  <si>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</si>
  <si>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</si>
  <si>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</si>
  <si>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</si>
  <si>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</si>
  <si>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Bežný rozpočet</t>
  </si>
  <si>
    <t>Kapitálový rozpočet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</si>
  <si>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</si>
  <si>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</si>
  <si>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</si>
  <si>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</si>
  <si>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</si>
  <si>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</si>
  <si>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</si>
  <si>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</si>
  <si>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</si>
  <si>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</si>
  <si>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</si>
  <si>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</si>
  <si>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</si>
  <si>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</si>
  <si>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</si>
  <si>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</si>
  <si>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</si>
  <si>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</si>
  <si>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</si>
  <si>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</si>
  <si>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</si>
  <si>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</si>
  <si>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</si>
  <si>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</si>
  <si>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</si>
  <si>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</si>
  <si>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</si>
  <si>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</si>
  <si>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</si>
  <si>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</si>
  <si>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</si>
  <si>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</si>
  <si>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</si>
  <si>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</si>
  <si>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</si>
  <si>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</si>
  <si>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</si>
  <si>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</si>
  <si>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</si>
  <si>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</si>
  <si>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</si>
  <si>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</si>
  <si>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</si>
  <si>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</si>
  <si>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</si>
  <si>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</si>
  <si>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</si>
  <si>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</si>
  <si>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</si>
  <si>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</si>
  <si>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</si>
  <si>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Klientske centrum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</si>
  <si>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</si>
  <si>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</si>
  <si>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</si>
  <si>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</si>
  <si>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</si>
  <si>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</si>
  <si>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</si>
  <si>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</si>
  <si>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</si>
  <si>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</si>
  <si>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</si>
  <si>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</si>
  <si>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</si>
  <si>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</si>
  <si>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</si>
  <si>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</si>
  <si>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</si>
  <si>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</si>
  <si>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</si>
  <si>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</si>
  <si>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</si>
  <si>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</si>
  <si>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</si>
  <si>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</si>
  <si>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</si>
  <si>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</si>
  <si>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</si>
  <si>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</si>
  <si>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</si>
  <si>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</si>
  <si>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</si>
  <si>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</si>
  <si>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</si>
  <si>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</si>
  <si>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</si>
  <si>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</si>
  <si>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</si>
  <si>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</si>
  <si>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</si>
  <si>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</si>
  <si>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</si>
  <si>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</si>
  <si>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</si>
  <si>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</si>
  <si>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</si>
  <si>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</si>
  <si>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</si>
  <si>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Ostatné kapitálové výdavky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</si>
  <si>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</si>
  <si>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</si>
  <si>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</si>
  <si>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</si>
  <si>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</si>
  <si>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</si>
  <si>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</si>
  <si>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</si>
  <si>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</si>
  <si>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</si>
  <si>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</si>
  <si>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</si>
  <si>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</si>
  <si>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</si>
  <si>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</si>
  <si>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</si>
  <si>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</si>
  <si>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</si>
  <si>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</si>
  <si>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</si>
  <si>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</si>
  <si>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</si>
  <si>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</si>
  <si>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</si>
  <si>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</si>
  <si>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</si>
  <si>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</si>
  <si>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</si>
  <si>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</si>
  <si>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</si>
  <si>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</si>
  <si>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</si>
  <si>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</si>
  <si>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Za prebytočný hnuteľný majetok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</si>
  <si>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</si>
  <si>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</si>
  <si>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</si>
  <si>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</si>
  <si>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</si>
  <si>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</si>
  <si>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</si>
  <si>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</si>
  <si>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</si>
  <si>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</si>
  <si>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</si>
  <si>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</si>
  <si>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</si>
  <si>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</si>
  <si>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</si>
  <si>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</si>
  <si>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</si>
  <si>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</si>
  <si>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</si>
  <si>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</si>
  <si>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</si>
  <si>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Priechody pre chodcov Juh</t>
  </si>
  <si>
    <t>Dopravné ihrisko</t>
  </si>
  <si>
    <t>Chodník ul. Partizánska - ul.Saratovská</t>
  </si>
  <si>
    <t>Nízkoprahové denné centrum</t>
  </si>
  <si>
    <t>Krízová intervencia</t>
  </si>
  <si>
    <t>ESF projekt</t>
  </si>
  <si>
    <t>Dotácia na rekonštrukciu Zimného štadióna Pavla Demitru</t>
  </si>
  <si>
    <t>Rekonštrukcia Zimného štadióna Pavla Demitru</t>
  </si>
  <si>
    <t>Detské ihrisko Obchodná</t>
  </si>
  <si>
    <t>Trenčiansky futbalový klub 1939 Záblatie o.z. - dotácia na činnosť</t>
  </si>
  <si>
    <t>Marketing SZĽH s.r.o. - FAN Zóna</t>
  </si>
  <si>
    <t>Skatepark</t>
  </si>
  <si>
    <t>Lávka pre peších od Farského kostola na Brezinu</t>
  </si>
  <si>
    <t>AS Trenčín a.s. - dotácia na činnosť</t>
  </si>
  <si>
    <t>Revitalizácia pešej zóny - Hviezdoslavova ul.</t>
  </si>
  <si>
    <t>Transfery nefinančným subjektom</t>
  </si>
  <si>
    <t>Prípojka NN Mierové nám.č.2 a posilnenie siete</t>
  </si>
  <si>
    <t>KS Zlatovce - interiér, exteriér</t>
  </si>
  <si>
    <t>Zlepšenie environmentálnych aspektov v meste Trenčín - Sihoť</t>
  </si>
  <si>
    <t>Zelené pľúca mesta - Revitalizácia Parku Úspech, Trenčín NFP</t>
  </si>
  <si>
    <t>TreBuCHET - Trenčín, Bušovice, Chránime Európske Tradície</t>
  </si>
  <si>
    <t>Námestie Rozkvet</t>
  </si>
  <si>
    <t>Polopodzemné kontajnery</t>
  </si>
  <si>
    <t>Rekonštrukcia KIC</t>
  </si>
  <si>
    <t>ŠJ HEES súkromné stravovacie zariadenie</t>
  </si>
  <si>
    <t>Zvýš.mes.mobility budovaním siete cykl.infraštr.v TN:Vetva D-ul.Zlatovská a Prep.Ul.Zlatovská Hlavná</t>
  </si>
  <si>
    <t>Vybudovanie fitnes a wellnes zázemia na zimnom štadióne</t>
  </si>
  <si>
    <t>KS Istebník - sociálne zariadenia</t>
  </si>
  <si>
    <t>Sprostredkovateľsky orgán pre IROP</t>
  </si>
  <si>
    <t>Zahraničné granty</t>
  </si>
  <si>
    <t>Cyklistická cestička, spojovacia vetva Soblahovská, Legionárska (bypass okružnej križovatky)</t>
  </si>
  <si>
    <t>Križovatka Električná/Nemocničná</t>
  </si>
  <si>
    <t>Priechod pre chodcov ul.Istebnícka</t>
  </si>
  <si>
    <t>Dotácia na kúpu starého železničného mosta</t>
  </si>
  <si>
    <t>Statická doprava Bavlnárska ul.</t>
  </si>
  <si>
    <t>Statická doprava ul. Veľkomoravská</t>
  </si>
  <si>
    <t>Parkovisko na železničnej stanici Zlatovce</t>
  </si>
  <si>
    <t>Riešenie statickej dopravy Ul.Turkovej</t>
  </si>
  <si>
    <t>Zo štátneho účelového fondu</t>
  </si>
  <si>
    <t>Detské ihriská Šmidkého, Západná - renovácia povrchov</t>
  </si>
  <si>
    <t>Detské ihriská Slameňák - doplnenie prvkov</t>
  </si>
  <si>
    <t>Autobusové prístrešky</t>
  </si>
  <si>
    <t>Arch.prieskum v súvislosti s prístupovou cestou k JO</t>
  </si>
  <si>
    <t>Prostriedky z rozpočtu Európskej Únie</t>
  </si>
  <si>
    <t>NFP Rozvoj energetických služieb - zníženie energ.náročnosti objektov/budov v meste Trenčín</t>
  </si>
  <si>
    <t>NFP CKKP Hviezda</t>
  </si>
  <si>
    <t>NFP Rozvoj energetických služieb - verejné osvetlenie v meste Trenčín</t>
  </si>
  <si>
    <t>Školské potreby pre deti v hmotnej núdzi</t>
  </si>
  <si>
    <t>Enviromentálny fond</t>
  </si>
  <si>
    <t>Evidencia obyvateľstva</t>
  </si>
  <si>
    <t>Matrika</t>
  </si>
  <si>
    <t>Predškolský vek</t>
  </si>
  <si>
    <t>Školstvo - prenesené kompetencie</t>
  </si>
  <si>
    <t>Projekt "Pracuj, zmeň svoj život ! "</t>
  </si>
  <si>
    <t>Rekonštrukcia plynovej kotolne na krytej plavárni</t>
  </si>
  <si>
    <t>Základná škola, Bezručova 66, Trenčín</t>
  </si>
  <si>
    <t>FPP pre neverejných PoSS</t>
  </si>
  <si>
    <t>Základná škola, Dlhé Hony 1, Trenčín</t>
  </si>
  <si>
    <t>Rekonštrukcia strechy nad CO krytom ul. Saratovská</t>
  </si>
  <si>
    <t>Podpora opatrovateliek</t>
  </si>
  <si>
    <t>Pomoc pri osobnej starostlivosti o dieťa</t>
  </si>
  <si>
    <t>Zvýš.mes.mobility budovaním siete cykl.infraštr.v TN: Vetva D - SO 05 L.Stárka</t>
  </si>
  <si>
    <t>Rekonštrukcia verejného osvetlenia - realizácia 0.etapy</t>
  </si>
  <si>
    <t>Prekládka stožiarov VO mimo chodníka Ul.L.Stárka</t>
  </si>
  <si>
    <t>Verejné osvetlenie križovatka Legionárska - Javorinská</t>
  </si>
  <si>
    <t>Verejné osvetlenie na ul. Potočnej</t>
  </si>
  <si>
    <t>Doplnenie verejného osvetlenia ul.Zelnica</t>
  </si>
  <si>
    <t>DHZ Opatová - materiálno- technické vybavenie</t>
  </si>
  <si>
    <t>Zvýš.mes.mobility budovaním siete cykl.infraštr.v TN: Vetva E-Záblatská</t>
  </si>
  <si>
    <t>Ul.Cintorínska - chodníky a oporný múr</t>
  </si>
  <si>
    <t>Parkovisko pri dome smútku v centre Kubrej</t>
  </si>
  <si>
    <t>Rekonštrukcia MK v Kubrici - oproti vodojemu TVK</t>
  </si>
  <si>
    <t>Chodník Kasárenská - realizácia</t>
  </si>
  <si>
    <t>Chodník  Istebnícka - I.etapa</t>
  </si>
  <si>
    <t>Priechod pre chodcov, chodník Zlatovská, Brnianska</t>
  </si>
  <si>
    <t>Cesty, chodníky MČ Západ</t>
  </si>
  <si>
    <t>Zlepšenie enviromentálnych aspektov v meste TN- vybudovanie prvkov zelenej infraštr. Turkovej ul.</t>
  </si>
  <si>
    <t>Workout Clementisova</t>
  </si>
  <si>
    <t>Zlatovská kyselka - rekonštrukcia</t>
  </si>
  <si>
    <t>Kyselka Kubrá - doplnenie hracích prvkov</t>
  </si>
  <si>
    <t>Detské ihrisko Opatová</t>
  </si>
  <si>
    <t>Ihrisko pri Termione - osvetlenie</t>
  </si>
  <si>
    <t>Detské ihrisko 28.októbra - výmena asfaltu</t>
  </si>
  <si>
    <t>Športový areál Zátoka pokoja - obnova</t>
  </si>
  <si>
    <t>Prípojka el.energie k altánku v parku</t>
  </si>
  <si>
    <t>Kontajnerové divadlo</t>
  </si>
  <si>
    <t>KS Kubrá - výmena dverí a okien 1.etapa</t>
  </si>
  <si>
    <t>KS Kubrá - altánok</t>
  </si>
  <si>
    <t>NFP Zelené pľúca mesta - vysoko vzrastlé a alejové stromy a kry vo verejnej zeleni v Trenčíne</t>
  </si>
  <si>
    <t>Chodníky v MČ Stred - realizácia</t>
  </si>
  <si>
    <t>Chodníky v parku pod Juhom</t>
  </si>
  <si>
    <t>Spevnená plocha pod stojiskom smetných nádob vnútroblok za Perlou</t>
  </si>
  <si>
    <t>Ul.Matúšova - vybudovanie nového verejného osvetlenia, chráničiek NN a mobiliáru</t>
  </si>
  <si>
    <t>Rozšírenie kamerového systému</t>
  </si>
  <si>
    <t>JUŽANIA - RC Južanček o.z. - dotácia na sociálnu pomoc pre občanov mesta</t>
  </si>
  <si>
    <t>FŠ Záblatie - rekonštrukcia elektriny  a el.rozvodov</t>
  </si>
  <si>
    <t>PD Cintorín Kubra</t>
  </si>
  <si>
    <t>MK Západná od OC Južanka k MK Saratovská</t>
  </si>
  <si>
    <t>MK Šafárikova stredná</t>
  </si>
  <si>
    <t>Schody, chodníky a obrubníky Juh</t>
  </si>
  <si>
    <t>Obnova podchodu v parku pod Juhom (mestský zásah)</t>
  </si>
  <si>
    <t>Ul. Vansovej - prístrešok na kontajnery</t>
  </si>
  <si>
    <t>TJ Družstevník Opatová - dotácia na údržbu a MTV</t>
  </si>
  <si>
    <t>Florbalový klub AS Trenčín - dotácia na činnosť</t>
  </si>
  <si>
    <t>Hádzanársky klub - Asociácia športov Trenčín o.z. - dotácia na činnosť</t>
  </si>
  <si>
    <t>SHŠ Wagus n.o. - dotácia na vydanie knihy J.Spustovej</t>
  </si>
  <si>
    <t>Slávia Trenčín o.z. - dotácia na činnosť</t>
  </si>
  <si>
    <t>ŠK Real team o.z. - dotácia na činnosť</t>
  </si>
  <si>
    <t>Rímskokatolícka cirkev Farnosť Trenčín - Orechové - dotácia na rekonštrukciu kaplnky Záblatie Rybáre</t>
  </si>
  <si>
    <t>Fond na podporu športu - Modernizácia Zimného štadióna P.Demitru v Trenčíne</t>
  </si>
  <si>
    <t>SŠKD pri SZŠ pre žiakov s autizmom</t>
  </si>
  <si>
    <t>ŠJ pri SZŠ pre žiakov s autizmom</t>
  </si>
  <si>
    <t>Mariánske námestie - rekonštrukcia</t>
  </si>
  <si>
    <t>Príprava projektových dokumentácií</t>
  </si>
  <si>
    <t>Záchytné parkoviská Biskupice</t>
  </si>
  <si>
    <t>Záchytné parkovisko Pred Poľom</t>
  </si>
  <si>
    <t>Ul.Jilemnického a Jesenského - prepojenie pre peších</t>
  </si>
  <si>
    <t>Chodník Ul.Legionárska smer Noviny</t>
  </si>
  <si>
    <t>Chodník, priechod k Zábraniu</t>
  </si>
  <si>
    <t>Ul. K Výstavisku - chodník, parkovisko, presmerovanie cesty</t>
  </si>
  <si>
    <t>Križovatka Záblatie - napojenie na privádzač</t>
  </si>
  <si>
    <t>Otoč a vstup do ZŠ Kubranská</t>
  </si>
  <si>
    <t>Chodník Kasárenská</t>
  </si>
  <si>
    <t>Parkovisko Šmidkého 1</t>
  </si>
  <si>
    <t>Statická doprava Pod Sokolice</t>
  </si>
  <si>
    <t>Prieskumné sondy pred realizáciou mestských komunikácií</t>
  </si>
  <si>
    <t>Parkovacie miesta vnútroblok Opávia</t>
  </si>
  <si>
    <t>Nozdrkovský chodník II.etapa</t>
  </si>
  <si>
    <t>Investičné akcie Sever - cesty, chodníky</t>
  </si>
  <si>
    <t>Chodník ul.Hodžova</t>
  </si>
  <si>
    <t>Priechod pre chodcov Ul.Dolné Pažite (podsvietený,nadsvietený)</t>
  </si>
  <si>
    <t>Cyklotrasa Juh-centrum - III.etapa (cintorín - kruhový objazd pod Juhom)</t>
  </si>
  <si>
    <t>Chodník okolo garážového domu Novomeského 2</t>
  </si>
  <si>
    <t>Chodník situácia Šmidkého - smer Južanka</t>
  </si>
  <si>
    <t>Ul.M.Bela 37- 41 nový chodník a komunikácia</t>
  </si>
  <si>
    <t>Hlavný chodník nad Južankou k ZŠ Novomeského</t>
  </si>
  <si>
    <t>Predsadenie priechodov pre chodcov na Ul.Gen.Svobodu</t>
  </si>
  <si>
    <t>Chodník Východná - dokončenie od odbočky na Halalovku po poslednú odbočku z hl.cesty Východná</t>
  </si>
  <si>
    <t>Chodník Ul.Štefánikova pri Maxe</t>
  </si>
  <si>
    <t>Úprava vjazdu k bytovému domu Ul.Gagarinova</t>
  </si>
  <si>
    <t>Futbalový štadion Záblatie - šatne, pitná voda, kanalizácia</t>
  </si>
  <si>
    <t>Plavárne - Kúpalisko - semafory pre tobogany</t>
  </si>
  <si>
    <t>Pádivec</t>
  </si>
  <si>
    <t>Športové ihrisko Opatová</t>
  </si>
  <si>
    <t>Revitalizácia vnútrobloku Západná</t>
  </si>
  <si>
    <t>Revitalizácia vnútrobloku Bazovského, Šafárikova, Liptovská</t>
  </si>
  <si>
    <t>Urbanistické, dopravné, overovacie štúdie</t>
  </si>
  <si>
    <t>Podchod pri Hoteli Elizabeth</t>
  </si>
  <si>
    <t>Príjem - dotácia MPC POP II</t>
  </si>
  <si>
    <t>Príjmy spolu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</si>
  <si>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</si>
  <si>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</si>
  <si>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</si>
  <si>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</si>
  <si>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</si>
  <si>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</si>
  <si>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</si>
  <si>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</si>
  <si>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</si>
  <si>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</si>
  <si>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</si>
  <si>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v detských jasliach</t>
  </si>
  <si>
    <t>Za stravné zamestnanci</t>
  </si>
  <si>
    <t>Pomoc pri starostlivosti o dieťa</t>
  </si>
  <si>
    <t>Za predaj výrobkov, tovarov a služieb - ubytovanie</t>
  </si>
  <si>
    <t>Z prenajatých budov, priestorov a objektov - prenájom</t>
  </si>
  <si>
    <t xml:space="preserve">Nocľaháreň  </t>
  </si>
  <si>
    <t>Za predaj výrobkov, tovarov a služieb - odborné činnosti</t>
  </si>
  <si>
    <t>Za predaj výrobkov, tovarov a služieb - poplatok za vlastný spotrebič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</si>
  <si>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</si>
  <si>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</si>
  <si>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</si>
  <si>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</si>
  <si>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</si>
  <si>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</si>
  <si>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</si>
  <si>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</si>
  <si>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</si>
  <si>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</si>
  <si>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Z predaja kapitálových aktív</t>
  </si>
  <si>
    <t>Dary na účet Pre Trenčín v súvislosti s výskytom koronavírusu</t>
  </si>
  <si>
    <t>Dotácia z Dobrovoľnej požiarnej ochrany</t>
  </si>
  <si>
    <t>Refundácia  finančných prostriedkov na testovanie "COVID-19"</t>
  </si>
  <si>
    <t>Súťaže zo ŠR</t>
  </si>
  <si>
    <t>Grant ERASMUS +</t>
  </si>
  <si>
    <t>Sčítanie domov a bytov</t>
  </si>
  <si>
    <t>HORIZON 2020</t>
  </si>
  <si>
    <t>Dotácia na nájomne z MH SR (v súvislosti s pandémiou)</t>
  </si>
  <si>
    <t>Grant z MPSVaR SR na vitamínové doplnky</t>
  </si>
  <si>
    <t>Projekt Budovanie odborných kapacít na komunitnej úrovní na Nízkoprahové centrum</t>
  </si>
  <si>
    <t>Dary pre SSMT m.r.o.</t>
  </si>
  <si>
    <t xml:space="preserve">Granty   </t>
  </si>
  <si>
    <t>ZŠ Dlhé Hony - spotrebič do kuchyne</t>
  </si>
  <si>
    <t>Súťaže, dary</t>
  </si>
  <si>
    <t>Separovanie na školách - grant z TSK</t>
  </si>
  <si>
    <t>Z rozpočtu vyššieho územného celku</t>
  </si>
  <si>
    <t>Erazmus +</t>
  </si>
  <si>
    <t xml:space="preserve">Dotácie </t>
  </si>
  <si>
    <t>Územnoplánovacie podklady a dokumentácie, zmeny a doplnky ÚPN</t>
  </si>
  <si>
    <t>ÚPP dokumentácie, štúdie</t>
  </si>
  <si>
    <t>Starý železničný most</t>
  </si>
  <si>
    <t>Členské do OOCR</t>
  </si>
  <si>
    <t xml:space="preserve">Nákup objektov   </t>
  </si>
  <si>
    <t>Nákup pozemkov</t>
  </si>
  <si>
    <t>Softvér</t>
  </si>
  <si>
    <t>Maják na auto</t>
  </si>
  <si>
    <t>Osobné motorové vozidlo</t>
  </si>
  <si>
    <t>Kamerový systém Opatová pri Kultúrnom dome (360)</t>
  </si>
  <si>
    <t>Kolomaž o.z. - Sám na javisku</t>
  </si>
  <si>
    <t>Pohoda Festival s.r.o. - Festival Pohoda</t>
  </si>
  <si>
    <t>Stredisko Soblahov a Brezina</t>
  </si>
  <si>
    <t>Jednota dôchodcov - ZO č.1</t>
  </si>
  <si>
    <t>Jednota dôchodcov - ZO č.2</t>
  </si>
  <si>
    <t>Jednota dôchodcov - ZO č.32</t>
  </si>
  <si>
    <t>Jednota dôchodcov - ZO č.5</t>
  </si>
  <si>
    <t>Jednota dôchodcov - ZO č.6</t>
  </si>
  <si>
    <t>Jednota dôchodcov - ZO č.19</t>
  </si>
  <si>
    <t>Jednota dôchodcov - ZO č.27</t>
  </si>
  <si>
    <t>Jednota dôchodcov - ZO č.30</t>
  </si>
  <si>
    <t>Rekonštrukcia sociálnych zariadení a bezbariérových izieb</t>
  </si>
  <si>
    <t>Poradensko - bytové problémy</t>
  </si>
  <si>
    <t>Úprava štruktúry MHD na Sihoti PD</t>
  </si>
  <si>
    <t>Plán údržateľnej mobility funkčného územia krajského mesta Trenčín NFP</t>
  </si>
  <si>
    <t>Dotácie</t>
  </si>
  <si>
    <t>Revitalizácia dvora</t>
  </si>
  <si>
    <t>Výmena okien, vchodové dvere</t>
  </si>
  <si>
    <t>Kanalizácia</t>
  </si>
  <si>
    <t>Nové učebne</t>
  </si>
  <si>
    <t>Modernizácia priestorov - NFP</t>
  </si>
  <si>
    <t>Rekonštrukcia elektrorozvodov</t>
  </si>
  <si>
    <t>Herné prvky na ihrisko s povrchom</t>
  </si>
  <si>
    <t>Rekonštrukcia pergoly</t>
  </si>
  <si>
    <t>Okná, svetlíky</t>
  </si>
  <si>
    <t>Okná na budove školy</t>
  </si>
  <si>
    <t>Rekonštrukcia stropu v telocvični</t>
  </si>
  <si>
    <t>Vzduchotechnika</t>
  </si>
  <si>
    <t>Rekonštrukcia sociálnych zariadení</t>
  </si>
  <si>
    <t>Robot univerzálny</t>
  </si>
  <si>
    <t>Služby (KIS)</t>
  </si>
  <si>
    <t>Zabezpečenie činnosti KIC</t>
  </si>
  <si>
    <t>Príprava EHMK 2026</t>
  </si>
  <si>
    <t>Závorový systém v areáli MHSL</t>
  </si>
  <si>
    <t>Realizácia wifi siete v športovej hale</t>
  </si>
  <si>
    <t>Osvetlenie cintorína Juh</t>
  </si>
  <si>
    <t>Rekonštrukcia chodníka na cintoríne Juh</t>
  </si>
  <si>
    <t>Prekládka stožiarov verejného osvetlenia mimo chodníka Ul.L.Stárka</t>
  </si>
  <si>
    <t>Rozšírenie verejného osvetlenia na ul.Niva</t>
  </si>
  <si>
    <t>Úprava štruktúry MHD pri nadjazde Opatová</t>
  </si>
  <si>
    <t>Úprava podjazdnej výšky pod mostom M3419 (Opatová)</t>
  </si>
  <si>
    <t>Chodníky Piešťanská</t>
  </si>
  <si>
    <t>Nevyčerpaná dotácia</t>
  </si>
  <si>
    <t>MŠ J.Halašu PD</t>
  </si>
  <si>
    <t>Rekonštrukcia spevnených plôch</t>
  </si>
  <si>
    <t>Výmena dverí</t>
  </si>
  <si>
    <t>Rekonštrukcia okien</t>
  </si>
  <si>
    <t>Rekonštrukcia kuchyne</t>
  </si>
  <si>
    <t>COOLTÚRNE - Festival Priestor</t>
  </si>
  <si>
    <t>4workout - EXPO MUSIC CINEMA</t>
  </si>
  <si>
    <t>Rekonštukcia priestorov práčovne</t>
  </si>
  <si>
    <t>Rekonštrukcia práčovne a sušiarne</t>
  </si>
  <si>
    <t>Termoakupresúrny prístroj</t>
  </si>
  <si>
    <t>0132</t>
  </si>
  <si>
    <t>Bezbariérovy prístup</t>
  </si>
  <si>
    <t>Kultúrne centrum Kubra - Oslava 755.výročia prvej písomnej zmienky o Kubre</t>
  </si>
  <si>
    <t>Výmena umelého trávnika - športový areál</t>
  </si>
  <si>
    <t>Rekonštrukcia šatní</t>
  </si>
  <si>
    <t>Kapitálové</t>
  </si>
  <si>
    <t>Grant v rámci nástroja na prepájanie Európy WiFi4EU</t>
  </si>
  <si>
    <t>Paddock Services s.r.o. - Festival za Paddockom a Paddock Wintermarket</t>
  </si>
  <si>
    <t>Gratový program</t>
  </si>
  <si>
    <t>Rekonštrukcia strechy na budove MHSL m.r.o.</t>
  </si>
  <si>
    <t>Urnové miesta Juh</t>
  </si>
  <si>
    <t>Realizácia stavieb a ich technickéhoo zhodnotenia</t>
  </si>
  <si>
    <t>Obnova MŠ Kubranská 20</t>
  </si>
  <si>
    <t>Prípojka elektrickej energie</t>
  </si>
  <si>
    <t>Plynový varný kotol</t>
  </si>
  <si>
    <t>Sušička</t>
  </si>
  <si>
    <t>Príjmy</t>
  </si>
  <si>
    <t>Výdavky</t>
  </si>
  <si>
    <t>453: Nevyčerpané dotácie z predchádzajúcich rokov</t>
  </si>
  <si>
    <t>453: Prevod hospodárskeho výsledku za predchádzajúci rok z podnikateľskej činnosti</t>
  </si>
  <si>
    <t>453: ZŠ Kubranská - prostriedky z predchádzajúcich rokov</t>
  </si>
  <si>
    <t>453: SSMT m.r.o. - prostriedky z predchádzajúcich rokov</t>
  </si>
  <si>
    <t>453: Zostatok finančných prostriedkov zo školských jedální</t>
  </si>
  <si>
    <t>455: Tebys - postúpené pohľadávky</t>
  </si>
  <si>
    <t>513: Prijatie dlhodobého úveru</t>
  </si>
  <si>
    <t>821: Splácanie istiny z dlhodobých bankových úverov</t>
  </si>
  <si>
    <t>821: SLSP a.s. - istina z dohody o reštrukturalizácii dlhu</t>
  </si>
  <si>
    <t>821: ŠFRB - splácanie istiny</t>
  </si>
  <si>
    <t>514: Návratná finančná výpomoc z MF SR</t>
  </si>
  <si>
    <t>453: ZŠ Na dolinách  - prostriedky z predchádzajúcich rokov</t>
  </si>
  <si>
    <t>Tovary a služby (KP)</t>
  </si>
  <si>
    <t>Tovary a služby (INFO)</t>
  </si>
  <si>
    <t>Rekonštrukcia</t>
  </si>
  <si>
    <t>Výmena okien</t>
  </si>
  <si>
    <t>Profesionálna samochodná kosačka</t>
  </si>
  <si>
    <t>Sčítanie obyvateľov, bytov a domov</t>
  </si>
  <si>
    <t>Cyklotrasy</t>
  </si>
  <si>
    <t>Nové parkovacie miesta</t>
  </si>
  <si>
    <t>Zvýš.mes. mobility budovaním siete cykl.infraštruktúry v TN: Vetva D - SO Piešťanská NFP</t>
  </si>
  <si>
    <t>Zvýš.mes.mobility budovaním siete cykl.infraštr.v TN: Rieš.cyklodopr.,ul.Na Kamenci, od Ul.na Vinohrady</t>
  </si>
  <si>
    <t>Zvýš.mes. mobility budovaním siete cyklis.infraštr. v TN:Bratislavská,Žabinská,Palackého</t>
  </si>
  <si>
    <t>Vybavenie kuchyne</t>
  </si>
  <si>
    <t>Rezerva na financovanie neštatnych školských zariadení</t>
  </si>
  <si>
    <t>Dotácie na strategické športy</t>
  </si>
  <si>
    <t>TJ Družstevník Opatová - dotácia na činnosť</t>
  </si>
  <si>
    <t>1.FBC Trenčín - dotácia na činnosť</t>
  </si>
  <si>
    <t>Kraso Trenčín o.z. - dotácia na nájom</t>
  </si>
  <si>
    <t>Športový klub nepočujúcich - 13.ročník Športového dňa nepočujúcich v TN</t>
  </si>
  <si>
    <t>Tanečný klub Dukla Trenčín - Laugaricio CUP</t>
  </si>
  <si>
    <t>FRYSLA Slovakia s.r.o. - dotácia na nájom</t>
  </si>
  <si>
    <t>HK Dukla n.o. - dotácia na nájom</t>
  </si>
  <si>
    <t>Horyzonty o.z. - Horyzonty</t>
  </si>
  <si>
    <t>LampART - Filmsquare</t>
  </si>
  <si>
    <t>CKKP Hviezda - nákup úžitkového vozidla</t>
  </si>
  <si>
    <t>CKKP Hviezda - rekonštrukcia</t>
  </si>
  <si>
    <t>Podpora sociálnych služieb poskytovaných v zariadení na komunitnej báze v meste Trenčín</t>
  </si>
  <si>
    <t>Podpora sociálnych služieb poskytovaných v zariadení na komunitnej báze v meste Trenčín - nákup motorového vozidla</t>
  </si>
  <si>
    <t>Mangel</t>
  </si>
  <si>
    <t>OZ Trenčiansky ÚTULOK - dotácia na prevádzku a činnosť</t>
  </si>
  <si>
    <t>Rodina a deti</t>
  </si>
  <si>
    <t>Denné centrum Sihoť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</si>
  <si>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</si>
  <si>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</si>
  <si>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</si>
  <si>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</si>
  <si>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</si>
  <si>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</si>
  <si>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</si>
  <si>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</si>
  <si>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</si>
  <si>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CVČ pri Piaristickom gymnáziu J.Braneckého "M-centrum"</t>
  </si>
  <si>
    <t>SŠKD FUTURUM pri SZŠ Futurum</t>
  </si>
  <si>
    <t>SZUŠ Gagarinova 7</t>
  </si>
  <si>
    <t>SZUŠ ul. Novomeského 11</t>
  </si>
  <si>
    <t>SZUŠ Stromová 1</t>
  </si>
  <si>
    <t>S MŠ M.Turkovej 22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</si>
  <si>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</si>
  <si>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</si>
  <si>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</si>
  <si>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</si>
  <si>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</si>
  <si>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</si>
  <si>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</si>
  <si>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Slovenský zväz protifašistických bojovníkov ZO 1 Trenčín - dotácia na činnosť</t>
  </si>
  <si>
    <t>Združenie kresťanských seniorov Slovenska- dotácia na činnosť</t>
  </si>
  <si>
    <t>Hospic milosrdných sestier - dotácia na činnosť</t>
  </si>
  <si>
    <t>Centrum pre rodinu o.z. - dotácia na činnosť</t>
  </si>
  <si>
    <t>KS Dlhé Hony - búranie</t>
  </si>
  <si>
    <t>Projekty školstvo</t>
  </si>
  <si>
    <t>Zlepšenie vybavenia školských jedální pri ZŠ a SŠ</t>
  </si>
  <si>
    <t>Správa a údržba pozemných komunikácií</t>
  </si>
  <si>
    <t>Statická doprava</t>
  </si>
  <si>
    <t>Dukla Trenčín veľká rodina spolok o.z. - 10.výročia úmrtia P.Demitru</t>
  </si>
  <si>
    <t xml:space="preserve">OZ Amadeus - Opatovská hody </t>
  </si>
  <si>
    <t>Zlepšenie environmentálnych aspektov v meste Trenčín Východná</t>
  </si>
  <si>
    <t>Rekonštrukcia MK Turkovej</t>
  </si>
  <si>
    <t>Rekonštrukcia MK Clementisova</t>
  </si>
  <si>
    <t>Plnenie rozpočtu k 31.12.2021</t>
  </si>
  <si>
    <t>Skutočnosť bežného rozpočtu k 31.12.2021</t>
  </si>
  <si>
    <t>Skutočnosť k 31.12.2021</t>
  </si>
  <si>
    <t>Letné kúpalisko</t>
  </si>
  <si>
    <t>Za odborné činnosti</t>
  </si>
  <si>
    <t>Dar od Nadácie ZSE</t>
  </si>
  <si>
    <t>Dotácia na ochranné osobné pomôcky a dezinfekciu</t>
  </si>
  <si>
    <t>Dotácia z MPSVaR SR na výživové doplnky pre klientov a zamestnancov sociálnych služieb</t>
  </si>
  <si>
    <t>Cyklotrasa Centrum Sídlisko Juh 2.etapa</t>
  </si>
  <si>
    <t>Podpora finálnej prípravy kandidatúry EHMK 2026 Mesta Trenčín</t>
  </si>
  <si>
    <t>Projekt Zelené oči</t>
  </si>
  <si>
    <t>ÚPSVaR SR - pre zamestnancov sociálnych služieb</t>
  </si>
  <si>
    <t>ÚPSVaR SR - na infekčný príplatok</t>
  </si>
  <si>
    <t>Dotácia na odmeny pre zamestnancov za 2.vlnu pandémie</t>
  </si>
  <si>
    <t>Národný projekt: Podpora činnosti zameraných na riešenie nepriaznivých situácií súvisiacich s ochorením COVID-19</t>
  </si>
  <si>
    <t>Rozvojový projekt pre MŠ "Múdre hranie"</t>
  </si>
  <si>
    <t>Transfery v rámci verejnej správy</t>
  </si>
  <si>
    <t>Projekt POP 2</t>
  </si>
  <si>
    <t>Dotácia  z Okresného úradu na olympiádu v nemeckom jazyku</t>
  </si>
  <si>
    <t>Dary, granty</t>
  </si>
  <si>
    <t>Refundácia z ÚPSVaR</t>
  </si>
  <si>
    <t>Projekt "Modernejšia škola" pre ZŠ Veľkomoravská</t>
  </si>
  <si>
    <t>Inkluzívne ihrisko Trenčín</t>
  </si>
  <si>
    <t>Ozvučovacia technika</t>
  </si>
  <si>
    <t>NFP - Rozvoj energetických služieb - zníženie energetickej náročnosti objektov/budov v meste Trenčín</t>
  </si>
  <si>
    <t>NFP - Rozvoj energetických služieb - verejné osvetlenie v meste Trenčín</t>
  </si>
  <si>
    <t>Verejné osvetlenie na ul. Potočná</t>
  </si>
  <si>
    <t>Vianočné osvetlenie</t>
  </si>
  <si>
    <t>DHZ Opatová - motorové vozidlo+maják</t>
  </si>
  <si>
    <t>Nozdrkovský chodník II.etapa verejné osvetlenie</t>
  </si>
  <si>
    <t>Príprava rozpočtov</t>
  </si>
  <si>
    <t>Grant Moderná škola</t>
  </si>
  <si>
    <t>Elite Fight Promotion o.z. - Športová príprava na MS v kickboxe</t>
  </si>
  <si>
    <t>HK Dukla Trenčín n.o. - dotácia na činnosť</t>
  </si>
  <si>
    <t>Zlepšenie enviromentálnych aspektov v meste TN- vybudovanie prvkov zelenej infraštr. Pri regenerácii vnútrobloku Sihoť, vymedzený ulicami Šoltésovej, Považská a Gagarinova (Magnus)</t>
  </si>
  <si>
    <t>Vratka do štátneho rozpočtu</t>
  </si>
  <si>
    <t>KS Zlatovce - prístupovác cesta a chodník</t>
  </si>
  <si>
    <t>Zvýšenie mestskej mobility budovaním siete cyklistickej infraštruktúry v Trenčíne: Cyklotrasa Brnianska ul. 1.etapa</t>
  </si>
  <si>
    <t>Rekonštrukcia Kultúrno - informačného centra</t>
  </si>
  <si>
    <t>Rekonštrukcia budovy škôlky - MŠ J.Halašu v Trenčíne</t>
  </si>
  <si>
    <t>SMART plán mesta Trenčín</t>
  </si>
  <si>
    <t>HORIZON</t>
  </si>
  <si>
    <t>Projektové dokumentácie pre projekty EÚ</t>
  </si>
  <si>
    <t>Búranie budovy bývalá pošta Záblatie</t>
  </si>
  <si>
    <t>Nový cintorín</t>
  </si>
  <si>
    <t>Iluminácia veža + morový stĺp +relief J.Jiskru z Brandýsa na hradnej skale</t>
  </si>
  <si>
    <t>DHZ Opatová - dotácia na rekonštrukciu priestorov</t>
  </si>
  <si>
    <t>Križovatka pri hoteli Elizabeth pre cyklistov</t>
  </si>
  <si>
    <t>Nová preložka Chynoranská trať</t>
  </si>
  <si>
    <t>Parkoviská - projektové dokumentácie</t>
  </si>
  <si>
    <t>Priechod pre chodcov - konečná - Armádna-Sibírska</t>
  </si>
  <si>
    <t>Vyvýšený priechod pri zimnom štadióne Ul.Považská (od Magnusu)</t>
  </si>
  <si>
    <t>Vyvýšený priechod pri ZŠ Hodžova</t>
  </si>
  <si>
    <t>Zvýš.mes.mobility budovaním siete cykl.infraštr.v TN: SO Vážska magistrála - Istebnícka</t>
  </si>
  <si>
    <t>Zvýš.mes.mobility budovaním siete cykl.infraštr.v TN: Moderniczácia mestských cyklotrás za účelom zvýšenia bezpečnosti</t>
  </si>
  <si>
    <t>Zvýš.mes.mobility budovaním siete cykl.infraštr.v TN: Cyklotrasa Brnianska ul. 1.etapa</t>
  </si>
  <si>
    <t>Chodník pri SLSP od schodov medzi stromami</t>
  </si>
  <si>
    <t>Chodník a MK Lavičkova</t>
  </si>
  <si>
    <t>Chodník Východná 3.etapa pod kostolom</t>
  </si>
  <si>
    <t>MK Kubranská - stará</t>
  </si>
  <si>
    <t>MK M.Bela - 2 jazdné pruhy</t>
  </si>
  <si>
    <t>MK Pádivého</t>
  </si>
  <si>
    <t>MK prepojenie Východná - M.Bela</t>
  </si>
  <si>
    <t>MK Volavé</t>
  </si>
  <si>
    <t>MK Záhrady (jednosmerka od Kubranskej)</t>
  </si>
  <si>
    <t>Nozdrkovský chodník III.etapa</t>
  </si>
  <si>
    <t>Otoč a vstup do základnej školy</t>
  </si>
  <si>
    <t>Parkovacie miesta Halalovka</t>
  </si>
  <si>
    <t>Parkovisko Generála Viesta</t>
  </si>
  <si>
    <t>Parkovisko Žilinská</t>
  </si>
  <si>
    <t>Priechody pre chodcov Inovecká - Dlhé Hony</t>
  </si>
  <si>
    <t>Priechod pre chodcov - konečná Armádna - Sibírska</t>
  </si>
  <si>
    <t>Rekonštrukcia chodníkov a schodov na sídlisku Juh</t>
  </si>
  <si>
    <t>Statická doprava Horný Juh</t>
  </si>
  <si>
    <t>Statická doprava Kvetná</t>
  </si>
  <si>
    <t>Vyvýšený priechod pri zimnom štadióne ul.Považská (od Magnusu)</t>
  </si>
  <si>
    <t>Zástavky Inovecká</t>
  </si>
  <si>
    <t>TeCeM-ko - Trenčianske centrum mládeže o.z. - dotácia na osvetu a prevenciu - hazardné hry</t>
  </si>
  <si>
    <t>Vonkajšie fitness stroje</t>
  </si>
  <si>
    <t>Finančná odmena za víťazstvo v súťaži Enviromesto 2021</t>
  </si>
  <si>
    <t>Príspevok od Kreatívneho inštitútu Trenčín n.o. - na Inštitút participácie</t>
  </si>
  <si>
    <t>Príspevok za ubytovanie odídencov z Ukrajiny</t>
  </si>
  <si>
    <t>Refundácia výdavkov súvisiacich so záchrannými prácami z dôvodu hromadného prílivu cudzincov na územie SR</t>
  </si>
  <si>
    <t>Grant z Nadačného fondu Slovenských elektrární - Nadácia Pontis na projekt Cyklistom prístupné centrum Mesta</t>
  </si>
  <si>
    <t>Nadácia EPH - finančný príspevok na Revitalizáciu  verejných priestranstiev</t>
  </si>
  <si>
    <t>Rekonštrukcia strechy</t>
  </si>
  <si>
    <t>Rekonštrukcia budovy škôlky</t>
  </si>
  <si>
    <t>Zakúpenie kotla</t>
  </si>
  <si>
    <t>Sociálne zariadenia, pavilón A+D</t>
  </si>
  <si>
    <t>Povrch multifunkčného ihriska</t>
  </si>
  <si>
    <t>Rekonštrukcia schodov v areáli školy</t>
  </si>
  <si>
    <t>RekonštrukcIa povrchov chodníkov a schody v MŠ na Juhu</t>
  </si>
  <si>
    <t>Výmena polubovej podlahy a mobilných tribún v športovej hale</t>
  </si>
  <si>
    <t>TJ Družstevník Opatová - dotácia na rekonštrukciu strechy a okien</t>
  </si>
  <si>
    <t>Revitalizácia priestoru pri KS v Záblatí</t>
  </si>
  <si>
    <t xml:space="preserve">Športový areál - kúpalisko </t>
  </si>
  <si>
    <t>Detské ihrisko Kvetná</t>
  </si>
  <si>
    <t>Rekonštrukcia oplotenia a osieťovanie ihriska SLSP</t>
  </si>
  <si>
    <t>Zátoka pokoja</t>
  </si>
  <si>
    <t>KS Zlatovce vybavenie</t>
  </si>
  <si>
    <t>Výmena okien v Kultúrnom centre Juh</t>
  </si>
  <si>
    <t>Európske hlavné mesto kultúry 2026</t>
  </si>
  <si>
    <t>Alúvium Orechovského potoka - revitalizácia</t>
  </si>
  <si>
    <t>Revitalizácia Nám.Sv.Anny</t>
  </si>
  <si>
    <t>Revitalizácia ul. 1.mája</t>
  </si>
  <si>
    <t>Štiepkovač</t>
  </si>
  <si>
    <t>Koncepcia nakladania s odpadmi v meste Trenčín</t>
  </si>
  <si>
    <t>Nové stojisko polopodzemných kontajnerov Západná 16</t>
  </si>
  <si>
    <t>Normotvorná činnosť mesta</t>
  </si>
  <si>
    <t>Komunikácia s verej.inštitúciami v mene mesta</t>
  </si>
  <si>
    <t>Kontrola činnosti samosprávy</t>
  </si>
  <si>
    <t>MsÚ Hviezdoslavova - podkrovie</t>
  </si>
  <si>
    <t>Nová trafostanica Ľ.Stárka</t>
  </si>
  <si>
    <t>Rekonštrukcia vitrín pri výťahu na Mestskú vežu</t>
  </si>
  <si>
    <t>Rozšírenie a inovácia štruktúrovanej kabeláže na hlavnej budove MsÚ</t>
  </si>
  <si>
    <t xml:space="preserve">Nevyčerpaná dotácia </t>
  </si>
  <si>
    <t>Urnové steny - cintorín Juh</t>
  </si>
  <si>
    <t>Chodník na cintoríne</t>
  </si>
  <si>
    <t>Iluminácia veža + morový stĺp + relief J.Jiskru z Brandýsa na hradnej skale</t>
  </si>
  <si>
    <t>Séroepidemiologická štúdia</t>
  </si>
  <si>
    <t>Dobrovoľná požiarna ochrana SR - Oslavy 100.výročia</t>
  </si>
  <si>
    <t>Dobrovoľná požiarna ochrana SR - rekonštrukcia hrobu Vojtecha Nemáka</t>
  </si>
  <si>
    <t>Odkúpenie parkovacích automatov</t>
  </si>
  <si>
    <t>Eskalátor pre bicykle do podchodu pod Hasičskou ulicou</t>
  </si>
  <si>
    <t>Lávka pre peších cez lavičkový potok</t>
  </si>
  <si>
    <t>Priechod pre chodcov Ul.Dolné Pažitie (podsvietený, nadsvietený)</t>
  </si>
  <si>
    <t>Riešenie dopravy križovatka pod Juhom</t>
  </si>
  <si>
    <t>Riešenie parkovania v lokalite 28.októbra pri materskej škole a jasliach</t>
  </si>
  <si>
    <t>Cesty a chodník Šafárikova ul.</t>
  </si>
  <si>
    <t>Dodatočné stavebné úpravy prepojenia železničného mostu a cyklotrasy</t>
  </si>
  <si>
    <t>Chodník ul.Cintorínska</t>
  </si>
  <si>
    <t>Chodník Nozdrkovce - osvetlenie</t>
  </si>
  <si>
    <t>Chodníky a komunikácie MČ Stred</t>
  </si>
  <si>
    <t>Chodníky a komunikácie Sihoť 1 - Študentská ulica</t>
  </si>
  <si>
    <t>Opatovská ul. - rekonštrukcia chodníka 1.časť</t>
  </si>
  <si>
    <t>Podchod na Noviny</t>
  </si>
  <si>
    <t>Ul.Cintorínska - 1/2 asfalt</t>
  </si>
  <si>
    <t>Ul.Sasinkova - cesta + chodník</t>
  </si>
  <si>
    <t>Výmena časti asfaltového povrchu na hrádzi od cestného mosta</t>
  </si>
  <si>
    <t>Nové triedy</t>
  </si>
  <si>
    <t>Výmena stropných svietidiel</t>
  </si>
  <si>
    <t>Zakúpenie elektrickej trojpodlažnej pece</t>
  </si>
  <si>
    <t>Kanet n.o. - Národné stretnutie mládeže 2022</t>
  </si>
  <si>
    <t>Basketbalový klub AS Trenčín - dotácia na činnosť</t>
  </si>
  <si>
    <t>Ilyo - teakwondo Trenčín o.z. - dotácia na činnosť</t>
  </si>
  <si>
    <t>Kúpa multimediálnej informačnej kocky na Zimný štadión P.Demitru</t>
  </si>
  <si>
    <t>Elektrická prípojka - rozvádzač na basketbalovom ihrisku 3x3</t>
  </si>
  <si>
    <t>Inkluzívne ihrisko "Rodinkovo v parku Gen.M.R.Štefánika"</t>
  </si>
  <si>
    <t>Rekonštrukcia ihriska Žihadielko - tieniace plochy</t>
  </si>
  <si>
    <t>Revitalizácia vnútrobloku Pádivec NFP</t>
  </si>
  <si>
    <t>Zelené pľúca mesta - Revitalizácia verejného priestoru Považská, TN - NFP</t>
  </si>
  <si>
    <t>Závlahový systém v oddychovej zóne - námestie Rozkvet</t>
  </si>
  <si>
    <t>CPR Trenčín - Deň rodiny v Trenčíne 2022</t>
  </si>
  <si>
    <t>Dogma divadlo - dotácia na činnosť Dogma divadla na rok 2022</t>
  </si>
  <si>
    <t>Hospic Milosrdných sestier - XI.Benefičný koncert na podporu Hospicu milosrdných sestier</t>
  </si>
  <si>
    <t>Ing.Vladimír Kulíšek - KVART - vydanie knihy Vlado Kulíšek "Od Vietnamu po Čínu alebo s pantomímou okolo sveta</t>
  </si>
  <si>
    <t>Kolomaž (Združenie pre súčasné umenie) - Otvorený kultúrny priestor 2022 "Odonata"</t>
  </si>
  <si>
    <t>Občianske združenie Trenčianska jazzová spoločnosť Fénix - koncert Ester Wiesnerovej</t>
  </si>
  <si>
    <t>Punkáči deťom - Festival Punkáči deťom 2022</t>
  </si>
  <si>
    <t>Cesta, chodník a revitalizácia okolia KS Zlatovce</t>
  </si>
  <si>
    <t>Hviezdodvor</t>
  </si>
  <si>
    <t>Kompostéry do rodinných domov</t>
  </si>
  <si>
    <t>Záchranné práce z dôvodu hromadného prílevu cudzincov na územie SR</t>
  </si>
  <si>
    <t>Priemyselná sušička</t>
  </si>
  <si>
    <t>Rekonštrukcia oplotenia a chodníka</t>
  </si>
  <si>
    <t>Úžitkové vozidlo</t>
  </si>
  <si>
    <t>PROGRAM   8: ŠPORT A ODDYCH</t>
  </si>
  <si>
    <t>Program   8: ŠPORT A ODDYCH</t>
  </si>
  <si>
    <t>Program   7: VZDELÁVANIE</t>
  </si>
  <si>
    <t>Program   5: BEZPEČNOSŤ</t>
  </si>
  <si>
    <t>Evakuačný výťah</t>
  </si>
  <si>
    <t>Príjmy z náhrad poistného</t>
  </si>
  <si>
    <t>Hmotná núdza</t>
  </si>
  <si>
    <t>Deti v hmotnej núdzi</t>
  </si>
  <si>
    <t>Klimatizácia v krytej plavárni</t>
  </si>
  <si>
    <t>NFP Zvýšenie úrovne informačnej a kybernetickej bezpečnosti mesta Trenčín</t>
  </si>
  <si>
    <t>Hnuteľné veci - Zvýšenie úrovne informačnej a kybernetickej bezpečnosti mesta Trenčín</t>
  </si>
  <si>
    <t>CKKP Hviezda - interiérové vybavenie</t>
  </si>
  <si>
    <t>Revitalizácia priestoru pred budovou základnej školy</t>
  </si>
  <si>
    <t>Rekonštrukcia chodníkov Halalovka, Východná</t>
  </si>
  <si>
    <t>Traily na Brezine</t>
  </si>
  <si>
    <t>CKKP Hviezda - grafická identita</t>
  </si>
  <si>
    <t>CKKP Hviezda - Web sídla</t>
  </si>
  <si>
    <t>CKKP Hviezda - audiovizálna  technika</t>
  </si>
  <si>
    <t>Kúpa autobusu</t>
  </si>
  <si>
    <t>Sociálny šatník</t>
  </si>
  <si>
    <t>Monitorovanie a signalizácia potreby pomoci</t>
  </si>
  <si>
    <t>Z činnosti CKKP Hviezda</t>
  </si>
  <si>
    <t>Refundácia  CO kryty</t>
  </si>
  <si>
    <t>453: Prevod nevyčerpaných prostriedkov z minulých rokov - CVČ okná</t>
  </si>
  <si>
    <t>0721</t>
  </si>
  <si>
    <t>Návrh rozpočtu na rok 2024</t>
  </si>
  <si>
    <t>Plnenie rozpočtu k 31.12.2022</t>
  </si>
  <si>
    <t>Očakávaná skutočnosť 2023</t>
  </si>
  <si>
    <t>Schválený rozpočet na rok 2023</t>
  </si>
  <si>
    <t>Schválený bežný rozpočet na rok 2023</t>
  </si>
  <si>
    <t>Očakávaná skutočnosť bežného rozpočtu 2023</t>
  </si>
  <si>
    <t>Skutočnosť bežného rozpočtu k 31.12.2022</t>
  </si>
  <si>
    <t>Schválený kapitálový rozpočet na rok 2023</t>
  </si>
  <si>
    <t>Očakávaná skutočnosť kapitálového rozpočtu 2023</t>
  </si>
  <si>
    <t>R O Z P O Č E T    2024</t>
  </si>
  <si>
    <t>Skutočnosť k 31.12.2022</t>
  </si>
  <si>
    <t>Doplatok straty</t>
  </si>
  <si>
    <t>Integrovaný dopravný systém</t>
  </si>
  <si>
    <t>Dary na riešenie humanitárnej pomoci v súvislosti s konfliktom na Ukrajine</t>
  </si>
  <si>
    <t>SMART plán mesta</t>
  </si>
  <si>
    <t>Manažment údajov mesta Trenčín</t>
  </si>
  <si>
    <t>Zvýšenie mestskej mobility budovaním siete cyklist.infraštr.v TN:Chodník a cyklotrasa Kasárenská</t>
  </si>
  <si>
    <t>Zlepšenie envir.aspektov v meste TN-vybudov.prvkov zel.infraštr.pri regener.vnútrobloku Východná</t>
  </si>
  <si>
    <t>Plán udržat.mobility funkčného územia TN</t>
  </si>
  <si>
    <t>Zelené pľúca mesta - Rev.priestoru átria</t>
  </si>
  <si>
    <t>Zelené pľúca mesta - Revitalizácia verejného priestoru Rozkvet Trenčín</t>
  </si>
  <si>
    <t>Revitalizácia vnútrobloku Pádivec</t>
  </si>
  <si>
    <t>Zvýšenie mestskej mobility budovaním siete cyklist.infraštr.v TN: Vetva D - SO Piešťanská</t>
  </si>
  <si>
    <t>Modernizácia priestorov ZŠ Kubranská</t>
  </si>
  <si>
    <t>Modernizácia priestorov ZŠ Bezručova</t>
  </si>
  <si>
    <t>Modernizácia priestorov ZŠ Na dolinách</t>
  </si>
  <si>
    <t>Zlepšenie environmentálnych aspektov v meste Trenčín -  vybudovanie prvkov zelenej infraštruktúry pri regenerácii vnútrobloku Sihoť, vymedzený ulicami Šoltésovej, Považská a Gagarinova (Magnus)</t>
  </si>
  <si>
    <t>Zelené pľúca mesta - Revitalizácia Parku ÚSPECH, Trenčín</t>
  </si>
  <si>
    <t>Zvýšenie mestskej mobility budovaním siete cyklist.infraštr.v TN: Riešenie cyklodopravy, ul. Na Kamenci, od Ul.na Vinohrady po Kasárenskú</t>
  </si>
  <si>
    <t>Zvýšenie mestskej mobility budovaním siete cyklist.infraštr.v TN: Vetva D - ul.Zlatovská a Prepojenie ul.Zlatovská - Hlavná NFP</t>
  </si>
  <si>
    <t>Zvýšenie mestskej mobility budovaním siete cyklist.infraštr.v TN: Ul.Stárka k priemyselnému parku</t>
  </si>
  <si>
    <t>Zelené pľúca mesta - vysoko vzrastlé a alejové stromy a kry vo VZ v TN</t>
  </si>
  <si>
    <t>Zlepšenie enviromentánych aspektov v meste Trenčín - vybudovanie prvkov zelenej infraštruktúry  pri regenerácii vnútrobloku  Sihoť, Turkovej</t>
  </si>
  <si>
    <t>Zvýšenie mestskej mobility budovaním siete cyklis.infraštruktúry v TN: Modernizácia mestských cyklotrás za účelom zvýšenia bezpečnosti</t>
  </si>
  <si>
    <t>Zvýšenie mestskej mobility budovaním siete cykl.infrašt. V TN: SO Vážska magistrála - Istebnícka</t>
  </si>
  <si>
    <t>Zvýšenie mestskej mobility budovaním siete cyklis.infraštr. v TN: úseky ulíc Bratislavská,Žabinská a Palackého</t>
  </si>
  <si>
    <t>Zvýšenie mestskej mobility budovaním siete cyklis.infraštr. v TN: vetva D - SO 05 Cyklotrasa, úsek Ľ.Stárka</t>
  </si>
  <si>
    <t>Zvýšenie mestskej mobility budovaním siete cyklist.infraštr.v TN: Vetva E-SO Záblatská</t>
  </si>
  <si>
    <t>Zvýšenie úrovne informačnej a kybernetickej bezpečnosti mesta Trenčín</t>
  </si>
  <si>
    <t>Revitalizácia alúvia Orechovského potoka vrátane jeho sprístupnenia lávkou</t>
  </si>
  <si>
    <t>Dobudovanie kampusu CKKP Hviezda (Hviezdodvor) - Divadlo</t>
  </si>
  <si>
    <t>Revitalizácia starého železničného mosta na Green Fiesta Bridge</t>
  </si>
  <si>
    <t>Dobudovanie kampusu CKKP Hviezda (Hviezdodvor) - Štúdio a námestíčko</t>
  </si>
  <si>
    <t>Revitalizácia Námestia sv. Anny</t>
  </si>
  <si>
    <t>Zelené pľúca mesta - Revitalizácia verejného priestoru Považská</t>
  </si>
  <si>
    <t>Pešia zóna Hviezdoslavova, Vajanského</t>
  </si>
  <si>
    <t>Kultúrno - informačné centrum s pódiom - udržateľný a odolný kultúrny priestor Trenčína</t>
  </si>
  <si>
    <t>Záchytné parkovisko železničná ulica Zlatovce</t>
  </si>
  <si>
    <t>514: 2 úvery z Environmentálneho fondu na verejné osvetlenia</t>
  </si>
  <si>
    <t>Budova MHSL m.r.o. - biomasová kotolňa</t>
  </si>
  <si>
    <t>Budova MHSL m.r.o. - fotovoltika</t>
  </si>
  <si>
    <t>Mestký úrad - kotolňa</t>
  </si>
  <si>
    <t>Mestský úrad - kotolňa</t>
  </si>
  <si>
    <t>Optické prepojenie Mestskej polície a Hviezdy</t>
  </si>
  <si>
    <t>KS Istebník - rozšírenie materskej školy, MsP, klubu dôchodcov</t>
  </si>
  <si>
    <t>Manažment údajov Mesta Trenčín</t>
  </si>
  <si>
    <t>Plošina pre imobilných</t>
  </si>
  <si>
    <t>Chodníky na starom cintoríne</t>
  </si>
  <si>
    <t>Okná</t>
  </si>
  <si>
    <t>Verejné osvetlenie Východná</t>
  </si>
  <si>
    <t>Verejné osvetlenie - rekonštrukcia</t>
  </si>
  <si>
    <t>Chodník + ostrovček na Kamenci (Vinohrady)</t>
  </si>
  <si>
    <t>Križovatka pod Juhom s napojením na nový most</t>
  </si>
  <si>
    <t>Nábrežná ulica</t>
  </si>
  <si>
    <t>Priechod pre chodcov - Legionárska CSS</t>
  </si>
  <si>
    <t>Priechod pre chodcov - Gymnázium CSS</t>
  </si>
  <si>
    <t>Priechod pre chodcov - Zimný štadión CSS</t>
  </si>
  <si>
    <t>Priechod pre chodcov - Zlatovská CSS</t>
  </si>
  <si>
    <t>Priechod pre chodcov - konečná - Armádna, Sibírska CSS</t>
  </si>
  <si>
    <t>Priechod pre chodcov - Novomeského - J.Halašu CSS</t>
  </si>
  <si>
    <t>Saratovská - Partizánska - prepojenie</t>
  </si>
  <si>
    <t>Ul. 28. októbra</t>
  </si>
  <si>
    <t>Chodník pri ZŠ Bezručova</t>
  </si>
  <si>
    <t>Chodník V.Roya</t>
  </si>
  <si>
    <t>Chodník na námestí sv. Anny</t>
  </si>
  <si>
    <t>Podchod pri hoteli Elizabeth</t>
  </si>
  <si>
    <t>Priechod pre chodcov Javorinská ul.</t>
  </si>
  <si>
    <t>Záchytné parkovisko železničná stanica Zlatovce</t>
  </si>
  <si>
    <t>Výmena teplovodu</t>
  </si>
  <si>
    <t>Úsporné opatrenia pre energetickú efektívnosť na ZŠ Východná a ZŠ Novomeského</t>
  </si>
  <si>
    <t>Kotolňa - telocvičňa, jedáleň a plaváreň</t>
  </si>
  <si>
    <t>Fotovoltika</t>
  </si>
  <si>
    <t>Zimný štadión - fotovoltika</t>
  </si>
  <si>
    <t>Krytá plaváreň - fotovoltika</t>
  </si>
  <si>
    <t>Športový areál</t>
  </si>
  <si>
    <t>Revitalizácia nám. Sv. Anny</t>
  </si>
  <si>
    <t>Revitalizácia alúvia Orechovského potoka vrátane jeho sprístupnenia lávkou z Vážskej hrádze</t>
  </si>
  <si>
    <t>Detské ihrisko Hríbik</t>
  </si>
  <si>
    <t>Doplnenie átria za mestskou vežou</t>
  </si>
  <si>
    <t>Revitalizácia Mariánskeho námestia</t>
  </si>
  <si>
    <t>Rekonštrukcia ihriska SLSP</t>
  </si>
  <si>
    <t>Pumptrack</t>
  </si>
  <si>
    <t>Tlačové a propagačné materiály</t>
  </si>
  <si>
    <t>Propagačné predmety</t>
  </si>
  <si>
    <t>Elektronické propagačné predmety</t>
  </si>
  <si>
    <t>Školiace služby + skupinové aktivity  (informačné podujatia)</t>
  </si>
  <si>
    <t>CKKP Hviezda - výpočtová technika</t>
  </si>
  <si>
    <t>CKKP Hviezda - FABLAB</t>
  </si>
  <si>
    <t>CKKP Hviezda - kamerový systém + wifi</t>
  </si>
  <si>
    <t>Dobudovanie kampusu Centrum kultúrno - kreatívneho potenciálu HVIEZDA (Hviezdodvor) - Divadlo</t>
  </si>
  <si>
    <t>Dobudovanie kampusu Centrum kultúrno - kreatívneho potenciálu HVIEZDA (Hviezdodvor) - Štúdio</t>
  </si>
  <si>
    <t>Rekonštrukcia oporného múru Kubranská 210</t>
  </si>
  <si>
    <t>Oporný múr Cintorínska ul. - 1.etapa</t>
  </si>
  <si>
    <t>Traktorova kosačka</t>
  </si>
  <si>
    <t>Zákonná rezerva na rekonštrukciu vodovodov a kanalizácií</t>
  </si>
  <si>
    <t>Z prenájmov - Hviezda</t>
  </si>
  <si>
    <t>Za predaj výrobkov, tovarov a služieb - upratovanie, pranie, žehlenie</t>
  </si>
  <si>
    <t>Súkromné centrum poradenstva a prevencie</t>
  </si>
  <si>
    <t>Prevádzkové zariadenia KKC Hviezda</t>
  </si>
  <si>
    <t>Kreatívny inštitút Trenčín, n.o. - dotácia na kapitálové výdavky</t>
  </si>
  <si>
    <t>Detašované pracoviská Denného centra Sihoť</t>
  </si>
  <si>
    <t>Rekonštrukcia nájomného bytu</t>
  </si>
  <si>
    <t>Vybudovanie dopravného ihriska</t>
  </si>
  <si>
    <t>Služby (plavecký výcvik)</t>
  </si>
  <si>
    <t xml:space="preserve">Rekonštrukcia </t>
  </si>
  <si>
    <t>Signalizácia ZPS</t>
  </si>
  <si>
    <t>Elektrická brána</t>
  </si>
  <si>
    <t>Reflektomer</t>
  </si>
  <si>
    <t>MPSVaR SR - energie pre SSMT m.r.o.</t>
  </si>
  <si>
    <t>Refundácia výdavkov z metodického poradenského centra</t>
  </si>
  <si>
    <t>Dotácia z MH SR na energie</t>
  </si>
  <si>
    <t>Edukačné publikácie</t>
  </si>
  <si>
    <t>Školstvo - podporad integrácie žiakov z Ukrajiny</t>
  </si>
  <si>
    <t>Voľby 2022 - komunálne a do VÚC</t>
  </si>
  <si>
    <t>Referendum 2023</t>
  </si>
  <si>
    <t>Projekt Predškolácia II - MŠ Na dolinách</t>
  </si>
  <si>
    <t>Dotácia MPC POP II</t>
  </si>
  <si>
    <t>Rekonštrukcia základovej päťky pod pamätníky Holubica a Materstvo</t>
  </si>
  <si>
    <t>Splácanie úrokov a ostatné platby súvisiace s úverom</t>
  </si>
  <si>
    <t>Nový dopravca 4 mesiace</t>
  </si>
  <si>
    <t>Vratky NFP</t>
  </si>
  <si>
    <t>Rekonštrukcia chodníkov</t>
  </si>
  <si>
    <t>Rozšírenie materskej školy do bývalého KS Istebník</t>
  </si>
  <si>
    <t>Kúpa motorového vozidla</t>
  </si>
  <si>
    <t>AS Trenčín a.s. - Zápas UEFA Champions league staršieho dorastu U19</t>
  </si>
  <si>
    <t>Športový klub 1.FBC Trenčín o.z. - dotácia na činnosť</t>
  </si>
  <si>
    <t>Hádzanársky klub - AS Trenčín - dotácia na činnosť</t>
  </si>
  <si>
    <t>Žehliaci mangeľ</t>
  </si>
  <si>
    <t>Z termínovaných vkladov</t>
  </si>
  <si>
    <t>Za predaj výrobkov, tovarov a služieb - obslužné činnosti</t>
  </si>
  <si>
    <t>Gramt z Nadácie EPH - lipa</t>
  </si>
  <si>
    <t>Dotácia na stabilizačný príspevok pre zamestnancov zariadení sociálnych služieb</t>
  </si>
  <si>
    <t>Budovanie parkovacích miest pre bicykle pri základných školách ako súčasť cyklistickej infraštruktúry</t>
  </si>
  <si>
    <t>Fond na podporu športu - Výmena palubovej podlahy a mobilných tribún</t>
  </si>
  <si>
    <t>Projektová dokumentácia "Revitalizácie ul. 1.mája - I.etapa"</t>
  </si>
  <si>
    <t>Projektová dokumentácia "Revitalizácia pešej zóny : Hviezdoslavova - Jaselská - Vajanského - Sládkovičova"</t>
  </si>
  <si>
    <t>Centrum kultúrno - kreatívneho potenciálu Hviezda</t>
  </si>
  <si>
    <t>Rekonštrukcia južnej časti múru Mestského opevnenia</t>
  </si>
  <si>
    <t>Materiál (KIS)</t>
  </si>
  <si>
    <t>Župný dom - posudky a výskumy</t>
  </si>
  <si>
    <t>Rekonštrukcia glacisu</t>
  </si>
  <si>
    <t>Rekonštrukcia kancelárie v klientskom centre</t>
  </si>
  <si>
    <t>Pamätník Brezina</t>
  </si>
  <si>
    <t>Cintorín a dom smútku Záblatie - okná, dvere</t>
  </si>
  <si>
    <t>Chodník Opatovská ul.</t>
  </si>
  <si>
    <t>Chodník Hodžova pri "tehlovom dome"</t>
  </si>
  <si>
    <t>Chodníky na starom cestnom moste</t>
  </si>
  <si>
    <t>Lávka pre peších cez Lavičkový potok</t>
  </si>
  <si>
    <t>MČ Juh - komunikácie, chodníky...</t>
  </si>
  <si>
    <t>MK Družstevná</t>
  </si>
  <si>
    <t>MK Pod skalkou</t>
  </si>
  <si>
    <t>Priechod pri Merkury markete</t>
  </si>
  <si>
    <t>Prístupové chodníky ku vchodom na Kvetnej</t>
  </si>
  <si>
    <t>Zábradlie vedľa chodníka na Halalovke</t>
  </si>
  <si>
    <t>3 ks parkovacie miesta Halalovka</t>
  </si>
  <si>
    <t>MŠ Medňanského - materiálovo - technické vybavenie</t>
  </si>
  <si>
    <t>Rozvody teplej vody</t>
  </si>
  <si>
    <t>Rekonštrukcia prístupovej cesty</t>
  </si>
  <si>
    <t>Schody do školskej jedálne</t>
  </si>
  <si>
    <t>Cimbal</t>
  </si>
  <si>
    <t>HK Dukla Trenčín n.o. - dotácia na detskú výstroj/detské sety pre hokejový klub</t>
  </si>
  <si>
    <t>ELITE FIGHT PROMOTION o.z. - dotácia na PMI. 6</t>
  </si>
  <si>
    <t>Šachový klub Trenčín o.z. - dotácia na medzinárodný šachový turnaj pri príležitosti 100.výročia existencie tejto hry</t>
  </si>
  <si>
    <t>Osvetlenie futbalového štadióna v Záblatí</t>
  </si>
  <si>
    <t>Futbalový štadion Záblatie - osvetlenie, oplotenie, zemné práce</t>
  </si>
  <si>
    <t>Zimný štadion - 3.etapa - opláštenie</t>
  </si>
  <si>
    <t>Zimný štadion - akustická štúdia</t>
  </si>
  <si>
    <t>Rekonštrukcia zázemia na Zimnom štadione P.Demitru</t>
  </si>
  <si>
    <t>Zimný štadion - rozšírenie kapacít na sedenie</t>
  </si>
  <si>
    <t>Zimný štadion - strojovňa - úprava podláh</t>
  </si>
  <si>
    <t>Revitalizácia Parku Gen. M.R.Štefánika</t>
  </si>
  <si>
    <t>Revitalizácia priestoru po MŽT</t>
  </si>
  <si>
    <t>Trenčiansky luh - revitalizácia Rekreačno - vzdelávacej zóny</t>
  </si>
  <si>
    <t>Trenčiansky luh - parkovisko</t>
  </si>
  <si>
    <t>Tienenie DI Žihadielko</t>
  </si>
  <si>
    <t>Oplotenie Halalovka od cesty pri garážach</t>
  </si>
  <si>
    <t>Viacoperačný drevoobrábajúci stroj</t>
  </si>
  <si>
    <t>Grandvíno s.r.o. - Festival "Víno pod hradom 2023"</t>
  </si>
  <si>
    <t>GRAPE AGENCY s.r.o. - Grape Festival 2023</t>
  </si>
  <si>
    <t>LAmpART o.z. - Podpora uvádzania európskych filmov v ArtKine Metro Trenčín</t>
  </si>
  <si>
    <t>Mestské divadlo Trenčín o.z. - Letné divadelné večery 2023</t>
  </si>
  <si>
    <t>LampART o.z. - dotácia na projektor</t>
  </si>
  <si>
    <t>Výmena 2 dverí a 2 okien v KS Zlatovce</t>
  </si>
  <si>
    <t>CKKP Hviezda - bezpečnostný systék</t>
  </si>
  <si>
    <t>CKKP Hviezda - vybavenie galérie</t>
  </si>
  <si>
    <t>Úprava priestoru medzi Hviezdou a mostom</t>
  </si>
  <si>
    <t xml:space="preserve">Park Zlatovce   </t>
  </si>
  <si>
    <t>Rekonštrukcia múru mestského opevnenia</t>
  </si>
  <si>
    <t>Technologicko - lokalitná štúdia na centrum nakladania s odpadmi</t>
  </si>
  <si>
    <t>Nové čerpadlo</t>
  </si>
  <si>
    <t>Slovenský zväz telesne postihnutých - Medzinárodný deň osôb so zdravotným postihnutím</t>
  </si>
  <si>
    <t>Nákup interiérového vybavenia  zariadení sociálnych služieb</t>
  </si>
  <si>
    <t>Rozšírenie chodníka do záhrady</t>
  </si>
  <si>
    <t>Rekonštrukcia izieb a sociálnych zariadení na bezbariérové</t>
  </si>
  <si>
    <t>Rekonštrukcia kuchyne a výdajne stravy</t>
  </si>
  <si>
    <t>Rekonštrukcia kúpeľní, sociálnych zariadení</t>
  </si>
  <si>
    <t>Schodok kapitálového rozpočtu</t>
  </si>
  <si>
    <t>Stravovanie žiakov</t>
  </si>
  <si>
    <t>HN - školské pomôcky</t>
  </si>
  <si>
    <t>Podpora integrácie žiakov z Ukrajiny</t>
  </si>
  <si>
    <t xml:space="preserve">Projekt POP 3 - asistenti </t>
  </si>
  <si>
    <t>Projekt Mobilities</t>
  </si>
  <si>
    <t>Projektové dokumentácie na komunikácie, chodníky, pozemné stavby</t>
  </si>
  <si>
    <t>Pontóny na Váhu</t>
  </si>
  <si>
    <t>Dopravné značenie</t>
  </si>
  <si>
    <t>Dotácie na výnimočné akcie (projekty)</t>
  </si>
  <si>
    <t>Dotácie na šport (činnosť)</t>
  </si>
  <si>
    <t>Župný dom - posudky, výskum, dokumentácia</t>
  </si>
  <si>
    <t>Nový server</t>
  </si>
  <si>
    <t>Inštitút participácie</t>
  </si>
  <si>
    <t xml:space="preserve">Kreatívny inštitút Trenčín, n.o. - dotácia na činnosť </t>
  </si>
  <si>
    <t>Manuál verejného priestranstva</t>
  </si>
  <si>
    <t>S MŠ Štvorlístok, Orechovská 14</t>
  </si>
  <si>
    <t>Regenerácia vnútrobloku Opávia na Beckovskej ulici</t>
  </si>
  <si>
    <t>Výmena asfaltového povrchu a úprava kruhového objazdu Zlatovská – Brnianska</t>
  </si>
  <si>
    <t>S MŠ Legionárska 79</t>
  </si>
  <si>
    <t>Župný dom - 1.etapa rekonštrukcie</t>
  </si>
  <si>
    <t>ZŠ Dlhé Hony - jedáleň, kuchyňa, bežecký ovál, volejbalové ihrisko</t>
  </si>
  <si>
    <t>513: Prijatie dlhodobého úveru - ČSOB a.s. 2023</t>
  </si>
  <si>
    <t>Župný dom - I.etapa rekonštrukcie</t>
  </si>
  <si>
    <t>Župný doma - posudky, výskum, dokumentácia</t>
  </si>
  <si>
    <t>Rekonštrukcia - jedáleň, kuchyňa, bežecký ovál, volejbalové ihrisko</t>
  </si>
  <si>
    <t>Dobudovani kampusu - štúdio a námestíčko</t>
  </si>
  <si>
    <t>Z predaja bytov</t>
  </si>
  <si>
    <t>Regenerácia vnútrobloku Opávia na Beckovskej ulici v Trenčíne</t>
  </si>
  <si>
    <t>Revitalizácia ulice 1.mája</t>
  </si>
  <si>
    <t>Interiéry Zelený most - ulica (Fiesta)</t>
  </si>
  <si>
    <t>Komunitné centrum Dlhé Hony</t>
  </si>
  <si>
    <t>Komunitné centrum Dlhé Hony - PD Interiér</t>
  </si>
  <si>
    <t>Komunitné centrum Dlhé Hony - vybavenie</t>
  </si>
  <si>
    <t>Zelený most - ulica (Fiesta)</t>
  </si>
  <si>
    <t>Komunitné centrum Dlhé Hony - PD interiér</t>
  </si>
  <si>
    <t>Revitalizácia Hviezdoslavovej ulice</t>
  </si>
  <si>
    <t xml:space="preserve">Revitalizácia parku Gen. M.R.Štefánika </t>
  </si>
  <si>
    <t xml:space="preserve">Zníženie en.náročnosti budovy Detských jaslí na ulici 28.októbra </t>
  </si>
  <si>
    <t xml:space="preserve">Zníženie energetickej náročnosti budovy Detských jaslí na ulici 28.októbra </t>
  </si>
  <si>
    <t xml:space="preserve">Revitalizácia parku gen. M.R.Štefánika </t>
  </si>
  <si>
    <r>
      <rPr>
        <b/>
        <i/>
        <sz val="12"/>
        <rFont val="Times New Roman"/>
        <family val="1"/>
        <charset val="238"/>
      </rPr>
      <t>CKKP Hviezda</t>
    </r>
    <r>
      <rPr>
        <b/>
        <i/>
        <strike/>
        <sz val="12"/>
        <rFont val="Times New Roman"/>
        <family val="1"/>
        <charset val="238"/>
      </rPr>
      <t xml:space="preserve"> </t>
    </r>
  </si>
  <si>
    <t>Kolomaž o.z. - Klub Lúč</t>
  </si>
  <si>
    <t>Klub priateľov vážnej hudby - Hudba pod Hradom - jar, jeseň</t>
  </si>
  <si>
    <t>ZO SZV Trenčín - Včelárska nedeľa v priestoroch KS Zlatovce</t>
  </si>
  <si>
    <t>Materské centrum srdiečko - dotácia na prevádzku</t>
  </si>
  <si>
    <t>Modernizácia a rozšírenie počítačovej siete</t>
  </si>
  <si>
    <t>Verejné WC - rekonštrukcia interiéru</t>
  </si>
  <si>
    <t>Parkovisko Družba - rampový systém</t>
  </si>
  <si>
    <t>Úprava križovatky pri kostole Opatová - MHD</t>
  </si>
  <si>
    <t>Klavír</t>
  </si>
  <si>
    <t>Klimatizácia Mestská veža</t>
  </si>
  <si>
    <t>Klimatizácie</t>
  </si>
  <si>
    <t>Motorové vozidlo na prepravnú službu</t>
  </si>
  <si>
    <t>Sumarizácia</t>
  </si>
  <si>
    <t>453: Prevod z rezervného fondu - nevyčerpané prostriedky z minulých rokov</t>
  </si>
  <si>
    <t xml:space="preserve">454: Prevod z rezervného fondu - Most Horné Orechové </t>
  </si>
  <si>
    <t>PROGRAM   1: MANAŽMENT A PLÁNOVANIE</t>
  </si>
  <si>
    <t>Modernizácia elektrickej požiarnej signalizácie</t>
  </si>
  <si>
    <t>Príjem za predaj výrobkov</t>
  </si>
  <si>
    <t>Voľby do NR SR</t>
  </si>
  <si>
    <t>Environmentálny fond</t>
  </si>
  <si>
    <t>Rekonštrukcia dvoch pylonov na vojenskom cintoríne - Soblahovská</t>
  </si>
  <si>
    <t>Župný dom - PD rekonštrukcia elektroinštalácie, bleskozvodu a EPS</t>
  </si>
  <si>
    <t>Výmena okien na MsÚ</t>
  </si>
  <si>
    <t>Rekonštrukcia chodníka Nové Prúdy</t>
  </si>
  <si>
    <t>Rekonštrukcia chodníka Považská - Žilinská ul.</t>
  </si>
  <si>
    <t>Úprava ostrovčekov na Zlatovskej ulici</t>
  </si>
  <si>
    <t>Projektová dokunentácia ZŠ Dlhé Hony</t>
  </si>
  <si>
    <t>Bežecký ovál ZŠ Dlhé Hony</t>
  </si>
  <si>
    <t xml:space="preserve">Okná  </t>
  </si>
  <si>
    <t>Kúpa servera</t>
  </si>
  <si>
    <t>Kotolňa - rekonštrukcia spevnených plôch do jedálne</t>
  </si>
  <si>
    <t>Rekonštrukcia povrchu komunikácií v areáli ZŠ Novomeského</t>
  </si>
  <si>
    <t>Umývačka riadu</t>
  </si>
  <si>
    <t>TJ Družstevník Opatová - dotácia na výmenu lapačov lôpt</t>
  </si>
  <si>
    <t>CKKP Hviezda - vybavenie miestnosti réžie</t>
  </si>
  <si>
    <t>CKPP Hviezda - elektr.nožnicová plošina</t>
  </si>
  <si>
    <t>DIVO občasné združenie o.z. - dotácia na budovanie bezpečných trás pre chodcov, cyklistov a bežcov v lesoparku Brezina</t>
  </si>
  <si>
    <t>Automatická robotická kosačka s napájacou stanicou</t>
  </si>
  <si>
    <t>Dopravný pracovný stroj - nakladač</t>
  </si>
  <si>
    <t>Úžitkové vozidlo do 3,5 tony</t>
  </si>
  <si>
    <t>Profesionálny mulčovač</t>
  </si>
  <si>
    <t>TNDC - Trenčianske dobrovoľnícke centrum - dotácia na komunitné a integračné aktivity pre odídencov z Ukrajiny</t>
  </si>
  <si>
    <t>Altánok</t>
  </si>
  <si>
    <t>Projektová dokumentácia kanalizácia pre nocľaháreň</t>
  </si>
  <si>
    <t>Projektová dokumentácia úpravy priestorov ZOS</t>
  </si>
  <si>
    <t>Strava pre deti - obedov zadarmo</t>
  </si>
  <si>
    <t>Prvá stavebná sporiteľňa a.s. - grant na výsadbu stromoradia z listnatých stromov - Nozdrkovský chodník</t>
  </si>
  <si>
    <t>Kreatívny inštitút Trenčín, n.o. - príspevok na správu  a programového aktivity</t>
  </si>
  <si>
    <t xml:space="preserve">Investičné akcie na prerozdelenie </t>
  </si>
  <si>
    <t xml:space="preserve">KS Dlhé Hony  </t>
  </si>
  <si>
    <t>Rekonštrukcia gumeného povrchu ihriska Žihadielko v parku pod Juhom</t>
  </si>
  <si>
    <t>Rozpočet 2024</t>
  </si>
  <si>
    <t>Rozpočet 2025</t>
  </si>
  <si>
    <t>Rozpočet 2026</t>
  </si>
  <si>
    <t>Bežný rozpočet 2024</t>
  </si>
  <si>
    <t>Bežný rozpočet 2025</t>
  </si>
  <si>
    <t>Bežný rozpočet 2026</t>
  </si>
  <si>
    <t>Kapitálový rozpočet 2024</t>
  </si>
  <si>
    <t>Kapitálový rozpočet 2025</t>
  </si>
  <si>
    <t>Kapitálový rozpočet 2026</t>
  </si>
  <si>
    <t>Župný dom - 2. etapa rekonštrukcie</t>
  </si>
  <si>
    <t>Nábrežia Váhu, priestor medzi mostami</t>
  </si>
  <si>
    <t>Záchytné parkovisko Biskupice</t>
  </si>
  <si>
    <t>Most Orechové</t>
  </si>
  <si>
    <t>MsU Hviezdoslavova - podkrovie</t>
  </si>
  <si>
    <t>Župný dom - PD Rekonštrukcia elektroinštalácie, bleskozvodu a EPS</t>
  </si>
  <si>
    <t>Rekonštrukcia plynovej kotolne n krytej plavárni</t>
  </si>
  <si>
    <t>Nábrežia Váhu - priestor medzi mostami</t>
  </si>
  <si>
    <t>Župný dom - 2.etapa rekonštrukcie</t>
  </si>
  <si>
    <t>g</t>
  </si>
  <si>
    <t>Poplatok za rozvoj</t>
  </si>
  <si>
    <t>Schodok/prebytok  rozpočtu spolu</t>
  </si>
  <si>
    <t>Schodok/prebytok rozpočtu spolu</t>
  </si>
  <si>
    <t>Dopravno - overovacia štúdia priestorového usporiadania jestvujúcej komunikácie v časti Nozdrkove</t>
  </si>
  <si>
    <t>Chodník Hodžova pri tehlovom dome</t>
  </si>
  <si>
    <t>*</t>
  </si>
  <si>
    <t>Rekonštrukcia chodníka Nové prúdy</t>
  </si>
  <si>
    <t>Rekonštrukcia chodníka Považská - Žilinská</t>
  </si>
  <si>
    <t>Prípojka el.energie</t>
  </si>
  <si>
    <t>Nový chodník z ul. Gen. Svobodu na ul. Halalovka</t>
  </si>
  <si>
    <t>Nový priechod pre chodcov M.Bela</t>
  </si>
  <si>
    <t>Nové prepojenie Južná ulica a Halalovka</t>
  </si>
  <si>
    <t>Chodník Halalovka</t>
  </si>
  <si>
    <t>Chodník M.Bela 42-55</t>
  </si>
  <si>
    <t>Nový chodník Západná 11</t>
  </si>
  <si>
    <t>Chodník Halalovká</t>
  </si>
  <si>
    <t>MŠ Novomeského (Halašu)</t>
  </si>
  <si>
    <t>Rekonštrukcia vonkajších spevnených plôch</t>
  </si>
  <si>
    <t>Rekonštrukcia spevnených plôch v areáli školy</t>
  </si>
  <si>
    <t>Rekonštrukia spevnených plôch  v areáli školy</t>
  </si>
  <si>
    <t>Rekonštrukcia terás</t>
  </si>
  <si>
    <t>Revitalizácia ihriska a areálu KC Aktivity</t>
  </si>
  <si>
    <t>MČ Juh - mobiliár</t>
  </si>
  <si>
    <t>Rekonštrukcia terasy materskej školy</t>
  </si>
  <si>
    <t>Rekonštrukcia chodníkov a schodísk na cintoríne Juh</t>
  </si>
  <si>
    <t>MČ Stred - chodníky</t>
  </si>
  <si>
    <t>Chodník a parkovisko ul. Inovecká 1137</t>
  </si>
  <si>
    <t>Ul. Partizánska - horná</t>
  </si>
  <si>
    <t>MČ Stred</t>
  </si>
  <si>
    <t>Ul. Jilemnického a Jesenského - prepojenie ulíc</t>
  </si>
  <si>
    <t>Výmena svetlíkov</t>
  </si>
  <si>
    <t>Vyvýšený priechod</t>
  </si>
  <si>
    <t>Nákup pozemkov pre Opatovský cintorín</t>
  </si>
  <si>
    <t>Odvodnenie pri cintoríne Opatová</t>
  </si>
  <si>
    <t>Chodník ul. Opatovská pri materskej škole</t>
  </si>
  <si>
    <t>Rekonštrukcia chodníka ku stojiskám na Hurbanovej ulici</t>
  </si>
  <si>
    <t>Rekonštrukcia ul. Gen. Goliana</t>
  </si>
  <si>
    <t>Kukučínova ul. - dolná</t>
  </si>
  <si>
    <t>Rozšírenie priestoru na poschodí</t>
  </si>
  <si>
    <t>Vnútroblok Nábrežná a Študentská</t>
  </si>
  <si>
    <t>Detské ihrisko Klementisova, Kraskova</t>
  </si>
  <si>
    <t>Cyklotrasa ul. Stárka po Brniansku - osvetlenie</t>
  </si>
  <si>
    <t>Osvetlenie spojovacieho chodníka ul. Školská a Bavlnárska</t>
  </si>
  <si>
    <t>Autobusové prístrešky Hanzlíkovská</t>
  </si>
  <si>
    <t>Parkovacie miesta ul. Orechovská od kostola po križovaku s Chotárnou</t>
  </si>
  <si>
    <t>Chodníky Hanzlíkovská  - Poľovnícka - Na dolinách</t>
  </si>
  <si>
    <t>Rekonštrukcia stupačiek</t>
  </si>
  <si>
    <t>Obnova základnej školy</t>
  </si>
  <si>
    <t>Revitalizácia vnútrobloku sídlisko Kvetná</t>
  </si>
  <si>
    <t>Nové stojiská polopodzemných kontajnerov ul. Veľkomoravská za Úspechom</t>
  </si>
  <si>
    <t>Parkovacie miesta ul. Orechovská od kostola po križoatku s Chotárnou</t>
  </si>
  <si>
    <t xml:space="preserve">Chodníky Hanzlíkovská - Poľovnícka - Na dolinách </t>
  </si>
  <si>
    <t>Schválený Programový rozpočet Mesta Trenčín na roky 2024 - 2026</t>
  </si>
  <si>
    <t>Schválený rozpočet na rok 2024</t>
  </si>
  <si>
    <t>Schválený bežný rozpočet na rok 2024</t>
  </si>
  <si>
    <t>Schválený kapitálový rozpočet na rok 2024</t>
  </si>
  <si>
    <t>Schválený rozpočet na rok 2024 spolu</t>
  </si>
  <si>
    <t>Schválený Programový rozpočet Mesta Trenčín na rok 2024 uznesením č. 388 na MsZ dňa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</si>
</sst>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%"/>
    <numFmt numFmtId="166" formatCode="#,##0.0000"/>
  </numFmts>
  <fonts count="5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2"/>
      <color indexed="9"/>
      <name val="Times New Roman"/>
      <family val="1"/>
      <charset val="238"/>
    </font>
    <font>
      <b/>
      <i/>
      <sz val="11"/>
      <color indexed="9"/>
      <name val="Times New Roman"/>
      <family val="1"/>
      <charset val="238"/>
    </font>
    <font>
      <b/>
      <i/>
      <sz val="8"/>
      <color indexed="9"/>
      <name val="Times New Roman"/>
      <family val="1"/>
      <charset val="238"/>
    </font>
    <font>
      <b/>
      <sz val="22"/>
      <color indexed="1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b/>
      <i/>
      <sz val="10"/>
      <color indexed="9"/>
      <name val="Times New Roman"/>
      <family val="1"/>
      <charset val="238"/>
    </font>
    <font>
      <b/>
      <sz val="16"/>
      <color indexed="9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8"/>
      <color theme="3" tint="-0.249977111117893"/>
      <name val="Times New Roman"/>
      <family val="1"/>
      <charset val="238"/>
    </font>
    <font>
      <b/>
      <i/>
      <sz val="12"/>
      <color theme="0"/>
      <name val="Times New Roman"/>
      <family val="1"/>
      <charset val="238"/>
    </font>
    <font>
      <b/>
      <i/>
      <sz val="8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10"/>
      <color theme="0"/>
      <name val="Times New Roman"/>
      <family val="1"/>
      <charset val="238"/>
    </font>
    <font>
      <b/>
      <sz val="22"/>
      <color theme="3" tint="-0.249977111117893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104">
    <border>
      <left/>
      <right/>
      <top/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medium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1454817346722"/>
      </left>
      <right style="thin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45066682943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4506668294322"/>
      </right>
      <top style="hair">
        <color theme="3" tint="0.399914548173467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thin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n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medium">
        <color theme="3" tint="0.39988402966399123"/>
      </bottom>
      <diagonal/>
    </border>
    <border>
      <left/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/>
      <top style="hair">
        <color theme="3" tint="0.39988402966399123"/>
      </top>
      <bottom style="hair">
        <color theme="3" tint="0.39988402966399123"/>
      </bottom>
      <diagonal/>
    </border>
    <border>
      <left/>
      <right/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5351115451523"/>
      </top>
      <bottom style="medium">
        <color theme="3" tint="0.39985351115451523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/>
      <right/>
      <top style="hair">
        <color theme="3" tint="0.39991454817346722"/>
      </top>
      <bottom/>
      <diagonal/>
    </border>
    <border>
      <left/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/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/>
      <right/>
      <top style="thin">
        <color theme="3" tint="0.39994506668294322"/>
      </top>
      <bottom style="hair">
        <color theme="3" tint="0.39994506668294322"/>
      </bottom>
      <diagonal/>
    </border>
    <border>
      <left/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/>
      <right style="hair">
        <color theme="3" tint="0.39991454817346722"/>
      </right>
      <top/>
      <bottom/>
      <diagonal/>
    </border>
    <border>
      <left/>
      <right style="hair">
        <color theme="3" tint="0.39994506668294322"/>
      </right>
      <top/>
      <bottom/>
      <diagonal/>
    </border>
    <border>
      <left/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n">
        <color theme="3" tint="0.39988402966399123"/>
      </top>
      <bottom/>
      <diagonal/>
    </border>
    <border>
      <left style="thin">
        <color theme="3" tint="0.39994506668294322"/>
      </left>
      <right/>
      <top/>
      <bottom style="hair">
        <color theme="3" tint="0.39994506668294322"/>
      </bottom>
      <diagonal/>
    </border>
    <border>
      <left style="hair">
        <color theme="3" tint="0.39991454817346722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6" fillId="0" borderId="0"/>
    <xf numFmtId="0" fontId="2" fillId="0" borderId="0"/>
    <xf numFmtId="0" fontId="36" fillId="0" borderId="0"/>
    <xf numFmtId="0" fontId="2" fillId="0" borderId="0"/>
  </cellStyleXfs>
  <cellXfs count="751">
    <xf numFmtId="0" fontId="0" fillId="0" borderId="0" xfId="0"/>
    <xf numFmtId="3" fontId="4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13" fillId="7" borderId="2" xfId="0" applyFont="1" applyFill="1" applyBorder="1"/>
    <xf numFmtId="3" fontId="13" fillId="7" borderId="2" xfId="0" applyNumberFormat="1" applyFont="1" applyFill="1" applyBorder="1"/>
    <xf numFmtId="3" fontId="6" fillId="7" borderId="2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3" fontId="5" fillId="8" borderId="3" xfId="0" applyNumberFormat="1" applyFont="1" applyFill="1" applyBorder="1" applyAlignment="1">
      <alignment vertical="center"/>
    </xf>
    <xf numFmtId="3" fontId="6" fillId="8" borderId="3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4" fillId="9" borderId="4" xfId="0" applyFont="1" applyFill="1" applyBorder="1"/>
    <xf numFmtId="3" fontId="14" fillId="9" borderId="4" xfId="0" applyNumberFormat="1" applyFont="1" applyFill="1" applyBorder="1"/>
    <xf numFmtId="3" fontId="6" fillId="9" borderId="4" xfId="0" applyNumberFormat="1" applyFont="1" applyFill="1" applyBorder="1"/>
    <xf numFmtId="164" fontId="10" fillId="0" borderId="0" xfId="0" applyNumberFormat="1" applyFont="1"/>
    <xf numFmtId="0" fontId="9" fillId="0" borderId="5" xfId="0" applyFont="1" applyBorder="1"/>
    <xf numFmtId="3" fontId="9" fillId="0" borderId="5" xfId="0" applyNumberFormat="1" applyFont="1" applyBorder="1"/>
    <xf numFmtId="3" fontId="7" fillId="0" borderId="5" xfId="0" applyNumberFormat="1" applyFont="1" applyBorder="1"/>
    <xf numFmtId="0" fontId="14" fillId="9" borderId="5" xfId="0" applyFont="1" applyFill="1" applyBorder="1"/>
    <xf numFmtId="3" fontId="14" fillId="9" borderId="5" xfId="0" applyNumberFormat="1" applyFont="1" applyFill="1" applyBorder="1"/>
    <xf numFmtId="3" fontId="6" fillId="9" borderId="5" xfId="0" applyNumberFormat="1" applyFont="1" applyFill="1" applyBorder="1"/>
    <xf numFmtId="0" fontId="8" fillId="0" borderId="5" xfId="0" applyFont="1" applyBorder="1"/>
    <xf numFmtId="3" fontId="8" fillId="0" borderId="5" xfId="0" applyNumberFormat="1" applyFont="1" applyBorder="1"/>
    <xf numFmtId="3" fontId="6" fillId="0" borderId="5" xfId="0" applyNumberFormat="1" applyFont="1" applyBorder="1"/>
    <xf numFmtId="0" fontId="9" fillId="0" borderId="6" xfId="0" applyFont="1" applyBorder="1"/>
    <xf numFmtId="3" fontId="9" fillId="0" borderId="6" xfId="0" applyNumberFormat="1" applyFont="1" applyBorder="1"/>
    <xf numFmtId="3" fontId="7" fillId="0" borderId="6" xfId="0" applyNumberFormat="1" applyFont="1" applyBorder="1"/>
    <xf numFmtId="0" fontId="9" fillId="0" borderId="7" xfId="0" applyFont="1" applyBorder="1"/>
    <xf numFmtId="3" fontId="9" fillId="0" borderId="7" xfId="0" applyNumberFormat="1" applyFont="1" applyBorder="1"/>
    <xf numFmtId="3" fontId="7" fillId="0" borderId="7" xfId="0" applyNumberFormat="1" applyFont="1" applyBorder="1"/>
    <xf numFmtId="0" fontId="13" fillId="7" borderId="8" xfId="0" applyFont="1" applyFill="1" applyBorder="1"/>
    <xf numFmtId="3" fontId="13" fillId="7" borderId="8" xfId="0" applyNumberFormat="1" applyFont="1" applyFill="1" applyBorder="1"/>
    <xf numFmtId="3" fontId="6" fillId="7" borderId="8" xfId="0" applyNumberFormat="1" applyFont="1" applyFill="1" applyBorder="1"/>
    <xf numFmtId="0" fontId="5" fillId="8" borderId="9" xfId="0" applyFont="1" applyFill="1" applyBorder="1"/>
    <xf numFmtId="3" fontId="5" fillId="8" borderId="9" xfId="0" applyNumberFormat="1" applyFont="1" applyFill="1" applyBorder="1"/>
    <xf numFmtId="3" fontId="6" fillId="8" borderId="9" xfId="0" applyNumberFormat="1" applyFont="1" applyFill="1" applyBorder="1"/>
    <xf numFmtId="0" fontId="14" fillId="9" borderId="10" xfId="0" applyFont="1" applyFill="1" applyBorder="1"/>
    <xf numFmtId="3" fontId="14" fillId="9" borderId="10" xfId="0" applyNumberFormat="1" applyFont="1" applyFill="1" applyBorder="1"/>
    <xf numFmtId="3" fontId="6" fillId="9" borderId="10" xfId="0" applyNumberFormat="1" applyFont="1" applyFill="1" applyBorder="1"/>
    <xf numFmtId="0" fontId="14" fillId="9" borderId="7" xfId="0" applyFont="1" applyFill="1" applyBorder="1"/>
    <xf numFmtId="3" fontId="14" fillId="9" borderId="7" xfId="0" applyNumberFormat="1" applyFont="1" applyFill="1" applyBorder="1"/>
    <xf numFmtId="3" fontId="6" fillId="9" borderId="7" xfId="0" applyNumberFormat="1" applyFont="1" applyFill="1" applyBorder="1"/>
    <xf numFmtId="3" fontId="9" fillId="10" borderId="7" xfId="0" applyNumberFormat="1" applyFont="1" applyFill="1" applyBorder="1"/>
    <xf numFmtId="0" fontId="9" fillId="0" borderId="8" xfId="0" applyFont="1" applyBorder="1"/>
    <xf numFmtId="3" fontId="9" fillId="0" borderId="8" xfId="0" applyNumberFormat="1" applyFont="1" applyBorder="1"/>
    <xf numFmtId="3" fontId="7" fillId="0" borderId="8" xfId="0" applyNumberFormat="1" applyFont="1" applyBorder="1"/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14" fillId="9" borderId="7" xfId="0" applyFont="1" applyFill="1" applyBorder="1" applyAlignment="1">
      <alignment wrapText="1"/>
    </xf>
    <xf numFmtId="3" fontId="14" fillId="9" borderId="7" xfId="0" applyNumberFormat="1" applyFont="1" applyFill="1" applyBorder="1" applyAlignment="1">
      <alignment vertical="center"/>
    </xf>
    <xf numFmtId="3" fontId="6" fillId="9" borderId="7" xfId="0" applyNumberFormat="1" applyFont="1" applyFill="1" applyBorder="1" applyAlignment="1">
      <alignment vertical="center"/>
    </xf>
    <xf numFmtId="0" fontId="5" fillId="8" borderId="11" xfId="0" applyFont="1" applyFill="1" applyBorder="1"/>
    <xf numFmtId="3" fontId="5" fillId="8" borderId="11" xfId="0" applyNumberFormat="1" applyFont="1" applyFill="1" applyBorder="1"/>
    <xf numFmtId="3" fontId="6" fillId="8" borderId="11" xfId="0" applyNumberFormat="1" applyFont="1" applyFill="1" applyBorder="1"/>
    <xf numFmtId="0" fontId="9" fillId="0" borderId="12" xfId="0" applyFont="1" applyBorder="1"/>
    <xf numFmtId="3" fontId="9" fillId="0" borderId="12" xfId="0" applyNumberFormat="1" applyFont="1" applyBorder="1"/>
    <xf numFmtId="3" fontId="7" fillId="0" borderId="12" xfId="0" applyNumberFormat="1" applyFont="1" applyBorder="1"/>
    <xf numFmtId="0" fontId="9" fillId="11" borderId="7" xfId="0" applyFont="1" applyFill="1" applyBorder="1"/>
    <xf numFmtId="3" fontId="9" fillId="11" borderId="7" xfId="0" applyNumberFormat="1" applyFont="1" applyFill="1" applyBorder="1"/>
    <xf numFmtId="3" fontId="7" fillId="11" borderId="7" xfId="0" applyNumberFormat="1" applyFont="1" applyFill="1" applyBorder="1"/>
    <xf numFmtId="0" fontId="9" fillId="11" borderId="7" xfId="0" applyFont="1" applyFill="1" applyBorder="1" applyAlignment="1">
      <alignment vertical="center"/>
    </xf>
    <xf numFmtId="0" fontId="9" fillId="11" borderId="7" xfId="0" applyFont="1" applyFill="1" applyBorder="1" applyAlignment="1">
      <alignment vertical="center" wrapText="1"/>
    </xf>
    <xf numFmtId="3" fontId="9" fillId="11" borderId="7" xfId="0" applyNumberFormat="1" applyFont="1" applyFill="1" applyBorder="1" applyAlignment="1">
      <alignment vertical="center"/>
    </xf>
    <xf numFmtId="3" fontId="7" fillId="11" borderId="7" xfId="0" applyNumberFormat="1" applyFont="1" applyFill="1" applyBorder="1" applyAlignment="1">
      <alignment vertical="center"/>
    </xf>
    <xf numFmtId="0" fontId="15" fillId="0" borderId="7" xfId="0" applyFont="1" applyBorder="1"/>
    <xf numFmtId="3" fontId="9" fillId="10" borderId="7" xfId="0" applyNumberFormat="1" applyFont="1" applyFill="1" applyBorder="1" applyAlignment="1">
      <alignment vertical="center"/>
    </xf>
    <xf numFmtId="3" fontId="37" fillId="0" borderId="0" xfId="0" applyNumberFormat="1" applyFont="1"/>
    <xf numFmtId="0" fontId="15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0" fontId="9" fillId="0" borderId="13" xfId="0" applyFont="1" applyBorder="1"/>
    <xf numFmtId="0" fontId="9" fillId="0" borderId="7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9" fillId="11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 vertical="center" wrapText="1"/>
    </xf>
    <xf numFmtId="3" fontId="9" fillId="11" borderId="10" xfId="0" applyNumberFormat="1" applyFont="1" applyFill="1" applyBorder="1" applyAlignment="1">
      <alignment vertical="center"/>
    </xf>
    <xf numFmtId="3" fontId="7" fillId="11" borderId="10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/>
    <xf numFmtId="3" fontId="9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vertical="center"/>
    </xf>
    <xf numFmtId="3" fontId="6" fillId="8" borderId="11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7" xfId="0" applyFont="1" applyFill="1" applyBorder="1" applyAlignment="1">
      <alignment vertical="center"/>
    </xf>
    <xf numFmtId="3" fontId="8" fillId="11" borderId="7" xfId="0" applyNumberFormat="1" applyFont="1" applyFill="1" applyBorder="1" applyAlignment="1">
      <alignment vertical="center"/>
    </xf>
    <xf numFmtId="3" fontId="6" fillId="11" borderId="7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16" fillId="3" borderId="17" xfId="0" applyFont="1" applyFill="1" applyBorder="1" applyAlignment="1">
      <alignment vertical="center"/>
    </xf>
    <xf numFmtId="3" fontId="17" fillId="3" borderId="17" xfId="0" applyNumberFormat="1" applyFont="1" applyFill="1" applyBorder="1" applyAlignment="1">
      <alignment vertical="center"/>
    </xf>
    <xf numFmtId="3" fontId="18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18" xfId="0" applyFont="1" applyBorder="1" applyAlignment="1">
      <alignment horizontal="center"/>
    </xf>
    <xf numFmtId="0" fontId="13" fillId="7" borderId="19" xfId="0" applyFont="1" applyFill="1" applyBorder="1"/>
    <xf numFmtId="3" fontId="13" fillId="7" borderId="19" xfId="0" applyNumberFormat="1" applyFont="1" applyFill="1" applyBorder="1"/>
    <xf numFmtId="3" fontId="6" fillId="7" borderId="19" xfId="0" applyNumberFormat="1" applyFont="1" applyFill="1" applyBorder="1"/>
    <xf numFmtId="0" fontId="7" fillId="0" borderId="20" xfId="0" applyFont="1" applyBorder="1" applyAlignment="1">
      <alignment horizontal="center"/>
    </xf>
    <xf numFmtId="0" fontId="5" fillId="8" borderId="3" xfId="0" applyFont="1" applyFill="1" applyBorder="1"/>
    <xf numFmtId="3" fontId="5" fillId="8" borderId="3" xfId="0" applyNumberFormat="1" applyFont="1" applyFill="1" applyBorder="1"/>
    <xf numFmtId="3" fontId="6" fillId="8" borderId="3" xfId="0" applyNumberFormat="1" applyFont="1" applyFill="1" applyBorder="1"/>
    <xf numFmtId="0" fontId="9" fillId="0" borderId="19" xfId="0" applyFont="1" applyBorder="1"/>
    <xf numFmtId="3" fontId="9" fillId="0" borderId="19" xfId="0" applyNumberFormat="1" applyFont="1" applyBorder="1"/>
    <xf numFmtId="3" fontId="7" fillId="0" borderId="19" xfId="0" applyNumberFormat="1" applyFont="1" applyBorder="1"/>
    <xf numFmtId="0" fontId="9" fillId="11" borderId="5" xfId="0" applyFont="1" applyFill="1" applyBorder="1"/>
    <xf numFmtId="3" fontId="9" fillId="11" borderId="5" xfId="0" applyNumberFormat="1" applyFont="1" applyFill="1" applyBorder="1"/>
    <xf numFmtId="3" fontId="7" fillId="11" borderId="5" xfId="0" applyNumberFormat="1" applyFont="1" applyFill="1" applyBorder="1"/>
    <xf numFmtId="0" fontId="15" fillId="0" borderId="5" xfId="0" applyFont="1" applyBorder="1"/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3" fontId="16" fillId="3" borderId="21" xfId="0" applyNumberFormat="1" applyFont="1" applyFill="1" applyBorder="1" applyAlignment="1">
      <alignment vertical="center"/>
    </xf>
    <xf numFmtId="3" fontId="18" fillId="3" borderId="21" xfId="0" applyNumberFormat="1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16" fillId="12" borderId="5" xfId="0" applyFont="1" applyFill="1" applyBorder="1" applyAlignment="1">
      <alignment vertical="center"/>
    </xf>
    <xf numFmtId="3" fontId="16" fillId="12" borderId="5" xfId="0" applyNumberFormat="1" applyFont="1" applyFill="1" applyBorder="1" applyAlignment="1">
      <alignment vertical="center"/>
    </xf>
    <xf numFmtId="3" fontId="18" fillId="12" borderId="5" xfId="0" applyNumberFormat="1" applyFont="1" applyFill="1" applyBorder="1" applyAlignment="1">
      <alignment vertical="center"/>
    </xf>
    <xf numFmtId="0" fontId="38" fillId="0" borderId="16" xfId="0" applyFont="1" applyBorder="1" applyAlignment="1">
      <alignment horizontal="center"/>
    </xf>
    <xf numFmtId="0" fontId="39" fillId="13" borderId="21" xfId="0" applyFont="1" applyFill="1" applyBorder="1"/>
    <xf numFmtId="3" fontId="39" fillId="13" borderId="21" xfId="0" applyNumberFormat="1" applyFont="1" applyFill="1" applyBorder="1"/>
    <xf numFmtId="3" fontId="40" fillId="13" borderId="21" xfId="0" applyNumberFormat="1" applyFont="1" applyFill="1" applyBorder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21" fillId="3" borderId="5" xfId="0" applyNumberFormat="1" applyFont="1" applyFill="1" applyBorder="1" applyAlignment="1">
      <alignment vertical="center"/>
    </xf>
    <xf numFmtId="3" fontId="22" fillId="3" borderId="5" xfId="0" applyNumberFormat="1" applyFont="1" applyFill="1" applyBorder="1" applyAlignment="1">
      <alignment vertical="center"/>
    </xf>
    <xf numFmtId="3" fontId="21" fillId="3" borderId="22" xfId="0" applyNumberFormat="1" applyFont="1" applyFill="1" applyBorder="1" applyAlignment="1">
      <alignment vertical="center"/>
    </xf>
    <xf numFmtId="0" fontId="23" fillId="4" borderId="5" xfId="0" applyFont="1" applyFill="1" applyBorder="1"/>
    <xf numFmtId="3" fontId="23" fillId="4" borderId="5" xfId="0" applyNumberFormat="1" applyFont="1" applyFill="1" applyBorder="1"/>
    <xf numFmtId="3" fontId="24" fillId="4" borderId="5" xfId="0" applyNumberFormat="1" applyFont="1" applyFill="1" applyBorder="1"/>
    <xf numFmtId="3" fontId="23" fillId="4" borderId="22" xfId="0" applyNumberFormat="1" applyFont="1" applyFill="1" applyBorder="1"/>
    <xf numFmtId="0" fontId="5" fillId="14" borderId="5" xfId="0" applyFont="1" applyFill="1" applyBorder="1"/>
    <xf numFmtId="3" fontId="5" fillId="14" borderId="5" xfId="0" applyNumberFormat="1" applyFont="1" applyFill="1" applyBorder="1"/>
    <xf numFmtId="3" fontId="6" fillId="14" borderId="5" xfId="0" applyNumberFormat="1" applyFont="1" applyFill="1" applyBorder="1"/>
    <xf numFmtId="3" fontId="5" fillId="14" borderId="22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22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22" xfId="0" applyNumberFormat="1" applyFont="1" applyBorder="1"/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3" fontId="25" fillId="0" borderId="5" xfId="0" applyNumberFormat="1" applyFont="1" applyBorder="1"/>
    <xf numFmtId="3" fontId="15" fillId="0" borderId="5" xfId="0" applyNumberFormat="1" applyFont="1" applyBorder="1"/>
    <xf numFmtId="3" fontId="25" fillId="0" borderId="22" xfId="0" applyNumberFormat="1" applyFont="1" applyBorder="1"/>
    <xf numFmtId="0" fontId="5" fillId="15" borderId="5" xfId="0" applyFont="1" applyFill="1" applyBorder="1"/>
    <xf numFmtId="3" fontId="5" fillId="15" borderId="5" xfId="0" applyNumberFormat="1" applyFont="1" applyFill="1" applyBorder="1"/>
    <xf numFmtId="3" fontId="6" fillId="15" borderId="5" xfId="0" applyNumberFormat="1" applyFont="1" applyFill="1" applyBorder="1"/>
    <xf numFmtId="3" fontId="5" fillId="15" borderId="22" xfId="0" applyNumberFormat="1" applyFont="1" applyFill="1" applyBorder="1"/>
    <xf numFmtId="3" fontId="9" fillId="10" borderId="5" xfId="0" applyNumberFormat="1" applyFont="1" applyFill="1" applyBorder="1"/>
    <xf numFmtId="0" fontId="26" fillId="0" borderId="0" xfId="0" applyFont="1"/>
    <xf numFmtId="0" fontId="1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3" fontId="25" fillId="0" borderId="5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0" fontId="15" fillId="0" borderId="19" xfId="0" applyFont="1" applyBorder="1"/>
    <xf numFmtId="0" fontId="25" fillId="0" borderId="19" xfId="0" applyFont="1" applyBorder="1"/>
    <xf numFmtId="0" fontId="23" fillId="4" borderId="23" xfId="0" applyFont="1" applyFill="1" applyBorder="1"/>
    <xf numFmtId="0" fontId="7" fillId="0" borderId="16" xfId="0" applyFont="1" applyBorder="1" applyAlignment="1">
      <alignment horizontal="center" vertical="center"/>
    </xf>
    <xf numFmtId="0" fontId="23" fillId="4" borderId="21" xfId="0" applyFont="1" applyFill="1" applyBorder="1"/>
    <xf numFmtId="3" fontId="23" fillId="4" borderId="21" xfId="0" applyNumberFormat="1" applyFont="1" applyFill="1" applyBorder="1"/>
    <xf numFmtId="3" fontId="24" fillId="4" borderId="21" xfId="0" applyNumberFormat="1" applyFont="1" applyFill="1" applyBorder="1"/>
    <xf numFmtId="3" fontId="23" fillId="4" borderId="24" xfId="0" applyNumberFormat="1" applyFont="1" applyFill="1" applyBorder="1"/>
    <xf numFmtId="0" fontId="14" fillId="0" borderId="0" xfId="0" applyFont="1"/>
    <xf numFmtId="3" fontId="15" fillId="0" borderId="22" xfId="0" applyNumberFormat="1" applyFont="1" applyBorder="1"/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3" fontId="15" fillId="0" borderId="21" xfId="0" applyNumberFormat="1" applyFont="1" applyBorder="1"/>
    <xf numFmtId="3" fontId="15" fillId="0" borderId="24" xfId="0" applyNumberFormat="1" applyFont="1" applyBorder="1"/>
    <xf numFmtId="0" fontId="9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7" xfId="0" applyFont="1" applyBorder="1" applyAlignment="1">
      <alignment vertical="center" wrapText="1"/>
    </xf>
    <xf numFmtId="0" fontId="25" fillId="0" borderId="21" xfId="0" applyFont="1" applyBorder="1"/>
    <xf numFmtId="0" fontId="25" fillId="0" borderId="21" xfId="0" applyFont="1" applyBorder="1" applyAlignment="1">
      <alignment horizontal="center"/>
    </xf>
    <xf numFmtId="3" fontId="25" fillId="0" borderId="21" xfId="0" applyNumberFormat="1" applyFont="1" applyBorder="1"/>
    <xf numFmtId="3" fontId="25" fillId="0" borderId="24" xfId="0" applyNumberFormat="1" applyFont="1" applyBorder="1"/>
    <xf numFmtId="0" fontId="7" fillId="0" borderId="25" xfId="0" applyFont="1" applyBorder="1" applyAlignment="1">
      <alignment horizontal="center" vertical="center"/>
    </xf>
    <xf numFmtId="3" fontId="21" fillId="3" borderId="26" xfId="0" applyNumberFormat="1" applyFont="1" applyFill="1" applyBorder="1" applyAlignment="1">
      <alignment vertical="center"/>
    </xf>
    <xf numFmtId="3" fontId="22" fillId="3" borderId="26" xfId="0" applyNumberFormat="1" applyFont="1" applyFill="1" applyBorder="1" applyAlignment="1">
      <alignment vertical="center"/>
    </xf>
    <xf numFmtId="3" fontId="21" fillId="3" borderId="27" xfId="0" applyNumberFormat="1" applyFont="1" applyFill="1" applyBorder="1" applyAlignment="1">
      <alignment vertical="center"/>
    </xf>
    <xf numFmtId="0" fontId="23" fillId="4" borderId="26" xfId="0" applyFont="1" applyFill="1" applyBorder="1"/>
    <xf numFmtId="3" fontId="23" fillId="4" borderId="26" xfId="0" applyNumberFormat="1" applyFont="1" applyFill="1" applyBorder="1"/>
    <xf numFmtId="3" fontId="24" fillId="4" borderId="26" xfId="0" applyNumberFormat="1" applyFont="1" applyFill="1" applyBorder="1"/>
    <xf numFmtId="3" fontId="23" fillId="4" borderId="27" xfId="0" applyNumberFormat="1" applyFont="1" applyFill="1" applyBorder="1"/>
    <xf numFmtId="0" fontId="8" fillId="0" borderId="26" xfId="0" applyFont="1" applyBorder="1"/>
    <xf numFmtId="49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8" fillId="0" borderId="26" xfId="0" applyNumberFormat="1" applyFont="1" applyBorder="1"/>
    <xf numFmtId="3" fontId="6" fillId="0" borderId="26" xfId="0" applyNumberFormat="1" applyFont="1" applyBorder="1"/>
    <xf numFmtId="3" fontId="8" fillId="0" borderId="27" xfId="0" applyNumberFormat="1" applyFont="1" applyBorder="1"/>
    <xf numFmtId="0" fontId="9" fillId="0" borderId="26" xfId="0" applyFont="1" applyBorder="1"/>
    <xf numFmtId="49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26" xfId="0" applyNumberFormat="1" applyFont="1" applyBorder="1"/>
    <xf numFmtId="3" fontId="7" fillId="0" borderId="26" xfId="0" applyNumberFormat="1" applyFont="1" applyBorder="1"/>
    <xf numFmtId="3" fontId="9" fillId="0" borderId="27" xfId="0" applyNumberFormat="1" applyFont="1" applyBorder="1"/>
    <xf numFmtId="0" fontId="5" fillId="16" borderId="26" xfId="0" applyFont="1" applyFill="1" applyBorder="1"/>
    <xf numFmtId="0" fontId="5" fillId="16" borderId="26" xfId="0" applyFont="1" applyFill="1" applyBorder="1" applyAlignment="1">
      <alignment horizontal="center"/>
    </xf>
    <xf numFmtId="3" fontId="5" fillId="16" borderId="26" xfId="0" applyNumberFormat="1" applyFont="1" applyFill="1" applyBorder="1"/>
    <xf numFmtId="3" fontId="6" fillId="16" borderId="26" xfId="0" applyNumberFormat="1" applyFont="1" applyFill="1" applyBorder="1"/>
    <xf numFmtId="3" fontId="5" fillId="16" borderId="27" xfId="0" applyNumberFormat="1" applyFont="1" applyFill="1" applyBorder="1"/>
    <xf numFmtId="0" fontId="25" fillId="0" borderId="26" xfId="0" applyFont="1" applyBorder="1"/>
    <xf numFmtId="49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3" fontId="25" fillId="0" borderId="26" xfId="0" applyNumberFormat="1" applyFont="1" applyBorder="1"/>
    <xf numFmtId="3" fontId="15" fillId="0" borderId="26" xfId="0" applyNumberFormat="1" applyFont="1" applyBorder="1"/>
    <xf numFmtId="3" fontId="25" fillId="0" borderId="27" xfId="0" applyNumberFormat="1" applyFont="1" applyBorder="1"/>
    <xf numFmtId="0" fontId="5" fillId="5" borderId="26" xfId="0" applyFont="1" applyFill="1" applyBorder="1"/>
    <xf numFmtId="0" fontId="5" fillId="5" borderId="26" xfId="0" applyFont="1" applyFill="1" applyBorder="1" applyAlignment="1">
      <alignment horizontal="center"/>
    </xf>
    <xf numFmtId="3" fontId="5" fillId="5" borderId="26" xfId="0" applyNumberFormat="1" applyFont="1" applyFill="1" applyBorder="1"/>
    <xf numFmtId="3" fontId="6" fillId="5" borderId="26" xfId="0" applyNumberFormat="1" applyFont="1" applyFill="1" applyBorder="1"/>
    <xf numFmtId="3" fontId="5" fillId="5" borderId="27" xfId="0" applyNumberFormat="1" applyFont="1" applyFill="1" applyBorder="1"/>
    <xf numFmtId="0" fontId="25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3" fontId="25" fillId="0" borderId="2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/>
    <xf numFmtId="49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3" fontId="9" fillId="0" borderId="29" xfId="0" applyNumberFormat="1" applyFont="1" applyBorder="1"/>
    <xf numFmtId="3" fontId="7" fillId="0" borderId="29" xfId="0" applyNumberFormat="1" applyFont="1" applyBorder="1"/>
    <xf numFmtId="3" fontId="9" fillId="0" borderId="30" xfId="0" applyNumberFormat="1" applyFont="1" applyBorder="1"/>
    <xf numFmtId="0" fontId="25" fillId="0" borderId="26" xfId="0" applyFont="1" applyBorder="1" applyAlignment="1">
      <alignment wrapText="1"/>
    </xf>
    <xf numFmtId="0" fontId="25" fillId="0" borderId="0" xfId="0" applyFont="1"/>
    <xf numFmtId="0" fontId="15" fillId="0" borderId="26" xfId="0" applyFont="1" applyBorder="1"/>
    <xf numFmtId="0" fontId="15" fillId="0" borderId="31" xfId="0" applyFont="1" applyBorder="1"/>
    <xf numFmtId="0" fontId="25" fillId="0" borderId="31" xfId="0" applyFont="1" applyBorder="1"/>
    <xf numFmtId="0" fontId="25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/>
    <xf numFmtId="3" fontId="25" fillId="0" borderId="31" xfId="0" applyNumberFormat="1" applyFont="1" applyBorder="1"/>
    <xf numFmtId="3" fontId="15" fillId="0" borderId="31" xfId="0" applyNumberFormat="1" applyFont="1" applyBorder="1"/>
    <xf numFmtId="3" fontId="25" fillId="0" borderId="32" xfId="0" applyNumberFormat="1" applyFont="1" applyBorder="1"/>
    <xf numFmtId="3" fontId="25" fillId="0" borderId="33" xfId="0" applyNumberFormat="1" applyFont="1" applyBorder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25" fillId="0" borderId="19" xfId="0" applyNumberFormat="1" applyFont="1" applyBorder="1"/>
    <xf numFmtId="3" fontId="25" fillId="0" borderId="34" xfId="0" applyNumberFormat="1" applyFont="1" applyBorder="1"/>
    <xf numFmtId="0" fontId="15" fillId="0" borderId="35" xfId="0" applyFont="1" applyBorder="1"/>
    <xf numFmtId="0" fontId="25" fillId="0" borderId="35" xfId="0" applyFont="1" applyBorder="1"/>
    <xf numFmtId="0" fontId="25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3" fontId="25" fillId="0" borderId="35" xfId="0" applyNumberFormat="1" applyFont="1" applyBorder="1"/>
    <xf numFmtId="3" fontId="25" fillId="0" borderId="36" xfId="0" applyNumberFormat="1" applyFont="1" applyBorder="1"/>
    <xf numFmtId="0" fontId="5" fillId="5" borderId="5" xfId="0" applyFont="1" applyFill="1" applyBorder="1"/>
    <xf numFmtId="0" fontId="5" fillId="5" borderId="5" xfId="0" applyFont="1" applyFill="1" applyBorder="1" applyAlignment="1">
      <alignment horizontal="center"/>
    </xf>
    <xf numFmtId="3" fontId="5" fillId="5" borderId="5" xfId="0" applyNumberFormat="1" applyFont="1" applyFill="1" applyBorder="1"/>
    <xf numFmtId="3" fontId="6" fillId="5" borderId="5" xfId="0" applyNumberFormat="1" applyFont="1" applyFill="1" applyBorder="1"/>
    <xf numFmtId="3" fontId="5" fillId="5" borderId="22" xfId="0" applyNumberFormat="1" applyFont="1" applyFill="1" applyBorder="1"/>
    <xf numFmtId="49" fontId="25" fillId="0" borderId="5" xfId="0" applyNumberFormat="1" applyFont="1" applyBorder="1" applyAlignment="1">
      <alignment horizontal="center"/>
    </xf>
    <xf numFmtId="0" fontId="9" fillId="17" borderId="5" xfId="0" applyFont="1" applyFill="1" applyBorder="1"/>
    <xf numFmtId="49" fontId="9" fillId="17" borderId="5" xfId="0" applyNumberFormat="1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/>
    </xf>
    <xf numFmtId="3" fontId="9" fillId="17" borderId="5" xfId="0" applyNumberFormat="1" applyFont="1" applyFill="1" applyBorder="1"/>
    <xf numFmtId="3" fontId="7" fillId="17" borderId="5" xfId="0" applyNumberFormat="1" applyFont="1" applyFill="1" applyBorder="1"/>
    <xf numFmtId="3" fontId="9" fillId="17" borderId="22" xfId="0" applyNumberFormat="1" applyFont="1" applyFill="1" applyBorder="1"/>
    <xf numFmtId="3" fontId="8" fillId="18" borderId="5" xfId="0" applyNumberFormat="1" applyFont="1" applyFill="1" applyBorder="1"/>
    <xf numFmtId="0" fontId="8" fillId="6" borderId="5" xfId="0" applyFont="1" applyFill="1" applyBorder="1"/>
    <xf numFmtId="0" fontId="8" fillId="6" borderId="5" xfId="0" applyFont="1" applyFill="1" applyBorder="1" applyAlignment="1">
      <alignment horizontal="center"/>
    </xf>
    <xf numFmtId="3" fontId="8" fillId="6" borderId="5" xfId="0" applyNumberFormat="1" applyFont="1" applyFill="1" applyBorder="1"/>
    <xf numFmtId="3" fontId="6" fillId="6" borderId="5" xfId="0" applyNumberFormat="1" applyFont="1" applyFill="1" applyBorder="1"/>
    <xf numFmtId="3" fontId="8" fillId="6" borderId="22" xfId="0" applyNumberFormat="1" applyFont="1" applyFill="1" applyBorder="1"/>
    <xf numFmtId="0" fontId="20" fillId="0" borderId="5" xfId="0" applyFont="1" applyBorder="1"/>
    <xf numFmtId="3" fontId="20" fillId="0" borderId="5" xfId="0" applyNumberFormat="1" applyFont="1" applyBorder="1"/>
    <xf numFmtId="3" fontId="24" fillId="0" borderId="5" xfId="0" applyNumberFormat="1" applyFont="1" applyBorder="1"/>
    <xf numFmtId="3" fontId="20" fillId="0" borderId="22" xfId="0" applyNumberFormat="1" applyFont="1" applyBorder="1"/>
    <xf numFmtId="0" fontId="8" fillId="18" borderId="5" xfId="0" applyFont="1" applyFill="1" applyBorder="1"/>
    <xf numFmtId="49" fontId="8" fillId="18" borderId="5" xfId="0" applyNumberFormat="1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3" fontId="6" fillId="18" borderId="5" xfId="0" applyNumberFormat="1" applyFont="1" applyFill="1" applyBorder="1"/>
    <xf numFmtId="3" fontId="8" fillId="18" borderId="22" xfId="0" applyNumberFormat="1" applyFont="1" applyFill="1" applyBorder="1"/>
    <xf numFmtId="0" fontId="9" fillId="0" borderId="0" xfId="0" applyFont="1"/>
    <xf numFmtId="0" fontId="8" fillId="0" borderId="0" xfId="0" applyFont="1"/>
    <xf numFmtId="3" fontId="8" fillId="0" borderId="0" xfId="0" applyNumberFormat="1" applyFont="1"/>
    <xf numFmtId="3" fontId="6" fillId="0" borderId="0" xfId="0" applyNumberFormat="1" applyFont="1"/>
    <xf numFmtId="0" fontId="15" fillId="0" borderId="5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37" xfId="0" applyNumberFormat="1" applyFont="1" applyBorder="1"/>
    <xf numFmtId="3" fontId="15" fillId="0" borderId="37" xfId="0" applyNumberFormat="1" applyFont="1" applyBorder="1"/>
    <xf numFmtId="0" fontId="23" fillId="4" borderId="38" xfId="0" applyFont="1" applyFill="1" applyBorder="1"/>
    <xf numFmtId="3" fontId="23" fillId="4" borderId="38" xfId="0" applyNumberFormat="1" applyFont="1" applyFill="1" applyBorder="1"/>
    <xf numFmtId="3" fontId="24" fillId="4" borderId="38" xfId="0" applyNumberFormat="1" applyFont="1" applyFill="1" applyBorder="1"/>
    <xf numFmtId="3" fontId="23" fillId="4" borderId="39" xfId="0" applyNumberFormat="1" applyFont="1" applyFill="1" applyBorder="1"/>
    <xf numFmtId="0" fontId="8" fillId="0" borderId="13" xfId="0" applyFont="1" applyBorder="1"/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5" fillId="0" borderId="5" xfId="0" applyNumberFormat="1" applyFont="1" applyBorder="1" applyAlignment="1">
      <alignment horizontal="center"/>
    </xf>
    <xf numFmtId="0" fontId="15" fillId="0" borderId="0" xfId="0" applyFont="1"/>
    <xf numFmtId="0" fontId="8" fillId="0" borderId="19" xfId="0" applyFont="1" applyBorder="1"/>
    <xf numFmtId="49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/>
    <xf numFmtId="3" fontId="6" fillId="0" borderId="19" xfId="0" applyNumberFormat="1" applyFont="1" applyBorder="1"/>
    <xf numFmtId="3" fontId="8" fillId="0" borderId="37" xfId="0" applyNumberFormat="1" applyFont="1" applyBorder="1"/>
    <xf numFmtId="0" fontId="7" fillId="0" borderId="40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6" fillId="19" borderId="2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/>
    <xf numFmtId="3" fontId="10" fillId="0" borderId="26" xfId="0" applyNumberFormat="1" applyFont="1" applyBorder="1"/>
    <xf numFmtId="3" fontId="7" fillId="0" borderId="25" xfId="0" applyNumberFormat="1" applyFont="1" applyBorder="1" applyAlignment="1">
      <alignment horizontal="center"/>
    </xf>
    <xf numFmtId="3" fontId="5" fillId="20" borderId="26" xfId="0" applyNumberFormat="1" applyFont="1" applyFill="1" applyBorder="1"/>
    <xf numFmtId="3" fontId="6" fillId="20" borderId="26" xfId="0" applyNumberFormat="1" applyFont="1" applyFill="1" applyBorder="1"/>
    <xf numFmtId="3" fontId="5" fillId="0" borderId="26" xfId="0" applyNumberFormat="1" applyFont="1" applyBorder="1"/>
    <xf numFmtId="3" fontId="26" fillId="0" borderId="26" xfId="0" applyNumberFormat="1" applyFont="1" applyBorder="1"/>
    <xf numFmtId="3" fontId="7" fillId="0" borderId="25" xfId="0" applyNumberFormat="1" applyFont="1" applyBorder="1" applyAlignment="1">
      <alignment horizontal="center" vertical="center"/>
    </xf>
    <xf numFmtId="3" fontId="5" fillId="20" borderId="26" xfId="0" applyNumberFormat="1" applyFont="1" applyFill="1" applyBorder="1" applyAlignment="1">
      <alignment vertical="center"/>
    </xf>
    <xf numFmtId="3" fontId="6" fillId="20" borderId="26" xfId="0" applyNumberFormat="1" applyFont="1" applyFill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5" fillId="20" borderId="29" xfId="0" applyNumberFormat="1" applyFont="1" applyFill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6" fillId="20" borderId="29" xfId="0" applyNumberFormat="1" applyFont="1" applyFill="1" applyBorder="1" applyAlignment="1">
      <alignment vertical="center"/>
    </xf>
    <xf numFmtId="3" fontId="4" fillId="0" borderId="26" xfId="0" applyNumberFormat="1" applyFont="1" applyBorder="1"/>
    <xf numFmtId="3" fontId="6" fillId="19" borderId="26" xfId="0" applyNumberFormat="1" applyFont="1" applyFill="1" applyBorder="1"/>
    <xf numFmtId="3" fontId="7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vertical="center"/>
    </xf>
    <xf numFmtId="3" fontId="6" fillId="7" borderId="29" xfId="0" applyNumberFormat="1" applyFont="1" applyFill="1" applyBorder="1" applyAlignment="1">
      <alignment vertical="center"/>
    </xf>
    <xf numFmtId="165" fontId="10" fillId="0" borderId="0" xfId="0" applyNumberFormat="1" applyFont="1"/>
    <xf numFmtId="3" fontId="28" fillId="0" borderId="26" xfId="0" applyNumberFormat="1" applyFont="1" applyBorder="1"/>
    <xf numFmtId="3" fontId="27" fillId="20" borderId="26" xfId="0" applyNumberFormat="1" applyFont="1" applyFill="1" applyBorder="1"/>
    <xf numFmtId="3" fontId="27" fillId="20" borderId="26" xfId="0" applyNumberFormat="1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/>
    <xf numFmtId="49" fontId="8" fillId="0" borderId="42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3" fontId="8" fillId="0" borderId="42" xfId="0" applyNumberFormat="1" applyFont="1" applyBorder="1"/>
    <xf numFmtId="3" fontId="6" fillId="0" borderId="42" xfId="0" applyNumberFormat="1" applyFont="1" applyBorder="1"/>
    <xf numFmtId="3" fontId="8" fillId="0" borderId="43" xfId="0" applyNumberFormat="1" applyFont="1" applyBorder="1"/>
    <xf numFmtId="3" fontId="25" fillId="2" borderId="44" xfId="0" applyNumberFormat="1" applyFont="1" applyFill="1" applyBorder="1"/>
    <xf numFmtId="3" fontId="29" fillId="0" borderId="26" xfId="0" applyNumberFormat="1" applyFont="1" applyBorder="1"/>
    <xf numFmtId="3" fontId="5" fillId="21" borderId="29" xfId="0" applyNumberFormat="1" applyFont="1" applyFill="1" applyBorder="1" applyAlignment="1">
      <alignment vertical="center"/>
    </xf>
    <xf numFmtId="0" fontId="15" fillId="0" borderId="4" xfId="0" applyFont="1" applyBorder="1"/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5" fillId="0" borderId="45" xfId="0" applyNumberFormat="1" applyFont="1" applyBorder="1"/>
    <xf numFmtId="0" fontId="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5" xfId="0" applyFont="1" applyBorder="1" applyAlignment="1">
      <alignment wrapText="1"/>
    </xf>
    <xf numFmtId="3" fontId="25" fillId="0" borderId="5" xfId="0" applyNumberFormat="1" applyFont="1" applyBorder="1" applyAlignment="1">
      <alignment vertical="center" wrapText="1"/>
    </xf>
    <xf numFmtId="3" fontId="15" fillId="0" borderId="46" xfId="0" applyNumberFormat="1" applyFont="1" applyBorder="1"/>
    <xf numFmtId="3" fontId="15" fillId="0" borderId="47" xfId="0" applyNumberFormat="1" applyFont="1" applyBorder="1"/>
    <xf numFmtId="0" fontId="15" fillId="0" borderId="48" xfId="0" applyFont="1" applyBorder="1"/>
    <xf numFmtId="0" fontId="15" fillId="0" borderId="48" xfId="0" applyFont="1" applyBorder="1" applyAlignment="1">
      <alignment horizontal="center"/>
    </xf>
    <xf numFmtId="0" fontId="15" fillId="0" borderId="49" xfId="0" applyFont="1" applyBorder="1"/>
    <xf numFmtId="0" fontId="15" fillId="0" borderId="49" xfId="0" applyFont="1" applyBorder="1" applyAlignment="1">
      <alignment horizontal="center"/>
    </xf>
    <xf numFmtId="3" fontId="15" fillId="0" borderId="49" xfId="0" applyNumberFormat="1" applyFont="1" applyBorder="1"/>
    <xf numFmtId="49" fontId="8" fillId="0" borderId="50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7" xfId="0" applyFont="1" applyBorder="1"/>
    <xf numFmtId="3" fontId="5" fillId="22" borderId="26" xfId="0" applyNumberFormat="1" applyFont="1" applyFill="1" applyBorder="1"/>
    <xf numFmtId="3" fontId="5" fillId="22" borderId="26" xfId="0" applyNumberFormat="1" applyFont="1" applyFill="1" applyBorder="1" applyAlignment="1">
      <alignment vertical="center"/>
    </xf>
    <xf numFmtId="3" fontId="5" fillId="22" borderId="29" xfId="0" applyNumberFormat="1" applyFont="1" applyFill="1" applyBorder="1" applyAlignment="1">
      <alignment vertical="center"/>
    </xf>
    <xf numFmtId="3" fontId="14" fillId="19" borderId="26" xfId="0" applyNumberFormat="1" applyFont="1" applyFill="1" applyBorder="1"/>
    <xf numFmtId="3" fontId="14" fillId="0" borderId="26" xfId="0" applyNumberFormat="1" applyFont="1" applyBorder="1"/>
    <xf numFmtId="0" fontId="25" fillId="0" borderId="48" xfId="0" applyFont="1" applyBorder="1" applyAlignment="1">
      <alignment horizontal="center"/>
    </xf>
    <xf numFmtId="0" fontId="25" fillId="0" borderId="48" xfId="0" applyFont="1" applyBorder="1"/>
    <xf numFmtId="3" fontId="25" fillId="0" borderId="49" xfId="0" applyNumberFormat="1" applyFont="1" applyBorder="1"/>
    <xf numFmtId="0" fontId="8" fillId="0" borderId="49" xfId="0" applyFont="1" applyBorder="1"/>
    <xf numFmtId="49" fontId="8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9" xfId="0" applyFont="1" applyBorder="1"/>
    <xf numFmtId="3" fontId="9" fillId="0" borderId="49" xfId="0" applyNumberFormat="1" applyFont="1" applyBorder="1"/>
    <xf numFmtId="3" fontId="7" fillId="0" borderId="49" xfId="0" applyNumberFormat="1" applyFont="1" applyBorder="1"/>
    <xf numFmtId="3" fontId="9" fillId="0" borderId="51" xfId="0" applyNumberFormat="1" applyFont="1" applyBorder="1"/>
    <xf numFmtId="0" fontId="25" fillId="0" borderId="38" xfId="0" applyFont="1" applyBorder="1"/>
    <xf numFmtId="4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3" fontId="25" fillId="0" borderId="38" xfId="0" applyNumberFormat="1" applyFont="1" applyBorder="1"/>
    <xf numFmtId="3" fontId="15" fillId="0" borderId="38" xfId="0" applyNumberFormat="1" applyFont="1" applyBorder="1"/>
    <xf numFmtId="3" fontId="25" fillId="0" borderId="39" xfId="0" applyNumberFormat="1" applyFont="1" applyBorder="1"/>
    <xf numFmtId="3" fontId="20" fillId="0" borderId="19" xfId="0" applyNumberFormat="1" applyFont="1" applyBorder="1"/>
    <xf numFmtId="0" fontId="25" fillId="0" borderId="52" xfId="0" applyFont="1" applyBorder="1"/>
    <xf numFmtId="3" fontId="25" fillId="0" borderId="48" xfId="0" applyNumberFormat="1" applyFont="1" applyBorder="1"/>
    <xf numFmtId="0" fontId="25" fillId="0" borderId="49" xfId="0" applyFont="1" applyBorder="1" applyAlignment="1">
      <alignment wrapText="1"/>
    </xf>
    <xf numFmtId="3" fontId="25" fillId="0" borderId="46" xfId="0" applyNumberFormat="1" applyFont="1" applyBorder="1"/>
    <xf numFmtId="0" fontId="25" fillId="0" borderId="7" xfId="0" applyFont="1" applyBorder="1"/>
    <xf numFmtId="0" fontId="25" fillId="0" borderId="5" xfId="0" applyFont="1" applyBorder="1" applyAlignment="1">
      <alignment horizontal="left" vertical="center" wrapText="1"/>
    </xf>
    <xf numFmtId="3" fontId="23" fillId="4" borderId="22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center"/>
    </xf>
    <xf numFmtId="0" fontId="13" fillId="7" borderId="53" xfId="0" applyFont="1" applyFill="1" applyBorder="1"/>
    <xf numFmtId="3" fontId="13" fillId="7" borderId="53" xfId="0" applyNumberFormat="1" applyFont="1" applyFill="1" applyBorder="1"/>
    <xf numFmtId="3" fontId="6" fillId="7" borderId="53" xfId="0" applyNumberFormat="1" applyFont="1" applyFill="1" applyBorder="1"/>
    <xf numFmtId="0" fontId="15" fillId="0" borderId="13" xfId="0" applyFont="1" applyBorder="1" applyAlignment="1">
      <alignment vertical="center"/>
    </xf>
    <xf numFmtId="3" fontId="15" fillId="0" borderId="19" xfId="0" applyNumberFormat="1" applyFont="1" applyBorder="1"/>
    <xf numFmtId="3" fontId="15" fillId="0" borderId="35" xfId="0" applyNumberFormat="1" applyFont="1" applyBorder="1"/>
    <xf numFmtId="0" fontId="8" fillId="0" borderId="49" xfId="0" applyFont="1" applyBorder="1" applyAlignment="1">
      <alignment horizontal="center"/>
    </xf>
    <xf numFmtId="3" fontId="8" fillId="0" borderId="49" xfId="0" applyNumberFormat="1" applyFont="1" applyBorder="1"/>
    <xf numFmtId="3" fontId="6" fillId="0" borderId="49" xfId="0" applyNumberFormat="1" applyFont="1" applyBorder="1"/>
    <xf numFmtId="49" fontId="9" fillId="0" borderId="49" xfId="0" applyNumberFormat="1" applyFont="1" applyBorder="1" applyAlignment="1">
      <alignment horizontal="center"/>
    </xf>
    <xf numFmtId="3" fontId="15" fillId="0" borderId="48" xfId="0" applyNumberFormat="1" applyFont="1" applyBorder="1"/>
    <xf numFmtId="0" fontId="23" fillId="4" borderId="49" xfId="0" applyFont="1" applyFill="1" applyBorder="1"/>
    <xf numFmtId="3" fontId="23" fillId="4" borderId="49" xfId="0" applyNumberFormat="1" applyFont="1" applyFill="1" applyBorder="1"/>
    <xf numFmtId="3" fontId="24" fillId="4" borderId="49" xfId="0" applyNumberFormat="1" applyFont="1" applyFill="1" applyBorder="1"/>
    <xf numFmtId="3" fontId="20" fillId="4" borderId="5" xfId="0" applyNumberFormat="1" applyFont="1" applyFill="1" applyBorder="1"/>
    <xf numFmtId="3" fontId="8" fillId="5" borderId="5" xfId="0" applyNumberFormat="1" applyFont="1" applyFill="1" applyBorder="1"/>
    <xf numFmtId="3" fontId="13" fillId="5" borderId="5" xfId="0" applyNumberFormat="1" applyFont="1" applyFill="1" applyBorder="1"/>
    <xf numFmtId="3" fontId="30" fillId="4" borderId="5" xfId="0" applyNumberFormat="1" applyFont="1" applyFill="1" applyBorder="1"/>
    <xf numFmtId="3" fontId="8" fillId="15" borderId="5" xfId="0" applyNumberFormat="1" applyFont="1" applyFill="1" applyBorder="1"/>
    <xf numFmtId="3" fontId="8" fillId="0" borderId="7" xfId="0" applyNumberFormat="1" applyFont="1" applyBorder="1"/>
    <xf numFmtId="3" fontId="25" fillId="0" borderId="7" xfId="0" applyNumberFormat="1" applyFont="1" applyBorder="1"/>
    <xf numFmtId="3" fontId="30" fillId="4" borderId="49" xfId="0" applyNumberFormat="1" applyFont="1" applyFill="1" applyBorder="1"/>
    <xf numFmtId="3" fontId="20" fillId="4" borderId="38" xfId="0" applyNumberFormat="1" applyFont="1" applyFill="1" applyBorder="1"/>
    <xf numFmtId="3" fontId="4" fillId="0" borderId="5" xfId="0" applyNumberFormat="1" applyFont="1" applyBorder="1"/>
    <xf numFmtId="3" fontId="27" fillId="10" borderId="26" xfId="0" applyNumberFormat="1" applyFont="1" applyFill="1" applyBorder="1" applyAlignment="1">
      <alignment horizontal="center" vertical="center" wrapText="1"/>
    </xf>
    <xf numFmtId="3" fontId="10" fillId="10" borderId="0" xfId="0" applyNumberFormat="1" applyFont="1" applyFill="1"/>
    <xf numFmtId="0" fontId="9" fillId="0" borderId="54" xfId="0" applyFont="1" applyBorder="1"/>
    <xf numFmtId="3" fontId="6" fillId="0" borderId="55" xfId="0" applyNumberFormat="1" applyFont="1" applyBorder="1"/>
    <xf numFmtId="3" fontId="8" fillId="0" borderId="56" xfId="0" applyNumberFormat="1" applyFont="1" applyBorder="1"/>
    <xf numFmtId="3" fontId="15" fillId="0" borderId="42" xfId="0" applyNumberFormat="1" applyFont="1" applyBorder="1"/>
    <xf numFmtId="3" fontId="25" fillId="0" borderId="43" xfId="0" applyNumberFormat="1" applyFont="1" applyBorder="1"/>
    <xf numFmtId="0" fontId="9" fillId="10" borderId="5" xfId="0" applyFont="1" applyFill="1" applyBorder="1" applyAlignment="1">
      <alignment horizontal="center"/>
    </xf>
    <xf numFmtId="0" fontId="9" fillId="10" borderId="5" xfId="0" applyFont="1" applyFill="1" applyBorder="1"/>
    <xf numFmtId="3" fontId="7" fillId="10" borderId="5" xfId="0" applyNumberFormat="1" applyFont="1" applyFill="1" applyBorder="1"/>
    <xf numFmtId="3" fontId="9" fillId="10" borderId="22" xfId="0" applyNumberFormat="1" applyFont="1" applyFill="1" applyBorder="1"/>
    <xf numFmtId="3" fontId="9" fillId="10" borderId="55" xfId="0" applyNumberFormat="1" applyFont="1" applyFill="1" applyBorder="1"/>
    <xf numFmtId="3" fontId="9" fillId="10" borderId="12" xfId="0" applyNumberFormat="1" applyFont="1" applyFill="1" applyBorder="1" applyAlignment="1">
      <alignment vertical="center"/>
    </xf>
    <xf numFmtId="3" fontId="25" fillId="0" borderId="0" xfId="0" applyNumberFormat="1" applyFont="1"/>
    <xf numFmtId="0" fontId="10" fillId="0" borderId="57" xfId="0" applyFont="1" applyBorder="1"/>
    <xf numFmtId="0" fontId="10" fillId="0" borderId="50" xfId="0" applyFont="1" applyBorder="1"/>
    <xf numFmtId="0" fontId="9" fillId="0" borderId="50" xfId="0" applyFont="1" applyBorder="1" applyAlignment="1">
      <alignment horizontal="center"/>
    </xf>
    <xf numFmtId="0" fontId="9" fillId="0" borderId="50" xfId="0" applyFont="1" applyBorder="1"/>
    <xf numFmtId="3" fontId="8" fillId="0" borderId="50" xfId="0" applyNumberFormat="1" applyFont="1" applyBorder="1"/>
    <xf numFmtId="0" fontId="10" fillId="0" borderId="58" xfId="0" applyFont="1" applyBorder="1"/>
    <xf numFmtId="0" fontId="10" fillId="0" borderId="10" xfId="0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3" fontId="9" fillId="0" borderId="10" xfId="0" applyNumberFormat="1" applyFont="1" applyBorder="1"/>
    <xf numFmtId="0" fontId="23" fillId="4" borderId="59" xfId="0" applyFont="1" applyFill="1" applyBorder="1"/>
    <xf numFmtId="3" fontId="23" fillId="4" borderId="4" xfId="0" applyNumberFormat="1" applyFont="1" applyFill="1" applyBorder="1"/>
    <xf numFmtId="3" fontId="24" fillId="4" borderId="4" xfId="0" applyNumberFormat="1" applyFont="1" applyFill="1" applyBorder="1"/>
    <xf numFmtId="3" fontId="23" fillId="4" borderId="60" xfId="0" applyNumberFormat="1" applyFont="1" applyFill="1" applyBorder="1"/>
    <xf numFmtId="3" fontId="25" fillId="0" borderId="61" xfId="0" applyNumberFormat="1" applyFont="1" applyBorder="1"/>
    <xf numFmtId="0" fontId="15" fillId="0" borderId="62" xfId="0" applyFont="1" applyBorder="1"/>
    <xf numFmtId="0" fontId="15" fillId="0" borderId="63" xfId="0" applyFont="1" applyBorder="1"/>
    <xf numFmtId="0" fontId="25" fillId="0" borderId="63" xfId="0" applyFont="1" applyBorder="1" applyAlignment="1">
      <alignment horizontal="center"/>
    </xf>
    <xf numFmtId="0" fontId="25" fillId="0" borderId="63" xfId="0" applyFont="1" applyBorder="1"/>
    <xf numFmtId="0" fontId="25" fillId="0" borderId="64" xfId="0" applyFont="1" applyBorder="1" applyAlignment="1">
      <alignment horizontal="center"/>
    </xf>
    <xf numFmtId="0" fontId="25" fillId="0" borderId="6" xfId="0" applyFont="1" applyBorder="1"/>
    <xf numFmtId="3" fontId="25" fillId="0" borderId="65" xfId="0" applyNumberFormat="1" applyFont="1" applyBorder="1"/>
    <xf numFmtId="0" fontId="25" fillId="0" borderId="13" xfId="0" applyFont="1" applyBorder="1" applyAlignment="1">
      <alignment horizontal="center"/>
    </xf>
    <xf numFmtId="3" fontId="25" fillId="0" borderId="66" xfId="0" applyNumberFormat="1" applyFont="1" applyBorder="1"/>
    <xf numFmtId="0" fontId="25" fillId="0" borderId="67" xfId="0" applyFont="1" applyBorder="1" applyAlignment="1">
      <alignment horizontal="center"/>
    </xf>
    <xf numFmtId="0" fontId="25" fillId="0" borderId="68" xfId="0" applyFont="1" applyBorder="1"/>
    <xf numFmtId="3" fontId="25" fillId="0" borderId="69" xfId="0" applyNumberFormat="1" applyFont="1" applyBorder="1"/>
    <xf numFmtId="0" fontId="25" fillId="0" borderId="13" xfId="0" applyFont="1" applyBorder="1" applyAlignment="1">
      <alignment horizontal="center" vertical="center"/>
    </xf>
    <xf numFmtId="0" fontId="25" fillId="10" borderId="7" xfId="0" applyFont="1" applyFill="1" applyBorder="1" applyAlignment="1">
      <alignment vertical="center" wrapText="1"/>
    </xf>
    <xf numFmtId="3" fontId="25" fillId="0" borderId="66" xfId="0" applyNumberFormat="1" applyFont="1" applyBorder="1" applyAlignment="1">
      <alignment vertical="center"/>
    </xf>
    <xf numFmtId="0" fontId="9" fillId="0" borderId="42" xfId="0" applyFont="1" applyBorder="1"/>
    <xf numFmtId="49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5" fillId="0" borderId="42" xfId="0" applyFont="1" applyBorder="1"/>
    <xf numFmtId="3" fontId="9" fillId="0" borderId="42" xfId="0" applyNumberFormat="1" applyFont="1" applyBorder="1"/>
    <xf numFmtId="3" fontId="7" fillId="0" borderId="42" xfId="0" applyNumberFormat="1" applyFont="1" applyBorder="1"/>
    <xf numFmtId="3" fontId="9" fillId="0" borderId="43" xfId="0" applyNumberFormat="1" applyFont="1" applyBorder="1"/>
    <xf numFmtId="0" fontId="8" fillId="0" borderId="46" xfId="0" applyFont="1" applyBorder="1"/>
    <xf numFmtId="49" fontId="8" fillId="0" borderId="46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5" fillId="0" borderId="46" xfId="0" applyFont="1" applyBorder="1"/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70" xfId="0" applyNumberFormat="1" applyFont="1" applyFill="1" applyBorder="1" applyAlignment="1">
      <alignment horizontal="center" vertical="center" wrapText="1"/>
    </xf>
    <xf numFmtId="3" fontId="6" fillId="10" borderId="26" xfId="0" applyNumberFormat="1" applyFont="1" applyFill="1" applyBorder="1" applyAlignment="1">
      <alignment horizontal="center" vertical="center" wrapText="1"/>
    </xf>
    <xf numFmtId="3" fontId="6" fillId="10" borderId="29" xfId="0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/>
    <xf numFmtId="3" fontId="5" fillId="10" borderId="3" xfId="0" applyNumberFormat="1" applyFont="1" applyFill="1" applyBorder="1" applyAlignment="1">
      <alignment vertical="center"/>
    </xf>
    <xf numFmtId="3" fontId="14" fillId="10" borderId="4" xfId="0" applyNumberFormat="1" applyFont="1" applyFill="1" applyBorder="1"/>
    <xf numFmtId="3" fontId="14" fillId="10" borderId="5" xfId="0" applyNumberFormat="1" applyFont="1" applyFill="1" applyBorder="1"/>
    <xf numFmtId="3" fontId="8" fillId="10" borderId="5" xfId="0" applyNumberFormat="1" applyFont="1" applyFill="1" applyBorder="1"/>
    <xf numFmtId="3" fontId="9" fillId="10" borderId="6" xfId="0" applyNumberFormat="1" applyFont="1" applyFill="1" applyBorder="1"/>
    <xf numFmtId="3" fontId="13" fillId="10" borderId="8" xfId="0" applyNumberFormat="1" applyFont="1" applyFill="1" applyBorder="1"/>
    <xf numFmtId="3" fontId="5" fillId="10" borderId="9" xfId="0" applyNumberFormat="1" applyFont="1" applyFill="1" applyBorder="1"/>
    <xf numFmtId="3" fontId="14" fillId="10" borderId="10" xfId="0" applyNumberFormat="1" applyFont="1" applyFill="1" applyBorder="1"/>
    <xf numFmtId="3" fontId="14" fillId="10" borderId="7" xfId="0" applyNumberFormat="1" applyFont="1" applyFill="1" applyBorder="1"/>
    <xf numFmtId="3" fontId="9" fillId="10" borderId="8" xfId="0" applyNumberFormat="1" applyFont="1" applyFill="1" applyBorder="1"/>
    <xf numFmtId="3" fontId="14" fillId="10" borderId="7" xfId="0" applyNumberFormat="1" applyFont="1" applyFill="1" applyBorder="1" applyAlignment="1">
      <alignment vertical="center"/>
    </xf>
    <xf numFmtId="3" fontId="5" fillId="10" borderId="11" xfId="0" applyNumberFormat="1" applyFont="1" applyFill="1" applyBorder="1"/>
    <xf numFmtId="3" fontId="9" fillId="10" borderId="12" xfId="0" applyNumberFormat="1" applyFont="1" applyFill="1" applyBorder="1"/>
    <xf numFmtId="3" fontId="41" fillId="10" borderId="7" xfId="0" applyNumberFormat="1" applyFont="1" applyFill="1" applyBorder="1" applyAlignment="1">
      <alignment vertical="center"/>
    </xf>
    <xf numFmtId="3" fontId="7" fillId="10" borderId="8" xfId="0" applyNumberFormat="1" applyFont="1" applyFill="1" applyBorder="1" applyAlignment="1">
      <alignment vertical="center"/>
    </xf>
    <xf numFmtId="3" fontId="9" fillId="10" borderId="10" xfId="0" applyNumberFormat="1" applyFont="1" applyFill="1" applyBorder="1" applyAlignment="1">
      <alignment vertical="center"/>
    </xf>
    <xf numFmtId="3" fontId="9" fillId="10" borderId="8" xfId="0" applyNumberFormat="1" applyFont="1" applyFill="1" applyBorder="1" applyAlignment="1">
      <alignment vertical="center"/>
    </xf>
    <xf numFmtId="3" fontId="9" fillId="10" borderId="15" xfId="0" applyNumberFormat="1" applyFont="1" applyFill="1" applyBorder="1" applyAlignment="1">
      <alignment vertical="center"/>
    </xf>
    <xf numFmtId="3" fontId="5" fillId="10" borderId="11" xfId="0" applyNumberFormat="1" applyFont="1" applyFill="1" applyBorder="1" applyAlignment="1">
      <alignment vertical="center"/>
    </xf>
    <xf numFmtId="3" fontId="8" fillId="10" borderId="7" xfId="0" applyNumberFormat="1" applyFont="1" applyFill="1" applyBorder="1" applyAlignment="1">
      <alignment vertical="center"/>
    </xf>
    <xf numFmtId="3" fontId="17" fillId="10" borderId="17" xfId="0" applyNumberFormat="1" applyFont="1" applyFill="1" applyBorder="1" applyAlignment="1">
      <alignment vertical="center"/>
    </xf>
    <xf numFmtId="3" fontId="6" fillId="10" borderId="31" xfId="0" applyNumberFormat="1" applyFont="1" applyFill="1" applyBorder="1" applyAlignment="1">
      <alignment horizontal="center" vertical="center" wrapText="1"/>
    </xf>
    <xf numFmtId="3" fontId="13" fillId="10" borderId="53" xfId="0" applyNumberFormat="1" applyFont="1" applyFill="1" applyBorder="1"/>
    <xf numFmtId="3" fontId="5" fillId="10" borderId="3" xfId="0" applyNumberFormat="1" applyFont="1" applyFill="1" applyBorder="1"/>
    <xf numFmtId="3" fontId="9" fillId="10" borderId="19" xfId="0" applyNumberFormat="1" applyFont="1" applyFill="1" applyBorder="1"/>
    <xf numFmtId="3" fontId="13" fillId="10" borderId="19" xfId="0" applyNumberFormat="1" applyFont="1" applyFill="1" applyBorder="1"/>
    <xf numFmtId="3" fontId="9" fillId="10" borderId="5" xfId="0" applyNumberFormat="1" applyFont="1" applyFill="1" applyBorder="1" applyAlignment="1">
      <alignment vertical="center"/>
    </xf>
    <xf numFmtId="3" fontId="9" fillId="10" borderId="4" xfId="0" applyNumberFormat="1" applyFont="1" applyFill="1" applyBorder="1" applyAlignment="1">
      <alignment vertical="center"/>
    </xf>
    <xf numFmtId="3" fontId="16" fillId="10" borderId="21" xfId="0" applyNumberFormat="1" applyFont="1" applyFill="1" applyBorder="1" applyAlignment="1">
      <alignment vertical="center"/>
    </xf>
    <xf numFmtId="3" fontId="16" fillId="10" borderId="5" xfId="0" applyNumberFormat="1" applyFont="1" applyFill="1" applyBorder="1" applyAlignment="1">
      <alignment vertical="center"/>
    </xf>
    <xf numFmtId="3" fontId="39" fillId="10" borderId="21" xfId="0" applyNumberFormat="1" applyFont="1" applyFill="1" applyBorder="1"/>
    <xf numFmtId="3" fontId="33" fillId="12" borderId="5" xfId="0" applyNumberFormat="1" applyFont="1" applyFill="1" applyBorder="1" applyAlignment="1">
      <alignment vertical="center"/>
    </xf>
    <xf numFmtId="3" fontId="42" fillId="13" borderId="21" xfId="0" applyNumberFormat="1" applyFont="1" applyFill="1" applyBorder="1"/>
    <xf numFmtId="3" fontId="17" fillId="3" borderId="21" xfId="0" applyNumberFormat="1" applyFont="1" applyFill="1" applyBorder="1" applyAlignment="1">
      <alignment vertical="center"/>
    </xf>
    <xf numFmtId="3" fontId="21" fillId="10" borderId="5" xfId="0" applyNumberFormat="1" applyFont="1" applyFill="1" applyBorder="1" applyAlignment="1">
      <alignment vertical="center"/>
    </xf>
    <xf numFmtId="3" fontId="23" fillId="10" borderId="5" xfId="0" applyNumberFormat="1" applyFont="1" applyFill="1" applyBorder="1"/>
    <xf numFmtId="3" fontId="5" fillId="10" borderId="5" xfId="0" applyNumberFormat="1" applyFont="1" applyFill="1" applyBorder="1"/>
    <xf numFmtId="3" fontId="25" fillId="10" borderId="5" xfId="0" applyNumberFormat="1" applyFont="1" applyFill="1" applyBorder="1"/>
    <xf numFmtId="3" fontId="25" fillId="10" borderId="5" xfId="0" applyNumberFormat="1" applyFont="1" applyFill="1" applyBorder="1" applyAlignment="1">
      <alignment vertical="center"/>
    </xf>
    <xf numFmtId="3" fontId="25" fillId="10" borderId="48" xfId="0" applyNumberFormat="1" applyFont="1" applyFill="1" applyBorder="1"/>
    <xf numFmtId="3" fontId="25" fillId="10" borderId="49" xfId="0" applyNumberFormat="1" applyFont="1" applyFill="1" applyBorder="1"/>
    <xf numFmtId="3" fontId="23" fillId="10" borderId="4" xfId="0" applyNumberFormat="1" applyFont="1" applyFill="1" applyBorder="1"/>
    <xf numFmtId="3" fontId="23" fillId="10" borderId="21" xfId="0" applyNumberFormat="1" applyFont="1" applyFill="1" applyBorder="1"/>
    <xf numFmtId="3" fontId="15" fillId="10" borderId="5" xfId="0" applyNumberFormat="1" applyFont="1" applyFill="1" applyBorder="1"/>
    <xf numFmtId="3" fontId="15" fillId="10" borderId="21" xfId="0" applyNumberFormat="1" applyFont="1" applyFill="1" applyBorder="1"/>
    <xf numFmtId="3" fontId="25" fillId="10" borderId="21" xfId="0" applyNumberFormat="1" applyFont="1" applyFill="1" applyBorder="1"/>
    <xf numFmtId="3" fontId="21" fillId="10" borderId="26" xfId="0" applyNumberFormat="1" applyFont="1" applyFill="1" applyBorder="1" applyAlignment="1">
      <alignment vertical="center"/>
    </xf>
    <xf numFmtId="3" fontId="23" fillId="10" borderId="26" xfId="0" applyNumberFormat="1" applyFont="1" applyFill="1" applyBorder="1"/>
    <xf numFmtId="3" fontId="8" fillId="10" borderId="26" xfId="0" applyNumberFormat="1" applyFont="1" applyFill="1" applyBorder="1"/>
    <xf numFmtId="3" fontId="9" fillId="10" borderId="26" xfId="0" applyNumberFormat="1" applyFont="1" applyFill="1" applyBorder="1"/>
    <xf numFmtId="3" fontId="5" fillId="10" borderId="26" xfId="0" applyNumberFormat="1" applyFont="1" applyFill="1" applyBorder="1"/>
    <xf numFmtId="3" fontId="25" fillId="10" borderId="26" xfId="0" applyNumberFormat="1" applyFont="1" applyFill="1" applyBorder="1"/>
    <xf numFmtId="3" fontId="25" fillId="10" borderId="26" xfId="0" applyNumberFormat="1" applyFont="1" applyFill="1" applyBorder="1" applyAlignment="1">
      <alignment vertical="center"/>
    </xf>
    <xf numFmtId="3" fontId="9" fillId="10" borderId="29" xfId="0" applyNumberFormat="1" applyFont="1" applyFill="1" applyBorder="1"/>
    <xf numFmtId="3" fontId="25" fillId="10" borderId="31" xfId="0" applyNumberFormat="1" applyFont="1" applyFill="1" applyBorder="1"/>
    <xf numFmtId="3" fontId="25" fillId="10" borderId="19" xfId="0" applyNumberFormat="1" applyFont="1" applyFill="1" applyBorder="1"/>
    <xf numFmtId="3" fontId="25" fillId="10" borderId="35" xfId="0" applyNumberFormat="1" applyFont="1" applyFill="1" applyBorder="1"/>
    <xf numFmtId="3" fontId="20" fillId="10" borderId="5" xfId="0" applyNumberFormat="1" applyFont="1" applyFill="1" applyBorder="1"/>
    <xf numFmtId="3" fontId="8" fillId="10" borderId="49" xfId="0" applyNumberFormat="1" applyFont="1" applyFill="1" applyBorder="1"/>
    <xf numFmtId="3" fontId="9" fillId="10" borderId="49" xfId="0" applyNumberFormat="1" applyFont="1" applyFill="1" applyBorder="1"/>
    <xf numFmtId="3" fontId="25" fillId="10" borderId="38" xfId="0" applyNumberFormat="1" applyFont="1" applyFill="1" applyBorder="1"/>
    <xf numFmtId="3" fontId="9" fillId="10" borderId="42" xfId="0" applyNumberFormat="1" applyFont="1" applyFill="1" applyBorder="1"/>
    <xf numFmtId="3" fontId="8" fillId="10" borderId="0" xfId="0" applyNumberFormat="1" applyFont="1" applyFill="1"/>
    <xf numFmtId="3" fontId="23" fillId="10" borderId="49" xfId="0" applyNumberFormat="1" applyFont="1" applyFill="1" applyBorder="1"/>
    <xf numFmtId="3" fontId="25" fillId="10" borderId="46" xfId="0" applyNumberFormat="1" applyFont="1" applyFill="1" applyBorder="1"/>
    <xf numFmtId="3" fontId="8" fillId="10" borderId="19" xfId="0" applyNumberFormat="1" applyFont="1" applyFill="1" applyBorder="1"/>
    <xf numFmtId="3" fontId="23" fillId="10" borderId="38" xfId="0" applyNumberFormat="1" applyFont="1" applyFill="1" applyBorder="1"/>
    <xf numFmtId="3" fontId="8" fillId="10" borderId="42" xfId="0" applyNumberFormat="1" applyFont="1" applyFill="1" applyBorder="1"/>
    <xf numFmtId="3" fontId="15" fillId="10" borderId="5" xfId="0" applyNumberFormat="1" applyFont="1" applyFill="1" applyBorder="1" applyAlignment="1">
      <alignment vertical="center"/>
    </xf>
    <xf numFmtId="3" fontId="20" fillId="10" borderId="71" xfId="0" applyNumberFormat="1" applyFont="1" applyFill="1" applyBorder="1" applyAlignment="1">
      <alignment horizontal="center"/>
    </xf>
    <xf numFmtId="3" fontId="8" fillId="10" borderId="55" xfId="0" applyNumberFormat="1" applyFont="1" applyFill="1" applyBorder="1"/>
    <xf numFmtId="3" fontId="25" fillId="10" borderId="42" xfId="0" applyNumberFormat="1" applyFont="1" applyFill="1" applyBorder="1"/>
    <xf numFmtId="3" fontId="15" fillId="10" borderId="46" xfId="0" applyNumberFormat="1" applyFont="1" applyFill="1" applyBorder="1"/>
    <xf numFmtId="49" fontId="8" fillId="10" borderId="5" xfId="0" applyNumberFormat="1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10" borderId="5" xfId="0" applyFont="1" applyFill="1" applyBorder="1"/>
    <xf numFmtId="3" fontId="6" fillId="10" borderId="5" xfId="0" applyNumberFormat="1" applyFont="1" applyFill="1" applyBorder="1"/>
    <xf numFmtId="0" fontId="9" fillId="10" borderId="72" xfId="0" applyFont="1" applyFill="1" applyBorder="1"/>
    <xf numFmtId="3" fontId="9" fillId="10" borderId="72" xfId="0" applyNumberFormat="1" applyFont="1" applyFill="1" applyBorder="1"/>
    <xf numFmtId="0" fontId="9" fillId="0" borderId="73" xfId="0" applyFont="1" applyBorder="1"/>
    <xf numFmtId="3" fontId="9" fillId="0" borderId="73" xfId="0" applyNumberFormat="1" applyFont="1" applyBorder="1"/>
    <xf numFmtId="3" fontId="9" fillId="10" borderId="73" xfId="0" applyNumberFormat="1" applyFont="1" applyFill="1" applyBorder="1"/>
    <xf numFmtId="3" fontId="7" fillId="0" borderId="73" xfId="0" applyNumberFormat="1" applyFont="1" applyBorder="1"/>
    <xf numFmtId="0" fontId="15" fillId="23" borderId="4" xfId="0" applyFont="1" applyFill="1" applyBorder="1"/>
    <xf numFmtId="0" fontId="9" fillId="23" borderId="4" xfId="0" applyFont="1" applyFill="1" applyBorder="1" applyAlignment="1">
      <alignment vertical="center" wrapText="1"/>
    </xf>
    <xf numFmtId="3" fontId="9" fillId="23" borderId="4" xfId="0" applyNumberFormat="1" applyFont="1" applyFill="1" applyBorder="1" applyAlignment="1">
      <alignment vertical="center"/>
    </xf>
    <xf numFmtId="3" fontId="7" fillId="23" borderId="4" xfId="0" applyNumberFormat="1" applyFont="1" applyFill="1" applyBorder="1" applyAlignment="1">
      <alignment vertical="center"/>
    </xf>
    <xf numFmtId="0" fontId="25" fillId="0" borderId="74" xfId="0" applyFont="1" applyBorder="1" applyAlignment="1">
      <alignment horizontal="center"/>
    </xf>
    <xf numFmtId="0" fontId="25" fillId="0" borderId="75" xfId="0" applyFont="1" applyBorder="1"/>
    <xf numFmtId="3" fontId="25" fillId="0" borderId="76" xfId="0" applyNumberFormat="1" applyFont="1" applyBorder="1"/>
    <xf numFmtId="0" fontId="25" fillId="0" borderId="0" xfId="0" applyFont="1" applyAlignment="1">
      <alignment wrapText="1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15" borderId="5" xfId="0" applyFont="1" applyFill="1" applyBorder="1"/>
    <xf numFmtId="166" fontId="10" fillId="0" borderId="0" xfId="0" applyNumberFormat="1" applyFont="1"/>
    <xf numFmtId="3" fontId="9" fillId="0" borderId="77" xfId="0" applyNumberFormat="1" applyFont="1" applyBorder="1"/>
    <xf numFmtId="3" fontId="25" fillId="10" borderId="7" xfId="0" applyNumberFormat="1" applyFont="1" applyFill="1" applyBorder="1"/>
    <xf numFmtId="3" fontId="8" fillId="0" borderId="77" xfId="0" applyNumberFormat="1" applyFont="1" applyBorder="1"/>
    <xf numFmtId="3" fontId="25" fillId="0" borderId="77" xfId="0" applyNumberFormat="1" applyFont="1" applyBorder="1"/>
    <xf numFmtId="3" fontId="8" fillId="0" borderId="10" xfId="0" applyNumberFormat="1" applyFont="1" applyBorder="1"/>
    <xf numFmtId="3" fontId="9" fillId="10" borderId="10" xfId="0" applyNumberFormat="1" applyFont="1" applyFill="1" applyBorder="1"/>
    <xf numFmtId="3" fontId="9" fillId="0" borderId="78" xfId="0" applyNumberFormat="1" applyFont="1" applyBorder="1"/>
    <xf numFmtId="3" fontId="9" fillId="0" borderId="50" xfId="0" applyNumberFormat="1" applyFont="1" applyBorder="1"/>
    <xf numFmtId="3" fontId="9" fillId="10" borderId="50" xfId="0" applyNumberFormat="1" applyFont="1" applyFill="1" applyBorder="1"/>
    <xf numFmtId="3" fontId="9" fillId="0" borderId="79" xfId="0" applyNumberFormat="1" applyFont="1" applyBorder="1"/>
    <xf numFmtId="4" fontId="10" fillId="0" borderId="0" xfId="0" applyNumberFormat="1" applyFont="1"/>
    <xf numFmtId="3" fontId="25" fillId="0" borderId="80" xfId="0" applyNumberFormat="1" applyFont="1" applyBorder="1" applyAlignment="1">
      <alignment vertical="center"/>
    </xf>
    <xf numFmtId="3" fontId="25" fillId="0" borderId="78" xfId="0" applyNumberFormat="1" applyFont="1" applyBorder="1" applyAlignment="1">
      <alignment vertical="center"/>
    </xf>
    <xf numFmtId="3" fontId="25" fillId="0" borderId="8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5" fillId="0" borderId="7" xfId="0" applyNumberFormat="1" applyFont="1" applyBorder="1" applyAlignment="1">
      <alignment vertical="center"/>
    </xf>
    <xf numFmtId="3" fontId="25" fillId="10" borderId="7" xfId="0" applyNumberFormat="1" applyFont="1" applyFill="1" applyBorder="1" applyAlignment="1">
      <alignment vertical="center"/>
    </xf>
    <xf numFmtId="3" fontId="25" fillId="0" borderId="97" xfId="0" applyNumberFormat="1" applyFont="1" applyBorder="1"/>
    <xf numFmtId="3" fontId="25" fillId="0" borderId="97" xfId="0" applyNumberFormat="1" applyFont="1" applyBorder="1" applyAlignment="1">
      <alignment vertical="center"/>
    </xf>
    <xf numFmtId="3" fontId="6" fillId="0" borderId="97" xfId="0" applyNumberFormat="1" applyFont="1" applyBorder="1" applyAlignment="1">
      <alignment horizontal="center" vertical="center" wrapText="1"/>
    </xf>
    <xf numFmtId="3" fontId="21" fillId="0" borderId="97" xfId="0" applyNumberFormat="1" applyFont="1" applyBorder="1" applyAlignment="1">
      <alignment vertical="center"/>
    </xf>
    <xf numFmtId="3" fontId="23" fillId="0" borderId="97" xfId="0" applyNumberFormat="1" applyFont="1" applyBorder="1"/>
    <xf numFmtId="3" fontId="5" fillId="0" borderId="97" xfId="0" applyNumberFormat="1" applyFont="1" applyBorder="1"/>
    <xf numFmtId="3" fontId="8" fillId="0" borderId="97" xfId="0" applyNumberFormat="1" applyFont="1" applyBorder="1"/>
    <xf numFmtId="3" fontId="9" fillId="0" borderId="97" xfId="0" applyNumberFormat="1" applyFont="1" applyBorder="1"/>
    <xf numFmtId="3" fontId="15" fillId="0" borderId="97" xfId="0" applyNumberFormat="1" applyFont="1" applyBorder="1"/>
    <xf numFmtId="3" fontId="21" fillId="0" borderId="98" xfId="0" applyNumberFormat="1" applyFont="1" applyBorder="1" applyAlignment="1">
      <alignment vertical="center"/>
    </xf>
    <xf numFmtId="3" fontId="23" fillId="0" borderId="98" xfId="0" applyNumberFormat="1" applyFont="1" applyBorder="1"/>
    <xf numFmtId="3" fontId="8" fillId="0" borderId="98" xfId="0" applyNumberFormat="1" applyFont="1" applyBorder="1"/>
    <xf numFmtId="3" fontId="9" fillId="0" borderId="98" xfId="0" applyNumberFormat="1" applyFont="1" applyBorder="1"/>
    <xf numFmtId="3" fontId="5" fillId="0" borderId="98" xfId="0" applyNumberFormat="1" applyFont="1" applyBorder="1"/>
    <xf numFmtId="3" fontId="25" fillId="0" borderId="98" xfId="0" applyNumberFormat="1" applyFont="1" applyBorder="1"/>
    <xf numFmtId="3" fontId="15" fillId="0" borderId="97" xfId="0" applyNumberFormat="1" applyFont="1" applyBorder="1" applyAlignment="1">
      <alignment vertical="center"/>
    </xf>
    <xf numFmtId="3" fontId="9" fillId="0" borderId="99" xfId="0" applyNumberFormat="1" applyFont="1" applyBorder="1"/>
    <xf numFmtId="3" fontId="25" fillId="0" borderId="99" xfId="0" applyNumberFormat="1" applyFont="1" applyBorder="1" applyAlignment="1">
      <alignment vertical="center"/>
    </xf>
    <xf numFmtId="3" fontId="25" fillId="0" borderId="99" xfId="0" applyNumberFormat="1" applyFont="1" applyBorder="1"/>
    <xf numFmtId="3" fontId="6" fillId="0" borderId="101" xfId="0" applyNumberFormat="1" applyFont="1" applyBorder="1" applyAlignment="1">
      <alignment horizontal="center" vertical="center" wrapText="1"/>
    </xf>
    <xf numFmtId="0" fontId="44" fillId="0" borderId="0" xfId="0" applyFont="1"/>
    <xf numFmtId="3" fontId="46" fillId="0" borderId="101" xfId="0" applyNumberFormat="1" applyFont="1" applyBorder="1" applyAlignment="1">
      <alignment horizontal="center" vertical="center" wrapText="1"/>
    </xf>
    <xf numFmtId="3" fontId="47" fillId="0" borderId="5" xfId="0" applyNumberFormat="1" applyFont="1" applyBorder="1"/>
    <xf numFmtId="3" fontId="47" fillId="0" borderId="7" xfId="0" applyNumberFormat="1" applyFont="1" applyBorder="1"/>
    <xf numFmtId="3" fontId="48" fillId="9" borderId="7" xfId="0" applyNumberFormat="1" applyFont="1" applyFill="1" applyBorder="1" applyAlignment="1">
      <alignment vertical="center"/>
    </xf>
    <xf numFmtId="9" fontId="10" fillId="0" borderId="0" xfId="0" applyNumberFormat="1" applyFont="1"/>
    <xf numFmtId="3" fontId="4" fillId="7" borderId="29" xfId="0" applyNumberFormat="1" applyFont="1" applyFill="1" applyBorder="1" applyAlignment="1">
      <alignment vertical="center"/>
    </xf>
    <xf numFmtId="3" fontId="4" fillId="19" borderId="26" xfId="0" applyNumberFormat="1" applyFont="1" applyFill="1" applyBorder="1"/>
    <xf numFmtId="3" fontId="25" fillId="2" borderId="45" xfId="0" applyNumberFormat="1" applyFont="1" applyFill="1" applyBorder="1"/>
    <xf numFmtId="0" fontId="25" fillId="0" borderId="103" xfId="0" applyFont="1" applyBorder="1" applyAlignment="1">
      <alignment horizontal="center"/>
    </xf>
    <xf numFmtId="3" fontId="6" fillId="23" borderId="70" xfId="0" applyNumberFormat="1" applyFont="1" applyFill="1" applyBorder="1" applyAlignment="1">
      <alignment horizontal="center" vertical="center" wrapText="1"/>
    </xf>
    <xf numFmtId="3" fontId="6" fillId="23" borderId="26" xfId="0" applyNumberFormat="1" applyFont="1" applyFill="1" applyBorder="1" applyAlignment="1">
      <alignment horizontal="center" vertical="center" wrapText="1"/>
    </xf>
    <xf numFmtId="3" fontId="6" fillId="23" borderId="31" xfId="0" applyNumberFormat="1" applyFont="1" applyFill="1" applyBorder="1" applyAlignment="1">
      <alignment horizontal="center" vertical="center" wrapText="1"/>
    </xf>
    <xf numFmtId="3" fontId="6" fillId="23" borderId="2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49" fontId="11" fillId="23" borderId="82" xfId="0" applyNumberFormat="1" applyFont="1" applyFill="1" applyBorder="1" applyAlignment="1">
      <alignment horizontal="left" vertical="center"/>
    </xf>
    <xf numFmtId="49" fontId="11" fillId="23" borderId="70" xfId="0" applyNumberFormat="1" applyFont="1" applyFill="1" applyBorder="1" applyAlignment="1">
      <alignment horizontal="left" vertical="center"/>
    </xf>
    <xf numFmtId="49" fontId="11" fillId="23" borderId="83" xfId="0" applyNumberFormat="1" applyFont="1" applyFill="1" applyBorder="1" applyAlignment="1">
      <alignment horizontal="left" vertical="center"/>
    </xf>
    <xf numFmtId="49" fontId="11" fillId="23" borderId="26" xfId="0" applyNumberFormat="1" applyFont="1" applyFill="1" applyBorder="1" applyAlignment="1">
      <alignment horizontal="left" vertical="center"/>
    </xf>
    <xf numFmtId="0" fontId="7" fillId="0" borderId="8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3" fontId="6" fillId="18" borderId="70" xfId="0" applyNumberFormat="1" applyFont="1" applyFill="1" applyBorder="1" applyAlignment="1">
      <alignment horizontal="center" vertical="center" wrapText="1"/>
    </xf>
    <xf numFmtId="3" fontId="6" fillId="18" borderId="26" xfId="0" applyNumberFormat="1" applyFont="1" applyFill="1" applyBorder="1" applyAlignment="1">
      <alignment horizontal="center" vertical="center" wrapText="1"/>
    </xf>
    <xf numFmtId="3" fontId="6" fillId="18" borderId="29" xfId="0" applyNumberFormat="1" applyFont="1" applyFill="1" applyBorder="1" applyAlignment="1">
      <alignment horizontal="center" vertical="center" wrapText="1"/>
    </xf>
    <xf numFmtId="49" fontId="12" fillId="23" borderId="26" xfId="0" applyNumberFormat="1" applyFont="1" applyFill="1" applyBorder="1" applyAlignment="1">
      <alignment horizontal="center" vertical="center" wrapText="1"/>
    </xf>
    <xf numFmtId="49" fontId="12" fillId="23" borderId="29" xfId="0" applyNumberFormat="1" applyFont="1" applyFill="1" applyBorder="1" applyAlignment="1">
      <alignment horizontal="center" vertical="center" wrapText="1"/>
    </xf>
    <xf numFmtId="49" fontId="12" fillId="23" borderId="5" xfId="0" applyNumberFormat="1" applyFont="1" applyFill="1" applyBorder="1" applyAlignment="1">
      <alignment horizontal="center" vertical="center"/>
    </xf>
    <xf numFmtId="49" fontId="12" fillId="23" borderId="19" xfId="0" applyNumberFormat="1" applyFont="1" applyFill="1" applyBorder="1" applyAlignment="1">
      <alignment horizontal="center" vertical="center"/>
    </xf>
    <xf numFmtId="0" fontId="6" fillId="23" borderId="26" xfId="0" applyFont="1" applyFill="1" applyBorder="1" applyAlignment="1">
      <alignment horizontal="center" vertical="center"/>
    </xf>
    <xf numFmtId="0" fontId="6" fillId="23" borderId="29" xfId="0" applyFont="1" applyFill="1" applyBorder="1" applyAlignment="1">
      <alignment horizontal="center" vertical="center"/>
    </xf>
    <xf numFmtId="0" fontId="6" fillId="23" borderId="5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/>
    </xf>
    <xf numFmtId="49" fontId="11" fillId="23" borderId="81" xfId="0" applyNumberFormat="1" applyFont="1" applyFill="1" applyBorder="1" applyAlignment="1">
      <alignment horizontal="left" vertical="center"/>
    </xf>
    <xf numFmtId="49" fontId="11" fillId="23" borderId="71" xfId="0" applyNumberFormat="1" applyFont="1" applyFill="1" applyBorder="1" applyAlignment="1">
      <alignment horizontal="left" vertical="center"/>
    </xf>
    <xf numFmtId="49" fontId="11" fillId="23" borderId="1" xfId="0" applyNumberFormat="1" applyFont="1" applyFill="1" applyBorder="1" applyAlignment="1">
      <alignment horizontal="left" vertical="center"/>
    </xf>
    <xf numFmtId="49" fontId="11" fillId="23" borderId="5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3" fontId="27" fillId="10" borderId="5" xfId="0" applyNumberFormat="1" applyFont="1" applyFill="1" applyBorder="1" applyAlignment="1">
      <alignment horizontal="center" vertical="center" wrapText="1"/>
    </xf>
    <xf numFmtId="3" fontId="6" fillId="18" borderId="5" xfId="0" applyNumberFormat="1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 wrapText="1"/>
    </xf>
    <xf numFmtId="0" fontId="5" fillId="15" borderId="5" xfId="0" applyFont="1" applyFill="1" applyBorder="1"/>
    <xf numFmtId="0" fontId="10" fillId="15" borderId="5" xfId="0" applyFont="1" applyFill="1" applyBorder="1"/>
    <xf numFmtId="0" fontId="23" fillId="4" borderId="5" xfId="0" applyFont="1" applyFill="1" applyBorder="1"/>
    <xf numFmtId="0" fontId="10" fillId="0" borderId="5" xfId="0" applyFont="1" applyBorder="1"/>
    <xf numFmtId="0" fontId="19" fillId="0" borderId="0" xfId="0" applyFont="1"/>
    <xf numFmtId="0" fontId="10" fillId="0" borderId="0" xfId="0" applyFont="1"/>
    <xf numFmtId="0" fontId="7" fillId="23" borderId="5" xfId="0" applyFont="1" applyFill="1" applyBorder="1" applyAlignment="1">
      <alignment horizontal="center" vertical="center" textRotation="180" wrapText="1"/>
    </xf>
    <xf numFmtId="3" fontId="6" fillId="18" borderId="86" xfId="0" applyNumberFormat="1" applyFont="1" applyFill="1" applyBorder="1" applyAlignment="1">
      <alignment horizontal="center" vertical="center" wrapText="1"/>
    </xf>
    <xf numFmtId="3" fontId="6" fillId="18" borderId="22" xfId="0" applyNumberFormat="1" applyFont="1" applyFill="1" applyBorder="1" applyAlignment="1">
      <alignment horizontal="center" vertical="center" wrapText="1"/>
    </xf>
    <xf numFmtId="49" fontId="20" fillId="23" borderId="81" xfId="0" applyNumberFormat="1" applyFont="1" applyFill="1" applyBorder="1" applyAlignment="1">
      <alignment horizontal="center"/>
    </xf>
    <xf numFmtId="49" fontId="20" fillId="23" borderId="71" xfId="0" applyNumberFormat="1" applyFont="1" applyFill="1" applyBorder="1" applyAlignment="1">
      <alignment horizontal="center"/>
    </xf>
    <xf numFmtId="0" fontId="7" fillId="2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23" borderId="5" xfId="0" applyFont="1" applyFill="1" applyBorder="1" applyAlignment="1">
      <alignment horizontal="center" vertical="center" wrapText="1"/>
    </xf>
    <xf numFmtId="0" fontId="23" fillId="4" borderId="38" xfId="0" applyFont="1" applyFill="1" applyBorder="1"/>
    <xf numFmtId="0" fontId="10" fillId="0" borderId="38" xfId="0" applyFont="1" applyBorder="1"/>
    <xf numFmtId="0" fontId="23" fillId="4" borderId="49" xfId="0" applyFont="1" applyFill="1" applyBorder="1"/>
    <xf numFmtId="0" fontId="10" fillId="0" borderId="49" xfId="0" applyFont="1" applyBorder="1"/>
    <xf numFmtId="0" fontId="23" fillId="4" borderId="26" xfId="0" applyFont="1" applyFill="1" applyBorder="1"/>
    <xf numFmtId="0" fontId="10" fillId="0" borderId="26" xfId="0" applyFont="1" applyBorder="1"/>
    <xf numFmtId="0" fontId="21" fillId="3" borderId="26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3" fillId="4" borderId="21" xfId="0" applyFont="1" applyFill="1" applyBorder="1"/>
    <xf numFmtId="0" fontId="10" fillId="0" borderId="21" xfId="0" applyFont="1" applyBorder="1"/>
    <xf numFmtId="0" fontId="23" fillId="4" borderId="4" xfId="0" applyFont="1" applyFill="1" applyBorder="1"/>
    <xf numFmtId="0" fontId="10" fillId="0" borderId="4" xfId="0" applyFont="1" applyBorder="1"/>
    <xf numFmtId="0" fontId="23" fillId="24" borderId="90" xfId="0" applyFont="1" applyFill="1" applyBorder="1"/>
    <xf numFmtId="0" fontId="10" fillId="24" borderId="91" xfId="0" applyFont="1" applyFill="1" applyBorder="1"/>
    <xf numFmtId="0" fontId="10" fillId="24" borderId="92" xfId="0" applyFont="1" applyFill="1" applyBorder="1"/>
    <xf numFmtId="0" fontId="23" fillId="24" borderId="44" xfId="0" applyFont="1" applyFill="1" applyBorder="1"/>
    <xf numFmtId="0" fontId="10" fillId="0" borderId="45" xfId="0" applyFont="1" applyBorder="1"/>
    <xf numFmtId="0" fontId="10" fillId="0" borderId="93" xfId="0" applyFont="1" applyBorder="1"/>
    <xf numFmtId="0" fontId="5" fillId="14" borderId="5" xfId="0" applyFont="1" applyFill="1" applyBorder="1"/>
    <xf numFmtId="0" fontId="10" fillId="14" borderId="5" xfId="0" applyFont="1" applyFill="1" applyBorder="1"/>
    <xf numFmtId="0" fontId="34" fillId="3" borderId="5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19" fillId="0" borderId="87" xfId="0" applyFont="1" applyBorder="1"/>
    <xf numFmtId="0" fontId="10" fillId="0" borderId="88" xfId="0" applyFont="1" applyBorder="1"/>
    <xf numFmtId="0" fontId="10" fillId="0" borderId="89" xfId="0" applyFont="1" applyBorder="1"/>
    <xf numFmtId="0" fontId="4" fillId="15" borderId="5" xfId="0" applyFont="1" applyFill="1" applyBorder="1"/>
    <xf numFmtId="0" fontId="31" fillId="4" borderId="5" xfId="0" applyFont="1" applyFill="1" applyBorder="1"/>
    <xf numFmtId="0" fontId="32" fillId="0" borderId="5" xfId="0" applyFont="1" applyBorder="1"/>
    <xf numFmtId="3" fontId="5" fillId="19" borderId="26" xfId="0" applyNumberFormat="1" applyFont="1" applyFill="1" applyBorder="1"/>
    <xf numFmtId="3" fontId="4" fillId="19" borderId="26" xfId="0" applyNumberFormat="1" applyFont="1" applyFill="1" applyBorder="1"/>
    <xf numFmtId="3" fontId="25" fillId="2" borderId="26" xfId="0" applyNumberFormat="1" applyFont="1" applyFill="1" applyBorder="1"/>
    <xf numFmtId="3" fontId="25" fillId="0" borderId="26" xfId="0" applyNumberFormat="1" applyFont="1" applyBorder="1"/>
    <xf numFmtId="3" fontId="5" fillId="20" borderId="94" xfId="0" applyNumberFormat="1" applyFont="1" applyFill="1" applyBorder="1" applyAlignment="1">
      <alignment horizontal="center" vertical="center"/>
    </xf>
    <xf numFmtId="3" fontId="5" fillId="20" borderId="70" xfId="0" applyNumberFormat="1" applyFont="1" applyFill="1" applyBorder="1" applyAlignment="1">
      <alignment horizontal="center" vertical="center"/>
    </xf>
    <xf numFmtId="3" fontId="5" fillId="20" borderId="25" xfId="0" applyNumberFormat="1" applyFont="1" applyFill="1" applyBorder="1" applyAlignment="1">
      <alignment horizontal="center" vertical="center"/>
    </xf>
    <xf numFmtId="3" fontId="5" fillId="20" borderId="26" xfId="0" applyNumberFormat="1" applyFont="1" applyFill="1" applyBorder="1" applyAlignment="1">
      <alignment horizontal="center" vertical="center"/>
    </xf>
    <xf numFmtId="3" fontId="5" fillId="25" borderId="26" xfId="0" applyNumberFormat="1" applyFont="1" applyFill="1" applyBorder="1" applyAlignment="1">
      <alignment horizontal="center" vertical="center" wrapText="1"/>
    </xf>
    <xf numFmtId="3" fontId="23" fillId="7" borderId="94" xfId="0" applyNumberFormat="1" applyFont="1" applyFill="1" applyBorder="1" applyAlignment="1">
      <alignment horizontal="center"/>
    </xf>
    <xf numFmtId="3" fontId="23" fillId="7" borderId="70" xfId="0" applyNumberFormat="1" applyFont="1" applyFill="1" applyBorder="1" applyAlignment="1">
      <alignment horizontal="center"/>
    </xf>
    <xf numFmtId="3" fontId="5" fillId="25" borderId="45" xfId="0" applyNumberFormat="1" applyFont="1" applyFill="1" applyBorder="1" applyAlignment="1">
      <alignment horizontal="center" vertical="center" wrapText="1"/>
    </xf>
    <xf numFmtId="3" fontId="5" fillId="20" borderId="95" xfId="0" applyNumberFormat="1" applyFont="1" applyFill="1" applyBorder="1" applyAlignment="1">
      <alignment horizontal="center" wrapText="1"/>
    </xf>
    <xf numFmtId="3" fontId="5" fillId="20" borderId="96" xfId="0" applyNumberFormat="1" applyFont="1" applyFill="1" applyBorder="1" applyAlignment="1">
      <alignment horizontal="center" wrapText="1"/>
    </xf>
    <xf numFmtId="3" fontId="25" fillId="2" borderId="44" xfId="0" applyNumberFormat="1" applyFont="1" applyFill="1" applyBorder="1" applyAlignment="1">
      <alignment horizontal="left"/>
    </xf>
    <xf numFmtId="3" fontId="25" fillId="2" borderId="45" xfId="0" applyNumberFormat="1" applyFont="1" applyFill="1" applyBorder="1" applyAlignment="1">
      <alignment horizontal="left"/>
    </xf>
    <xf numFmtId="3" fontId="5" fillId="7" borderId="29" xfId="0" applyNumberFormat="1" applyFont="1" applyFill="1" applyBorder="1" applyAlignment="1">
      <alignment vertical="center"/>
    </xf>
    <xf numFmtId="3" fontId="4" fillId="7" borderId="29" xfId="0" applyNumberFormat="1" applyFont="1" applyFill="1" applyBorder="1" applyAlignment="1">
      <alignment vertical="center"/>
    </xf>
    <xf numFmtId="3" fontId="25" fillId="2" borderId="44" xfId="0" applyNumberFormat="1" applyFont="1" applyFill="1" applyBorder="1"/>
    <xf numFmtId="3" fontId="25" fillId="2" borderId="45" xfId="0" applyNumberFormat="1" applyFont="1" applyFill="1" applyBorder="1"/>
    <xf numFmtId="3" fontId="6" fillId="18" borderId="31" xfId="0" applyNumberFormat="1" applyFont="1" applyFill="1" applyBorder="1" applyAlignment="1">
      <alignment horizontal="center" vertical="center" wrapText="1"/>
    </xf>
    <xf numFmtId="0" fontId="7" fillId="23" borderId="100" xfId="0" applyFont="1" applyFill="1" applyBorder="1" applyAlignment="1">
      <alignment horizontal="center" vertical="center" textRotation="180" wrapText="1"/>
    </xf>
    <xf numFmtId="0" fontId="7" fillId="23" borderId="100" xfId="0" applyFont="1" applyFill="1" applyBorder="1" applyAlignment="1">
      <alignment horizontal="center" vertical="center" wrapText="1"/>
    </xf>
    <xf numFmtId="0" fontId="7" fillId="23" borderId="100" xfId="0" applyFont="1" applyFill="1" applyBorder="1" applyAlignment="1">
      <alignment horizontal="center" vertical="center"/>
    </xf>
    <xf numFmtId="3" fontId="6" fillId="18" borderId="100" xfId="0" applyNumberFormat="1" applyFont="1" applyFill="1" applyBorder="1" applyAlignment="1">
      <alignment horizontal="center" vertical="center" wrapText="1"/>
    </xf>
    <xf numFmtId="0" fontId="45" fillId="23" borderId="100" xfId="0" applyFont="1" applyFill="1" applyBorder="1" applyAlignment="1">
      <alignment horizontal="center" vertical="center" wrapText="1"/>
    </xf>
    <xf numFmtId="0" fontId="45" fillId="23" borderId="100" xfId="0" applyFont="1" applyFill="1" applyBorder="1" applyAlignment="1">
      <alignment horizontal="center" vertical="center" textRotation="180" wrapText="1"/>
    </xf>
    <xf numFmtId="3" fontId="46" fillId="18" borderId="100" xfId="0" applyNumberFormat="1" applyFont="1" applyFill="1" applyBorder="1" applyAlignment="1">
      <alignment horizontal="center" vertical="center" wrapText="1"/>
    </xf>
    <xf numFmtId="0" fontId="45" fillId="23" borderId="100" xfId="0" applyFont="1" applyFill="1" applyBorder="1" applyAlignment="1">
      <alignment horizontal="center" vertical="center"/>
    </xf>
    <xf numFmtId="3" fontId="5" fillId="25" borderId="44" xfId="0" applyNumberFormat="1" applyFont="1" applyFill="1" applyBorder="1" applyAlignment="1">
      <alignment horizontal="center" vertical="center" wrapText="1"/>
    </xf>
    <xf numFmtId="3" fontId="5" fillId="25" borderId="93" xfId="0" applyNumberFormat="1" applyFont="1" applyFill="1" applyBorder="1" applyAlignment="1">
      <alignment horizontal="center" vertical="center" wrapText="1"/>
    </xf>
    <xf numFmtId="3" fontId="23" fillId="7" borderId="102" xfId="0" applyNumberFormat="1" applyFont="1" applyFill="1" applyBorder="1" applyAlignment="1">
      <alignment horizontal="center"/>
    </xf>
    <xf numFmtId="3" fontId="23" fillId="7" borderId="91" xfId="0" applyNumberFormat="1" applyFont="1" applyFill="1" applyBorder="1" applyAlignment="1">
      <alignment horizontal="center"/>
    </xf>
  </cellXfs>
  <cellStyles count="7">
    <cellStyle name="Excel Built-in Normal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  <cellStyle name="Normálna 4" xfId="4" xr:uid="{00000000-0005-0000-0000-000004000000}"/>
    <cellStyle name="Normálne 2" xfId="5" xr:uid="{00000000-0005-0000-0000-000005000000}"/>
    <cellStyle name="normálne_Kalkulácia MHD TN 1 -12 201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T527"/>
  <sheetViews>
    <sheetView tabSelected="1" zoomScaleNormal="100" workbookViewId="0">
      <pane ySplit="6" topLeftCell="A7" activePane="bottomLeft" state="frozen"/>
      <selection pane="bottomLeft" activeCell="B3" sqref="B3:D4"/>
    </sheetView>
  </sheetViews>
  <sheetFormatPr defaultRowHeight="12.75" x14ac:dyDescent="0.2"/>
  <cols>
    <col min="1" max="1" width="3" style="3" customWidth="1"/>
    <col min="2" max="2" width="4" style="104" customWidth="1"/>
    <col min="3" max="3" width="6.42578125" style="3" customWidth="1"/>
    <col min="4" max="4" width="49" style="3" customWidth="1"/>
    <col min="5" max="5" width="13.28515625" style="2" customWidth="1"/>
    <col min="6" max="6" width="0.7109375" style="438" customWidth="1"/>
    <col min="7" max="7" width="11.5703125" style="2" customWidth="1"/>
    <col min="8" max="8" width="11.85546875" style="2" customWidth="1"/>
    <col min="9" max="9" width="9" style="105" customWidth="1"/>
    <col min="10" max="10" width="9.5703125" style="105" customWidth="1"/>
    <col min="11" max="11" width="9.140625" style="2" customWidth="1"/>
    <col min="12" max="12" width="13.140625" style="2" customWidth="1"/>
    <col min="13" max="13" width="0.7109375" style="2" customWidth="1"/>
    <col min="14" max="14" width="13.5703125" style="2" customWidth="1"/>
    <col min="15" max="15" width="11.42578125" style="2" customWidth="1"/>
    <col min="16" max="19" width="9.140625" style="2" customWidth="1"/>
    <col min="20" max="20" width="9.140625" style="2"/>
    <col min="21" max="16384" width="9.140625" style="3"/>
  </cols>
  <sheetData>
    <row r="1" spans="2:20" x14ac:dyDescent="0.2">
      <c r="E1" s="438"/>
    </row>
    <row r="2" spans="2:20" ht="48" customHeight="1" x14ac:dyDescent="0.35">
      <c r="B2" s="648" t="s">
        <v>1208</v>
      </c>
      <c r="C2" s="648"/>
      <c r="D2" s="648"/>
      <c r="E2" s="648"/>
      <c r="F2" s="648"/>
      <c r="G2" s="648"/>
      <c r="H2" s="648"/>
      <c r="I2" s="648"/>
      <c r="J2" s="648"/>
    </row>
    <row r="3" spans="2:20" ht="15" customHeight="1" x14ac:dyDescent="0.2">
      <c r="B3" s="649" t="s">
        <v>43</v>
      </c>
      <c r="C3" s="650"/>
      <c r="D3" s="650"/>
      <c r="E3" s="655" t="s">
        <v>1204</v>
      </c>
      <c r="F3" s="494"/>
      <c r="G3" s="644" t="s">
        <v>836</v>
      </c>
      <c r="H3" s="644" t="s">
        <v>835</v>
      </c>
      <c r="I3" s="644" t="s">
        <v>834</v>
      </c>
      <c r="J3" s="644" t="s">
        <v>642</v>
      </c>
    </row>
    <row r="4" spans="2:20" x14ac:dyDescent="0.2">
      <c r="B4" s="651"/>
      <c r="C4" s="652"/>
      <c r="D4" s="652"/>
      <c r="E4" s="656"/>
      <c r="F4" s="495"/>
      <c r="G4" s="645"/>
      <c r="H4" s="645"/>
      <c r="I4" s="645"/>
      <c r="J4" s="645"/>
    </row>
    <row r="5" spans="2:20" x14ac:dyDescent="0.2">
      <c r="B5" s="653" t="s">
        <v>118</v>
      </c>
      <c r="C5" s="658" t="s">
        <v>442</v>
      </c>
      <c r="D5" s="662" t="s">
        <v>119</v>
      </c>
      <c r="E5" s="656"/>
      <c r="F5" s="495"/>
      <c r="G5" s="645"/>
      <c r="H5" s="645"/>
      <c r="I5" s="645"/>
      <c r="J5" s="645"/>
    </row>
    <row r="6" spans="2:20" ht="3.75" customHeight="1" x14ac:dyDescent="0.2">
      <c r="B6" s="654"/>
      <c r="C6" s="659"/>
      <c r="D6" s="663"/>
      <c r="E6" s="657"/>
      <c r="F6" s="496"/>
      <c r="G6" s="647"/>
      <c r="H6" s="647"/>
      <c r="I6" s="647"/>
      <c r="J6" s="647"/>
    </row>
    <row r="7" spans="2:20" ht="16.5" thickBot="1" x14ac:dyDescent="0.3">
      <c r="B7" s="4">
        <v>1</v>
      </c>
      <c r="C7" s="5">
        <v>100</v>
      </c>
      <c r="D7" s="5" t="s">
        <v>266</v>
      </c>
      <c r="E7" s="6">
        <f>E8</f>
        <v>43595000</v>
      </c>
      <c r="F7" s="497"/>
      <c r="G7" s="6">
        <f>G8</f>
        <v>39285000</v>
      </c>
      <c r="H7" s="6">
        <f>H8</f>
        <v>40043771</v>
      </c>
      <c r="I7" s="7">
        <f>I8</f>
        <v>37489105</v>
      </c>
      <c r="J7" s="7">
        <f>J8</f>
        <v>35115435</v>
      </c>
    </row>
    <row r="8" spans="2:20" s="13" customFormat="1" ht="15" thickBot="1" x14ac:dyDescent="0.25">
      <c r="B8" s="8">
        <f>B7+1</f>
        <v>2</v>
      </c>
      <c r="C8" s="9"/>
      <c r="D8" s="9" t="s">
        <v>42</v>
      </c>
      <c r="E8" s="10">
        <f>E9+E11+E16</f>
        <v>43595000</v>
      </c>
      <c r="F8" s="498"/>
      <c r="G8" s="10">
        <f>G16+G11+G9</f>
        <v>39285000</v>
      </c>
      <c r="H8" s="10">
        <f>H16+H11+H9</f>
        <v>40043771</v>
      </c>
      <c r="I8" s="11">
        <f>I16+I11+I9</f>
        <v>37489105</v>
      </c>
      <c r="J8" s="11">
        <f>J16+J11+J9</f>
        <v>35115435</v>
      </c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2:20" x14ac:dyDescent="0.2">
      <c r="B9" s="4">
        <f>B8+1</f>
        <v>3</v>
      </c>
      <c r="C9" s="14">
        <v>110</v>
      </c>
      <c r="D9" s="14" t="s">
        <v>267</v>
      </c>
      <c r="E9" s="15">
        <f>E10</f>
        <v>28100000</v>
      </c>
      <c r="F9" s="499"/>
      <c r="G9" s="15">
        <f>G10</f>
        <v>27360000</v>
      </c>
      <c r="H9" s="15">
        <f>H10</f>
        <v>28118771</v>
      </c>
      <c r="I9" s="16">
        <f>I10</f>
        <v>26189794</v>
      </c>
      <c r="J9" s="16">
        <f>J10</f>
        <v>23926067</v>
      </c>
      <c r="L9" s="17"/>
    </row>
    <row r="10" spans="2:20" x14ac:dyDescent="0.2">
      <c r="B10" s="4">
        <f t="shared" ref="B10:B74" si="0">B9+1</f>
        <v>4</v>
      </c>
      <c r="C10" s="18">
        <v>111003</v>
      </c>
      <c r="D10" s="18" t="s">
        <v>265</v>
      </c>
      <c r="E10" s="19">
        <v>28100000</v>
      </c>
      <c r="F10" s="164"/>
      <c r="G10" s="19">
        <v>27360000</v>
      </c>
      <c r="H10" s="19">
        <v>28118771</v>
      </c>
      <c r="I10" s="20">
        <v>26189794</v>
      </c>
      <c r="J10" s="20">
        <v>23926067</v>
      </c>
      <c r="L10" s="350"/>
      <c r="N10" s="603"/>
    </row>
    <row r="11" spans="2:20" x14ac:dyDescent="0.2">
      <c r="B11" s="4">
        <f t="shared" si="0"/>
        <v>5</v>
      </c>
      <c r="C11" s="21">
        <v>120</v>
      </c>
      <c r="D11" s="21" t="s">
        <v>269</v>
      </c>
      <c r="E11" s="22">
        <f>E12</f>
        <v>11600000</v>
      </c>
      <c r="F11" s="500"/>
      <c r="G11" s="22">
        <f>G12</f>
        <v>8500000</v>
      </c>
      <c r="H11" s="22">
        <f>H12</f>
        <v>8500000</v>
      </c>
      <c r="I11" s="23">
        <f>I12</f>
        <v>8365654</v>
      </c>
      <c r="J11" s="23">
        <f>J12</f>
        <v>8422257</v>
      </c>
    </row>
    <row r="12" spans="2:20" x14ac:dyDescent="0.2">
      <c r="B12" s="4">
        <f t="shared" si="0"/>
        <v>6</v>
      </c>
      <c r="C12" s="24"/>
      <c r="D12" s="24" t="s">
        <v>438</v>
      </c>
      <c r="E12" s="25">
        <f>SUM(E13:E15)</f>
        <v>11600000</v>
      </c>
      <c r="F12" s="501"/>
      <c r="G12" s="25">
        <f>G15+G14+G13</f>
        <v>8500000</v>
      </c>
      <c r="H12" s="25">
        <f>H15+H14+H13</f>
        <v>8500000</v>
      </c>
      <c r="I12" s="26">
        <f>I15+I14+I13</f>
        <v>8365654</v>
      </c>
      <c r="J12" s="26">
        <f>J15+J14+J13</f>
        <v>8422257</v>
      </c>
    </row>
    <row r="13" spans="2:20" x14ac:dyDescent="0.2">
      <c r="B13" s="4">
        <f t="shared" si="0"/>
        <v>7</v>
      </c>
      <c r="C13" s="18">
        <v>121001</v>
      </c>
      <c r="D13" s="18" t="s">
        <v>268</v>
      </c>
      <c r="E13" s="19">
        <v>1225000</v>
      </c>
      <c r="F13" s="164"/>
      <c r="G13" s="19">
        <v>867859</v>
      </c>
      <c r="H13" s="19">
        <v>867859</v>
      </c>
      <c r="I13" s="20">
        <v>894074</v>
      </c>
      <c r="J13" s="20">
        <v>867692</v>
      </c>
    </row>
    <row r="14" spans="2:20" x14ac:dyDescent="0.2">
      <c r="B14" s="4">
        <f t="shared" si="0"/>
        <v>8</v>
      </c>
      <c r="C14" s="18">
        <v>121002</v>
      </c>
      <c r="D14" s="18" t="s">
        <v>270</v>
      </c>
      <c r="E14" s="19">
        <v>9040000</v>
      </c>
      <c r="F14" s="164"/>
      <c r="G14" s="19">
        <v>6950188</v>
      </c>
      <c r="H14" s="19">
        <v>6950188</v>
      </c>
      <c r="I14" s="20">
        <v>6763803</v>
      </c>
      <c r="J14" s="20">
        <v>6904598</v>
      </c>
    </row>
    <row r="15" spans="2:20" x14ac:dyDescent="0.2">
      <c r="B15" s="4">
        <f t="shared" si="0"/>
        <v>9</v>
      </c>
      <c r="C15" s="18">
        <v>121003</v>
      </c>
      <c r="D15" s="18" t="s">
        <v>271</v>
      </c>
      <c r="E15" s="19">
        <v>1335000</v>
      </c>
      <c r="F15" s="164"/>
      <c r="G15" s="19">
        <v>681953</v>
      </c>
      <c r="H15" s="19">
        <v>681953</v>
      </c>
      <c r="I15" s="20">
        <v>707777</v>
      </c>
      <c r="J15" s="20">
        <v>649967</v>
      </c>
    </row>
    <row r="16" spans="2:20" x14ac:dyDescent="0.2">
      <c r="B16" s="4">
        <f t="shared" si="0"/>
        <v>10</v>
      </c>
      <c r="C16" s="21">
        <v>130</v>
      </c>
      <c r="D16" s="21" t="s">
        <v>272</v>
      </c>
      <c r="E16" s="22">
        <f>SUM(E17:E20)</f>
        <v>3895000</v>
      </c>
      <c r="F16" s="500"/>
      <c r="G16" s="22">
        <f>SUM(G17:G20)</f>
        <v>3425000</v>
      </c>
      <c r="H16" s="22">
        <f>SUM(H17:H20)</f>
        <v>3425000</v>
      </c>
      <c r="I16" s="23">
        <f>SUM(I17:I20)</f>
        <v>2933657</v>
      </c>
      <c r="J16" s="23">
        <f>SUM(J17:J20)</f>
        <v>2767111</v>
      </c>
    </row>
    <row r="17" spans="2:10" x14ac:dyDescent="0.2">
      <c r="B17" s="4">
        <f t="shared" si="0"/>
        <v>11</v>
      </c>
      <c r="C17" s="18">
        <v>133001</v>
      </c>
      <c r="D17" s="18" t="s">
        <v>434</v>
      </c>
      <c r="E17" s="19">
        <v>65000</v>
      </c>
      <c r="F17" s="164"/>
      <c r="G17" s="19">
        <v>50000</v>
      </c>
      <c r="H17" s="19">
        <v>50000</v>
      </c>
      <c r="I17" s="20">
        <v>57868</v>
      </c>
      <c r="J17" s="20">
        <v>49325</v>
      </c>
    </row>
    <row r="18" spans="2:10" x14ac:dyDescent="0.2">
      <c r="B18" s="4">
        <f t="shared" si="0"/>
        <v>12</v>
      </c>
      <c r="C18" s="18">
        <v>133006</v>
      </c>
      <c r="D18" s="18" t="s">
        <v>435</v>
      </c>
      <c r="E18" s="19">
        <v>200000</v>
      </c>
      <c r="F18" s="164"/>
      <c r="G18" s="19">
        <v>95000</v>
      </c>
      <c r="H18" s="19">
        <v>95000</v>
      </c>
      <c r="I18" s="20">
        <v>77303</v>
      </c>
      <c r="J18" s="20">
        <v>63377</v>
      </c>
    </row>
    <row r="19" spans="2:10" x14ac:dyDescent="0.2">
      <c r="B19" s="4">
        <f t="shared" si="0"/>
        <v>13</v>
      </c>
      <c r="C19" s="27">
        <v>133012</v>
      </c>
      <c r="D19" s="27" t="s">
        <v>436</v>
      </c>
      <c r="E19" s="28">
        <v>80000</v>
      </c>
      <c r="F19" s="502"/>
      <c r="G19" s="28">
        <v>80000</v>
      </c>
      <c r="H19" s="28">
        <v>80000</v>
      </c>
      <c r="I19" s="29">
        <v>53774</v>
      </c>
      <c r="J19" s="29">
        <v>79765</v>
      </c>
    </row>
    <row r="20" spans="2:10" x14ac:dyDescent="0.2">
      <c r="B20" s="4">
        <f t="shared" si="0"/>
        <v>14</v>
      </c>
      <c r="C20" s="30">
        <v>133013</v>
      </c>
      <c r="D20" s="30" t="s">
        <v>437</v>
      </c>
      <c r="E20" s="31">
        <v>3550000</v>
      </c>
      <c r="F20" s="45"/>
      <c r="G20" s="31">
        <v>3200000</v>
      </c>
      <c r="H20" s="31">
        <v>3200000</v>
      </c>
      <c r="I20" s="32">
        <v>2744712</v>
      </c>
      <c r="J20" s="32">
        <v>2574644</v>
      </c>
    </row>
    <row r="21" spans="2:10" ht="16.5" thickBot="1" x14ac:dyDescent="0.3">
      <c r="B21" s="4">
        <f t="shared" si="0"/>
        <v>15</v>
      </c>
      <c r="C21" s="33">
        <v>200</v>
      </c>
      <c r="D21" s="33" t="s">
        <v>172</v>
      </c>
      <c r="E21" s="34">
        <f>E289+E280+E270+E261+E252+E242+E235+E226+E216+E166+E94+E88+E49+E46+E22</f>
        <v>9423238</v>
      </c>
      <c r="F21" s="503"/>
      <c r="G21" s="34">
        <f>G289+G280+G270+G261+G252+G242+G235+G226+G216+G166+G94+G88+G49+G46+G22</f>
        <v>10301509</v>
      </c>
      <c r="H21" s="34">
        <f>H289+H280+H270+H261+H252+H242+H235+H226+H216+H166+H94+H88+H49+H46+H22</f>
        <v>10425562</v>
      </c>
      <c r="I21" s="35">
        <f>I289+I280+I270+I261+I252+I242+I235+I226+I216+I166+I94+I88+I49+I46+I22</f>
        <v>6933435</v>
      </c>
      <c r="J21" s="35">
        <f>J289+J280+J270+J261+J252+J242+J235+J226+J216+J166+J94+J88+J49+J46+J22</f>
        <v>5582156</v>
      </c>
    </row>
    <row r="22" spans="2:10" ht="15" thickBot="1" x14ac:dyDescent="0.25">
      <c r="B22" s="4">
        <f t="shared" si="0"/>
        <v>16</v>
      </c>
      <c r="C22" s="36"/>
      <c r="D22" s="36" t="s">
        <v>42</v>
      </c>
      <c r="E22" s="37">
        <f>E23+E28+E37+E40</f>
        <v>4287790</v>
      </c>
      <c r="F22" s="504"/>
      <c r="G22" s="37">
        <f>G40+G37+G28+G23</f>
        <v>3998568</v>
      </c>
      <c r="H22" s="37">
        <f>H40+H37+H28+H23</f>
        <v>4169325</v>
      </c>
      <c r="I22" s="38">
        <f>I40+I37+I28+I23</f>
        <v>2883359</v>
      </c>
      <c r="J22" s="38">
        <f>J40+J37+J28+J23</f>
        <v>2681957</v>
      </c>
    </row>
    <row r="23" spans="2:10" x14ac:dyDescent="0.2">
      <c r="B23" s="4">
        <f t="shared" si="0"/>
        <v>17</v>
      </c>
      <c r="C23" s="39">
        <v>210</v>
      </c>
      <c r="D23" s="39" t="s">
        <v>248</v>
      </c>
      <c r="E23" s="40">
        <f>SUM(E24:E27)</f>
        <v>962090</v>
      </c>
      <c r="F23" s="505"/>
      <c r="G23" s="40">
        <f>SUM(G24:G27)</f>
        <v>778260</v>
      </c>
      <c r="H23" s="40">
        <f>SUM(H24:H27)</f>
        <v>815910</v>
      </c>
      <c r="I23" s="41">
        <f>SUM(I24:I27)</f>
        <v>663306</v>
      </c>
      <c r="J23" s="41">
        <f>SUM(J24:J27)</f>
        <v>599128</v>
      </c>
    </row>
    <row r="24" spans="2:10" x14ac:dyDescent="0.2">
      <c r="B24" s="4">
        <f t="shared" si="0"/>
        <v>18</v>
      </c>
      <c r="C24" s="30">
        <v>212002</v>
      </c>
      <c r="D24" s="30" t="s">
        <v>273</v>
      </c>
      <c r="E24" s="31">
        <v>156500</v>
      </c>
      <c r="F24" s="45"/>
      <c r="G24" s="31">
        <v>145600</v>
      </c>
      <c r="H24" s="31">
        <v>120600</v>
      </c>
      <c r="I24" s="32">
        <v>97879</v>
      </c>
      <c r="J24" s="32">
        <v>94928</v>
      </c>
    </row>
    <row r="25" spans="2:10" x14ac:dyDescent="0.2">
      <c r="B25" s="4">
        <f t="shared" si="0"/>
        <v>19</v>
      </c>
      <c r="C25" s="30">
        <v>212003</v>
      </c>
      <c r="D25" s="30" t="s">
        <v>249</v>
      </c>
      <c r="E25" s="31">
        <v>673590</v>
      </c>
      <c r="F25" s="45"/>
      <c r="G25" s="31">
        <v>632660</v>
      </c>
      <c r="H25" s="31">
        <v>695310</v>
      </c>
      <c r="I25" s="32">
        <v>563210</v>
      </c>
      <c r="J25" s="32">
        <v>501654</v>
      </c>
    </row>
    <row r="26" spans="2:10" x14ac:dyDescent="0.2">
      <c r="B26" s="4">
        <f t="shared" si="0"/>
        <v>20</v>
      </c>
      <c r="C26" s="30">
        <v>212003</v>
      </c>
      <c r="D26" s="30" t="s">
        <v>938</v>
      </c>
      <c r="E26" s="31">
        <v>132000</v>
      </c>
      <c r="F26" s="45"/>
      <c r="G26" s="31"/>
      <c r="H26" s="31"/>
      <c r="I26" s="32"/>
      <c r="J26" s="32"/>
    </row>
    <row r="27" spans="2:10" x14ac:dyDescent="0.2">
      <c r="B27" s="4">
        <f t="shared" si="0"/>
        <v>21</v>
      </c>
      <c r="C27" s="30">
        <v>212004</v>
      </c>
      <c r="D27" s="30" t="s">
        <v>250</v>
      </c>
      <c r="E27" s="31">
        <v>0</v>
      </c>
      <c r="F27" s="45"/>
      <c r="G27" s="31"/>
      <c r="H27" s="31"/>
      <c r="I27" s="32">
        <v>2217</v>
      </c>
      <c r="J27" s="32">
        <v>2546</v>
      </c>
    </row>
    <row r="28" spans="2:10" x14ac:dyDescent="0.2">
      <c r="B28" s="4">
        <f t="shared" si="0"/>
        <v>22</v>
      </c>
      <c r="C28" s="42">
        <v>220</v>
      </c>
      <c r="D28" s="42" t="s">
        <v>220</v>
      </c>
      <c r="E28" s="43">
        <f>SUM(E29:E36)</f>
        <v>2925700</v>
      </c>
      <c r="F28" s="506"/>
      <c r="G28" s="43">
        <f>SUM(G29:G36)</f>
        <v>2598238</v>
      </c>
      <c r="H28" s="43">
        <f>SUM(H29:H36)</f>
        <v>2598238</v>
      </c>
      <c r="I28" s="44">
        <f>SUM(I29:I36)</f>
        <v>1857378</v>
      </c>
      <c r="J28" s="44">
        <f>SUM(J29:J36)</f>
        <v>1692788</v>
      </c>
    </row>
    <row r="29" spans="2:10" x14ac:dyDescent="0.2">
      <c r="B29" s="4">
        <f t="shared" si="0"/>
        <v>23</v>
      </c>
      <c r="C29" s="30">
        <v>221004</v>
      </c>
      <c r="D29" s="30" t="s">
        <v>221</v>
      </c>
      <c r="E29" s="31">
        <v>230000</v>
      </c>
      <c r="F29" s="45"/>
      <c r="G29" s="31">
        <v>191538</v>
      </c>
      <c r="H29" s="31">
        <v>191538</v>
      </c>
      <c r="I29" s="32">
        <v>200676</v>
      </c>
      <c r="J29" s="32">
        <v>157650</v>
      </c>
    </row>
    <row r="30" spans="2:10" x14ac:dyDescent="0.2">
      <c r="B30" s="4">
        <f t="shared" si="0"/>
        <v>24</v>
      </c>
      <c r="C30" s="30">
        <v>222003</v>
      </c>
      <c r="D30" s="30" t="s">
        <v>59</v>
      </c>
      <c r="E30" s="31">
        <v>120000</v>
      </c>
      <c r="F30" s="45"/>
      <c r="G30" s="31">
        <v>120000</v>
      </c>
      <c r="H30" s="31">
        <v>120000</v>
      </c>
      <c r="I30" s="32">
        <v>107450</v>
      </c>
      <c r="J30" s="32">
        <v>153585</v>
      </c>
    </row>
    <row r="31" spans="2:10" x14ac:dyDescent="0.2">
      <c r="B31" s="4">
        <f t="shared" si="0"/>
        <v>25</v>
      </c>
      <c r="C31" s="30">
        <v>223001</v>
      </c>
      <c r="D31" s="30" t="s">
        <v>251</v>
      </c>
      <c r="E31" s="31">
        <v>1200</v>
      </c>
      <c r="F31" s="45"/>
      <c r="G31" s="31">
        <v>1200</v>
      </c>
      <c r="H31" s="31">
        <v>1200</v>
      </c>
      <c r="I31" s="32">
        <v>1576</v>
      </c>
      <c r="J31" s="32">
        <v>464</v>
      </c>
    </row>
    <row r="32" spans="2:10" x14ac:dyDescent="0.2">
      <c r="B32" s="4">
        <f t="shared" si="0"/>
        <v>26</v>
      </c>
      <c r="C32" s="30">
        <v>223001</v>
      </c>
      <c r="D32" s="30" t="s">
        <v>439</v>
      </c>
      <c r="E32" s="31">
        <v>2400000</v>
      </c>
      <c r="F32" s="45"/>
      <c r="G32" s="31">
        <v>2000000</v>
      </c>
      <c r="H32" s="31">
        <v>2000000</v>
      </c>
      <c r="I32" s="32">
        <v>1515986</v>
      </c>
      <c r="J32" s="32">
        <v>1349147</v>
      </c>
    </row>
    <row r="33" spans="2:10" x14ac:dyDescent="0.2">
      <c r="B33" s="4">
        <f t="shared" si="0"/>
        <v>27</v>
      </c>
      <c r="C33" s="30">
        <v>223001</v>
      </c>
      <c r="D33" s="30" t="s">
        <v>440</v>
      </c>
      <c r="E33" s="31">
        <v>28000</v>
      </c>
      <c r="F33" s="45"/>
      <c r="G33" s="31">
        <v>25000</v>
      </c>
      <c r="H33" s="31">
        <v>25000</v>
      </c>
      <c r="I33" s="32">
        <v>30748</v>
      </c>
      <c r="J33" s="32">
        <v>30133</v>
      </c>
    </row>
    <row r="34" spans="2:10" x14ac:dyDescent="0.2">
      <c r="B34" s="4">
        <f t="shared" si="0"/>
        <v>28</v>
      </c>
      <c r="C34" s="30">
        <v>223001</v>
      </c>
      <c r="D34" s="30" t="s">
        <v>829</v>
      </c>
      <c r="E34" s="31">
        <v>146000</v>
      </c>
      <c r="F34" s="45"/>
      <c r="G34" s="31">
        <v>260000</v>
      </c>
      <c r="H34" s="31">
        <v>260000</v>
      </c>
      <c r="I34" s="32"/>
      <c r="J34" s="32"/>
    </row>
    <row r="35" spans="2:10" x14ac:dyDescent="0.2">
      <c r="B35" s="4">
        <f t="shared" si="0"/>
        <v>29</v>
      </c>
      <c r="C35" s="30">
        <v>223004</v>
      </c>
      <c r="D35" s="30" t="s">
        <v>262</v>
      </c>
      <c r="E35" s="31">
        <v>0</v>
      </c>
      <c r="F35" s="45"/>
      <c r="G35" s="31"/>
      <c r="H35" s="31"/>
      <c r="I35" s="32">
        <v>101</v>
      </c>
      <c r="J35" s="32">
        <v>1120</v>
      </c>
    </row>
    <row r="36" spans="2:10" x14ac:dyDescent="0.2">
      <c r="B36" s="4">
        <f t="shared" si="0"/>
        <v>30</v>
      </c>
      <c r="C36" s="30">
        <v>229005</v>
      </c>
      <c r="D36" s="30" t="s">
        <v>263</v>
      </c>
      <c r="E36" s="31">
        <v>500</v>
      </c>
      <c r="F36" s="45"/>
      <c r="G36" s="31">
        <v>500</v>
      </c>
      <c r="H36" s="31">
        <v>500</v>
      </c>
      <c r="I36" s="32">
        <v>841</v>
      </c>
      <c r="J36" s="32">
        <v>689</v>
      </c>
    </row>
    <row r="37" spans="2:10" x14ac:dyDescent="0.2">
      <c r="B37" s="4">
        <f t="shared" si="0"/>
        <v>31</v>
      </c>
      <c r="C37" s="42">
        <v>240</v>
      </c>
      <c r="D37" s="42" t="s">
        <v>176</v>
      </c>
      <c r="E37" s="43">
        <f>E38+E39</f>
        <v>50000</v>
      </c>
      <c r="F37" s="506"/>
      <c r="G37" s="43">
        <f>G38</f>
        <v>300</v>
      </c>
      <c r="H37" s="43">
        <f>H38+H39</f>
        <v>40300</v>
      </c>
      <c r="I37" s="44">
        <f>I38</f>
        <v>0</v>
      </c>
      <c r="J37" s="44">
        <f>J38</f>
        <v>0</v>
      </c>
    </row>
    <row r="38" spans="2:10" x14ac:dyDescent="0.2">
      <c r="B38" s="4">
        <f t="shared" si="0"/>
        <v>32</v>
      </c>
      <c r="C38" s="30">
        <v>242</v>
      </c>
      <c r="D38" s="30" t="s">
        <v>175</v>
      </c>
      <c r="E38" s="31">
        <v>1000</v>
      </c>
      <c r="F38" s="45"/>
      <c r="G38" s="31">
        <v>300</v>
      </c>
      <c r="H38" s="31">
        <v>300</v>
      </c>
      <c r="I38" s="32"/>
      <c r="J38" s="32"/>
    </row>
    <row r="39" spans="2:10" x14ac:dyDescent="0.2">
      <c r="B39" s="4">
        <f t="shared" si="0"/>
        <v>33</v>
      </c>
      <c r="C39" s="30">
        <v>244</v>
      </c>
      <c r="D39" s="30" t="s">
        <v>971</v>
      </c>
      <c r="E39" s="31">
        <v>49000</v>
      </c>
      <c r="F39" s="45"/>
      <c r="G39" s="31">
        <v>0</v>
      </c>
      <c r="H39" s="31">
        <v>40000</v>
      </c>
      <c r="I39" s="32"/>
      <c r="J39" s="32"/>
    </row>
    <row r="40" spans="2:10" x14ac:dyDescent="0.2">
      <c r="B40" s="4">
        <f>B38+1</f>
        <v>33</v>
      </c>
      <c r="C40" s="42">
        <v>290</v>
      </c>
      <c r="D40" s="42" t="s">
        <v>178</v>
      </c>
      <c r="E40" s="43">
        <f>SUM(E41:E45)</f>
        <v>350000</v>
      </c>
      <c r="F40" s="506"/>
      <c r="G40" s="43">
        <f>SUM(G41:G45)</f>
        <v>621770</v>
      </c>
      <c r="H40" s="43">
        <f>SUM(H41:H45)</f>
        <v>714877</v>
      </c>
      <c r="I40" s="44">
        <f>SUM(I41:I45)</f>
        <v>362675</v>
      </c>
      <c r="J40" s="44">
        <f>SUM(J41:J45)</f>
        <v>390041</v>
      </c>
    </row>
    <row r="41" spans="2:10" x14ac:dyDescent="0.2">
      <c r="B41" s="4">
        <f t="shared" si="0"/>
        <v>34</v>
      </c>
      <c r="C41" s="30">
        <v>292006</v>
      </c>
      <c r="D41" s="30" t="s">
        <v>177</v>
      </c>
      <c r="E41" s="31">
        <v>0</v>
      </c>
      <c r="F41" s="45"/>
      <c r="G41" s="31"/>
      <c r="H41" s="31"/>
      <c r="I41" s="32">
        <v>2113</v>
      </c>
      <c r="J41" s="32">
        <v>3615</v>
      </c>
    </row>
    <row r="42" spans="2:10" x14ac:dyDescent="0.2">
      <c r="B42" s="4">
        <f t="shared" si="0"/>
        <v>35</v>
      </c>
      <c r="C42" s="30">
        <v>292008</v>
      </c>
      <c r="D42" s="30" t="s">
        <v>179</v>
      </c>
      <c r="E42" s="31">
        <v>150000</v>
      </c>
      <c r="F42" s="45"/>
      <c r="G42" s="31">
        <v>270000</v>
      </c>
      <c r="H42" s="31">
        <v>270000</v>
      </c>
      <c r="I42" s="32">
        <v>300248</v>
      </c>
      <c r="J42" s="32">
        <v>269602</v>
      </c>
    </row>
    <row r="43" spans="2:10" x14ac:dyDescent="0.2">
      <c r="B43" s="4">
        <f t="shared" si="0"/>
        <v>36</v>
      </c>
      <c r="C43" s="30">
        <v>292012</v>
      </c>
      <c r="D43" s="30" t="s">
        <v>232</v>
      </c>
      <c r="E43" s="31">
        <v>0</v>
      </c>
      <c r="F43" s="45"/>
      <c r="G43" s="31"/>
      <c r="H43" s="31"/>
      <c r="I43" s="32">
        <v>3681</v>
      </c>
      <c r="J43" s="32">
        <v>17490</v>
      </c>
    </row>
    <row r="44" spans="2:10" x14ac:dyDescent="0.2">
      <c r="B44" s="4">
        <f>B43+1</f>
        <v>37</v>
      </c>
      <c r="C44" s="30">
        <v>292017</v>
      </c>
      <c r="D44" s="30" t="s">
        <v>233</v>
      </c>
      <c r="E44" s="31">
        <v>0</v>
      </c>
      <c r="F44" s="45"/>
      <c r="G44" s="31"/>
      <c r="H44" s="31"/>
      <c r="I44" s="32">
        <v>25116</v>
      </c>
      <c r="J44" s="32">
        <v>58050</v>
      </c>
    </row>
    <row r="45" spans="2:10" ht="13.5" thickBot="1" x14ac:dyDescent="0.25">
      <c r="B45" s="4">
        <f t="shared" ref="B45:B60" si="1">B44+1</f>
        <v>38</v>
      </c>
      <c r="C45" s="46">
        <v>292027</v>
      </c>
      <c r="D45" s="46" t="s">
        <v>441</v>
      </c>
      <c r="E45" s="47">
        <v>200000</v>
      </c>
      <c r="F45" s="507"/>
      <c r="G45" s="47">
        <v>351770</v>
      </c>
      <c r="H45" s="47">
        <v>444877</v>
      </c>
      <c r="I45" s="48">
        <v>31517</v>
      </c>
      <c r="J45" s="48">
        <f>42+41242</f>
        <v>41284</v>
      </c>
    </row>
    <row r="46" spans="2:10" ht="15" thickBot="1" x14ac:dyDescent="0.25">
      <c r="B46" s="4">
        <f t="shared" si="1"/>
        <v>39</v>
      </c>
      <c r="C46" s="36">
        <v>1</v>
      </c>
      <c r="D46" s="36" t="s">
        <v>53</v>
      </c>
      <c r="E46" s="37">
        <f>E47</f>
        <v>32200</v>
      </c>
      <c r="F46" s="504"/>
      <c r="G46" s="37">
        <f t="shared" ref="G46:J47" si="2">G47</f>
        <v>22000</v>
      </c>
      <c r="H46" s="37">
        <f t="shared" si="2"/>
        <v>22000</v>
      </c>
      <c r="I46" s="38">
        <f t="shared" si="2"/>
        <v>17416</v>
      </c>
      <c r="J46" s="38">
        <f t="shared" si="2"/>
        <v>14933</v>
      </c>
    </row>
    <row r="47" spans="2:10" x14ac:dyDescent="0.2">
      <c r="B47" s="4">
        <f t="shared" si="1"/>
        <v>40</v>
      </c>
      <c r="C47" s="39">
        <v>220</v>
      </c>
      <c r="D47" s="39" t="s">
        <v>220</v>
      </c>
      <c r="E47" s="40">
        <f>E48</f>
        <v>32200</v>
      </c>
      <c r="F47" s="505"/>
      <c r="G47" s="40">
        <f t="shared" si="2"/>
        <v>22000</v>
      </c>
      <c r="H47" s="40">
        <f t="shared" si="2"/>
        <v>22000</v>
      </c>
      <c r="I47" s="41">
        <f t="shared" si="2"/>
        <v>17416</v>
      </c>
      <c r="J47" s="41">
        <f t="shared" si="2"/>
        <v>14933</v>
      </c>
    </row>
    <row r="48" spans="2:10" ht="13.5" thickBot="1" x14ac:dyDescent="0.25">
      <c r="B48" s="4">
        <f t="shared" si="1"/>
        <v>41</v>
      </c>
      <c r="C48" s="30">
        <v>223002</v>
      </c>
      <c r="D48" s="30" t="s">
        <v>74</v>
      </c>
      <c r="E48" s="31">
        <f>23000+9200</f>
        <v>32200</v>
      </c>
      <c r="F48" s="45"/>
      <c r="G48" s="31">
        <v>22000</v>
      </c>
      <c r="H48" s="31">
        <v>22000</v>
      </c>
      <c r="I48" s="32">
        <v>17416</v>
      </c>
      <c r="J48" s="32">
        <v>14933</v>
      </c>
    </row>
    <row r="49" spans="2:10" ht="15" thickBot="1" x14ac:dyDescent="0.25">
      <c r="B49" s="4">
        <f t="shared" si="1"/>
        <v>42</v>
      </c>
      <c r="C49" s="36">
        <v>2</v>
      </c>
      <c r="D49" s="36" t="s">
        <v>13</v>
      </c>
      <c r="E49" s="37">
        <f>E50+E52+E55+E57+E61+E64+E68+E71+E74+E76+E79+E81+E85</f>
        <v>1228250</v>
      </c>
      <c r="F49" s="504"/>
      <c r="G49" s="37">
        <f>G50+G52+G55+G57+G61+G64+G68+G71+G74+G76+G79+G81+G85</f>
        <v>1187250</v>
      </c>
      <c r="H49" s="37">
        <f>H50+H52+H55+H57+H61+H64+H68+H71+H74+H76+H79+H81+H85</f>
        <v>1187250</v>
      </c>
      <c r="I49" s="38">
        <f>I50+I52+I55+I57+I61+I64+I68+I71+I74+I76+I79+I81+I85</f>
        <v>842149</v>
      </c>
      <c r="J49" s="38">
        <f>J50+J52+J55+J57+J61+J64+J68+J71+J74+J76+J79+J81+J85</f>
        <v>559123</v>
      </c>
    </row>
    <row r="50" spans="2:10" x14ac:dyDescent="0.2">
      <c r="B50" s="4">
        <f t="shared" si="1"/>
        <v>43</v>
      </c>
      <c r="C50" s="42">
        <v>210</v>
      </c>
      <c r="D50" s="39" t="s">
        <v>248</v>
      </c>
      <c r="E50" s="43">
        <f>E51</f>
        <v>300</v>
      </c>
      <c r="F50" s="506"/>
      <c r="G50" s="43">
        <f>G51</f>
        <v>300</v>
      </c>
      <c r="H50" s="43">
        <f>H51</f>
        <v>300</v>
      </c>
      <c r="I50" s="44">
        <f>I51</f>
        <v>148</v>
      </c>
      <c r="J50" s="44">
        <f>J51</f>
        <v>293</v>
      </c>
    </row>
    <row r="51" spans="2:10" x14ac:dyDescent="0.2">
      <c r="B51" s="4">
        <f t="shared" si="1"/>
        <v>44</v>
      </c>
      <c r="C51" s="30">
        <v>212003</v>
      </c>
      <c r="D51" s="30" t="s">
        <v>249</v>
      </c>
      <c r="E51" s="31">
        <v>300</v>
      </c>
      <c r="F51" s="45"/>
      <c r="G51" s="31">
        <v>300</v>
      </c>
      <c r="H51" s="31">
        <v>300</v>
      </c>
      <c r="I51" s="32">
        <v>148</v>
      </c>
      <c r="J51" s="32">
        <v>293</v>
      </c>
    </row>
    <row r="52" spans="2:10" x14ac:dyDescent="0.2">
      <c r="B52" s="4">
        <f t="shared" si="1"/>
        <v>45</v>
      </c>
      <c r="C52" s="42">
        <v>220</v>
      </c>
      <c r="D52" s="42" t="s">
        <v>220</v>
      </c>
      <c r="E52" s="43">
        <f>E53+E54</f>
        <v>1300</v>
      </c>
      <c r="F52" s="506"/>
      <c r="G52" s="43">
        <f>SUM(G53:G54)</f>
        <v>3200</v>
      </c>
      <c r="H52" s="43">
        <f>SUM(H53:H54)</f>
        <v>3200</v>
      </c>
      <c r="I52" s="44">
        <f>SUM(I53:I54)</f>
        <v>5838</v>
      </c>
      <c r="J52" s="44">
        <f>SUM(J53:J54)</f>
        <v>7236</v>
      </c>
    </row>
    <row r="53" spans="2:10" x14ac:dyDescent="0.2">
      <c r="B53" s="4">
        <f t="shared" si="1"/>
        <v>46</v>
      </c>
      <c r="C53" s="30">
        <v>222003</v>
      </c>
      <c r="D53" s="30" t="s">
        <v>59</v>
      </c>
      <c r="E53" s="31">
        <v>100</v>
      </c>
      <c r="F53" s="45"/>
      <c r="G53" s="31">
        <v>100</v>
      </c>
      <c r="H53" s="31">
        <v>100</v>
      </c>
      <c r="I53" s="32">
        <v>4315</v>
      </c>
      <c r="J53" s="32">
        <v>4875</v>
      </c>
    </row>
    <row r="54" spans="2:10" x14ac:dyDescent="0.2">
      <c r="B54" s="4">
        <f t="shared" si="1"/>
        <v>47</v>
      </c>
      <c r="C54" s="30">
        <v>223001</v>
      </c>
      <c r="D54" s="30" t="s">
        <v>251</v>
      </c>
      <c r="E54" s="31">
        <v>1200</v>
      </c>
      <c r="F54" s="45"/>
      <c r="G54" s="31">
        <v>3100</v>
      </c>
      <c r="H54" s="31">
        <v>3100</v>
      </c>
      <c r="I54" s="32">
        <v>1523</v>
      </c>
      <c r="J54" s="32">
        <v>2361</v>
      </c>
    </row>
    <row r="55" spans="2:10" x14ac:dyDescent="0.2">
      <c r="B55" s="4">
        <f t="shared" si="1"/>
        <v>48</v>
      </c>
      <c r="C55" s="42">
        <v>240</v>
      </c>
      <c r="D55" s="42" t="s">
        <v>176</v>
      </c>
      <c r="E55" s="43">
        <f>E56</f>
        <v>50</v>
      </c>
      <c r="F55" s="506"/>
      <c r="G55" s="43">
        <f>G56</f>
        <v>50</v>
      </c>
      <c r="H55" s="43">
        <f>H56</f>
        <v>50</v>
      </c>
      <c r="I55" s="44">
        <f>I56</f>
        <v>0</v>
      </c>
      <c r="J55" s="44">
        <f>J56</f>
        <v>0</v>
      </c>
    </row>
    <row r="56" spans="2:10" x14ac:dyDescent="0.2">
      <c r="B56" s="4">
        <f t="shared" si="1"/>
        <v>49</v>
      </c>
      <c r="C56" s="30">
        <v>242</v>
      </c>
      <c r="D56" s="30" t="s">
        <v>175</v>
      </c>
      <c r="E56" s="31">
        <v>50</v>
      </c>
      <c r="F56" s="45"/>
      <c r="G56" s="31">
        <v>50</v>
      </c>
      <c r="H56" s="31">
        <v>50</v>
      </c>
      <c r="I56" s="32">
        <v>0</v>
      </c>
      <c r="J56" s="32">
        <v>0</v>
      </c>
    </row>
    <row r="57" spans="2:10" x14ac:dyDescent="0.2">
      <c r="B57" s="4">
        <f t="shared" si="1"/>
        <v>50</v>
      </c>
      <c r="C57" s="42">
        <v>290</v>
      </c>
      <c r="D57" s="42" t="s">
        <v>178</v>
      </c>
      <c r="E57" s="43">
        <f>SUM(E58:E60)</f>
        <v>4600</v>
      </c>
      <c r="F57" s="506"/>
      <c r="G57" s="43">
        <f>SUM(G58:G60)</f>
        <v>2600</v>
      </c>
      <c r="H57" s="43">
        <f>SUM(H58:H60)</f>
        <v>2600</v>
      </c>
      <c r="I57" s="44">
        <f>SUM(I58:I60)</f>
        <v>8353</v>
      </c>
      <c r="J57" s="44">
        <f>SUM(J58:J60)</f>
        <v>22560</v>
      </c>
    </row>
    <row r="58" spans="2:10" x14ac:dyDescent="0.2">
      <c r="B58" s="4">
        <f t="shared" si="1"/>
        <v>51</v>
      </c>
      <c r="C58" s="30">
        <v>292012</v>
      </c>
      <c r="D58" s="30" t="s">
        <v>232</v>
      </c>
      <c r="E58" s="31">
        <v>4000</v>
      </c>
      <c r="F58" s="45"/>
      <c r="G58" s="31">
        <v>2000</v>
      </c>
      <c r="H58" s="31">
        <v>2000</v>
      </c>
      <c r="I58" s="32">
        <v>6457</v>
      </c>
      <c r="J58" s="32">
        <v>8260</v>
      </c>
    </row>
    <row r="59" spans="2:10" x14ac:dyDescent="0.2">
      <c r="B59" s="4">
        <f t="shared" si="1"/>
        <v>52</v>
      </c>
      <c r="C59" s="30">
        <v>292017</v>
      </c>
      <c r="D59" s="30" t="s">
        <v>233</v>
      </c>
      <c r="E59" s="31">
        <v>300</v>
      </c>
      <c r="F59" s="45"/>
      <c r="G59" s="31">
        <v>300</v>
      </c>
      <c r="H59" s="31">
        <v>300</v>
      </c>
      <c r="I59" s="32">
        <v>1896</v>
      </c>
      <c r="J59" s="32">
        <v>2848</v>
      </c>
    </row>
    <row r="60" spans="2:10" x14ac:dyDescent="0.2">
      <c r="B60" s="4">
        <f t="shared" si="1"/>
        <v>53</v>
      </c>
      <c r="C60" s="30">
        <v>292027</v>
      </c>
      <c r="D60" s="30" t="s">
        <v>441</v>
      </c>
      <c r="E60" s="31">
        <v>300</v>
      </c>
      <c r="F60" s="45"/>
      <c r="G60" s="31">
        <v>300</v>
      </c>
      <c r="H60" s="31">
        <f>G60</f>
        <v>300</v>
      </c>
      <c r="I60" s="32">
        <v>0</v>
      </c>
      <c r="J60" s="32">
        <v>11452</v>
      </c>
    </row>
    <row r="61" spans="2:10" x14ac:dyDescent="0.2">
      <c r="B61" s="4">
        <f t="shared" si="0"/>
        <v>54</v>
      </c>
      <c r="C61" s="42"/>
      <c r="D61" s="42" t="s">
        <v>51</v>
      </c>
      <c r="E61" s="43">
        <f>E62+E63</f>
        <v>293000</v>
      </c>
      <c r="F61" s="506"/>
      <c r="G61" s="43">
        <f>SUM(G62:G63)</f>
        <v>308300</v>
      </c>
      <c r="H61" s="43">
        <f t="shared" ref="H61:H86" si="3">G61</f>
        <v>308300</v>
      </c>
      <c r="I61" s="44">
        <f>SUM(I62:I63)</f>
        <v>167230</v>
      </c>
      <c r="J61" s="44">
        <f>SUM(J62:J63)</f>
        <v>52076</v>
      </c>
    </row>
    <row r="62" spans="2:10" x14ac:dyDescent="0.2">
      <c r="B62" s="4">
        <f t="shared" si="0"/>
        <v>55</v>
      </c>
      <c r="C62" s="30">
        <v>212003</v>
      </c>
      <c r="D62" s="30" t="s">
        <v>249</v>
      </c>
      <c r="E62" s="31">
        <v>6000</v>
      </c>
      <c r="F62" s="45"/>
      <c r="G62" s="31">
        <v>11800</v>
      </c>
      <c r="H62" s="31">
        <f t="shared" si="3"/>
        <v>11800</v>
      </c>
      <c r="I62" s="32">
        <v>9770</v>
      </c>
      <c r="J62" s="32">
        <v>5684</v>
      </c>
    </row>
    <row r="63" spans="2:10" x14ac:dyDescent="0.2">
      <c r="B63" s="4">
        <f t="shared" si="0"/>
        <v>56</v>
      </c>
      <c r="C63" s="30">
        <v>223001</v>
      </c>
      <c r="D63" s="30" t="s">
        <v>251</v>
      </c>
      <c r="E63" s="31">
        <v>287000</v>
      </c>
      <c r="F63" s="45"/>
      <c r="G63" s="31">
        <v>296500</v>
      </c>
      <c r="H63" s="31">
        <f t="shared" si="3"/>
        <v>296500</v>
      </c>
      <c r="I63" s="32">
        <v>157460</v>
      </c>
      <c r="J63" s="32">
        <v>46392</v>
      </c>
    </row>
    <row r="64" spans="2:10" x14ac:dyDescent="0.2">
      <c r="B64" s="4">
        <f t="shared" si="0"/>
        <v>57</v>
      </c>
      <c r="C64" s="42"/>
      <c r="D64" s="42" t="s">
        <v>645</v>
      </c>
      <c r="E64" s="43">
        <f>SUM(E65:E67)</f>
        <v>408800</v>
      </c>
      <c r="F64" s="506"/>
      <c r="G64" s="43">
        <f>SUM(G65:G67)</f>
        <v>397600</v>
      </c>
      <c r="H64" s="43">
        <f t="shared" si="3"/>
        <v>397600</v>
      </c>
      <c r="I64" s="44">
        <f>SUM(I65:I67)</f>
        <v>227027</v>
      </c>
      <c r="J64" s="44">
        <f>SUM(J65:J67)</f>
        <v>182032</v>
      </c>
    </row>
    <row r="65" spans="2:10" x14ac:dyDescent="0.2">
      <c r="B65" s="4">
        <f t="shared" si="0"/>
        <v>58</v>
      </c>
      <c r="C65" s="30">
        <v>212002</v>
      </c>
      <c r="D65" s="30" t="s">
        <v>273</v>
      </c>
      <c r="E65" s="31">
        <v>10000</v>
      </c>
      <c r="F65" s="45"/>
      <c r="G65" s="31">
        <v>10000</v>
      </c>
      <c r="H65" s="31">
        <f t="shared" si="3"/>
        <v>10000</v>
      </c>
      <c r="I65" s="32">
        <v>10964</v>
      </c>
      <c r="J65" s="32">
        <v>8631</v>
      </c>
    </row>
    <row r="66" spans="2:10" x14ac:dyDescent="0.2">
      <c r="B66" s="4">
        <f t="shared" si="0"/>
        <v>59</v>
      </c>
      <c r="C66" s="30">
        <v>212003</v>
      </c>
      <c r="D66" s="30" t="s">
        <v>249</v>
      </c>
      <c r="E66" s="31">
        <v>2500</v>
      </c>
      <c r="F66" s="45"/>
      <c r="G66" s="31">
        <v>2500</v>
      </c>
      <c r="H66" s="31">
        <f t="shared" si="3"/>
        <v>2500</v>
      </c>
      <c r="I66" s="32">
        <v>1592</v>
      </c>
      <c r="J66" s="32">
        <v>1352</v>
      </c>
    </row>
    <row r="67" spans="2:10" x14ac:dyDescent="0.2">
      <c r="B67" s="4">
        <f t="shared" si="0"/>
        <v>60</v>
      </c>
      <c r="C67" s="30">
        <v>223001</v>
      </c>
      <c r="D67" s="30" t="s">
        <v>251</v>
      </c>
      <c r="E67" s="31">
        <v>396300</v>
      </c>
      <c r="F67" s="45"/>
      <c r="G67" s="31">
        <v>385100</v>
      </c>
      <c r="H67" s="31">
        <f t="shared" si="3"/>
        <v>385100</v>
      </c>
      <c r="I67" s="32">
        <v>214471</v>
      </c>
      <c r="J67" s="32">
        <v>172049</v>
      </c>
    </row>
    <row r="68" spans="2:10" x14ac:dyDescent="0.2">
      <c r="B68" s="4">
        <f t="shared" si="0"/>
        <v>61</v>
      </c>
      <c r="C68" s="42"/>
      <c r="D68" s="42" t="s">
        <v>210</v>
      </c>
      <c r="E68" s="43">
        <f>SUM(E69:E70)</f>
        <v>129700</v>
      </c>
      <c r="F68" s="506"/>
      <c r="G68" s="43">
        <f>SUM(G69:G70)</f>
        <v>129400</v>
      </c>
      <c r="H68" s="43">
        <f t="shared" si="3"/>
        <v>129400</v>
      </c>
      <c r="I68" s="44">
        <f>SUM(I69:I70)</f>
        <v>28649</v>
      </c>
      <c r="J68" s="44">
        <f>SUM(J69:J70)</f>
        <v>34865</v>
      </c>
    </row>
    <row r="69" spans="2:10" x14ac:dyDescent="0.2">
      <c r="B69" s="4">
        <f>B68+1</f>
        <v>62</v>
      </c>
      <c r="C69" s="30">
        <v>212003</v>
      </c>
      <c r="D69" s="30" t="s">
        <v>249</v>
      </c>
      <c r="E69" s="31">
        <v>39700</v>
      </c>
      <c r="F69" s="45"/>
      <c r="G69" s="31">
        <v>39400</v>
      </c>
      <c r="H69" s="31">
        <f t="shared" si="3"/>
        <v>39400</v>
      </c>
      <c r="I69" s="32">
        <v>11743</v>
      </c>
      <c r="J69" s="32">
        <v>10404</v>
      </c>
    </row>
    <row r="70" spans="2:10" x14ac:dyDescent="0.2">
      <c r="B70" s="4">
        <f t="shared" si="0"/>
        <v>63</v>
      </c>
      <c r="C70" s="30">
        <v>223001</v>
      </c>
      <c r="D70" s="30" t="s">
        <v>251</v>
      </c>
      <c r="E70" s="31">
        <v>90000</v>
      </c>
      <c r="F70" s="45"/>
      <c r="G70" s="31">
        <v>90000</v>
      </c>
      <c r="H70" s="31">
        <f t="shared" si="3"/>
        <v>90000</v>
      </c>
      <c r="I70" s="32">
        <v>16906</v>
      </c>
      <c r="J70" s="32">
        <v>24461</v>
      </c>
    </row>
    <row r="71" spans="2:10" x14ac:dyDescent="0.2">
      <c r="B71" s="4">
        <f t="shared" si="0"/>
        <v>64</v>
      </c>
      <c r="C71" s="42"/>
      <c r="D71" s="42" t="s">
        <v>227</v>
      </c>
      <c r="E71" s="43">
        <f>E72+E73</f>
        <v>167500</v>
      </c>
      <c r="F71" s="506"/>
      <c r="G71" s="43">
        <f>SUM(G72:G73)</f>
        <v>167500</v>
      </c>
      <c r="H71" s="43">
        <f t="shared" si="3"/>
        <v>167500</v>
      </c>
      <c r="I71" s="44">
        <f>SUM(I72:I73)</f>
        <v>112694</v>
      </c>
      <c r="J71" s="44">
        <f>SUM(J72:J73)</f>
        <v>18278</v>
      </c>
    </row>
    <row r="72" spans="2:10" x14ac:dyDescent="0.2">
      <c r="B72" s="4">
        <f t="shared" si="0"/>
        <v>65</v>
      </c>
      <c r="C72" s="30">
        <v>212004</v>
      </c>
      <c r="D72" s="30" t="s">
        <v>250</v>
      </c>
      <c r="E72" s="31">
        <v>4000</v>
      </c>
      <c r="F72" s="45"/>
      <c r="G72" s="31">
        <v>4500</v>
      </c>
      <c r="H72" s="31">
        <f t="shared" si="3"/>
        <v>4500</v>
      </c>
      <c r="I72" s="32">
        <v>2124</v>
      </c>
      <c r="J72" s="32">
        <v>750</v>
      </c>
    </row>
    <row r="73" spans="2:10" x14ac:dyDescent="0.2">
      <c r="B73" s="4">
        <f t="shared" si="0"/>
        <v>66</v>
      </c>
      <c r="C73" s="30">
        <v>223001</v>
      </c>
      <c r="D73" s="30" t="s">
        <v>251</v>
      </c>
      <c r="E73" s="31">
        <v>163500</v>
      </c>
      <c r="F73" s="45"/>
      <c r="G73" s="31">
        <v>163000</v>
      </c>
      <c r="H73" s="31">
        <f t="shared" si="3"/>
        <v>163000</v>
      </c>
      <c r="I73" s="32">
        <v>110570</v>
      </c>
      <c r="J73" s="32">
        <v>17528</v>
      </c>
    </row>
    <row r="74" spans="2:10" x14ac:dyDescent="0.2">
      <c r="B74" s="4">
        <f t="shared" si="0"/>
        <v>67</v>
      </c>
      <c r="C74" s="42"/>
      <c r="D74" s="42" t="s">
        <v>216</v>
      </c>
      <c r="E74" s="43">
        <f>E75</f>
        <v>2500</v>
      </c>
      <c r="F74" s="506"/>
      <c r="G74" s="43">
        <f>SUM(G75:G75)</f>
        <v>2000</v>
      </c>
      <c r="H74" s="43">
        <f t="shared" si="3"/>
        <v>2000</v>
      </c>
      <c r="I74" s="44">
        <f>SUM(I75:I75)</f>
        <v>7931</v>
      </c>
      <c r="J74" s="44">
        <f>SUM(J75:J75)</f>
        <v>1845</v>
      </c>
    </row>
    <row r="75" spans="2:10" x14ac:dyDescent="0.2">
      <c r="B75" s="4">
        <f>B74+1</f>
        <v>68</v>
      </c>
      <c r="C75" s="30">
        <v>292006</v>
      </c>
      <c r="D75" s="30" t="s">
        <v>177</v>
      </c>
      <c r="E75" s="31">
        <v>2500</v>
      </c>
      <c r="F75" s="45"/>
      <c r="G75" s="31">
        <v>2000</v>
      </c>
      <c r="H75" s="31">
        <f t="shared" si="3"/>
        <v>2000</v>
      </c>
      <c r="I75" s="32">
        <v>7931</v>
      </c>
      <c r="J75" s="32">
        <v>1845</v>
      </c>
    </row>
    <row r="76" spans="2:10" x14ac:dyDescent="0.2">
      <c r="B76" s="4">
        <f>B75+1</f>
        <v>69</v>
      </c>
      <c r="C76" s="42"/>
      <c r="D76" s="42" t="s">
        <v>48</v>
      </c>
      <c r="E76" s="43">
        <f>E77+E78</f>
        <v>20050</v>
      </c>
      <c r="F76" s="506"/>
      <c r="G76" s="43">
        <f>SUM(G77:G78)</f>
        <v>20050</v>
      </c>
      <c r="H76" s="43">
        <f t="shared" si="3"/>
        <v>20050</v>
      </c>
      <c r="I76" s="44">
        <f>SUM(I77:I78)</f>
        <v>10817</v>
      </c>
      <c r="J76" s="44">
        <f>SUM(J77:J78)</f>
        <v>7463</v>
      </c>
    </row>
    <row r="77" spans="2:10" x14ac:dyDescent="0.2">
      <c r="B77" s="4">
        <f>B76+1</f>
        <v>70</v>
      </c>
      <c r="C77" s="30">
        <v>212003</v>
      </c>
      <c r="D77" s="30" t="s">
        <v>249</v>
      </c>
      <c r="E77" s="31">
        <v>50</v>
      </c>
      <c r="F77" s="45"/>
      <c r="G77" s="31">
        <v>50</v>
      </c>
      <c r="H77" s="31">
        <f t="shared" si="3"/>
        <v>50</v>
      </c>
      <c r="I77" s="32">
        <v>36</v>
      </c>
      <c r="J77" s="32">
        <v>36</v>
      </c>
    </row>
    <row r="78" spans="2:10" x14ac:dyDescent="0.2">
      <c r="B78" s="4">
        <f>B77+1</f>
        <v>71</v>
      </c>
      <c r="C78" s="30">
        <v>223001</v>
      </c>
      <c r="D78" s="30" t="s">
        <v>251</v>
      </c>
      <c r="E78" s="31">
        <v>20000</v>
      </c>
      <c r="F78" s="45"/>
      <c r="G78" s="31">
        <v>20000</v>
      </c>
      <c r="H78" s="31">
        <f t="shared" si="3"/>
        <v>20000</v>
      </c>
      <c r="I78" s="32">
        <v>10781</v>
      </c>
      <c r="J78" s="32">
        <v>7427</v>
      </c>
    </row>
    <row r="79" spans="2:10" x14ac:dyDescent="0.2">
      <c r="B79" s="4">
        <f>B78+1</f>
        <v>72</v>
      </c>
      <c r="C79" s="42"/>
      <c r="D79" s="42" t="s">
        <v>49</v>
      </c>
      <c r="E79" s="43">
        <f>E80</f>
        <v>2500</v>
      </c>
      <c r="F79" s="506"/>
      <c r="G79" s="43">
        <f>G80</f>
        <v>2000</v>
      </c>
      <c r="H79" s="43">
        <f t="shared" si="3"/>
        <v>2000</v>
      </c>
      <c r="I79" s="44">
        <f>I80</f>
        <v>2010</v>
      </c>
      <c r="J79" s="44">
        <f>J80</f>
        <v>3909</v>
      </c>
    </row>
    <row r="80" spans="2:10" x14ac:dyDescent="0.2">
      <c r="B80" s="4">
        <f t="shared" ref="B80:B142" si="4">B79+1</f>
        <v>73</v>
      </c>
      <c r="C80" s="30">
        <v>292006</v>
      </c>
      <c r="D80" s="30" t="s">
        <v>177</v>
      </c>
      <c r="E80" s="31">
        <v>2500</v>
      </c>
      <c r="F80" s="45"/>
      <c r="G80" s="31">
        <v>2000</v>
      </c>
      <c r="H80" s="31">
        <f t="shared" si="3"/>
        <v>2000</v>
      </c>
      <c r="I80" s="32">
        <v>2010</v>
      </c>
      <c r="J80" s="32">
        <v>3909</v>
      </c>
    </row>
    <row r="81" spans="2:10" x14ac:dyDescent="0.2">
      <c r="B81" s="4">
        <f t="shared" si="4"/>
        <v>74</v>
      </c>
      <c r="C81" s="42"/>
      <c r="D81" s="42" t="s">
        <v>50</v>
      </c>
      <c r="E81" s="43">
        <f>SUM(E82:E84)</f>
        <v>172250</v>
      </c>
      <c r="F81" s="506"/>
      <c r="G81" s="43">
        <f>SUM(G82:G84)</f>
        <v>143550</v>
      </c>
      <c r="H81" s="43">
        <f t="shared" si="3"/>
        <v>143550</v>
      </c>
      <c r="I81" s="44">
        <f>SUM(I82:I84)</f>
        <v>235903</v>
      </c>
      <c r="J81" s="44">
        <f>SUM(J82:J84)</f>
        <v>212606</v>
      </c>
    </row>
    <row r="82" spans="2:10" x14ac:dyDescent="0.2">
      <c r="B82" s="4">
        <f t="shared" si="4"/>
        <v>75</v>
      </c>
      <c r="C82" s="30">
        <v>212002</v>
      </c>
      <c r="D82" s="30" t="s">
        <v>273</v>
      </c>
      <c r="E82" s="31">
        <v>250</v>
      </c>
      <c r="F82" s="45"/>
      <c r="G82" s="31">
        <v>250</v>
      </c>
      <c r="H82" s="31">
        <f t="shared" si="3"/>
        <v>250</v>
      </c>
      <c r="I82" s="32">
        <v>327</v>
      </c>
      <c r="J82" s="32">
        <v>203</v>
      </c>
    </row>
    <row r="83" spans="2:10" x14ac:dyDescent="0.2">
      <c r="B83" s="4">
        <f t="shared" si="4"/>
        <v>76</v>
      </c>
      <c r="C83" s="30">
        <v>212003</v>
      </c>
      <c r="D83" s="30" t="s">
        <v>249</v>
      </c>
      <c r="E83" s="31">
        <v>500</v>
      </c>
      <c r="F83" s="45"/>
      <c r="G83" s="31">
        <v>500</v>
      </c>
      <c r="H83" s="31">
        <f t="shared" si="3"/>
        <v>500</v>
      </c>
      <c r="I83" s="32">
        <v>510</v>
      </c>
      <c r="J83" s="32">
        <v>693</v>
      </c>
    </row>
    <row r="84" spans="2:10" x14ac:dyDescent="0.2">
      <c r="B84" s="4">
        <f t="shared" si="4"/>
        <v>77</v>
      </c>
      <c r="C84" s="30">
        <v>223001</v>
      </c>
      <c r="D84" s="30" t="s">
        <v>251</v>
      </c>
      <c r="E84" s="31">
        <v>171500</v>
      </c>
      <c r="F84" s="45"/>
      <c r="G84" s="31">
        <v>142800</v>
      </c>
      <c r="H84" s="31">
        <f t="shared" si="3"/>
        <v>142800</v>
      </c>
      <c r="I84" s="32">
        <v>235066</v>
      </c>
      <c r="J84" s="32">
        <v>211710</v>
      </c>
    </row>
    <row r="85" spans="2:10" x14ac:dyDescent="0.2">
      <c r="B85" s="4">
        <f t="shared" si="4"/>
        <v>78</v>
      </c>
      <c r="C85" s="42"/>
      <c r="D85" s="42" t="s">
        <v>52</v>
      </c>
      <c r="E85" s="43">
        <f>E86+E87</f>
        <v>25700</v>
      </c>
      <c r="F85" s="506"/>
      <c r="G85" s="43">
        <f>SUM(G86:G87)</f>
        <v>10700</v>
      </c>
      <c r="H85" s="43">
        <f>H86+H87</f>
        <v>10700</v>
      </c>
      <c r="I85" s="44">
        <f>SUM(I86:I87)</f>
        <v>35549</v>
      </c>
      <c r="J85" s="44">
        <f>SUM(J86:J87)</f>
        <v>15960</v>
      </c>
    </row>
    <row r="86" spans="2:10" x14ac:dyDescent="0.2">
      <c r="B86" s="4">
        <f t="shared" si="4"/>
        <v>79</v>
      </c>
      <c r="C86" s="30">
        <v>212002</v>
      </c>
      <c r="D86" s="30" t="s">
        <v>273</v>
      </c>
      <c r="E86" s="31">
        <v>700</v>
      </c>
      <c r="F86" s="45"/>
      <c r="G86" s="31">
        <v>700</v>
      </c>
      <c r="H86" s="31">
        <f t="shared" si="3"/>
        <v>700</v>
      </c>
      <c r="I86" s="32">
        <v>701</v>
      </c>
      <c r="J86" s="32">
        <v>350</v>
      </c>
    </row>
    <row r="87" spans="2:10" ht="13.5" thickBot="1" x14ac:dyDescent="0.25">
      <c r="B87" s="4">
        <f t="shared" si="4"/>
        <v>80</v>
      </c>
      <c r="C87" s="46">
        <v>223001</v>
      </c>
      <c r="D87" s="46" t="s">
        <v>251</v>
      </c>
      <c r="E87" s="47">
        <v>25000</v>
      </c>
      <c r="F87" s="507"/>
      <c r="G87" s="47">
        <v>10000</v>
      </c>
      <c r="H87" s="47">
        <v>10000</v>
      </c>
      <c r="I87" s="48">
        <v>34848</v>
      </c>
      <c r="J87" s="48">
        <v>15610</v>
      </c>
    </row>
    <row r="88" spans="2:10" ht="15" thickBot="1" x14ac:dyDescent="0.25">
      <c r="B88" s="4">
        <f t="shared" si="4"/>
        <v>81</v>
      </c>
      <c r="C88" s="36">
        <v>3</v>
      </c>
      <c r="D88" s="36" t="s">
        <v>10</v>
      </c>
      <c r="E88" s="37">
        <f>E89+E92</f>
        <v>38955</v>
      </c>
      <c r="F88" s="504"/>
      <c r="G88" s="37">
        <f>G89</f>
        <v>47145</v>
      </c>
      <c r="H88" s="37">
        <f>H89</f>
        <v>54745</v>
      </c>
      <c r="I88" s="38">
        <f>I89+I92</f>
        <v>34212</v>
      </c>
      <c r="J88" s="38">
        <f>J89+J92</f>
        <v>23273</v>
      </c>
    </row>
    <row r="89" spans="2:10" x14ac:dyDescent="0.2">
      <c r="B89" s="4">
        <f t="shared" si="4"/>
        <v>82</v>
      </c>
      <c r="C89" s="39">
        <v>220</v>
      </c>
      <c r="D89" s="39" t="s">
        <v>220</v>
      </c>
      <c r="E89" s="40">
        <f t="shared" ref="E89:J89" si="5">E91+E90</f>
        <v>38955</v>
      </c>
      <c r="F89" s="40">
        <f t="shared" si="5"/>
        <v>0</v>
      </c>
      <c r="G89" s="40">
        <f t="shared" si="5"/>
        <v>47145</v>
      </c>
      <c r="H89" s="40">
        <f t="shared" si="5"/>
        <v>54745</v>
      </c>
      <c r="I89" s="40">
        <f t="shared" si="5"/>
        <v>30874</v>
      </c>
      <c r="J89" s="40">
        <f t="shared" si="5"/>
        <v>23087</v>
      </c>
    </row>
    <row r="90" spans="2:10" x14ac:dyDescent="0.2">
      <c r="B90" s="4">
        <f t="shared" si="4"/>
        <v>83</v>
      </c>
      <c r="C90" s="30">
        <v>223001</v>
      </c>
      <c r="D90" s="30" t="s">
        <v>1098</v>
      </c>
      <c r="E90" s="31"/>
      <c r="F90" s="45"/>
      <c r="G90" s="31"/>
      <c r="H90" s="31">
        <v>7600</v>
      </c>
      <c r="I90" s="32"/>
      <c r="J90" s="32">
        <v>0</v>
      </c>
    </row>
    <row r="91" spans="2:10" x14ac:dyDescent="0.2">
      <c r="B91" s="4">
        <f t="shared" si="4"/>
        <v>84</v>
      </c>
      <c r="C91" s="30">
        <v>223002</v>
      </c>
      <c r="D91" s="30" t="s">
        <v>74</v>
      </c>
      <c r="E91" s="31">
        <v>38955</v>
      </c>
      <c r="F91" s="45"/>
      <c r="G91" s="31">
        <v>47145</v>
      </c>
      <c r="H91" s="31">
        <v>47145</v>
      </c>
      <c r="I91" s="32">
        <v>30874</v>
      </c>
      <c r="J91" s="32">
        <v>23087</v>
      </c>
    </row>
    <row r="92" spans="2:10" x14ac:dyDescent="0.2">
      <c r="B92" s="4">
        <f t="shared" si="4"/>
        <v>85</v>
      </c>
      <c r="C92" s="42">
        <v>290</v>
      </c>
      <c r="D92" s="42" t="s">
        <v>178</v>
      </c>
      <c r="E92" s="43">
        <f>E93</f>
        <v>0</v>
      </c>
      <c r="F92" s="506"/>
      <c r="G92" s="43">
        <f>G93</f>
        <v>0</v>
      </c>
      <c r="H92" s="43">
        <f>H93</f>
        <v>0</v>
      </c>
      <c r="I92" s="44">
        <f>I93</f>
        <v>3338</v>
      </c>
      <c r="J92" s="44">
        <f>J93</f>
        <v>186</v>
      </c>
    </row>
    <row r="93" spans="2:10" ht="13.5" thickBot="1" x14ac:dyDescent="0.25">
      <c r="B93" s="4">
        <f t="shared" si="4"/>
        <v>86</v>
      </c>
      <c r="C93" s="46">
        <v>292012</v>
      </c>
      <c r="D93" s="46" t="s">
        <v>232</v>
      </c>
      <c r="E93" s="47">
        <v>0</v>
      </c>
      <c r="F93" s="507"/>
      <c r="G93" s="47"/>
      <c r="H93" s="47"/>
      <c r="I93" s="48">
        <v>3338</v>
      </c>
      <c r="J93" s="48">
        <v>186</v>
      </c>
    </row>
    <row r="94" spans="2:10" ht="15" thickBot="1" x14ac:dyDescent="0.25">
      <c r="B94" s="4">
        <f t="shared" si="4"/>
        <v>87</v>
      </c>
      <c r="C94" s="36">
        <v>4</v>
      </c>
      <c r="D94" s="36" t="s">
        <v>89</v>
      </c>
      <c r="E94" s="37">
        <f>E95+E99+E103+E107+E111+E115+E120+E125+E129+E133+E137+E141+E145+E149+E151+E153+E156+E159</f>
        <v>1037989</v>
      </c>
      <c r="F94" s="504"/>
      <c r="G94" s="37">
        <f>G95+G99+G103+G107+G111+G115+G120+G125+G129+G133+G137+G141+G145+G149+G151+G153+G156+G159</f>
        <v>1328940</v>
      </c>
      <c r="H94" s="37">
        <f>H95+H99+H103+H107+H111+H115+H120+H125+H129+H133+H137+H141+H145+H149+H151+H153+H156+H159</f>
        <v>1325741</v>
      </c>
      <c r="I94" s="38">
        <f>I95+I99+I103+I107+I111+I115+I120+I125+I129+I133+I137+I141+I145+I149+I151+I153+I156+I159</f>
        <v>634364</v>
      </c>
      <c r="J94" s="38">
        <f>J95+J99+J103+J107+J111+J115+J120+J125+J129+J133+J137+J141+J145+J149+J151+J153+J156+J159</f>
        <v>443797</v>
      </c>
    </row>
    <row r="95" spans="2:10" x14ac:dyDescent="0.2">
      <c r="B95" s="4">
        <f t="shared" si="4"/>
        <v>88</v>
      </c>
      <c r="C95" s="39"/>
      <c r="D95" s="39" t="s">
        <v>70</v>
      </c>
      <c r="E95" s="40">
        <f>SUM(E96:E98)</f>
        <v>49742</v>
      </c>
      <c r="F95" s="505"/>
      <c r="G95" s="40">
        <f>SUM(G96:G98)</f>
        <v>69575</v>
      </c>
      <c r="H95" s="40">
        <f>SUM(H96:H98)</f>
        <v>69575</v>
      </c>
      <c r="I95" s="41">
        <f>SUM(I96:I98)</f>
        <v>32478</v>
      </c>
      <c r="J95" s="41">
        <f>SUM(J96:J98)</f>
        <v>22434</v>
      </c>
    </row>
    <row r="96" spans="2:10" x14ac:dyDescent="0.2">
      <c r="B96" s="4">
        <f t="shared" si="4"/>
        <v>89</v>
      </c>
      <c r="C96" s="30">
        <v>223001</v>
      </c>
      <c r="D96" s="30" t="s">
        <v>251</v>
      </c>
      <c r="E96" s="31">
        <f>4032+2+256</f>
        <v>4290</v>
      </c>
      <c r="F96" s="45"/>
      <c r="G96" s="31">
        <v>4536</v>
      </c>
      <c r="H96" s="31">
        <v>4536</v>
      </c>
      <c r="I96" s="32">
        <v>3906</v>
      </c>
      <c r="J96" s="32">
        <v>2946</v>
      </c>
    </row>
    <row r="97" spans="2:10" x14ac:dyDescent="0.2">
      <c r="B97" s="4">
        <f t="shared" si="4"/>
        <v>90</v>
      </c>
      <c r="C97" s="30">
        <v>223002</v>
      </c>
      <c r="D97" s="30" t="s">
        <v>74</v>
      </c>
      <c r="E97" s="31">
        <v>16170</v>
      </c>
      <c r="F97" s="45"/>
      <c r="G97" s="31">
        <v>28193</v>
      </c>
      <c r="H97" s="31">
        <v>28193</v>
      </c>
      <c r="I97" s="32">
        <v>11990</v>
      </c>
      <c r="J97" s="32">
        <v>9548</v>
      </c>
    </row>
    <row r="98" spans="2:10" x14ac:dyDescent="0.2">
      <c r="B98" s="4">
        <f t="shared" si="4"/>
        <v>91</v>
      </c>
      <c r="C98" s="30">
        <v>223003</v>
      </c>
      <c r="D98" s="30" t="s">
        <v>75</v>
      </c>
      <c r="E98" s="31">
        <v>29282</v>
      </c>
      <c r="F98" s="45"/>
      <c r="G98" s="31">
        <v>36846</v>
      </c>
      <c r="H98" s="31">
        <v>36846</v>
      </c>
      <c r="I98" s="32">
        <v>16582</v>
      </c>
      <c r="J98" s="32">
        <v>9940</v>
      </c>
    </row>
    <row r="99" spans="2:10" x14ac:dyDescent="0.2">
      <c r="B99" s="4">
        <f t="shared" si="4"/>
        <v>92</v>
      </c>
      <c r="C99" s="42"/>
      <c r="D99" s="42" t="s">
        <v>238</v>
      </c>
      <c r="E99" s="43">
        <f>SUM(E100:E102)</f>
        <v>110852</v>
      </c>
      <c r="F99" s="506"/>
      <c r="G99" s="43">
        <f>SUM(G100:G102)</f>
        <v>133177</v>
      </c>
      <c r="H99" s="43">
        <f>SUM(H100:H102)</f>
        <v>133177</v>
      </c>
      <c r="I99" s="44">
        <f>SUM(I100:I102)</f>
        <v>64166</v>
      </c>
      <c r="J99" s="44">
        <f>SUM(J100:J102)</f>
        <v>34665</v>
      </c>
    </row>
    <row r="100" spans="2:10" x14ac:dyDescent="0.2">
      <c r="B100" s="4">
        <f t="shared" si="4"/>
        <v>93</v>
      </c>
      <c r="C100" s="30">
        <v>223001</v>
      </c>
      <c r="D100" s="30" t="s">
        <v>251</v>
      </c>
      <c r="E100" s="31">
        <f>8631+548</f>
        <v>9179</v>
      </c>
      <c r="F100" s="45"/>
      <c r="G100" s="31">
        <v>8064</v>
      </c>
      <c r="H100" s="31">
        <f>G100</f>
        <v>8064</v>
      </c>
      <c r="I100" s="32">
        <v>6942</v>
      </c>
      <c r="J100" s="32">
        <v>4452</v>
      </c>
    </row>
    <row r="101" spans="2:10" x14ac:dyDescent="0.2">
      <c r="B101" s="4">
        <f t="shared" si="4"/>
        <v>94</v>
      </c>
      <c r="C101" s="30">
        <v>223002</v>
      </c>
      <c r="D101" s="30" t="s">
        <v>74</v>
      </c>
      <c r="E101" s="31">
        <v>38588</v>
      </c>
      <c r="F101" s="45"/>
      <c r="G101" s="31">
        <v>53340</v>
      </c>
      <c r="H101" s="31">
        <f>G101</f>
        <v>53340</v>
      </c>
      <c r="I101" s="32">
        <v>21252</v>
      </c>
      <c r="J101" s="32">
        <v>11927</v>
      </c>
    </row>
    <row r="102" spans="2:10" x14ac:dyDescent="0.2">
      <c r="B102" s="4">
        <f>B101+1</f>
        <v>95</v>
      </c>
      <c r="C102" s="30">
        <v>223003</v>
      </c>
      <c r="D102" s="30" t="s">
        <v>75</v>
      </c>
      <c r="E102" s="31">
        <v>63085</v>
      </c>
      <c r="F102" s="45"/>
      <c r="G102" s="31">
        <v>71773</v>
      </c>
      <c r="H102" s="31">
        <f>G102</f>
        <v>71773</v>
      </c>
      <c r="I102" s="32">
        <v>35972</v>
      </c>
      <c r="J102" s="32">
        <v>18286</v>
      </c>
    </row>
    <row r="103" spans="2:10" x14ac:dyDescent="0.2">
      <c r="B103" s="4">
        <f t="shared" si="4"/>
        <v>96</v>
      </c>
      <c r="C103" s="42"/>
      <c r="D103" s="42" t="s">
        <v>69</v>
      </c>
      <c r="E103" s="43">
        <f>SUM(E104:E106)</f>
        <v>48954</v>
      </c>
      <c r="F103" s="506"/>
      <c r="G103" s="43">
        <f>SUM(G104:G106)</f>
        <v>71886</v>
      </c>
      <c r="H103" s="43">
        <f>SUM(H104:H106)</f>
        <v>71886</v>
      </c>
      <c r="I103" s="44">
        <f>SUM(I104:I106)</f>
        <v>35554</v>
      </c>
      <c r="J103" s="44">
        <f>SUM(J104:J106)</f>
        <v>23827</v>
      </c>
    </row>
    <row r="104" spans="2:10" x14ac:dyDescent="0.2">
      <c r="B104" s="4">
        <f t="shared" si="4"/>
        <v>97</v>
      </c>
      <c r="C104" s="30">
        <v>223001</v>
      </c>
      <c r="D104" s="30" t="s">
        <v>251</v>
      </c>
      <c r="E104" s="31">
        <f>8631-3807</f>
        <v>4824</v>
      </c>
      <c r="F104" s="45"/>
      <c r="G104" s="31">
        <v>4536</v>
      </c>
      <c r="H104" s="31">
        <v>4536</v>
      </c>
      <c r="I104" s="32">
        <v>4320</v>
      </c>
      <c r="J104" s="32">
        <v>3180</v>
      </c>
    </row>
    <row r="105" spans="2:10" x14ac:dyDescent="0.2">
      <c r="B105" s="4">
        <f t="shared" si="4"/>
        <v>98</v>
      </c>
      <c r="C105" s="30">
        <v>223002</v>
      </c>
      <c r="D105" s="30" t="s">
        <v>74</v>
      </c>
      <c r="E105" s="31">
        <v>15068</v>
      </c>
      <c r="F105" s="45"/>
      <c r="G105" s="31">
        <v>28718</v>
      </c>
      <c r="H105" s="31">
        <v>28718</v>
      </c>
      <c r="I105" s="32">
        <v>13746</v>
      </c>
      <c r="J105" s="32">
        <v>9066</v>
      </c>
    </row>
    <row r="106" spans="2:10" x14ac:dyDescent="0.2">
      <c r="B106" s="4">
        <f t="shared" si="4"/>
        <v>99</v>
      </c>
      <c r="C106" s="30">
        <v>223003</v>
      </c>
      <c r="D106" s="30" t="s">
        <v>75</v>
      </c>
      <c r="E106" s="31">
        <v>29062</v>
      </c>
      <c r="F106" s="45"/>
      <c r="G106" s="31">
        <v>38632</v>
      </c>
      <c r="H106" s="31">
        <v>38632</v>
      </c>
      <c r="I106" s="32">
        <v>17488</v>
      </c>
      <c r="J106" s="32">
        <v>11581</v>
      </c>
    </row>
    <row r="107" spans="2:10" x14ac:dyDescent="0.2">
      <c r="B107" s="4">
        <f t="shared" si="4"/>
        <v>100</v>
      </c>
      <c r="C107" s="42"/>
      <c r="D107" s="42" t="s">
        <v>103</v>
      </c>
      <c r="E107" s="43">
        <f>SUM(E108:E110)</f>
        <v>67670</v>
      </c>
      <c r="F107" s="506"/>
      <c r="G107" s="43">
        <f>SUM(G108:G110)</f>
        <v>88486</v>
      </c>
      <c r="H107" s="43">
        <f>SUM(H108:H110)</f>
        <v>88486</v>
      </c>
      <c r="I107" s="44">
        <f>SUM(I108:I110)</f>
        <v>41644</v>
      </c>
      <c r="J107" s="44">
        <f>SUM(J108:J110)</f>
        <v>28837</v>
      </c>
    </row>
    <row r="108" spans="2:10" x14ac:dyDescent="0.2">
      <c r="B108" s="4">
        <f t="shared" si="4"/>
        <v>101</v>
      </c>
      <c r="C108" s="30">
        <v>223001</v>
      </c>
      <c r="D108" s="30" t="s">
        <v>251</v>
      </c>
      <c r="E108" s="31">
        <f>5796+368</f>
        <v>6164</v>
      </c>
      <c r="F108" s="45"/>
      <c r="G108" s="31">
        <v>5544</v>
      </c>
      <c r="H108" s="31">
        <v>5544</v>
      </c>
      <c r="I108" s="32">
        <v>5250</v>
      </c>
      <c r="J108" s="32">
        <v>3696</v>
      </c>
    </row>
    <row r="109" spans="2:10" x14ac:dyDescent="0.2">
      <c r="B109" s="4">
        <f t="shared" si="4"/>
        <v>102</v>
      </c>
      <c r="C109" s="30">
        <v>223002</v>
      </c>
      <c r="D109" s="30" t="s">
        <v>74</v>
      </c>
      <c r="E109" s="31">
        <v>21683</v>
      </c>
      <c r="F109" s="45"/>
      <c r="G109" s="31">
        <v>34388</v>
      </c>
      <c r="H109" s="31">
        <v>34388</v>
      </c>
      <c r="I109" s="32">
        <v>14763</v>
      </c>
      <c r="J109" s="32">
        <v>10682</v>
      </c>
    </row>
    <row r="110" spans="2:10" x14ac:dyDescent="0.2">
      <c r="B110" s="4">
        <f t="shared" si="4"/>
        <v>103</v>
      </c>
      <c r="C110" s="30">
        <v>223003</v>
      </c>
      <c r="D110" s="30" t="s">
        <v>75</v>
      </c>
      <c r="E110" s="31">
        <v>39823</v>
      </c>
      <c r="F110" s="45"/>
      <c r="G110" s="31">
        <v>48554</v>
      </c>
      <c r="H110" s="31">
        <v>48554</v>
      </c>
      <c r="I110" s="32">
        <v>21631</v>
      </c>
      <c r="J110" s="32">
        <v>14459</v>
      </c>
    </row>
    <row r="111" spans="2:10" x14ac:dyDescent="0.2">
      <c r="B111" s="4">
        <f t="shared" si="4"/>
        <v>104</v>
      </c>
      <c r="C111" s="42"/>
      <c r="D111" s="42" t="s">
        <v>106</v>
      </c>
      <c r="E111" s="43">
        <f>SUM(E112:E114)</f>
        <v>63353</v>
      </c>
      <c r="F111" s="506"/>
      <c r="G111" s="43">
        <f>SUM(G112:G114)</f>
        <v>74618</v>
      </c>
      <c r="H111" s="43">
        <f>SUM(H112:H114)</f>
        <v>74618</v>
      </c>
      <c r="I111" s="44">
        <f>SUM(I112:I114)</f>
        <v>32740</v>
      </c>
      <c r="J111" s="44">
        <f>SUM(J112:J114)</f>
        <v>23004</v>
      </c>
    </row>
    <row r="112" spans="2:10" x14ac:dyDescent="0.2">
      <c r="B112" s="4">
        <f t="shared" si="4"/>
        <v>105</v>
      </c>
      <c r="C112" s="30">
        <v>223001</v>
      </c>
      <c r="D112" s="30" t="s">
        <v>251</v>
      </c>
      <c r="E112" s="31">
        <f>5103+324</f>
        <v>5427</v>
      </c>
      <c r="F112" s="45"/>
      <c r="G112" s="31">
        <v>4851</v>
      </c>
      <c r="H112" s="31">
        <v>4851</v>
      </c>
      <c r="I112" s="32">
        <v>3990</v>
      </c>
      <c r="J112" s="32">
        <v>2922</v>
      </c>
    </row>
    <row r="113" spans="2:10" x14ac:dyDescent="0.2">
      <c r="B113" s="4">
        <f t="shared" si="4"/>
        <v>106</v>
      </c>
      <c r="C113" s="30">
        <v>223002</v>
      </c>
      <c r="D113" s="30" t="s">
        <v>74</v>
      </c>
      <c r="E113" s="31">
        <v>20948</v>
      </c>
      <c r="F113" s="45"/>
      <c r="G113" s="31">
        <v>29085</v>
      </c>
      <c r="H113" s="31">
        <v>29085</v>
      </c>
      <c r="I113" s="32">
        <v>11791</v>
      </c>
      <c r="J113" s="32">
        <v>8677</v>
      </c>
    </row>
    <row r="114" spans="2:10" x14ac:dyDescent="0.2">
      <c r="B114" s="4">
        <f t="shared" si="4"/>
        <v>107</v>
      </c>
      <c r="C114" s="30">
        <v>223003</v>
      </c>
      <c r="D114" s="30" t="s">
        <v>75</v>
      </c>
      <c r="E114" s="31">
        <v>36978</v>
      </c>
      <c r="F114" s="45"/>
      <c r="G114" s="31">
        <v>40682</v>
      </c>
      <c r="H114" s="31">
        <v>40682</v>
      </c>
      <c r="I114" s="32">
        <v>16959</v>
      </c>
      <c r="J114" s="32">
        <v>11405</v>
      </c>
    </row>
    <row r="115" spans="2:10" x14ac:dyDescent="0.2">
      <c r="B115" s="4">
        <f t="shared" si="4"/>
        <v>108</v>
      </c>
      <c r="C115" s="42"/>
      <c r="D115" s="42" t="s">
        <v>91</v>
      </c>
      <c r="E115" s="43">
        <f>SUM(E116:E118)</f>
        <v>95140</v>
      </c>
      <c r="F115" s="506"/>
      <c r="G115" s="43">
        <f>SUM(G116:G118)</f>
        <v>128998</v>
      </c>
      <c r="H115" s="43">
        <f>SUM(H116:H118)</f>
        <v>128998</v>
      </c>
      <c r="I115" s="44">
        <f>SUM(I116:I119)</f>
        <v>63897</v>
      </c>
      <c r="J115" s="44">
        <f>SUM(J116:J118)</f>
        <v>40634</v>
      </c>
    </row>
    <row r="116" spans="2:10" x14ac:dyDescent="0.2">
      <c r="B116" s="4">
        <f t="shared" si="4"/>
        <v>109</v>
      </c>
      <c r="C116" s="30">
        <v>223001</v>
      </c>
      <c r="D116" s="30" t="s">
        <v>251</v>
      </c>
      <c r="E116" s="31">
        <f>7749+492</f>
        <v>8241</v>
      </c>
      <c r="F116" s="45"/>
      <c r="G116" s="31">
        <v>8190</v>
      </c>
      <c r="H116" s="31">
        <v>8190</v>
      </c>
      <c r="I116" s="32">
        <v>8074</v>
      </c>
      <c r="J116" s="32">
        <v>6114</v>
      </c>
    </row>
    <row r="117" spans="2:10" x14ac:dyDescent="0.2">
      <c r="B117" s="4">
        <f t="shared" si="4"/>
        <v>110</v>
      </c>
      <c r="C117" s="30">
        <v>223002</v>
      </c>
      <c r="D117" s="30" t="s">
        <v>74</v>
      </c>
      <c r="E117" s="31">
        <v>30870</v>
      </c>
      <c r="F117" s="45"/>
      <c r="G117" s="31">
        <v>49035</v>
      </c>
      <c r="H117" s="31">
        <v>49035</v>
      </c>
      <c r="I117" s="32">
        <v>22342</v>
      </c>
      <c r="J117" s="32">
        <v>16348</v>
      </c>
    </row>
    <row r="118" spans="2:10" x14ac:dyDescent="0.2">
      <c r="B118" s="4">
        <f t="shared" si="4"/>
        <v>111</v>
      </c>
      <c r="C118" s="30">
        <v>223003</v>
      </c>
      <c r="D118" s="30" t="s">
        <v>75</v>
      </c>
      <c r="E118" s="31">
        <v>56029</v>
      </c>
      <c r="F118" s="45"/>
      <c r="G118" s="31">
        <v>71773</v>
      </c>
      <c r="H118" s="31">
        <v>71773</v>
      </c>
      <c r="I118" s="32">
        <v>33264</v>
      </c>
      <c r="J118" s="32">
        <v>18172</v>
      </c>
    </row>
    <row r="119" spans="2:10" x14ac:dyDescent="0.2">
      <c r="B119" s="4">
        <f t="shared" si="4"/>
        <v>112</v>
      </c>
      <c r="C119" s="30">
        <v>292006</v>
      </c>
      <c r="D119" s="30" t="s">
        <v>813</v>
      </c>
      <c r="E119" s="31"/>
      <c r="F119" s="45"/>
      <c r="G119" s="31">
        <v>0</v>
      </c>
      <c r="H119" s="31">
        <v>0</v>
      </c>
      <c r="I119" s="32">
        <v>217</v>
      </c>
      <c r="J119" s="32">
        <v>0</v>
      </c>
    </row>
    <row r="120" spans="2:10" x14ac:dyDescent="0.2">
      <c r="B120" s="4">
        <f t="shared" si="4"/>
        <v>113</v>
      </c>
      <c r="C120" s="42"/>
      <c r="D120" s="42" t="s">
        <v>88</v>
      </c>
      <c r="E120" s="43">
        <f>SUM(E121:E123)</f>
        <v>102468</v>
      </c>
      <c r="F120" s="506"/>
      <c r="G120" s="43">
        <f>SUM(G121:G123)</f>
        <v>124289</v>
      </c>
      <c r="H120" s="43">
        <f>SUM(H121:H124)</f>
        <v>128690</v>
      </c>
      <c r="I120" s="44">
        <f>SUM(I121:I123)</f>
        <v>58666</v>
      </c>
      <c r="J120" s="44">
        <f>SUM(J121:J123)</f>
        <v>40743</v>
      </c>
    </row>
    <row r="121" spans="2:10" x14ac:dyDescent="0.2">
      <c r="B121" s="4">
        <f t="shared" si="4"/>
        <v>114</v>
      </c>
      <c r="C121" s="30">
        <v>223001</v>
      </c>
      <c r="D121" s="30" t="s">
        <v>251</v>
      </c>
      <c r="E121" s="31">
        <f>8253+524</f>
        <v>8777</v>
      </c>
      <c r="F121" s="45"/>
      <c r="G121" s="31">
        <v>8001</v>
      </c>
      <c r="H121" s="31">
        <v>8001</v>
      </c>
      <c r="I121" s="32">
        <v>7386</v>
      </c>
      <c r="J121" s="32">
        <v>5734</v>
      </c>
    </row>
    <row r="122" spans="2:10" x14ac:dyDescent="0.2">
      <c r="B122" s="4">
        <f t="shared" si="4"/>
        <v>115</v>
      </c>
      <c r="C122" s="30">
        <v>223002</v>
      </c>
      <c r="D122" s="30" t="s">
        <v>74</v>
      </c>
      <c r="E122" s="31">
        <v>34178</v>
      </c>
      <c r="F122" s="45"/>
      <c r="G122" s="31">
        <v>50138</v>
      </c>
      <c r="H122" s="31">
        <v>50138</v>
      </c>
      <c r="I122" s="32">
        <v>21387</v>
      </c>
      <c r="J122" s="32">
        <v>15189</v>
      </c>
    </row>
    <row r="123" spans="2:10" x14ac:dyDescent="0.2">
      <c r="B123" s="4">
        <f t="shared" si="4"/>
        <v>116</v>
      </c>
      <c r="C123" s="30">
        <v>223003</v>
      </c>
      <c r="D123" s="30" t="s">
        <v>75</v>
      </c>
      <c r="E123" s="31">
        <v>59513</v>
      </c>
      <c r="F123" s="45"/>
      <c r="G123" s="31">
        <v>66150</v>
      </c>
      <c r="H123" s="31">
        <v>66150</v>
      </c>
      <c r="I123" s="32">
        <v>29893</v>
      </c>
      <c r="J123" s="32">
        <v>19820</v>
      </c>
    </row>
    <row r="124" spans="2:10" x14ac:dyDescent="0.2">
      <c r="B124" s="4"/>
      <c r="C124" s="30">
        <v>292027</v>
      </c>
      <c r="D124" s="30" t="s">
        <v>178</v>
      </c>
      <c r="E124" s="31"/>
      <c r="F124" s="45"/>
      <c r="G124" s="31"/>
      <c r="H124" s="31">
        <v>4401</v>
      </c>
      <c r="I124" s="32"/>
      <c r="J124" s="32"/>
    </row>
    <row r="125" spans="2:10" x14ac:dyDescent="0.2">
      <c r="B125" s="4">
        <f>B123+1</f>
        <v>117</v>
      </c>
      <c r="C125" s="42"/>
      <c r="D125" s="42" t="s">
        <v>110</v>
      </c>
      <c r="E125" s="43">
        <f>SUM(E126:E128)</f>
        <v>59554</v>
      </c>
      <c r="F125" s="506"/>
      <c r="G125" s="43">
        <f>SUM(G126:G128)</f>
        <v>71570</v>
      </c>
      <c r="H125" s="43">
        <f>SUM(H126:H128)</f>
        <v>71570</v>
      </c>
      <c r="I125" s="44">
        <f>SUM(I126:I128)</f>
        <v>32390</v>
      </c>
      <c r="J125" s="44">
        <f>SUM(J126:J128)</f>
        <v>20732</v>
      </c>
    </row>
    <row r="126" spans="2:10" x14ac:dyDescent="0.2">
      <c r="B126" s="4">
        <f t="shared" si="4"/>
        <v>118</v>
      </c>
      <c r="C126" s="30">
        <v>223001</v>
      </c>
      <c r="D126" s="30" t="s">
        <v>251</v>
      </c>
      <c r="E126" s="31">
        <f>4599+292</f>
        <v>4891</v>
      </c>
      <c r="F126" s="45"/>
      <c r="G126" s="31">
        <v>4662</v>
      </c>
      <c r="H126" s="31">
        <v>4662</v>
      </c>
      <c r="I126" s="32">
        <v>4098</v>
      </c>
      <c r="J126" s="32">
        <v>2778</v>
      </c>
    </row>
    <row r="127" spans="2:10" x14ac:dyDescent="0.2">
      <c r="B127" s="4">
        <f t="shared" si="4"/>
        <v>119</v>
      </c>
      <c r="C127" s="30">
        <v>223002</v>
      </c>
      <c r="D127" s="30" t="s">
        <v>74</v>
      </c>
      <c r="E127" s="31">
        <v>19845</v>
      </c>
      <c r="F127" s="45"/>
      <c r="G127" s="31">
        <v>27615</v>
      </c>
      <c r="H127" s="31">
        <v>27615</v>
      </c>
      <c r="I127" s="32">
        <v>11444</v>
      </c>
      <c r="J127" s="32">
        <v>8033</v>
      </c>
    </row>
    <row r="128" spans="2:10" x14ac:dyDescent="0.2">
      <c r="B128" s="4">
        <f t="shared" si="4"/>
        <v>120</v>
      </c>
      <c r="C128" s="30">
        <v>223003</v>
      </c>
      <c r="D128" s="30" t="s">
        <v>75</v>
      </c>
      <c r="E128" s="31">
        <v>34818</v>
      </c>
      <c r="F128" s="45"/>
      <c r="G128" s="31">
        <v>39293</v>
      </c>
      <c r="H128" s="31">
        <v>39293</v>
      </c>
      <c r="I128" s="32">
        <v>16848</v>
      </c>
      <c r="J128" s="32">
        <v>9921</v>
      </c>
    </row>
    <row r="129" spans="2:10" x14ac:dyDescent="0.2">
      <c r="B129" s="4">
        <f t="shared" si="4"/>
        <v>121</v>
      </c>
      <c r="C129" s="42"/>
      <c r="D129" s="42" t="s">
        <v>65</v>
      </c>
      <c r="E129" s="43">
        <f>SUM(E130:E132)</f>
        <v>93565</v>
      </c>
      <c r="F129" s="506"/>
      <c r="G129" s="43">
        <f>SUM(G130:G132)</f>
        <v>115622</v>
      </c>
      <c r="H129" s="43">
        <f>SUM(H130:H132)</f>
        <v>115622</v>
      </c>
      <c r="I129" s="44">
        <f>SUM(I130:I132)</f>
        <v>56628</v>
      </c>
      <c r="J129" s="44">
        <f>SUM(J130:J132)</f>
        <v>36565</v>
      </c>
    </row>
    <row r="130" spans="2:10" x14ac:dyDescent="0.2">
      <c r="B130" s="4">
        <f t="shared" si="4"/>
        <v>122</v>
      </c>
      <c r="C130" s="30">
        <v>223001</v>
      </c>
      <c r="D130" s="30" t="s">
        <v>251</v>
      </c>
      <c r="E130" s="31">
        <f>7560+480</f>
        <v>8040</v>
      </c>
      <c r="F130" s="45"/>
      <c r="G130" s="31">
        <v>7623</v>
      </c>
      <c r="H130" s="31">
        <v>7623</v>
      </c>
      <c r="I130" s="32">
        <v>6750</v>
      </c>
      <c r="J130" s="32">
        <v>4638</v>
      </c>
    </row>
    <row r="131" spans="2:10" x14ac:dyDescent="0.2">
      <c r="B131" s="4">
        <f t="shared" si="4"/>
        <v>123</v>
      </c>
      <c r="C131" s="30">
        <v>223002</v>
      </c>
      <c r="D131" s="30" t="s">
        <v>74</v>
      </c>
      <c r="E131" s="31">
        <v>31238</v>
      </c>
      <c r="F131" s="45"/>
      <c r="G131" s="31">
        <v>44363</v>
      </c>
      <c r="H131" s="31">
        <v>44363</v>
      </c>
      <c r="I131" s="32">
        <v>20556</v>
      </c>
      <c r="J131" s="32">
        <v>14122</v>
      </c>
    </row>
    <row r="132" spans="2:10" x14ac:dyDescent="0.2">
      <c r="B132" s="4">
        <f t="shared" si="4"/>
        <v>124</v>
      </c>
      <c r="C132" s="30">
        <v>223003</v>
      </c>
      <c r="D132" s="30" t="s">
        <v>75</v>
      </c>
      <c r="E132" s="31">
        <v>54287</v>
      </c>
      <c r="F132" s="45"/>
      <c r="G132" s="31">
        <v>63636</v>
      </c>
      <c r="H132" s="31">
        <v>63636</v>
      </c>
      <c r="I132" s="32">
        <v>29322</v>
      </c>
      <c r="J132" s="32">
        <v>17805</v>
      </c>
    </row>
    <row r="133" spans="2:10" x14ac:dyDescent="0.2">
      <c r="B133" s="4">
        <f t="shared" si="4"/>
        <v>125</v>
      </c>
      <c r="C133" s="42"/>
      <c r="D133" s="42" t="s">
        <v>71</v>
      </c>
      <c r="E133" s="43">
        <f>SUM(E134:E136)</f>
        <v>91099</v>
      </c>
      <c r="F133" s="506"/>
      <c r="G133" s="43">
        <f>SUM(G134:G136)</f>
        <v>129058</v>
      </c>
      <c r="H133" s="43">
        <f>SUM(H134:H136)</f>
        <v>121458</v>
      </c>
      <c r="I133" s="44">
        <f>SUM(I134:I136)</f>
        <v>55820</v>
      </c>
      <c r="J133" s="44">
        <f>SUM(J134:J136)</f>
        <v>41369</v>
      </c>
    </row>
    <row r="134" spans="2:10" x14ac:dyDescent="0.2">
      <c r="B134" s="4">
        <f t="shared" si="4"/>
        <v>126</v>
      </c>
      <c r="C134" s="30">
        <v>223001</v>
      </c>
      <c r="D134" s="30" t="s">
        <v>251</v>
      </c>
      <c r="E134" s="31">
        <f>7812+496</f>
        <v>8308</v>
      </c>
      <c r="F134" s="45"/>
      <c r="G134" s="31">
        <v>8001</v>
      </c>
      <c r="H134" s="31">
        <v>8001</v>
      </c>
      <c r="I134" s="32">
        <v>7212</v>
      </c>
      <c r="J134" s="32">
        <v>5124</v>
      </c>
    </row>
    <row r="135" spans="2:10" x14ac:dyDescent="0.2">
      <c r="B135" s="4">
        <f t="shared" si="4"/>
        <v>127</v>
      </c>
      <c r="C135" s="30">
        <v>223002</v>
      </c>
      <c r="D135" s="30" t="s">
        <v>74</v>
      </c>
      <c r="E135" s="31">
        <v>29298</v>
      </c>
      <c r="F135" s="45"/>
      <c r="G135" s="31">
        <v>49350</v>
      </c>
      <c r="H135" s="31">
        <v>41750</v>
      </c>
      <c r="I135" s="32">
        <v>22809</v>
      </c>
      <c r="J135" s="32">
        <v>15042</v>
      </c>
    </row>
    <row r="136" spans="2:10" x14ac:dyDescent="0.2">
      <c r="B136" s="4">
        <f t="shared" si="4"/>
        <v>128</v>
      </c>
      <c r="C136" s="30">
        <v>223003</v>
      </c>
      <c r="D136" s="30" t="s">
        <v>75</v>
      </c>
      <c r="E136" s="31">
        <v>53493</v>
      </c>
      <c r="F136" s="45"/>
      <c r="G136" s="31">
        <v>71707</v>
      </c>
      <c r="H136" s="31">
        <v>71707</v>
      </c>
      <c r="I136" s="32">
        <v>25799</v>
      </c>
      <c r="J136" s="32">
        <v>21203</v>
      </c>
    </row>
    <row r="137" spans="2:10" x14ac:dyDescent="0.2">
      <c r="B137" s="4">
        <f t="shared" si="4"/>
        <v>129</v>
      </c>
      <c r="C137" s="42"/>
      <c r="D137" s="42" t="s">
        <v>72</v>
      </c>
      <c r="E137" s="43">
        <f>SUM(E138:E140)</f>
        <v>70942</v>
      </c>
      <c r="F137" s="506"/>
      <c r="G137" s="43">
        <f>SUM(G138:G140)</f>
        <v>73368</v>
      </c>
      <c r="H137" s="43">
        <f>SUM(H138:H140)</f>
        <v>73368</v>
      </c>
      <c r="I137" s="44">
        <f>SUM(I138:I140)</f>
        <v>33294</v>
      </c>
      <c r="J137" s="44">
        <f>SUM(J138:J140)</f>
        <v>22793</v>
      </c>
    </row>
    <row r="138" spans="2:10" x14ac:dyDescent="0.2">
      <c r="B138" s="4">
        <f t="shared" si="4"/>
        <v>130</v>
      </c>
      <c r="C138" s="30">
        <v>223001</v>
      </c>
      <c r="D138" s="30" t="s">
        <v>251</v>
      </c>
      <c r="E138" s="31">
        <f>5355+340</f>
        <v>5695</v>
      </c>
      <c r="F138" s="45"/>
      <c r="G138" s="31">
        <v>4599</v>
      </c>
      <c r="H138" s="31">
        <v>4599</v>
      </c>
      <c r="I138" s="32">
        <v>4059</v>
      </c>
      <c r="J138" s="32">
        <v>3069</v>
      </c>
    </row>
    <row r="139" spans="2:10" x14ac:dyDescent="0.2">
      <c r="B139" s="4">
        <f t="shared" si="4"/>
        <v>131</v>
      </c>
      <c r="C139" s="30">
        <v>223002</v>
      </c>
      <c r="D139" s="30" t="s">
        <v>74</v>
      </c>
      <c r="E139" s="31">
        <v>23153</v>
      </c>
      <c r="F139" s="45"/>
      <c r="G139" s="31">
        <v>26565</v>
      </c>
      <c r="H139" s="31">
        <v>26565</v>
      </c>
      <c r="I139" s="32">
        <v>12156</v>
      </c>
      <c r="J139" s="32">
        <v>8235</v>
      </c>
    </row>
    <row r="140" spans="2:10" x14ac:dyDescent="0.2">
      <c r="B140" s="4">
        <f t="shared" si="4"/>
        <v>132</v>
      </c>
      <c r="C140" s="30">
        <v>223003</v>
      </c>
      <c r="D140" s="30" t="s">
        <v>75</v>
      </c>
      <c r="E140" s="31">
        <v>42094</v>
      </c>
      <c r="F140" s="45"/>
      <c r="G140" s="31">
        <v>42204</v>
      </c>
      <c r="H140" s="31">
        <v>42204</v>
      </c>
      <c r="I140" s="32">
        <v>17079</v>
      </c>
      <c r="J140" s="32">
        <v>11489</v>
      </c>
    </row>
    <row r="141" spans="2:10" x14ac:dyDescent="0.2">
      <c r="B141" s="4">
        <f t="shared" si="4"/>
        <v>133</v>
      </c>
      <c r="C141" s="42"/>
      <c r="D141" s="42" t="s">
        <v>101</v>
      </c>
      <c r="E141" s="43">
        <f>SUM(E142:E144)</f>
        <v>27680</v>
      </c>
      <c r="F141" s="506"/>
      <c r="G141" s="43">
        <f>SUM(G142:G144)</f>
        <v>34181</v>
      </c>
      <c r="H141" s="43">
        <f>SUM(H142:H144)</f>
        <v>34181</v>
      </c>
      <c r="I141" s="44">
        <f>SUM(I142:I144)</f>
        <v>15853</v>
      </c>
      <c r="J141" s="44">
        <f>SUM(J142:J144)</f>
        <v>10461</v>
      </c>
    </row>
    <row r="142" spans="2:10" x14ac:dyDescent="0.2">
      <c r="B142" s="4">
        <f t="shared" si="4"/>
        <v>134</v>
      </c>
      <c r="C142" s="30">
        <v>223001</v>
      </c>
      <c r="D142" s="30" t="s">
        <v>251</v>
      </c>
      <c r="E142" s="31">
        <f>2205+140</f>
        <v>2345</v>
      </c>
      <c r="F142" s="45"/>
      <c r="G142" s="31">
        <v>2142</v>
      </c>
      <c r="H142" s="31">
        <v>2142</v>
      </c>
      <c r="I142" s="32">
        <v>2021</v>
      </c>
      <c r="J142" s="32">
        <v>1398</v>
      </c>
    </row>
    <row r="143" spans="2:10" x14ac:dyDescent="0.2">
      <c r="B143" s="4">
        <f t="shared" ref="B143:B216" si="6">B142+1</f>
        <v>135</v>
      </c>
      <c r="C143" s="30">
        <v>223002</v>
      </c>
      <c r="D143" s="30" t="s">
        <v>74</v>
      </c>
      <c r="E143" s="31">
        <v>8820</v>
      </c>
      <c r="F143" s="45"/>
      <c r="G143" s="31">
        <v>12128</v>
      </c>
      <c r="H143" s="31">
        <v>12128</v>
      </c>
      <c r="I143" s="32">
        <v>5963</v>
      </c>
      <c r="J143" s="32">
        <v>3750</v>
      </c>
    </row>
    <row r="144" spans="2:10" x14ac:dyDescent="0.2">
      <c r="B144" s="4">
        <f t="shared" si="6"/>
        <v>136</v>
      </c>
      <c r="C144" s="30">
        <v>223003</v>
      </c>
      <c r="D144" s="30" t="s">
        <v>75</v>
      </c>
      <c r="E144" s="31">
        <v>16515</v>
      </c>
      <c r="F144" s="45"/>
      <c r="G144" s="31">
        <v>19911</v>
      </c>
      <c r="H144" s="31">
        <v>19911</v>
      </c>
      <c r="I144" s="32">
        <v>7869</v>
      </c>
      <c r="J144" s="32">
        <v>5313</v>
      </c>
    </row>
    <row r="145" spans="2:10" x14ac:dyDescent="0.2">
      <c r="B145" s="4">
        <f t="shared" si="6"/>
        <v>137</v>
      </c>
      <c r="C145" s="42"/>
      <c r="D145" s="42" t="s">
        <v>206</v>
      </c>
      <c r="E145" s="43">
        <f>SUM(E146:E148)</f>
        <v>26465</v>
      </c>
      <c r="F145" s="506"/>
      <c r="G145" s="43">
        <f>SUM(G146:G148)</f>
        <v>57726</v>
      </c>
      <c r="H145" s="43">
        <f>SUM(H146:H148)</f>
        <v>57726</v>
      </c>
      <c r="I145" s="44">
        <f>SUM(I146:I148)</f>
        <v>29131</v>
      </c>
      <c r="J145" s="44">
        <f>SUM(J146:J148)</f>
        <v>22397</v>
      </c>
    </row>
    <row r="146" spans="2:10" x14ac:dyDescent="0.2">
      <c r="B146" s="4">
        <f t="shared" si="6"/>
        <v>138</v>
      </c>
      <c r="C146" s="30">
        <v>223001</v>
      </c>
      <c r="D146" s="30" t="s">
        <v>251</v>
      </c>
      <c r="E146" s="31">
        <f>2520+160</f>
        <v>2680</v>
      </c>
      <c r="F146" s="45"/>
      <c r="G146" s="31">
        <v>4195</v>
      </c>
      <c r="H146" s="31">
        <v>4195</v>
      </c>
      <c r="I146" s="32">
        <v>3823</v>
      </c>
      <c r="J146" s="32">
        <v>3546</v>
      </c>
    </row>
    <row r="147" spans="2:10" x14ac:dyDescent="0.2">
      <c r="B147" s="4">
        <f t="shared" si="6"/>
        <v>139</v>
      </c>
      <c r="C147" s="30">
        <v>223002</v>
      </c>
      <c r="D147" s="30" t="s">
        <v>74</v>
      </c>
      <c r="E147" s="31">
        <v>6983</v>
      </c>
      <c r="F147" s="45"/>
      <c r="G147" s="31">
        <v>17955</v>
      </c>
      <c r="H147" s="31">
        <v>17955</v>
      </c>
      <c r="I147" s="32">
        <v>8675</v>
      </c>
      <c r="J147" s="32">
        <v>6382</v>
      </c>
    </row>
    <row r="148" spans="2:10" x14ac:dyDescent="0.2">
      <c r="B148" s="4">
        <f t="shared" si="6"/>
        <v>140</v>
      </c>
      <c r="C148" s="30">
        <v>223003</v>
      </c>
      <c r="D148" s="30" t="s">
        <v>75</v>
      </c>
      <c r="E148" s="31">
        <v>16802</v>
      </c>
      <c r="F148" s="45"/>
      <c r="G148" s="31">
        <v>35576</v>
      </c>
      <c r="H148" s="31">
        <v>35576</v>
      </c>
      <c r="I148" s="32">
        <v>16633</v>
      </c>
      <c r="J148" s="32">
        <v>12469</v>
      </c>
    </row>
    <row r="149" spans="2:10" x14ac:dyDescent="0.2">
      <c r="B149" s="4">
        <f t="shared" si="6"/>
        <v>141</v>
      </c>
      <c r="C149" s="42"/>
      <c r="D149" s="42" t="s">
        <v>73</v>
      </c>
      <c r="E149" s="43">
        <f>E150</f>
        <v>10290</v>
      </c>
      <c r="F149" s="506"/>
      <c r="G149" s="43">
        <f>G150</f>
        <v>17325</v>
      </c>
      <c r="H149" s="43">
        <f>H150</f>
        <v>17325</v>
      </c>
      <c r="I149" s="44">
        <f>I150</f>
        <v>5921</v>
      </c>
      <c r="J149" s="44">
        <f>J150</f>
        <v>4334</v>
      </c>
    </row>
    <row r="150" spans="2:10" x14ac:dyDescent="0.2">
      <c r="B150" s="4">
        <f t="shared" si="6"/>
        <v>142</v>
      </c>
      <c r="C150" s="30">
        <v>223002</v>
      </c>
      <c r="D150" s="30" t="s">
        <v>74</v>
      </c>
      <c r="E150" s="31">
        <v>10290</v>
      </c>
      <c r="F150" s="45"/>
      <c r="G150" s="31">
        <v>17325</v>
      </c>
      <c r="H150" s="31">
        <v>17325</v>
      </c>
      <c r="I150" s="32">
        <v>5921</v>
      </c>
      <c r="J150" s="32">
        <v>4334</v>
      </c>
    </row>
    <row r="151" spans="2:10" x14ac:dyDescent="0.2">
      <c r="B151" s="4">
        <f t="shared" si="6"/>
        <v>143</v>
      </c>
      <c r="C151" s="42"/>
      <c r="D151" s="42" t="s">
        <v>113</v>
      </c>
      <c r="E151" s="43">
        <f>E152</f>
        <v>36016</v>
      </c>
      <c r="F151" s="506"/>
      <c r="G151" s="43">
        <f>G152</f>
        <v>58800</v>
      </c>
      <c r="H151" s="43">
        <f>H152</f>
        <v>51840</v>
      </c>
      <c r="I151" s="44">
        <f>I152</f>
        <v>24862</v>
      </c>
      <c r="J151" s="44">
        <f>J152</f>
        <v>16689</v>
      </c>
    </row>
    <row r="152" spans="2:10" x14ac:dyDescent="0.2">
      <c r="B152" s="4">
        <f t="shared" si="6"/>
        <v>144</v>
      </c>
      <c r="C152" s="30">
        <v>223002</v>
      </c>
      <c r="D152" s="30" t="s">
        <v>74</v>
      </c>
      <c r="E152" s="31">
        <v>36016</v>
      </c>
      <c r="F152" s="45"/>
      <c r="G152" s="31">
        <v>58800</v>
      </c>
      <c r="H152" s="31">
        <v>51840</v>
      </c>
      <c r="I152" s="32">
        <v>24862</v>
      </c>
      <c r="J152" s="32">
        <v>16689</v>
      </c>
    </row>
    <row r="153" spans="2:10" x14ac:dyDescent="0.2">
      <c r="B153" s="4">
        <f t="shared" si="6"/>
        <v>145</v>
      </c>
      <c r="C153" s="42"/>
      <c r="D153" s="42" t="s">
        <v>97</v>
      </c>
      <c r="E153" s="43">
        <f>E154</f>
        <v>0</v>
      </c>
      <c r="F153" s="506"/>
      <c r="G153" s="43">
        <f>G154</f>
        <v>2040</v>
      </c>
      <c r="H153" s="43">
        <f>H154</f>
        <v>2040</v>
      </c>
      <c r="I153" s="44">
        <f>I154+I155</f>
        <v>2148</v>
      </c>
      <c r="J153" s="44">
        <f>J154</f>
        <v>1380</v>
      </c>
    </row>
    <row r="154" spans="2:10" x14ac:dyDescent="0.2">
      <c r="B154" s="4">
        <f t="shared" si="6"/>
        <v>146</v>
      </c>
      <c r="C154" s="30">
        <v>223002</v>
      </c>
      <c r="D154" s="30" t="s">
        <v>74</v>
      </c>
      <c r="E154" s="31">
        <v>0</v>
      </c>
      <c r="F154" s="45"/>
      <c r="G154" s="31">
        <v>2040</v>
      </c>
      <c r="H154" s="31">
        <v>2040</v>
      </c>
      <c r="I154" s="32">
        <v>1992</v>
      </c>
      <c r="J154" s="32">
        <v>1380</v>
      </c>
    </row>
    <row r="155" spans="2:10" x14ac:dyDescent="0.2">
      <c r="B155" s="4">
        <f t="shared" si="6"/>
        <v>147</v>
      </c>
      <c r="C155" s="30">
        <v>292017</v>
      </c>
      <c r="D155" s="30" t="s">
        <v>233</v>
      </c>
      <c r="E155" s="31"/>
      <c r="F155" s="45"/>
      <c r="G155" s="31"/>
      <c r="H155" s="31"/>
      <c r="I155" s="32">
        <v>156</v>
      </c>
      <c r="J155" s="32"/>
    </row>
    <row r="156" spans="2:10" x14ac:dyDescent="0.2">
      <c r="B156" s="4">
        <f t="shared" si="6"/>
        <v>148</v>
      </c>
      <c r="C156" s="42"/>
      <c r="D156" s="42" t="s">
        <v>95</v>
      </c>
      <c r="E156" s="43">
        <f>SUM(E157:E158)</f>
        <v>71199</v>
      </c>
      <c r="F156" s="506"/>
      <c r="G156" s="43">
        <f>SUM(G157:G158)</f>
        <v>71971</v>
      </c>
      <c r="H156" s="43">
        <f>SUM(H157:H158)</f>
        <v>71971</v>
      </c>
      <c r="I156" s="44">
        <f>SUM(I157:I158)</f>
        <v>38468</v>
      </c>
      <c r="J156" s="44">
        <f>SUM(J157:J158)</f>
        <v>24749</v>
      </c>
    </row>
    <row r="157" spans="2:10" x14ac:dyDescent="0.2">
      <c r="B157" s="4">
        <f t="shared" si="6"/>
        <v>149</v>
      </c>
      <c r="C157" s="30">
        <v>223001</v>
      </c>
      <c r="D157" s="30" t="s">
        <v>251</v>
      </c>
      <c r="E157" s="31">
        <f>8127+516</f>
        <v>8643</v>
      </c>
      <c r="F157" s="45"/>
      <c r="G157" s="31">
        <v>71971</v>
      </c>
      <c r="H157" s="31">
        <v>71971</v>
      </c>
      <c r="I157" s="32">
        <v>8232</v>
      </c>
      <c r="J157" s="32">
        <v>6420</v>
      </c>
    </row>
    <row r="158" spans="2:10" x14ac:dyDescent="0.2">
      <c r="B158" s="4">
        <f t="shared" si="6"/>
        <v>150</v>
      </c>
      <c r="C158" s="30">
        <v>223003</v>
      </c>
      <c r="D158" s="30" t="s">
        <v>75</v>
      </c>
      <c r="E158" s="31">
        <v>62556</v>
      </c>
      <c r="F158" s="45"/>
      <c r="G158" s="31"/>
      <c r="H158" s="31"/>
      <c r="I158" s="32">
        <v>30236</v>
      </c>
      <c r="J158" s="32">
        <v>18329</v>
      </c>
    </row>
    <row r="159" spans="2:10" x14ac:dyDescent="0.2">
      <c r="B159" s="4">
        <f t="shared" si="6"/>
        <v>151</v>
      </c>
      <c r="C159" s="42"/>
      <c r="D159" s="42" t="s">
        <v>443</v>
      </c>
      <c r="E159" s="43">
        <f>SUM(E160:E165)</f>
        <v>13000</v>
      </c>
      <c r="F159" s="506"/>
      <c r="G159" s="43">
        <f>SUM(G160:G165)</f>
        <v>6250</v>
      </c>
      <c r="H159" s="43">
        <f>SUM(H160:H165)</f>
        <v>13210</v>
      </c>
      <c r="I159" s="44">
        <f>SUM(I160:I165)</f>
        <v>10704</v>
      </c>
      <c r="J159" s="44">
        <f>SUM(J160:J165)</f>
        <v>28184</v>
      </c>
    </row>
    <row r="160" spans="2:10" x14ac:dyDescent="0.2">
      <c r="B160" s="4">
        <f t="shared" si="6"/>
        <v>152</v>
      </c>
      <c r="C160" s="30">
        <v>212003</v>
      </c>
      <c r="D160" s="30" t="s">
        <v>249</v>
      </c>
      <c r="E160" s="31">
        <f>4000+3600+3400</f>
        <v>11000</v>
      </c>
      <c r="F160" s="45"/>
      <c r="G160" s="31">
        <v>4850</v>
      </c>
      <c r="H160" s="31">
        <v>9380</v>
      </c>
      <c r="I160" s="32">
        <v>4769</v>
      </c>
      <c r="J160" s="32">
        <v>4770</v>
      </c>
    </row>
    <row r="161" spans="2:10" x14ac:dyDescent="0.2">
      <c r="B161" s="4">
        <f t="shared" si="6"/>
        <v>153</v>
      </c>
      <c r="C161" s="30">
        <v>223004</v>
      </c>
      <c r="D161" s="30" t="s">
        <v>262</v>
      </c>
      <c r="E161" s="31"/>
      <c r="F161" s="45"/>
      <c r="G161" s="31"/>
      <c r="H161" s="31">
        <v>2430</v>
      </c>
      <c r="I161" s="32"/>
      <c r="J161" s="32"/>
    </row>
    <row r="162" spans="2:10" x14ac:dyDescent="0.2">
      <c r="B162" s="4">
        <f t="shared" si="6"/>
        <v>154</v>
      </c>
      <c r="C162" s="30">
        <v>292006</v>
      </c>
      <c r="D162" s="30" t="s">
        <v>177</v>
      </c>
      <c r="E162" s="31"/>
      <c r="F162" s="45"/>
      <c r="G162" s="31"/>
      <c r="H162" s="31"/>
      <c r="I162" s="32">
        <v>3673</v>
      </c>
      <c r="J162" s="32"/>
    </row>
    <row r="163" spans="2:10" x14ac:dyDescent="0.2">
      <c r="B163" s="4">
        <f t="shared" si="6"/>
        <v>155</v>
      </c>
      <c r="C163" s="30">
        <v>292012</v>
      </c>
      <c r="D163" s="30" t="s">
        <v>232</v>
      </c>
      <c r="E163" s="31"/>
      <c r="F163" s="45"/>
      <c r="G163" s="31"/>
      <c r="H163" s="31"/>
      <c r="I163" s="32">
        <v>843</v>
      </c>
      <c r="J163" s="32">
        <v>20490</v>
      </c>
    </row>
    <row r="164" spans="2:10" x14ac:dyDescent="0.2">
      <c r="B164" s="4">
        <f t="shared" si="6"/>
        <v>156</v>
      </c>
      <c r="C164" s="30">
        <v>292017</v>
      </c>
      <c r="D164" s="30" t="s">
        <v>233</v>
      </c>
      <c r="E164" s="31"/>
      <c r="F164" s="45"/>
      <c r="G164" s="31"/>
      <c r="H164" s="31"/>
      <c r="I164" s="32"/>
      <c r="J164" s="32">
        <v>1310</v>
      </c>
    </row>
    <row r="165" spans="2:10" ht="13.5" thickBot="1" x14ac:dyDescent="0.25">
      <c r="B165" s="4">
        <f t="shared" si="6"/>
        <v>157</v>
      </c>
      <c r="C165" s="30">
        <v>292019</v>
      </c>
      <c r="D165" s="30" t="s">
        <v>234</v>
      </c>
      <c r="E165" s="31">
        <v>2000</v>
      </c>
      <c r="F165" s="45"/>
      <c r="G165" s="31">
        <v>1400</v>
      </c>
      <c r="H165" s="31">
        <v>1400</v>
      </c>
      <c r="I165" s="32">
        <v>1419</v>
      </c>
      <c r="J165" s="32">
        <v>1614</v>
      </c>
    </row>
    <row r="166" spans="2:10" ht="15" thickBot="1" x14ac:dyDescent="0.25">
      <c r="B166" s="4">
        <f t="shared" si="6"/>
        <v>158</v>
      </c>
      <c r="C166" s="36">
        <v>5</v>
      </c>
      <c r="D166" s="36" t="s">
        <v>114</v>
      </c>
      <c r="E166" s="37">
        <f>E167+E169+E174+E182+E184+E186+E189+E196+E204+E211+E214</f>
        <v>1514500</v>
      </c>
      <c r="F166" s="504"/>
      <c r="G166" s="37">
        <f>G167+G169+G174+G182+G184+G186+G189+G196+G204+G211+G214</f>
        <v>1395000</v>
      </c>
      <c r="H166" s="37">
        <f>H167+H169+H174+H182+H184+H186+H189+H196+H204+H211+H214</f>
        <v>1342800</v>
      </c>
      <c r="I166" s="38">
        <f>I167+I169+I174+I182+I184+I186+I189+I196+I204+I211+I214</f>
        <v>1034432</v>
      </c>
      <c r="J166" s="38">
        <f>J167+J169+J174+J182+J184+J186+J189+J196+J204+J211+J214</f>
        <v>896110</v>
      </c>
    </row>
    <row r="167" spans="2:10" x14ac:dyDescent="0.2">
      <c r="B167" s="4">
        <f t="shared" si="6"/>
        <v>159</v>
      </c>
      <c r="C167" s="42">
        <v>220</v>
      </c>
      <c r="D167" s="42" t="s">
        <v>220</v>
      </c>
      <c r="E167" s="43">
        <f>E168</f>
        <v>0</v>
      </c>
      <c r="F167" s="506"/>
      <c r="G167" s="43">
        <f>G168</f>
        <v>0</v>
      </c>
      <c r="H167" s="43">
        <f>H168</f>
        <v>0</v>
      </c>
      <c r="I167" s="44">
        <f>I168</f>
        <v>0</v>
      </c>
      <c r="J167" s="44">
        <f>J168</f>
        <v>911</v>
      </c>
    </row>
    <row r="168" spans="2:10" x14ac:dyDescent="0.2">
      <c r="B168" s="4">
        <f t="shared" si="6"/>
        <v>160</v>
      </c>
      <c r="C168" s="30">
        <v>223004</v>
      </c>
      <c r="D168" s="30" t="s">
        <v>262</v>
      </c>
      <c r="E168" s="31"/>
      <c r="F168" s="45"/>
      <c r="G168" s="31"/>
      <c r="H168" s="31"/>
      <c r="I168" s="32"/>
      <c r="J168" s="32">
        <v>911</v>
      </c>
    </row>
    <row r="169" spans="2:10" x14ac:dyDescent="0.2">
      <c r="B169" s="4">
        <f t="shared" si="6"/>
        <v>161</v>
      </c>
      <c r="C169" s="42">
        <v>290</v>
      </c>
      <c r="D169" s="42" t="s">
        <v>178</v>
      </c>
      <c r="E169" s="43">
        <f>SUM(E170:E173)</f>
        <v>21300</v>
      </c>
      <c r="F169" s="506"/>
      <c r="G169" s="43">
        <f>SUM(G170:G173)</f>
        <v>5000</v>
      </c>
      <c r="H169" s="43">
        <f>SUM(H170:H173)</f>
        <v>5000</v>
      </c>
      <c r="I169" s="44">
        <f>SUM(I170:I173)</f>
        <v>9088</v>
      </c>
      <c r="J169" s="44">
        <f>SUM(J170:J173)</f>
        <v>5879</v>
      </c>
    </row>
    <row r="170" spans="2:10" x14ac:dyDescent="0.2">
      <c r="B170" s="4">
        <f t="shared" si="6"/>
        <v>162</v>
      </c>
      <c r="C170" s="30">
        <v>292012</v>
      </c>
      <c r="D170" s="30" t="s">
        <v>232</v>
      </c>
      <c r="E170" s="31">
        <v>2000</v>
      </c>
      <c r="F170" s="45"/>
      <c r="G170" s="31">
        <v>3000</v>
      </c>
      <c r="H170" s="31">
        <v>3000</v>
      </c>
      <c r="I170" s="32">
        <v>6852</v>
      </c>
      <c r="J170" s="32">
        <v>5205</v>
      </c>
    </row>
    <row r="171" spans="2:10" x14ac:dyDescent="0.2">
      <c r="B171" s="4">
        <f t="shared" si="6"/>
        <v>163</v>
      </c>
      <c r="C171" s="30">
        <v>292017</v>
      </c>
      <c r="D171" s="30" t="s">
        <v>233</v>
      </c>
      <c r="E171" s="31"/>
      <c r="F171" s="45"/>
      <c r="G171" s="31"/>
      <c r="H171" s="31"/>
      <c r="I171" s="32"/>
      <c r="J171" s="32">
        <v>10</v>
      </c>
    </row>
    <row r="172" spans="2:10" x14ac:dyDescent="0.2">
      <c r="B172" s="4">
        <f t="shared" si="6"/>
        <v>164</v>
      </c>
      <c r="C172" s="30">
        <v>292019</v>
      </c>
      <c r="D172" s="30" t="s">
        <v>234</v>
      </c>
      <c r="E172" s="31">
        <v>19300</v>
      </c>
      <c r="F172" s="45"/>
      <c r="G172" s="31">
        <v>2000</v>
      </c>
      <c r="H172" s="31">
        <v>2000</v>
      </c>
      <c r="I172" s="32">
        <v>2184</v>
      </c>
      <c r="J172" s="32"/>
    </row>
    <row r="173" spans="2:10" x14ac:dyDescent="0.2">
      <c r="B173" s="4">
        <f t="shared" si="6"/>
        <v>165</v>
      </c>
      <c r="C173" s="30">
        <v>292027</v>
      </c>
      <c r="D173" s="30" t="s">
        <v>225</v>
      </c>
      <c r="E173" s="31"/>
      <c r="F173" s="45"/>
      <c r="G173" s="31"/>
      <c r="H173" s="31"/>
      <c r="I173" s="32">
        <v>52</v>
      </c>
      <c r="J173" s="32">
        <v>664</v>
      </c>
    </row>
    <row r="174" spans="2:10" x14ac:dyDescent="0.2">
      <c r="B174" s="4">
        <f t="shared" si="6"/>
        <v>166</v>
      </c>
      <c r="C174" s="42"/>
      <c r="D174" s="42" t="s">
        <v>76</v>
      </c>
      <c r="E174" s="43">
        <f>SUM(E175:E181)</f>
        <v>119100</v>
      </c>
      <c r="F174" s="506"/>
      <c r="G174" s="43">
        <f>SUM(G175:G181)</f>
        <v>126200</v>
      </c>
      <c r="H174" s="43">
        <f>SUM(H175:H181)</f>
        <v>126200</v>
      </c>
      <c r="I174" s="44">
        <f>SUM(I175:I181)</f>
        <v>89532</v>
      </c>
      <c r="J174" s="44">
        <f>SUM(J175:J181)</f>
        <v>64709</v>
      </c>
    </row>
    <row r="175" spans="2:10" x14ac:dyDescent="0.2">
      <c r="B175" s="4">
        <f t="shared" si="6"/>
        <v>167</v>
      </c>
      <c r="C175" s="30">
        <v>223001</v>
      </c>
      <c r="D175" s="30" t="s">
        <v>251</v>
      </c>
      <c r="E175" s="31"/>
      <c r="F175" s="45"/>
      <c r="G175" s="31"/>
      <c r="H175" s="31"/>
      <c r="I175" s="32">
        <v>14678</v>
      </c>
      <c r="J175" s="32"/>
    </row>
    <row r="176" spans="2:10" x14ac:dyDescent="0.2">
      <c r="B176" s="4">
        <f t="shared" si="6"/>
        <v>168</v>
      </c>
      <c r="C176" s="30">
        <v>223001</v>
      </c>
      <c r="D176" s="30" t="s">
        <v>646</v>
      </c>
      <c r="E176" s="31">
        <v>32000</v>
      </c>
      <c r="F176" s="45"/>
      <c r="G176" s="31">
        <v>30000</v>
      </c>
      <c r="H176" s="31">
        <v>30000</v>
      </c>
      <c r="I176" s="32"/>
      <c r="J176" s="32">
        <v>10757</v>
      </c>
    </row>
    <row r="177" spans="2:20" x14ac:dyDescent="0.2">
      <c r="B177" s="4">
        <f t="shared" si="6"/>
        <v>169</v>
      </c>
      <c r="C177" s="30">
        <v>223001</v>
      </c>
      <c r="D177" s="30" t="s">
        <v>447</v>
      </c>
      <c r="E177" s="31"/>
      <c r="F177" s="45"/>
      <c r="G177" s="31"/>
      <c r="H177" s="31"/>
      <c r="I177" s="32"/>
      <c r="J177" s="32">
        <v>1618</v>
      </c>
    </row>
    <row r="178" spans="2:20" x14ac:dyDescent="0.2">
      <c r="B178" s="4">
        <f t="shared" si="6"/>
        <v>170</v>
      </c>
      <c r="C178" s="30">
        <v>223002</v>
      </c>
      <c r="D178" s="30" t="s">
        <v>74</v>
      </c>
      <c r="E178" s="31">
        <v>77000</v>
      </c>
      <c r="F178" s="45"/>
      <c r="G178" s="31">
        <v>80000</v>
      </c>
      <c r="H178" s="31">
        <v>80000</v>
      </c>
      <c r="I178" s="32">
        <v>57617</v>
      </c>
      <c r="J178" s="32">
        <v>39302</v>
      </c>
    </row>
    <row r="179" spans="2:20" x14ac:dyDescent="0.2">
      <c r="B179" s="4">
        <f t="shared" si="6"/>
        <v>171</v>
      </c>
      <c r="C179" s="30">
        <v>223003</v>
      </c>
      <c r="D179" s="30" t="s">
        <v>445</v>
      </c>
      <c r="E179" s="31"/>
      <c r="F179" s="45"/>
      <c r="G179" s="31">
        <v>8200</v>
      </c>
      <c r="H179" s="31">
        <v>8200</v>
      </c>
      <c r="I179" s="32">
        <v>4971</v>
      </c>
      <c r="J179" s="32">
        <v>3612</v>
      </c>
    </row>
    <row r="180" spans="2:20" x14ac:dyDescent="0.2">
      <c r="B180" s="4">
        <f t="shared" si="6"/>
        <v>172</v>
      </c>
      <c r="C180" s="30">
        <v>223003</v>
      </c>
      <c r="D180" s="30" t="s">
        <v>444</v>
      </c>
      <c r="E180" s="31">
        <v>8900</v>
      </c>
      <c r="F180" s="45"/>
      <c r="G180" s="31">
        <v>7000</v>
      </c>
      <c r="H180" s="31">
        <v>7000</v>
      </c>
      <c r="I180" s="32">
        <v>11655</v>
      </c>
      <c r="J180" s="32">
        <v>8819</v>
      </c>
    </row>
    <row r="181" spans="2:20" x14ac:dyDescent="0.2">
      <c r="B181" s="4">
        <f t="shared" si="6"/>
        <v>173</v>
      </c>
      <c r="C181" s="30">
        <v>223003</v>
      </c>
      <c r="D181" s="30" t="s">
        <v>446</v>
      </c>
      <c r="E181" s="31">
        <v>1200</v>
      </c>
      <c r="F181" s="45"/>
      <c r="G181" s="31">
        <v>1000</v>
      </c>
      <c r="H181" s="31">
        <v>1000</v>
      </c>
      <c r="I181" s="32">
        <v>611</v>
      </c>
      <c r="J181" s="32">
        <v>601</v>
      </c>
    </row>
    <row r="182" spans="2:20" x14ac:dyDescent="0.2">
      <c r="B182" s="4">
        <f t="shared" si="6"/>
        <v>174</v>
      </c>
      <c r="C182" s="42"/>
      <c r="D182" s="42" t="s">
        <v>447</v>
      </c>
      <c r="E182" s="43">
        <f>E183</f>
        <v>5200</v>
      </c>
      <c r="F182" s="506"/>
      <c r="G182" s="43">
        <f>G183</f>
        <v>5200</v>
      </c>
      <c r="H182" s="43">
        <f>H183</f>
        <v>5200</v>
      </c>
      <c r="I182" s="44">
        <f>I183</f>
        <v>2958</v>
      </c>
      <c r="J182" s="44">
        <f>J183</f>
        <v>0</v>
      </c>
    </row>
    <row r="183" spans="2:20" x14ac:dyDescent="0.2">
      <c r="B183" s="4">
        <f t="shared" si="6"/>
        <v>175</v>
      </c>
      <c r="C183" s="30">
        <v>223001</v>
      </c>
      <c r="D183" s="30" t="s">
        <v>251</v>
      </c>
      <c r="E183" s="31">
        <v>5200</v>
      </c>
      <c r="F183" s="45"/>
      <c r="G183" s="31">
        <v>5200</v>
      </c>
      <c r="H183" s="31">
        <v>5200</v>
      </c>
      <c r="I183" s="32">
        <v>2958</v>
      </c>
      <c r="J183" s="32"/>
    </row>
    <row r="184" spans="2:20" x14ac:dyDescent="0.2">
      <c r="B184" s="4">
        <f t="shared" si="6"/>
        <v>176</v>
      </c>
      <c r="C184" s="42"/>
      <c r="D184" s="42" t="s">
        <v>115</v>
      </c>
      <c r="E184" s="43">
        <f>E185</f>
        <v>5000</v>
      </c>
      <c r="F184" s="506"/>
      <c r="G184" s="43">
        <f>G185</f>
        <v>1850</v>
      </c>
      <c r="H184" s="43">
        <f>H185</f>
        <v>1850</v>
      </c>
      <c r="I184" s="44">
        <f>I185</f>
        <v>1542</v>
      </c>
      <c r="J184" s="44">
        <f>J185</f>
        <v>923</v>
      </c>
    </row>
    <row r="185" spans="2:20" x14ac:dyDescent="0.2">
      <c r="B185" s="4">
        <f t="shared" si="6"/>
        <v>177</v>
      </c>
      <c r="C185" s="30">
        <v>223001</v>
      </c>
      <c r="D185" s="30" t="s">
        <v>251</v>
      </c>
      <c r="E185" s="31">
        <v>5000</v>
      </c>
      <c r="F185" s="45"/>
      <c r="G185" s="31">
        <v>1850</v>
      </c>
      <c r="H185" s="31">
        <v>1850</v>
      </c>
      <c r="I185" s="32">
        <v>1542</v>
      </c>
      <c r="J185" s="32">
        <v>923</v>
      </c>
    </row>
    <row r="186" spans="2:20" x14ac:dyDescent="0.2">
      <c r="B186" s="4">
        <f t="shared" si="6"/>
        <v>178</v>
      </c>
      <c r="C186" s="42"/>
      <c r="D186" s="42" t="s">
        <v>450</v>
      </c>
      <c r="E186" s="43">
        <f>E187+E188</f>
        <v>6500</v>
      </c>
      <c r="F186" s="506"/>
      <c r="G186" s="43">
        <f>SUM(G187:G188)</f>
        <v>4500</v>
      </c>
      <c r="H186" s="43">
        <f>SUM(H187:H188)</f>
        <v>4500</v>
      </c>
      <c r="I186" s="44">
        <f>SUM(I187:I188)</f>
        <v>6450</v>
      </c>
      <c r="J186" s="44">
        <f>SUM(J187:J188)</f>
        <v>8440</v>
      </c>
    </row>
    <row r="187" spans="2:20" x14ac:dyDescent="0.2">
      <c r="B187" s="4">
        <f t="shared" si="6"/>
        <v>179</v>
      </c>
      <c r="C187" s="30">
        <v>223001</v>
      </c>
      <c r="D187" s="30" t="s">
        <v>448</v>
      </c>
      <c r="E187" s="31">
        <v>6500</v>
      </c>
      <c r="F187" s="45"/>
      <c r="G187" s="31">
        <v>4500</v>
      </c>
      <c r="H187" s="31">
        <v>4500</v>
      </c>
      <c r="I187" s="32">
        <v>3450</v>
      </c>
      <c r="J187" s="32">
        <v>3600</v>
      </c>
    </row>
    <row r="188" spans="2:20" x14ac:dyDescent="0.2">
      <c r="B188" s="4">
        <f t="shared" si="6"/>
        <v>180</v>
      </c>
      <c r="C188" s="30">
        <v>212003</v>
      </c>
      <c r="D188" s="30" t="s">
        <v>449</v>
      </c>
      <c r="E188" s="31"/>
      <c r="F188" s="45"/>
      <c r="G188" s="31"/>
      <c r="H188" s="31"/>
      <c r="I188" s="32">
        <v>3000</v>
      </c>
      <c r="J188" s="32">
        <v>4840</v>
      </c>
    </row>
    <row r="189" spans="2:20" x14ac:dyDescent="0.2">
      <c r="B189" s="4">
        <f t="shared" si="6"/>
        <v>181</v>
      </c>
      <c r="C189" s="42"/>
      <c r="D189" s="42" t="s">
        <v>63</v>
      </c>
      <c r="E189" s="43">
        <f>SUM(E190:E195)</f>
        <v>376600</v>
      </c>
      <c r="F189" s="506"/>
      <c r="G189" s="43">
        <f>SUM(G190:G194)</f>
        <v>309050</v>
      </c>
      <c r="H189" s="43">
        <f>SUM(H190:H194)</f>
        <v>309050</v>
      </c>
      <c r="I189" s="44">
        <f>SUM(I190:I194)</f>
        <v>280347</v>
      </c>
      <c r="J189" s="44">
        <f>SUM(J190:J194)</f>
        <v>231567</v>
      </c>
    </row>
    <row r="190" spans="2:20" x14ac:dyDescent="0.2">
      <c r="B190" s="4">
        <f t="shared" si="6"/>
        <v>182</v>
      </c>
      <c r="C190" s="30">
        <v>212003</v>
      </c>
      <c r="D190" s="30" t="s">
        <v>249</v>
      </c>
      <c r="E190" s="31">
        <v>70</v>
      </c>
      <c r="F190" s="45"/>
      <c r="G190" s="31">
        <v>50</v>
      </c>
      <c r="H190" s="31">
        <v>50</v>
      </c>
      <c r="I190" s="32">
        <v>59</v>
      </c>
      <c r="J190" s="32">
        <v>39</v>
      </c>
    </row>
    <row r="191" spans="2:20" s="13" customFormat="1" x14ac:dyDescent="0.2">
      <c r="B191" s="4">
        <f t="shared" si="6"/>
        <v>183</v>
      </c>
      <c r="C191" s="49">
        <v>223001</v>
      </c>
      <c r="D191" s="50" t="s">
        <v>451</v>
      </c>
      <c r="E191" s="31">
        <v>58500</v>
      </c>
      <c r="F191" s="45"/>
      <c r="G191" s="51">
        <v>59000</v>
      </c>
      <c r="H191" s="51">
        <v>52000</v>
      </c>
      <c r="I191" s="52">
        <v>35116</v>
      </c>
      <c r="J191" s="52">
        <v>26903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s="13" customFormat="1" x14ac:dyDescent="0.2">
      <c r="B192" s="4">
        <f t="shared" si="6"/>
        <v>184</v>
      </c>
      <c r="C192" s="49">
        <v>223001</v>
      </c>
      <c r="D192" s="50" t="s">
        <v>972</v>
      </c>
      <c r="E192" s="31"/>
      <c r="F192" s="45"/>
      <c r="G192" s="51"/>
      <c r="H192" s="51">
        <v>7000</v>
      </c>
      <c r="I192" s="52"/>
      <c r="J192" s="5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10" x14ac:dyDescent="0.2">
      <c r="B193" s="4">
        <f t="shared" si="6"/>
        <v>185</v>
      </c>
      <c r="C193" s="30">
        <v>223001</v>
      </c>
      <c r="D193" s="30" t="s">
        <v>448</v>
      </c>
      <c r="E193" s="31">
        <v>179000</v>
      </c>
      <c r="F193" s="45"/>
      <c r="G193" s="31">
        <v>150000</v>
      </c>
      <c r="H193" s="31">
        <v>150000</v>
      </c>
      <c r="I193" s="32">
        <v>127864</v>
      </c>
      <c r="J193" s="32">
        <v>118121</v>
      </c>
    </row>
    <row r="194" spans="2:10" x14ac:dyDescent="0.2">
      <c r="B194" s="4">
        <f t="shared" si="6"/>
        <v>186</v>
      </c>
      <c r="C194" s="30">
        <v>223001</v>
      </c>
      <c r="D194" s="30" t="s">
        <v>453</v>
      </c>
      <c r="E194" s="31">
        <v>125000</v>
      </c>
      <c r="F194" s="45"/>
      <c r="G194" s="31">
        <v>100000</v>
      </c>
      <c r="H194" s="31">
        <v>100000</v>
      </c>
      <c r="I194" s="32">
        <v>117308</v>
      </c>
      <c r="J194" s="32">
        <v>86504</v>
      </c>
    </row>
    <row r="195" spans="2:10" x14ac:dyDescent="0.2">
      <c r="B195" s="4">
        <f t="shared" si="6"/>
        <v>187</v>
      </c>
      <c r="C195" s="30">
        <v>223001</v>
      </c>
      <c r="D195" s="30" t="s">
        <v>939</v>
      </c>
      <c r="E195" s="31">
        <v>14030</v>
      </c>
      <c r="F195" s="45"/>
      <c r="G195" s="31"/>
      <c r="H195" s="31"/>
      <c r="I195" s="32"/>
      <c r="J195" s="32"/>
    </row>
    <row r="196" spans="2:10" x14ac:dyDescent="0.2">
      <c r="B196" s="4">
        <f t="shared" si="6"/>
        <v>188</v>
      </c>
      <c r="C196" s="42"/>
      <c r="D196" s="53" t="s">
        <v>455</v>
      </c>
      <c r="E196" s="54">
        <f>SUM(E197:E203)</f>
        <v>402600</v>
      </c>
      <c r="F196" s="508"/>
      <c r="G196" s="54">
        <f>SUM(G197:G201)</f>
        <v>387870</v>
      </c>
      <c r="H196" s="54">
        <f>SUM(H197:H201)</f>
        <v>387870</v>
      </c>
      <c r="I196" s="55">
        <f>SUM(I197:I201)</f>
        <v>265779</v>
      </c>
      <c r="J196" s="55">
        <f>SUM(J197:J201)</f>
        <v>211116</v>
      </c>
    </row>
    <row r="197" spans="2:10" x14ac:dyDescent="0.2">
      <c r="B197" s="4">
        <f t="shared" si="6"/>
        <v>189</v>
      </c>
      <c r="C197" s="30">
        <v>212003</v>
      </c>
      <c r="D197" s="30" t="s">
        <v>249</v>
      </c>
      <c r="E197" s="31">
        <v>400</v>
      </c>
      <c r="F197" s="45"/>
      <c r="G197" s="31">
        <v>370</v>
      </c>
      <c r="H197" s="31">
        <v>370</v>
      </c>
      <c r="I197" s="32">
        <v>412</v>
      </c>
      <c r="J197" s="32">
        <v>435</v>
      </c>
    </row>
    <row r="198" spans="2:10" x14ac:dyDescent="0.2">
      <c r="B198" s="4">
        <f t="shared" si="6"/>
        <v>190</v>
      </c>
      <c r="C198" s="30">
        <v>223001</v>
      </c>
      <c r="D198" s="30" t="s">
        <v>448</v>
      </c>
      <c r="E198" s="31">
        <v>117000</v>
      </c>
      <c r="F198" s="45"/>
      <c r="G198" s="31">
        <v>113500</v>
      </c>
      <c r="H198" s="31">
        <v>113500</v>
      </c>
      <c r="I198" s="32">
        <v>73259</v>
      </c>
      <c r="J198" s="32">
        <v>63859</v>
      </c>
    </row>
    <row r="199" spans="2:10" x14ac:dyDescent="0.2">
      <c r="B199" s="4">
        <f t="shared" si="6"/>
        <v>191</v>
      </c>
      <c r="C199" s="30">
        <v>223001</v>
      </c>
      <c r="D199" s="30" t="s">
        <v>454</v>
      </c>
      <c r="E199" s="31">
        <v>0</v>
      </c>
      <c r="F199" s="45"/>
      <c r="G199" s="31">
        <v>119000</v>
      </c>
      <c r="H199" s="31">
        <v>111000</v>
      </c>
      <c r="I199" s="32">
        <v>59094</v>
      </c>
      <c r="J199" s="32">
        <v>45935</v>
      </c>
    </row>
    <row r="200" spans="2:10" x14ac:dyDescent="0.2">
      <c r="B200" s="4">
        <f t="shared" si="6"/>
        <v>192</v>
      </c>
      <c r="C200" s="30">
        <v>223001</v>
      </c>
      <c r="D200" s="50" t="s">
        <v>972</v>
      </c>
      <c r="E200" s="31">
        <v>0</v>
      </c>
      <c r="F200" s="45"/>
      <c r="G200" s="31"/>
      <c r="H200" s="31">
        <v>8000</v>
      </c>
      <c r="I200" s="32"/>
      <c r="J200" s="32"/>
    </row>
    <row r="201" spans="2:10" x14ac:dyDescent="0.2">
      <c r="B201" s="4">
        <f t="shared" si="6"/>
        <v>193</v>
      </c>
      <c r="C201" s="30">
        <v>223001</v>
      </c>
      <c r="D201" s="30" t="s">
        <v>453</v>
      </c>
      <c r="E201" s="31">
        <v>156200</v>
      </c>
      <c r="F201" s="45"/>
      <c r="G201" s="31">
        <v>155000</v>
      </c>
      <c r="H201" s="31">
        <v>155000</v>
      </c>
      <c r="I201" s="32">
        <v>133014</v>
      </c>
      <c r="J201" s="32">
        <v>100887</v>
      </c>
    </row>
    <row r="202" spans="2:10" x14ac:dyDescent="0.2">
      <c r="B202" s="4">
        <f t="shared" si="6"/>
        <v>194</v>
      </c>
      <c r="C202" s="30">
        <v>223001</v>
      </c>
      <c r="D202" s="30" t="s">
        <v>451</v>
      </c>
      <c r="E202" s="31">
        <v>117000</v>
      </c>
      <c r="F202" s="45"/>
      <c r="G202" s="31"/>
      <c r="H202" s="31"/>
      <c r="I202" s="32"/>
      <c r="J202" s="32"/>
    </row>
    <row r="203" spans="2:10" x14ac:dyDescent="0.2">
      <c r="B203" s="4">
        <f t="shared" si="6"/>
        <v>195</v>
      </c>
      <c r="C203" s="30">
        <v>223001</v>
      </c>
      <c r="D203" s="30" t="s">
        <v>939</v>
      </c>
      <c r="E203" s="31">
        <v>12000</v>
      </c>
      <c r="F203" s="45"/>
      <c r="G203" s="31"/>
      <c r="H203" s="31"/>
      <c r="I203" s="32"/>
      <c r="J203" s="32"/>
    </row>
    <row r="204" spans="2:10" x14ac:dyDescent="0.2">
      <c r="B204" s="4">
        <f t="shared" si="6"/>
        <v>196</v>
      </c>
      <c r="C204" s="42"/>
      <c r="D204" s="42" t="s">
        <v>456</v>
      </c>
      <c r="E204" s="43">
        <f>SUM(E205:E210)</f>
        <v>268200</v>
      </c>
      <c r="F204" s="506"/>
      <c r="G204" s="43">
        <f>SUM(G205:G210)</f>
        <v>245130</v>
      </c>
      <c r="H204" s="43">
        <f>SUM(H205:H210)</f>
        <v>245130</v>
      </c>
      <c r="I204" s="44">
        <f>SUM(I205:I210)</f>
        <v>205518</v>
      </c>
      <c r="J204" s="44">
        <f>SUM(J205:J210)</f>
        <v>197592</v>
      </c>
    </row>
    <row r="205" spans="2:10" x14ac:dyDescent="0.2">
      <c r="B205" s="4">
        <f t="shared" si="6"/>
        <v>197</v>
      </c>
      <c r="C205" s="30">
        <v>223001</v>
      </c>
      <c r="D205" s="30" t="s">
        <v>448</v>
      </c>
      <c r="E205" s="31">
        <v>175000</v>
      </c>
      <c r="F205" s="45"/>
      <c r="G205" s="31">
        <v>162000</v>
      </c>
      <c r="H205" s="31">
        <v>162000</v>
      </c>
      <c r="I205" s="32">
        <v>125519</v>
      </c>
      <c r="J205" s="32">
        <v>130158</v>
      </c>
    </row>
    <row r="206" spans="2:10" x14ac:dyDescent="0.2">
      <c r="B206" s="4">
        <f t="shared" si="6"/>
        <v>198</v>
      </c>
      <c r="C206" s="30">
        <v>223001</v>
      </c>
      <c r="D206" s="30" t="s">
        <v>454</v>
      </c>
      <c r="E206" s="31">
        <v>19000</v>
      </c>
      <c r="F206" s="45"/>
      <c r="G206" s="31">
        <v>21000</v>
      </c>
      <c r="H206" s="31">
        <v>15000</v>
      </c>
      <c r="I206" s="32">
        <v>15235</v>
      </c>
      <c r="J206" s="32">
        <v>15894</v>
      </c>
    </row>
    <row r="207" spans="2:10" x14ac:dyDescent="0.2">
      <c r="B207" s="4">
        <f t="shared" si="6"/>
        <v>199</v>
      </c>
      <c r="C207" s="30">
        <v>223001</v>
      </c>
      <c r="D207" s="30" t="s">
        <v>453</v>
      </c>
      <c r="E207" s="31">
        <v>64400</v>
      </c>
      <c r="F207" s="45"/>
      <c r="G207" s="31">
        <v>62080</v>
      </c>
      <c r="H207" s="31">
        <v>62080</v>
      </c>
      <c r="I207" s="32">
        <v>64721</v>
      </c>
      <c r="J207" s="32">
        <v>51540</v>
      </c>
    </row>
    <row r="208" spans="2:10" x14ac:dyDescent="0.2">
      <c r="B208" s="4">
        <f t="shared" si="6"/>
        <v>200</v>
      </c>
      <c r="C208" s="30">
        <v>223001</v>
      </c>
      <c r="D208" s="50" t="s">
        <v>972</v>
      </c>
      <c r="E208" s="31"/>
      <c r="F208" s="45"/>
      <c r="G208" s="31"/>
      <c r="H208" s="31">
        <v>6000</v>
      </c>
      <c r="I208" s="32"/>
      <c r="J208" s="32"/>
    </row>
    <row r="209" spans="2:20" x14ac:dyDescent="0.2">
      <c r="B209" s="4">
        <f t="shared" si="6"/>
        <v>201</v>
      </c>
      <c r="C209" s="30">
        <v>223001</v>
      </c>
      <c r="D209" s="30" t="s">
        <v>939</v>
      </c>
      <c r="E209" s="31">
        <v>9800</v>
      </c>
      <c r="F209" s="45"/>
      <c r="G209" s="31"/>
      <c r="H209" s="31"/>
      <c r="I209" s="32"/>
      <c r="J209" s="32"/>
    </row>
    <row r="210" spans="2:20" s="13" customFormat="1" ht="24" x14ac:dyDescent="0.2">
      <c r="B210" s="4">
        <f t="shared" si="6"/>
        <v>202</v>
      </c>
      <c r="C210" s="49">
        <v>223001</v>
      </c>
      <c r="D210" s="50" t="s">
        <v>452</v>
      </c>
      <c r="E210" s="31"/>
      <c r="F210" s="45"/>
      <c r="G210" s="51">
        <v>50</v>
      </c>
      <c r="H210" s="51">
        <v>50</v>
      </c>
      <c r="I210" s="52">
        <v>43</v>
      </c>
      <c r="J210" s="5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x14ac:dyDescent="0.2">
      <c r="B211" s="4">
        <f t="shared" si="6"/>
        <v>203</v>
      </c>
      <c r="C211" s="42"/>
      <c r="D211" s="42" t="s">
        <v>460</v>
      </c>
      <c r="E211" s="43">
        <f>E212+E213</f>
        <v>292500</v>
      </c>
      <c r="F211" s="506"/>
      <c r="G211" s="43">
        <f>SUM(G212:G213)</f>
        <v>296200</v>
      </c>
      <c r="H211" s="43">
        <f>SUM(H212:H213)</f>
        <v>244000</v>
      </c>
      <c r="I211" s="44">
        <f>SUM(I212:I213)</f>
        <v>161966</v>
      </c>
      <c r="J211" s="44">
        <f>SUM(J212:J213)</f>
        <v>163486</v>
      </c>
    </row>
    <row r="212" spans="2:20" x14ac:dyDescent="0.2">
      <c r="B212" s="4">
        <f t="shared" si="6"/>
        <v>204</v>
      </c>
      <c r="C212" s="30">
        <v>223001</v>
      </c>
      <c r="D212" s="30" t="s">
        <v>457</v>
      </c>
      <c r="E212" s="31">
        <v>290000</v>
      </c>
      <c r="F212" s="45"/>
      <c r="G212" s="31">
        <v>290000</v>
      </c>
      <c r="H212" s="31">
        <v>240200</v>
      </c>
      <c r="I212" s="32">
        <v>157824</v>
      </c>
      <c r="J212" s="32">
        <v>157076</v>
      </c>
    </row>
    <row r="213" spans="2:20" x14ac:dyDescent="0.2">
      <c r="B213" s="4">
        <f t="shared" si="6"/>
        <v>205</v>
      </c>
      <c r="C213" s="30">
        <v>223001</v>
      </c>
      <c r="D213" s="30" t="s">
        <v>458</v>
      </c>
      <c r="E213" s="31">
        <v>2500</v>
      </c>
      <c r="F213" s="45"/>
      <c r="G213" s="31">
        <v>6200</v>
      </c>
      <c r="H213" s="31">
        <v>3800</v>
      </c>
      <c r="I213" s="32">
        <v>4142</v>
      </c>
      <c r="J213" s="32">
        <v>6410</v>
      </c>
    </row>
    <row r="214" spans="2:20" x14ac:dyDescent="0.2">
      <c r="B214" s="4">
        <f t="shared" si="6"/>
        <v>206</v>
      </c>
      <c r="C214" s="42"/>
      <c r="D214" s="42" t="s">
        <v>459</v>
      </c>
      <c r="E214" s="43">
        <f>E215</f>
        <v>17500</v>
      </c>
      <c r="F214" s="506"/>
      <c r="G214" s="43">
        <f>G215</f>
        <v>14000</v>
      </c>
      <c r="H214" s="43">
        <f>H215</f>
        <v>14000</v>
      </c>
      <c r="I214" s="44">
        <f>I215</f>
        <v>11252</v>
      </c>
      <c r="J214" s="44">
        <f>J215</f>
        <v>11487</v>
      </c>
    </row>
    <row r="215" spans="2:20" ht="13.5" thickBot="1" x14ac:dyDescent="0.25">
      <c r="B215" s="4">
        <f t="shared" si="6"/>
        <v>207</v>
      </c>
      <c r="C215" s="46">
        <v>223001</v>
      </c>
      <c r="D215" s="46" t="s">
        <v>251</v>
      </c>
      <c r="E215" s="47">
        <v>17500</v>
      </c>
      <c r="F215" s="507"/>
      <c r="G215" s="47">
        <v>14000</v>
      </c>
      <c r="H215" s="47">
        <v>14000</v>
      </c>
      <c r="I215" s="48">
        <v>11252</v>
      </c>
      <c r="J215" s="48">
        <v>11487</v>
      </c>
    </row>
    <row r="216" spans="2:20" ht="15" thickBot="1" x14ac:dyDescent="0.25">
      <c r="B216" s="4">
        <f t="shared" si="6"/>
        <v>208</v>
      </c>
      <c r="C216" s="36">
        <v>6</v>
      </c>
      <c r="D216" s="36" t="s">
        <v>339</v>
      </c>
      <c r="E216" s="37">
        <f>E217+E219+E223</f>
        <v>83667</v>
      </c>
      <c r="F216" s="504"/>
      <c r="G216" s="37">
        <f>G217+G219+G223</f>
        <v>242990</v>
      </c>
      <c r="H216" s="37">
        <f>H217+H219+H223</f>
        <v>242990</v>
      </c>
      <c r="I216" s="38">
        <f>I217+I219+I223</f>
        <v>138244</v>
      </c>
      <c r="J216" s="38">
        <f>J217+J219+J223</f>
        <v>91414</v>
      </c>
    </row>
    <row r="217" spans="2:20" x14ac:dyDescent="0.2">
      <c r="B217" s="4">
        <f>B216+1</f>
        <v>209</v>
      </c>
      <c r="C217" s="39">
        <v>210</v>
      </c>
      <c r="D217" s="39" t="s">
        <v>248</v>
      </c>
      <c r="E217" s="40">
        <f>E218</f>
        <v>1350</v>
      </c>
      <c r="F217" s="505"/>
      <c r="G217" s="40">
        <f>G218</f>
        <v>1350</v>
      </c>
      <c r="H217" s="40">
        <f>H218</f>
        <v>1350</v>
      </c>
      <c r="I217" s="41">
        <f>I218</f>
        <v>1328</v>
      </c>
      <c r="J217" s="41">
        <f>J218</f>
        <v>1249</v>
      </c>
    </row>
    <row r="218" spans="2:20" x14ac:dyDescent="0.2">
      <c r="B218" s="4">
        <f>B217+1</f>
        <v>210</v>
      </c>
      <c r="C218" s="30">
        <v>212003</v>
      </c>
      <c r="D218" s="30" t="s">
        <v>249</v>
      </c>
      <c r="E218" s="31">
        <v>1350</v>
      </c>
      <c r="F218" s="45"/>
      <c r="G218" s="31">
        <v>1350</v>
      </c>
      <c r="H218" s="31">
        <v>1350</v>
      </c>
      <c r="I218" s="32">
        <v>1328</v>
      </c>
      <c r="J218" s="32">
        <v>1249</v>
      </c>
    </row>
    <row r="219" spans="2:20" x14ac:dyDescent="0.2">
      <c r="B219" s="4">
        <f>B218+1</f>
        <v>211</v>
      </c>
      <c r="C219" s="42">
        <v>220</v>
      </c>
      <c r="D219" s="42" t="s">
        <v>220</v>
      </c>
      <c r="E219" s="43">
        <f>SUM(E220:E222)</f>
        <v>81917</v>
      </c>
      <c r="F219" s="506"/>
      <c r="G219" s="43">
        <f>SUM(G220:G222)</f>
        <v>241240</v>
      </c>
      <c r="H219" s="43">
        <f>SUM(H220:H222)</f>
        <v>241240</v>
      </c>
      <c r="I219" s="44">
        <f>SUM(I220:I222)</f>
        <v>136916</v>
      </c>
      <c r="J219" s="44">
        <f>SUM(J220:J222)</f>
        <v>89153</v>
      </c>
    </row>
    <row r="220" spans="2:20" x14ac:dyDescent="0.2">
      <c r="B220" s="4">
        <f t="shared" ref="B220:B288" si="7">B219+1</f>
        <v>212</v>
      </c>
      <c r="C220" s="30">
        <v>223001</v>
      </c>
      <c r="D220" s="30" t="s">
        <v>251</v>
      </c>
      <c r="E220" s="31">
        <v>38560</v>
      </c>
      <c r="F220" s="45"/>
      <c r="G220" s="31">
        <v>38560</v>
      </c>
      <c r="H220" s="31">
        <v>38560</v>
      </c>
      <c r="I220" s="32">
        <v>27755</v>
      </c>
      <c r="J220" s="32">
        <v>20467</v>
      </c>
    </row>
    <row r="221" spans="2:20" x14ac:dyDescent="0.2">
      <c r="B221" s="4">
        <f t="shared" si="7"/>
        <v>213</v>
      </c>
      <c r="C221" s="30">
        <v>223002</v>
      </c>
      <c r="D221" s="30" t="s">
        <v>74</v>
      </c>
      <c r="E221" s="31">
        <f>25080+1464</f>
        <v>26544</v>
      </c>
      <c r="F221" s="45"/>
      <c r="G221" s="31">
        <v>25080</v>
      </c>
      <c r="H221" s="31">
        <v>25080</v>
      </c>
      <c r="I221" s="32">
        <v>22551</v>
      </c>
      <c r="J221" s="32">
        <v>17886</v>
      </c>
    </row>
    <row r="222" spans="2:20" x14ac:dyDescent="0.2">
      <c r="B222" s="4">
        <f t="shared" si="7"/>
        <v>214</v>
      </c>
      <c r="C222" s="30">
        <v>223003</v>
      </c>
      <c r="D222" s="30" t="s">
        <v>75</v>
      </c>
      <c r="E222" s="31">
        <f>15000+1813</f>
        <v>16813</v>
      </c>
      <c r="F222" s="45"/>
      <c r="G222" s="31">
        <v>177600</v>
      </c>
      <c r="H222" s="31">
        <v>177600</v>
      </c>
      <c r="I222" s="32">
        <v>86610</v>
      </c>
      <c r="J222" s="32">
        <v>50800</v>
      </c>
    </row>
    <row r="223" spans="2:20" x14ac:dyDescent="0.2">
      <c r="B223" s="4">
        <f t="shared" si="7"/>
        <v>215</v>
      </c>
      <c r="C223" s="42">
        <v>290</v>
      </c>
      <c r="D223" s="42" t="s">
        <v>178</v>
      </c>
      <c r="E223" s="43">
        <f>SUM(E224:E225)</f>
        <v>400</v>
      </c>
      <c r="F223" s="506"/>
      <c r="G223" s="43">
        <f>SUM(G224:G225)</f>
        <v>400</v>
      </c>
      <c r="H223" s="43">
        <f>SUM(H224:H225)</f>
        <v>400</v>
      </c>
      <c r="I223" s="44">
        <f>SUM(I224:I225)</f>
        <v>0</v>
      </c>
      <c r="J223" s="44">
        <f>SUM(J224:J225)</f>
        <v>1012</v>
      </c>
    </row>
    <row r="224" spans="2:20" x14ac:dyDescent="0.2">
      <c r="B224" s="4">
        <f t="shared" si="7"/>
        <v>216</v>
      </c>
      <c r="C224" s="30">
        <v>292012</v>
      </c>
      <c r="D224" s="30" t="s">
        <v>232</v>
      </c>
      <c r="E224" s="31">
        <v>400</v>
      </c>
      <c r="F224" s="45"/>
      <c r="G224" s="31">
        <v>400</v>
      </c>
      <c r="H224" s="31">
        <v>400</v>
      </c>
      <c r="I224" s="32"/>
      <c r="J224" s="32">
        <v>538</v>
      </c>
    </row>
    <row r="225" spans="2:10" ht="13.5" thickBot="1" x14ac:dyDescent="0.25">
      <c r="B225" s="4">
        <f t="shared" si="7"/>
        <v>217</v>
      </c>
      <c r="C225" s="46">
        <v>292017</v>
      </c>
      <c r="D225" s="46" t="s">
        <v>233</v>
      </c>
      <c r="E225" s="47"/>
      <c r="F225" s="507"/>
      <c r="G225" s="47"/>
      <c r="H225" s="47"/>
      <c r="I225" s="48"/>
      <c r="J225" s="48">
        <v>474</v>
      </c>
    </row>
    <row r="226" spans="2:10" ht="15" thickBot="1" x14ac:dyDescent="0.25">
      <c r="B226" s="4">
        <f t="shared" si="7"/>
        <v>218</v>
      </c>
      <c r="C226" s="36">
        <v>7</v>
      </c>
      <c r="D226" s="36" t="s">
        <v>341</v>
      </c>
      <c r="E226" s="37">
        <f>E229+E227+E233</f>
        <v>124643</v>
      </c>
      <c r="F226" s="504"/>
      <c r="G226" s="37">
        <f>G229+G227+G233</f>
        <v>284700</v>
      </c>
      <c r="H226" s="37">
        <f>H229+H227+H233</f>
        <v>284700</v>
      </c>
      <c r="I226" s="38">
        <f>I229+I227+I233</f>
        <v>218310</v>
      </c>
      <c r="J226" s="38">
        <f>J229+J227+J233</f>
        <v>121024</v>
      </c>
    </row>
    <row r="227" spans="2:10" x14ac:dyDescent="0.2">
      <c r="B227" s="4">
        <f t="shared" si="7"/>
        <v>219</v>
      </c>
      <c r="C227" s="39">
        <v>210</v>
      </c>
      <c r="D227" s="39" t="s">
        <v>248</v>
      </c>
      <c r="E227" s="40">
        <f>E228</f>
        <v>830</v>
      </c>
      <c r="F227" s="505"/>
      <c r="G227" s="40">
        <f>G228</f>
        <v>1500</v>
      </c>
      <c r="H227" s="40">
        <f>H228</f>
        <v>1500</v>
      </c>
      <c r="I227" s="41">
        <f>I228</f>
        <v>392</v>
      </c>
      <c r="J227" s="41">
        <f>J228</f>
        <v>108</v>
      </c>
    </row>
    <row r="228" spans="2:10" x14ac:dyDescent="0.2">
      <c r="B228" s="4">
        <f t="shared" si="7"/>
        <v>220</v>
      </c>
      <c r="C228" s="30">
        <v>212003</v>
      </c>
      <c r="D228" s="30" t="s">
        <v>249</v>
      </c>
      <c r="E228" s="31">
        <v>830</v>
      </c>
      <c r="F228" s="45"/>
      <c r="G228" s="31">
        <v>1500</v>
      </c>
      <c r="H228" s="31">
        <v>1500</v>
      </c>
      <c r="I228" s="32">
        <v>392</v>
      </c>
      <c r="J228" s="32">
        <v>108</v>
      </c>
    </row>
    <row r="229" spans="2:10" x14ac:dyDescent="0.2">
      <c r="B229" s="4">
        <f t="shared" si="7"/>
        <v>221</v>
      </c>
      <c r="C229" s="42">
        <v>220</v>
      </c>
      <c r="D229" s="42" t="s">
        <v>220</v>
      </c>
      <c r="E229" s="43">
        <f>SUM(E230:E232)</f>
        <v>123813</v>
      </c>
      <c r="F229" s="506"/>
      <c r="G229" s="43">
        <f>SUM(G230:G232)</f>
        <v>283200</v>
      </c>
      <c r="H229" s="43">
        <f>SUM(H230:H232)</f>
        <v>283200</v>
      </c>
      <c r="I229" s="44">
        <f>SUM(I230:I232)</f>
        <v>217918</v>
      </c>
      <c r="J229" s="44">
        <f>SUM(J230:J232)</f>
        <v>111717</v>
      </c>
    </row>
    <row r="230" spans="2:10" x14ac:dyDescent="0.2">
      <c r="B230" s="4">
        <f t="shared" si="7"/>
        <v>222</v>
      </c>
      <c r="C230" s="30">
        <v>223001</v>
      </c>
      <c r="D230" s="30" t="s">
        <v>251</v>
      </c>
      <c r="E230" s="31">
        <v>41200</v>
      </c>
      <c r="F230" s="45"/>
      <c r="G230" s="31">
        <v>12800</v>
      </c>
      <c r="H230" s="31">
        <v>12800</v>
      </c>
      <c r="I230" s="32">
        <v>31311</v>
      </c>
      <c r="J230" s="32">
        <v>24710</v>
      </c>
    </row>
    <row r="231" spans="2:10" x14ac:dyDescent="0.2">
      <c r="B231" s="4">
        <f t="shared" si="7"/>
        <v>223</v>
      </c>
      <c r="C231" s="30">
        <v>223002</v>
      </c>
      <c r="D231" s="30" t="s">
        <v>74</v>
      </c>
      <c r="E231" s="31">
        <f>38250+2048</f>
        <v>40298</v>
      </c>
      <c r="F231" s="45"/>
      <c r="G231" s="31">
        <v>26400</v>
      </c>
      <c r="H231" s="31">
        <v>26400</v>
      </c>
      <c r="I231" s="32">
        <v>28324</v>
      </c>
      <c r="J231" s="32">
        <v>19968</v>
      </c>
    </row>
    <row r="232" spans="2:10" x14ac:dyDescent="0.2">
      <c r="B232" s="4">
        <f t="shared" si="7"/>
        <v>224</v>
      </c>
      <c r="C232" s="30">
        <v>223003</v>
      </c>
      <c r="D232" s="30" t="s">
        <v>75</v>
      </c>
      <c r="E232" s="45">
        <f>39700+2615</f>
        <v>42315</v>
      </c>
      <c r="F232" s="45"/>
      <c r="G232" s="31">
        <v>244000</v>
      </c>
      <c r="H232" s="31">
        <v>244000</v>
      </c>
      <c r="I232" s="32">
        <v>158283</v>
      </c>
      <c r="J232" s="32">
        <v>67039</v>
      </c>
    </row>
    <row r="233" spans="2:10" x14ac:dyDescent="0.2">
      <c r="B233" s="4">
        <f t="shared" si="7"/>
        <v>225</v>
      </c>
      <c r="C233" s="42">
        <v>290</v>
      </c>
      <c r="D233" s="42" t="s">
        <v>178</v>
      </c>
      <c r="E233" s="43">
        <f>E234</f>
        <v>0</v>
      </c>
      <c r="F233" s="506"/>
      <c r="G233" s="43">
        <f>G234</f>
        <v>0</v>
      </c>
      <c r="H233" s="43">
        <f>H234</f>
        <v>0</v>
      </c>
      <c r="I233" s="44">
        <f>I234</f>
        <v>0</v>
      </c>
      <c r="J233" s="44">
        <f>J234</f>
        <v>9199</v>
      </c>
    </row>
    <row r="234" spans="2:10" ht="13.5" thickBot="1" x14ac:dyDescent="0.25">
      <c r="B234" s="4">
        <f t="shared" si="7"/>
        <v>226</v>
      </c>
      <c r="C234" s="46">
        <v>292017</v>
      </c>
      <c r="D234" s="46" t="s">
        <v>233</v>
      </c>
      <c r="E234" s="47"/>
      <c r="F234" s="507"/>
      <c r="G234" s="47"/>
      <c r="H234" s="47"/>
      <c r="I234" s="48"/>
      <c r="J234" s="48">
        <v>9199</v>
      </c>
    </row>
    <row r="235" spans="2:10" ht="15" thickBot="1" x14ac:dyDescent="0.25">
      <c r="B235" s="4">
        <f t="shared" si="7"/>
        <v>227</v>
      </c>
      <c r="C235" s="56">
        <v>8</v>
      </c>
      <c r="D235" s="56" t="s">
        <v>7</v>
      </c>
      <c r="E235" s="57">
        <f>E236+E238+E240</f>
        <v>80755</v>
      </c>
      <c r="F235" s="509"/>
      <c r="G235" s="57">
        <f>G236+G238+G240</f>
        <v>61815</v>
      </c>
      <c r="H235" s="57">
        <f>H236+H238+H240</f>
        <v>61815</v>
      </c>
      <c r="I235" s="58">
        <f>I236+I238+I240</f>
        <v>70839</v>
      </c>
      <c r="J235" s="58">
        <f>J236+J238+J240</f>
        <v>43982</v>
      </c>
    </row>
    <row r="236" spans="2:10" x14ac:dyDescent="0.2">
      <c r="B236" s="4">
        <f t="shared" si="7"/>
        <v>228</v>
      </c>
      <c r="C236" s="39">
        <v>210</v>
      </c>
      <c r="D236" s="39" t="s">
        <v>248</v>
      </c>
      <c r="E236" s="40">
        <f>E237</f>
        <v>31755</v>
      </c>
      <c r="F236" s="505"/>
      <c r="G236" s="40">
        <f>G237</f>
        <v>26175</v>
      </c>
      <c r="H236" s="40">
        <f>H237</f>
        <v>26175</v>
      </c>
      <c r="I236" s="41">
        <f>I237</f>
        <v>26019</v>
      </c>
      <c r="J236" s="41">
        <f>J237</f>
        <v>15543</v>
      </c>
    </row>
    <row r="237" spans="2:10" x14ac:dyDescent="0.2">
      <c r="B237" s="4">
        <f t="shared" si="7"/>
        <v>229</v>
      </c>
      <c r="C237" s="30">
        <v>212003</v>
      </c>
      <c r="D237" s="30" t="s">
        <v>249</v>
      </c>
      <c r="E237" s="31">
        <f>2240+4120+251+4035+1273+11634+8200+2</f>
        <v>31755</v>
      </c>
      <c r="F237" s="45"/>
      <c r="G237" s="31">
        <v>26175</v>
      </c>
      <c r="H237" s="31">
        <v>26175</v>
      </c>
      <c r="I237" s="32">
        <v>26019</v>
      </c>
      <c r="J237" s="32">
        <v>15543</v>
      </c>
    </row>
    <row r="238" spans="2:10" x14ac:dyDescent="0.2">
      <c r="B238" s="4">
        <f t="shared" si="7"/>
        <v>230</v>
      </c>
      <c r="C238" s="42">
        <v>220</v>
      </c>
      <c r="D238" s="42" t="s">
        <v>220</v>
      </c>
      <c r="E238" s="43">
        <f>E239</f>
        <v>49000</v>
      </c>
      <c r="F238" s="506"/>
      <c r="G238" s="43">
        <f>G239</f>
        <v>35640</v>
      </c>
      <c r="H238" s="43">
        <f>H239</f>
        <v>35640</v>
      </c>
      <c r="I238" s="44">
        <f>I239</f>
        <v>38422</v>
      </c>
      <c r="J238" s="44">
        <f>J239</f>
        <v>28439</v>
      </c>
    </row>
    <row r="239" spans="2:10" x14ac:dyDescent="0.2">
      <c r="B239" s="4">
        <f t="shared" si="7"/>
        <v>231</v>
      </c>
      <c r="C239" s="30">
        <v>223002</v>
      </c>
      <c r="D239" s="30" t="s">
        <v>74</v>
      </c>
      <c r="E239" s="31">
        <f>46400+2600</f>
        <v>49000</v>
      </c>
      <c r="F239" s="45"/>
      <c r="G239" s="31">
        <v>35640</v>
      </c>
      <c r="H239" s="31">
        <v>35640</v>
      </c>
      <c r="I239" s="32">
        <v>38422</v>
      </c>
      <c r="J239" s="32">
        <v>28439</v>
      </c>
    </row>
    <row r="240" spans="2:10" x14ac:dyDescent="0.2">
      <c r="B240" s="4">
        <f t="shared" si="7"/>
        <v>232</v>
      </c>
      <c r="C240" s="42">
        <v>290</v>
      </c>
      <c r="D240" s="42" t="s">
        <v>178</v>
      </c>
      <c r="E240" s="43">
        <f>E241</f>
        <v>0</v>
      </c>
      <c r="F240" s="506"/>
      <c r="G240" s="43">
        <f>G241</f>
        <v>0</v>
      </c>
      <c r="H240" s="43">
        <f>H241</f>
        <v>0</v>
      </c>
      <c r="I240" s="44">
        <f>I241</f>
        <v>6398</v>
      </c>
      <c r="J240" s="44">
        <f>J241</f>
        <v>0</v>
      </c>
    </row>
    <row r="241" spans="2:10" ht="13.5" thickBot="1" x14ac:dyDescent="0.25">
      <c r="B241" s="4">
        <f t="shared" si="7"/>
        <v>233</v>
      </c>
      <c r="C241" s="46">
        <v>292012</v>
      </c>
      <c r="D241" s="46" t="s">
        <v>232</v>
      </c>
      <c r="E241" s="47"/>
      <c r="F241" s="507"/>
      <c r="G241" s="47"/>
      <c r="H241" s="47"/>
      <c r="I241" s="48">
        <v>6398</v>
      </c>
      <c r="J241" s="48"/>
    </row>
    <row r="242" spans="2:10" ht="15" thickBot="1" x14ac:dyDescent="0.25">
      <c r="B242" s="4">
        <f t="shared" si="7"/>
        <v>234</v>
      </c>
      <c r="C242" s="36">
        <v>9</v>
      </c>
      <c r="D242" s="36" t="s">
        <v>5</v>
      </c>
      <c r="E242" s="37">
        <f>E249+E245+E243</f>
        <v>130282</v>
      </c>
      <c r="F242" s="504"/>
      <c r="G242" s="37">
        <f>G249+G245+G243</f>
        <v>269827</v>
      </c>
      <c r="H242" s="37">
        <f>H249+H245+H243</f>
        <v>269827</v>
      </c>
      <c r="I242" s="38">
        <f>I249+I245+I243</f>
        <v>177967</v>
      </c>
      <c r="J242" s="38">
        <f>J249+J245+J243</f>
        <v>94540</v>
      </c>
    </row>
    <row r="243" spans="2:10" x14ac:dyDescent="0.2">
      <c r="B243" s="4">
        <f t="shared" si="7"/>
        <v>235</v>
      </c>
      <c r="C243" s="39">
        <v>210</v>
      </c>
      <c r="D243" s="39" t="s">
        <v>248</v>
      </c>
      <c r="E243" s="40">
        <f>E244</f>
        <v>7800</v>
      </c>
      <c r="F243" s="505"/>
      <c r="G243" s="40">
        <f>G244</f>
        <v>4000</v>
      </c>
      <c r="H243" s="40">
        <f>H244</f>
        <v>4000</v>
      </c>
      <c r="I243" s="41">
        <f>I244</f>
        <v>2815</v>
      </c>
      <c r="J243" s="41">
        <f>J244</f>
        <v>965</v>
      </c>
    </row>
    <row r="244" spans="2:10" x14ac:dyDescent="0.2">
      <c r="B244" s="4">
        <f t="shared" si="7"/>
        <v>236</v>
      </c>
      <c r="C244" s="30">
        <v>212003</v>
      </c>
      <c r="D244" s="30" t="s">
        <v>249</v>
      </c>
      <c r="E244" s="31">
        <v>7800</v>
      </c>
      <c r="F244" s="45"/>
      <c r="G244" s="31">
        <v>4000</v>
      </c>
      <c r="H244" s="31">
        <v>4000</v>
      </c>
      <c r="I244" s="32">
        <v>2815</v>
      </c>
      <c r="J244" s="32">
        <v>965</v>
      </c>
    </row>
    <row r="245" spans="2:10" x14ac:dyDescent="0.2">
      <c r="B245" s="4">
        <f t="shared" si="7"/>
        <v>237</v>
      </c>
      <c r="C245" s="42">
        <v>220</v>
      </c>
      <c r="D245" s="42" t="s">
        <v>220</v>
      </c>
      <c r="E245" s="43">
        <f>SUM(E246:E248)</f>
        <v>122482</v>
      </c>
      <c r="F245" s="506"/>
      <c r="G245" s="43">
        <f>SUM(G246:G248)</f>
        <v>265827</v>
      </c>
      <c r="H245" s="43">
        <f>SUM(H246:H248)</f>
        <v>265827</v>
      </c>
      <c r="I245" s="44">
        <f>SUM(I246:I248)</f>
        <v>171256</v>
      </c>
      <c r="J245" s="44">
        <f>SUM(J246:J248)</f>
        <v>86729</v>
      </c>
    </row>
    <row r="246" spans="2:10" x14ac:dyDescent="0.2">
      <c r="B246" s="4">
        <f t="shared" si="7"/>
        <v>238</v>
      </c>
      <c r="C246" s="30">
        <v>223001</v>
      </c>
      <c r="D246" s="30" t="s">
        <v>251</v>
      </c>
      <c r="E246" s="31">
        <f>41256+4</f>
        <v>41260</v>
      </c>
      <c r="F246" s="45"/>
      <c r="G246" s="31">
        <v>40420</v>
      </c>
      <c r="H246" s="31">
        <v>40420</v>
      </c>
      <c r="I246" s="32">
        <v>32018</v>
      </c>
      <c r="J246" s="32">
        <v>21479</v>
      </c>
    </row>
    <row r="247" spans="2:10" x14ac:dyDescent="0.2">
      <c r="B247" s="4">
        <f t="shared" si="7"/>
        <v>239</v>
      </c>
      <c r="C247" s="30">
        <v>223002</v>
      </c>
      <c r="D247" s="30" t="s">
        <v>74</v>
      </c>
      <c r="E247" s="31">
        <f>42750+2464</f>
        <v>45214</v>
      </c>
      <c r="F247" s="45"/>
      <c r="G247" s="31">
        <v>30000</v>
      </c>
      <c r="H247" s="31">
        <v>30000</v>
      </c>
      <c r="I247" s="32">
        <v>22885</v>
      </c>
      <c r="J247" s="32">
        <v>17151</v>
      </c>
    </row>
    <row r="248" spans="2:10" x14ac:dyDescent="0.2">
      <c r="B248" s="4">
        <f t="shared" si="7"/>
        <v>240</v>
      </c>
      <c r="C248" s="30">
        <v>223003</v>
      </c>
      <c r="D248" s="30" t="s">
        <v>75</v>
      </c>
      <c r="E248" s="31">
        <f>34380+1628</f>
        <v>36008</v>
      </c>
      <c r="F248" s="45"/>
      <c r="G248" s="31">
        <v>195407</v>
      </c>
      <c r="H248" s="31">
        <v>195407</v>
      </c>
      <c r="I248" s="32">
        <v>116353</v>
      </c>
      <c r="J248" s="32">
        <v>48099</v>
      </c>
    </row>
    <row r="249" spans="2:10" x14ac:dyDescent="0.2">
      <c r="B249" s="4">
        <f t="shared" si="7"/>
        <v>241</v>
      </c>
      <c r="C249" s="42">
        <v>290</v>
      </c>
      <c r="D249" s="42" t="s">
        <v>178</v>
      </c>
      <c r="E249" s="43">
        <f>E250</f>
        <v>0</v>
      </c>
      <c r="F249" s="506"/>
      <c r="G249" s="43">
        <f>G250</f>
        <v>0</v>
      </c>
      <c r="H249" s="43">
        <f>SUM(H250:H251)</f>
        <v>0</v>
      </c>
      <c r="I249" s="44">
        <f>SUM(I250:I251)</f>
        <v>3896</v>
      </c>
      <c r="J249" s="44">
        <f>SUM(J250:J251)</f>
        <v>6846</v>
      </c>
    </row>
    <row r="250" spans="2:10" x14ac:dyDescent="0.2">
      <c r="B250" s="4">
        <f t="shared" si="7"/>
        <v>242</v>
      </c>
      <c r="C250" s="30">
        <v>292012</v>
      </c>
      <c r="D250" s="30" t="s">
        <v>232</v>
      </c>
      <c r="E250" s="31"/>
      <c r="F250" s="45"/>
      <c r="G250" s="31">
        <v>0</v>
      </c>
      <c r="H250" s="31"/>
      <c r="I250" s="32">
        <v>974</v>
      </c>
      <c r="J250" s="32">
        <v>1901</v>
      </c>
    </row>
    <row r="251" spans="2:10" ht="13.5" thickBot="1" x14ac:dyDescent="0.25">
      <c r="B251" s="4">
        <f t="shared" si="7"/>
        <v>243</v>
      </c>
      <c r="C251" s="59">
        <v>292017</v>
      </c>
      <c r="D251" s="59" t="s">
        <v>233</v>
      </c>
      <c r="E251" s="60"/>
      <c r="F251" s="510"/>
      <c r="G251" s="60">
        <v>0</v>
      </c>
      <c r="H251" s="60"/>
      <c r="I251" s="61">
        <v>2922</v>
      </c>
      <c r="J251" s="61">
        <v>4945</v>
      </c>
    </row>
    <row r="252" spans="2:10" ht="15" thickBot="1" x14ac:dyDescent="0.25">
      <c r="B252" s="4">
        <f t="shared" si="7"/>
        <v>244</v>
      </c>
      <c r="C252" s="36">
        <v>10</v>
      </c>
      <c r="D252" s="36" t="s">
        <v>0</v>
      </c>
      <c r="E252" s="37">
        <f>E253+E255</f>
        <v>213034</v>
      </c>
      <c r="F252" s="504"/>
      <c r="G252" s="37">
        <f>G253+G255</f>
        <v>330773</v>
      </c>
      <c r="H252" s="37">
        <f>H253+H255</f>
        <v>330773</v>
      </c>
      <c r="I252" s="38">
        <f>I253+I255</f>
        <v>137711</v>
      </c>
      <c r="J252" s="38">
        <f>J253+J255+J259</f>
        <v>114065</v>
      </c>
    </row>
    <row r="253" spans="2:10" x14ac:dyDescent="0.2">
      <c r="B253" s="4">
        <f t="shared" si="7"/>
        <v>245</v>
      </c>
      <c r="C253" s="39">
        <v>210</v>
      </c>
      <c r="D253" s="39" t="s">
        <v>248</v>
      </c>
      <c r="E253" s="40">
        <f>E254</f>
        <v>9000</v>
      </c>
      <c r="F253" s="505"/>
      <c r="G253" s="40">
        <f>G254</f>
        <v>2000</v>
      </c>
      <c r="H253" s="40">
        <f>H254</f>
        <v>2000</v>
      </c>
      <c r="I253" s="41">
        <f>I254</f>
        <v>2796</v>
      </c>
      <c r="J253" s="41">
        <f>J254</f>
        <v>3397</v>
      </c>
    </row>
    <row r="254" spans="2:10" x14ac:dyDescent="0.2">
      <c r="B254" s="4">
        <f t="shared" si="7"/>
        <v>246</v>
      </c>
      <c r="C254" s="30">
        <v>212003</v>
      </c>
      <c r="D254" s="30" t="s">
        <v>249</v>
      </c>
      <c r="E254" s="31">
        <v>9000</v>
      </c>
      <c r="F254" s="45"/>
      <c r="G254" s="31">
        <v>2000</v>
      </c>
      <c r="H254" s="31">
        <v>2000</v>
      </c>
      <c r="I254" s="32">
        <v>2796</v>
      </c>
      <c r="J254" s="32">
        <v>3397</v>
      </c>
    </row>
    <row r="255" spans="2:10" x14ac:dyDescent="0.2">
      <c r="B255" s="4">
        <f t="shared" si="7"/>
        <v>247</v>
      </c>
      <c r="C255" s="42">
        <v>220</v>
      </c>
      <c r="D255" s="42" t="s">
        <v>220</v>
      </c>
      <c r="E255" s="43">
        <f>SUM(E256:E258)</f>
        <v>204034</v>
      </c>
      <c r="F255" s="506"/>
      <c r="G255" s="43">
        <f>SUM(G256:G258)</f>
        <v>328773</v>
      </c>
      <c r="H255" s="43">
        <f>SUM(H256:H258)</f>
        <v>328773</v>
      </c>
      <c r="I255" s="44">
        <f>SUM(I256:I258)</f>
        <v>134915</v>
      </c>
      <c r="J255" s="44">
        <f>SUM(J256:J258)</f>
        <v>110176</v>
      </c>
    </row>
    <row r="256" spans="2:10" x14ac:dyDescent="0.2">
      <c r="B256" s="4">
        <f t="shared" si="7"/>
        <v>248</v>
      </c>
      <c r="C256" s="30">
        <v>223001</v>
      </c>
      <c r="D256" s="30" t="s">
        <v>251</v>
      </c>
      <c r="E256" s="31">
        <v>68810</v>
      </c>
      <c r="F256" s="45"/>
      <c r="G256" s="31">
        <v>42000</v>
      </c>
      <c r="H256" s="31">
        <v>42000</v>
      </c>
      <c r="I256" s="32">
        <v>40517</v>
      </c>
      <c r="J256" s="32">
        <v>32245</v>
      </c>
    </row>
    <row r="257" spans="2:10" x14ac:dyDescent="0.2">
      <c r="B257" s="4">
        <f t="shared" si="7"/>
        <v>249</v>
      </c>
      <c r="C257" s="30">
        <v>223002</v>
      </c>
      <c r="D257" s="30" t="s">
        <v>74</v>
      </c>
      <c r="E257" s="31">
        <f>21000+1208</f>
        <v>22208</v>
      </c>
      <c r="F257" s="45"/>
      <c r="G257" s="31">
        <v>18000</v>
      </c>
      <c r="H257" s="31">
        <v>18000</v>
      </c>
      <c r="I257" s="32">
        <v>16309</v>
      </c>
      <c r="J257" s="32">
        <v>13596</v>
      </c>
    </row>
    <row r="258" spans="2:10" x14ac:dyDescent="0.2">
      <c r="B258" s="4">
        <f t="shared" si="7"/>
        <v>250</v>
      </c>
      <c r="C258" s="30">
        <v>223003</v>
      </c>
      <c r="D258" s="30" t="s">
        <v>75</v>
      </c>
      <c r="E258" s="31">
        <f>111646+4+1366</f>
        <v>113016</v>
      </c>
      <c r="F258" s="45"/>
      <c r="G258" s="31">
        <v>268773</v>
      </c>
      <c r="H258" s="31">
        <v>268773</v>
      </c>
      <c r="I258" s="32">
        <v>78089</v>
      </c>
      <c r="J258" s="32">
        <v>64335</v>
      </c>
    </row>
    <row r="259" spans="2:10" x14ac:dyDescent="0.2">
      <c r="B259" s="4">
        <f t="shared" si="7"/>
        <v>251</v>
      </c>
      <c r="C259" s="42">
        <v>290</v>
      </c>
      <c r="D259" s="42" t="s">
        <v>178</v>
      </c>
      <c r="E259" s="43">
        <f>E260</f>
        <v>0</v>
      </c>
      <c r="F259" s="506"/>
      <c r="G259" s="43">
        <f>G260</f>
        <v>0</v>
      </c>
      <c r="H259" s="43">
        <f>SUM(H260:H260)</f>
        <v>0</v>
      </c>
      <c r="I259" s="44">
        <f>SUM(I260:I260)</f>
        <v>0</v>
      </c>
      <c r="J259" s="44">
        <f>SUM(J260:J260)</f>
        <v>492</v>
      </c>
    </row>
    <row r="260" spans="2:10" ht="13.5" thickBot="1" x14ac:dyDescent="0.25">
      <c r="B260" s="4">
        <f t="shared" si="7"/>
        <v>252</v>
      </c>
      <c r="C260" s="30">
        <v>292017</v>
      </c>
      <c r="D260" s="30" t="s">
        <v>233</v>
      </c>
      <c r="E260" s="31"/>
      <c r="F260" s="45"/>
      <c r="G260" s="31">
        <v>0</v>
      </c>
      <c r="H260" s="31"/>
      <c r="I260" s="32">
        <v>0</v>
      </c>
      <c r="J260" s="32">
        <v>492</v>
      </c>
    </row>
    <row r="261" spans="2:10" ht="15" thickBot="1" x14ac:dyDescent="0.25">
      <c r="B261" s="4">
        <f t="shared" si="7"/>
        <v>253</v>
      </c>
      <c r="C261" s="36">
        <v>11</v>
      </c>
      <c r="D261" s="36" t="s">
        <v>8</v>
      </c>
      <c r="E261" s="37">
        <f>E262+E264+E268</f>
        <v>250922</v>
      </c>
      <c r="F261" s="504"/>
      <c r="G261" s="37">
        <f>G262+G264+G268</f>
        <v>449587</v>
      </c>
      <c r="H261" s="37">
        <f>H262+H264+H268</f>
        <v>449587</v>
      </c>
      <c r="I261" s="38">
        <f>I262+I264+I268</f>
        <v>285185</v>
      </c>
      <c r="J261" s="38">
        <f>J262+J264+J268</f>
        <v>142466</v>
      </c>
    </row>
    <row r="262" spans="2:10" x14ac:dyDescent="0.2">
      <c r="B262" s="4">
        <f t="shared" si="7"/>
        <v>254</v>
      </c>
      <c r="C262" s="39">
        <v>210</v>
      </c>
      <c r="D262" s="39" t="s">
        <v>248</v>
      </c>
      <c r="E262" s="40">
        <f>E263</f>
        <v>60045</v>
      </c>
      <c r="F262" s="505"/>
      <c r="G262" s="40">
        <f>G263</f>
        <v>41867</v>
      </c>
      <c r="H262" s="40">
        <f>H263</f>
        <v>41867</v>
      </c>
      <c r="I262" s="41">
        <f>I263</f>
        <v>45103</v>
      </c>
      <c r="J262" s="41">
        <f>J263</f>
        <v>15517</v>
      </c>
    </row>
    <row r="263" spans="2:10" x14ac:dyDescent="0.2">
      <c r="B263" s="4">
        <f t="shared" si="7"/>
        <v>255</v>
      </c>
      <c r="C263" s="30">
        <v>212003</v>
      </c>
      <c r="D263" s="30" t="s">
        <v>249</v>
      </c>
      <c r="E263" s="31">
        <f>60042+3</f>
        <v>60045</v>
      </c>
      <c r="F263" s="45"/>
      <c r="G263" s="31">
        <v>41867</v>
      </c>
      <c r="H263" s="31">
        <v>41867</v>
      </c>
      <c r="I263" s="32">
        <v>45103</v>
      </c>
      <c r="J263" s="32">
        <v>15517</v>
      </c>
    </row>
    <row r="264" spans="2:10" x14ac:dyDescent="0.2">
      <c r="B264" s="4">
        <f t="shared" si="7"/>
        <v>256</v>
      </c>
      <c r="C264" s="42">
        <v>220</v>
      </c>
      <c r="D264" s="42" t="s">
        <v>220</v>
      </c>
      <c r="E264" s="43">
        <f>SUM(E265:E267)</f>
        <v>190877</v>
      </c>
      <c r="F264" s="506"/>
      <c r="G264" s="43">
        <f>SUM(G265:G267)</f>
        <v>407720</v>
      </c>
      <c r="H264" s="43">
        <f>SUM(H265:H267)</f>
        <v>407720</v>
      </c>
      <c r="I264" s="44">
        <f>SUM(I265:I267)</f>
        <v>240082</v>
      </c>
      <c r="J264" s="44">
        <f>SUM(J265:J267)</f>
        <v>126732</v>
      </c>
    </row>
    <row r="265" spans="2:10" x14ac:dyDescent="0.2">
      <c r="B265" s="4">
        <f t="shared" si="7"/>
        <v>257</v>
      </c>
      <c r="C265" s="30">
        <v>223001</v>
      </c>
      <c r="D265" s="30" t="s">
        <v>251</v>
      </c>
      <c r="E265" s="31">
        <v>87890</v>
      </c>
      <c r="F265" s="45"/>
      <c r="G265" s="31">
        <v>71174</v>
      </c>
      <c r="H265" s="31">
        <v>71174</v>
      </c>
      <c r="I265" s="32">
        <v>60871</v>
      </c>
      <c r="J265" s="32">
        <v>40809</v>
      </c>
    </row>
    <row r="266" spans="2:10" x14ac:dyDescent="0.2">
      <c r="B266" s="4">
        <f t="shared" si="7"/>
        <v>258</v>
      </c>
      <c r="C266" s="30">
        <v>223002</v>
      </c>
      <c r="D266" s="30" t="s">
        <v>74</v>
      </c>
      <c r="E266" s="31">
        <f>44000+2360</f>
        <v>46360</v>
      </c>
      <c r="F266" s="45"/>
      <c r="G266" s="31">
        <v>28080</v>
      </c>
      <c r="H266" s="31">
        <v>28080</v>
      </c>
      <c r="I266" s="32">
        <v>26969</v>
      </c>
      <c r="J266" s="32">
        <v>21280</v>
      </c>
    </row>
    <row r="267" spans="2:10" x14ac:dyDescent="0.2">
      <c r="B267" s="4">
        <f t="shared" si="7"/>
        <v>259</v>
      </c>
      <c r="C267" s="30">
        <v>223003</v>
      </c>
      <c r="D267" s="30" t="s">
        <v>75</v>
      </c>
      <c r="E267" s="31">
        <f>53800+2827</f>
        <v>56627</v>
      </c>
      <c r="F267" s="45"/>
      <c r="G267" s="31">
        <v>308466</v>
      </c>
      <c r="H267" s="31">
        <v>308466</v>
      </c>
      <c r="I267" s="32">
        <v>152242</v>
      </c>
      <c r="J267" s="32">
        <v>64643</v>
      </c>
    </row>
    <row r="268" spans="2:10" x14ac:dyDescent="0.2">
      <c r="B268" s="4">
        <f t="shared" si="7"/>
        <v>260</v>
      </c>
      <c r="C268" s="42">
        <v>290</v>
      </c>
      <c r="D268" s="42" t="s">
        <v>178</v>
      </c>
      <c r="E268" s="43">
        <f>E269</f>
        <v>0</v>
      </c>
      <c r="F268" s="506"/>
      <c r="G268" s="43">
        <f>G269</f>
        <v>0</v>
      </c>
      <c r="H268" s="43">
        <f>H269</f>
        <v>0</v>
      </c>
      <c r="I268" s="44">
        <f>I269</f>
        <v>0</v>
      </c>
      <c r="J268" s="44">
        <f>J269</f>
        <v>217</v>
      </c>
    </row>
    <row r="269" spans="2:10" ht="13.5" thickBot="1" x14ac:dyDescent="0.25">
      <c r="B269" s="4">
        <f t="shared" si="7"/>
        <v>261</v>
      </c>
      <c r="C269" s="46">
        <v>292012</v>
      </c>
      <c r="D269" s="46" t="s">
        <v>232</v>
      </c>
      <c r="E269" s="47"/>
      <c r="F269" s="507"/>
      <c r="G269" s="47"/>
      <c r="H269" s="47"/>
      <c r="I269" s="48"/>
      <c r="J269" s="48">
        <v>217</v>
      </c>
    </row>
    <row r="270" spans="2:10" ht="15" thickBot="1" x14ac:dyDescent="0.25">
      <c r="B270" s="4">
        <f>B269+1</f>
        <v>262</v>
      </c>
      <c r="C270" s="36">
        <v>12</v>
      </c>
      <c r="D270" s="36" t="s">
        <v>6</v>
      </c>
      <c r="E270" s="37">
        <f>E271+E273</f>
        <v>160603</v>
      </c>
      <c r="F270" s="504"/>
      <c r="G270" s="37">
        <f>G273+G271</f>
        <v>406000</v>
      </c>
      <c r="H270" s="37">
        <f>H273+H271+H277</f>
        <v>407095</v>
      </c>
      <c r="I270" s="38">
        <f>I273+I271+I277</f>
        <v>236837</v>
      </c>
      <c r="J270" s="38">
        <f>J273+J271</f>
        <v>165411</v>
      </c>
    </row>
    <row r="271" spans="2:10" x14ac:dyDescent="0.2">
      <c r="B271" s="4">
        <f t="shared" si="7"/>
        <v>263</v>
      </c>
      <c r="C271" s="39">
        <v>210</v>
      </c>
      <c r="D271" s="39" t="s">
        <v>248</v>
      </c>
      <c r="E271" s="40">
        <f>E272</f>
        <v>10000</v>
      </c>
      <c r="F271" s="505"/>
      <c r="G271" s="40">
        <f>G272</f>
        <v>3000</v>
      </c>
      <c r="H271" s="40">
        <f>H272</f>
        <v>3000</v>
      </c>
      <c r="I271" s="41">
        <f>I272</f>
        <v>8000</v>
      </c>
      <c r="J271" s="41">
        <f>J272</f>
        <v>2214</v>
      </c>
    </row>
    <row r="272" spans="2:10" x14ac:dyDescent="0.2">
      <c r="B272" s="4">
        <f t="shared" si="7"/>
        <v>264</v>
      </c>
      <c r="C272" s="30">
        <v>212003</v>
      </c>
      <c r="D272" s="30" t="s">
        <v>249</v>
      </c>
      <c r="E272" s="31">
        <v>10000</v>
      </c>
      <c r="F272" s="45"/>
      <c r="G272" s="31">
        <v>3000</v>
      </c>
      <c r="H272" s="31">
        <v>3000</v>
      </c>
      <c r="I272" s="32">
        <v>8000</v>
      </c>
      <c r="J272" s="32">
        <v>2214</v>
      </c>
    </row>
    <row r="273" spans="2:10" x14ac:dyDescent="0.2">
      <c r="B273" s="4">
        <f t="shared" si="7"/>
        <v>265</v>
      </c>
      <c r="C273" s="42">
        <v>220</v>
      </c>
      <c r="D273" s="42" t="s">
        <v>220</v>
      </c>
      <c r="E273" s="43">
        <f>SUM(E274:E276)</f>
        <v>150603</v>
      </c>
      <c r="F273" s="506"/>
      <c r="G273" s="43">
        <f>SUM(G274:G276)</f>
        <v>403000</v>
      </c>
      <c r="H273" s="43">
        <f>SUM(H274:H276)</f>
        <v>403000</v>
      </c>
      <c r="I273" s="44">
        <f>SUM(I274:I276)</f>
        <v>228298</v>
      </c>
      <c r="J273" s="44">
        <f>SUM(J274:J276)</f>
        <v>163197</v>
      </c>
    </row>
    <row r="274" spans="2:10" x14ac:dyDescent="0.2">
      <c r="B274" s="4">
        <f t="shared" si="7"/>
        <v>266</v>
      </c>
      <c r="C274" s="30">
        <v>223001</v>
      </c>
      <c r="D274" s="30" t="s">
        <v>251</v>
      </c>
      <c r="E274" s="31">
        <v>53000</v>
      </c>
      <c r="F274" s="45"/>
      <c r="G274" s="31">
        <v>53000</v>
      </c>
      <c r="H274" s="31">
        <v>53000</v>
      </c>
      <c r="I274" s="32">
        <v>49858</v>
      </c>
      <c r="J274" s="32">
        <v>33516</v>
      </c>
    </row>
    <row r="275" spans="2:10" x14ac:dyDescent="0.2">
      <c r="B275" s="4">
        <f t="shared" si="7"/>
        <v>267</v>
      </c>
      <c r="C275" s="30">
        <v>223002</v>
      </c>
      <c r="D275" s="30" t="s">
        <v>74</v>
      </c>
      <c r="E275" s="31">
        <f>46000+2464</f>
        <v>48464</v>
      </c>
      <c r="F275" s="45"/>
      <c r="G275" s="31">
        <v>35000</v>
      </c>
      <c r="H275" s="31">
        <v>35000</v>
      </c>
      <c r="I275" s="32">
        <v>36236</v>
      </c>
      <c r="J275" s="32">
        <v>28505</v>
      </c>
    </row>
    <row r="276" spans="2:10" x14ac:dyDescent="0.2">
      <c r="B276" s="4">
        <f t="shared" si="7"/>
        <v>268</v>
      </c>
      <c r="C276" s="46">
        <v>223003</v>
      </c>
      <c r="D276" s="46" t="s">
        <v>75</v>
      </c>
      <c r="E276" s="47">
        <f>46000+3139</f>
        <v>49139</v>
      </c>
      <c r="F276" s="507"/>
      <c r="G276" s="47">
        <v>315000</v>
      </c>
      <c r="H276" s="47">
        <v>315000</v>
      </c>
      <c r="I276" s="48">
        <v>142204</v>
      </c>
      <c r="J276" s="48">
        <v>101176</v>
      </c>
    </row>
    <row r="277" spans="2:10" x14ac:dyDescent="0.2">
      <c r="B277" s="4">
        <f t="shared" si="7"/>
        <v>269</v>
      </c>
      <c r="C277" s="42">
        <v>290</v>
      </c>
      <c r="D277" s="42" t="s">
        <v>178</v>
      </c>
      <c r="E277" s="43">
        <f>E279</f>
        <v>0</v>
      </c>
      <c r="F277" s="506"/>
      <c r="G277" s="43">
        <f>G279</f>
        <v>0</v>
      </c>
      <c r="H277" s="43">
        <f>H279+H278</f>
        <v>1095</v>
      </c>
      <c r="I277" s="44">
        <f>I279</f>
        <v>539</v>
      </c>
      <c r="J277" s="44">
        <f>J279</f>
        <v>0</v>
      </c>
    </row>
    <row r="278" spans="2:10" x14ac:dyDescent="0.2">
      <c r="B278" s="4"/>
      <c r="C278" s="59">
        <v>292012</v>
      </c>
      <c r="D278" s="575" t="s">
        <v>232</v>
      </c>
      <c r="E278" s="576"/>
      <c r="F278" s="576"/>
      <c r="G278" s="576"/>
      <c r="H278" s="576">
        <v>1095</v>
      </c>
      <c r="I278" s="576"/>
      <c r="J278" s="576"/>
    </row>
    <row r="279" spans="2:10" ht="13.5" thickBot="1" x14ac:dyDescent="0.25">
      <c r="B279" s="4">
        <f>B277+1</f>
        <v>270</v>
      </c>
      <c r="C279" s="59">
        <v>292017</v>
      </c>
      <c r="D279" s="577" t="s">
        <v>441</v>
      </c>
      <c r="E279" s="578"/>
      <c r="F279" s="579"/>
      <c r="G279" s="578"/>
      <c r="H279" s="578"/>
      <c r="I279" s="580">
        <v>539</v>
      </c>
      <c r="J279" s="580">
        <v>0</v>
      </c>
    </row>
    <row r="280" spans="2:10" ht="15" thickBot="1" x14ac:dyDescent="0.25">
      <c r="B280" s="4">
        <f t="shared" si="7"/>
        <v>271</v>
      </c>
      <c r="C280" s="36">
        <v>13</v>
      </c>
      <c r="D280" s="36" t="s">
        <v>14</v>
      </c>
      <c r="E280" s="37">
        <f>E281+E283+E287</f>
        <v>85788</v>
      </c>
      <c r="F280" s="504"/>
      <c r="G280" s="37">
        <f>G287+G283+G281</f>
        <v>162064</v>
      </c>
      <c r="H280" s="37">
        <f>H287+H283+H281</f>
        <v>162064</v>
      </c>
      <c r="I280" s="38">
        <f>I287+I283+I281</f>
        <v>111941</v>
      </c>
      <c r="J280" s="38">
        <f>J287+J283+J281</f>
        <v>78372</v>
      </c>
    </row>
    <row r="281" spans="2:10" x14ac:dyDescent="0.2">
      <c r="B281" s="4">
        <f t="shared" si="7"/>
        <v>272</v>
      </c>
      <c r="C281" s="39">
        <v>210</v>
      </c>
      <c r="D281" s="39" t="s">
        <v>248</v>
      </c>
      <c r="E281" s="40">
        <f>E282</f>
        <v>3000</v>
      </c>
      <c r="F281" s="505"/>
      <c r="G281" s="40">
        <f>G282</f>
        <v>3000</v>
      </c>
      <c r="H281" s="40">
        <f>H282</f>
        <v>3000</v>
      </c>
      <c r="I281" s="41">
        <f>I282</f>
        <v>4261</v>
      </c>
      <c r="J281" s="41">
        <f>J282</f>
        <v>22</v>
      </c>
    </row>
    <row r="282" spans="2:10" x14ac:dyDescent="0.2">
      <c r="B282" s="4">
        <f t="shared" si="7"/>
        <v>273</v>
      </c>
      <c r="C282" s="30">
        <v>212003</v>
      </c>
      <c r="D282" s="30" t="s">
        <v>249</v>
      </c>
      <c r="E282" s="31">
        <v>3000</v>
      </c>
      <c r="F282" s="45"/>
      <c r="G282" s="31">
        <v>3000</v>
      </c>
      <c r="H282" s="31">
        <v>3000</v>
      </c>
      <c r="I282" s="32">
        <v>4261</v>
      </c>
      <c r="J282" s="32">
        <v>22</v>
      </c>
    </row>
    <row r="283" spans="2:10" x14ac:dyDescent="0.2">
      <c r="B283" s="4">
        <f t="shared" si="7"/>
        <v>274</v>
      </c>
      <c r="C283" s="42">
        <v>220</v>
      </c>
      <c r="D283" s="42" t="s">
        <v>220</v>
      </c>
      <c r="E283" s="43">
        <f>SUM(E284:E286)</f>
        <v>82788</v>
      </c>
      <c r="F283" s="506"/>
      <c r="G283" s="43">
        <f>SUM(G284:G286)</f>
        <v>159064</v>
      </c>
      <c r="H283" s="43">
        <f>SUM(H284:H286)</f>
        <v>159064</v>
      </c>
      <c r="I283" s="44">
        <f>SUM(I284:I286)</f>
        <v>104532</v>
      </c>
      <c r="J283" s="44">
        <f>SUM(J284:J286)</f>
        <v>66419</v>
      </c>
    </row>
    <row r="284" spans="2:10" x14ac:dyDescent="0.2">
      <c r="B284" s="4">
        <f t="shared" si="7"/>
        <v>275</v>
      </c>
      <c r="C284" s="30">
        <v>223001</v>
      </c>
      <c r="D284" s="30" t="s">
        <v>251</v>
      </c>
      <c r="E284" s="31">
        <v>30000</v>
      </c>
      <c r="F284" s="45"/>
      <c r="G284" s="31">
        <v>35000</v>
      </c>
      <c r="H284" s="31">
        <v>35000</v>
      </c>
      <c r="I284" s="32">
        <v>24964</v>
      </c>
      <c r="J284" s="32">
        <v>17604</v>
      </c>
    </row>
    <row r="285" spans="2:10" x14ac:dyDescent="0.2">
      <c r="B285" s="4">
        <f t="shared" si="7"/>
        <v>276</v>
      </c>
      <c r="C285" s="30">
        <v>223002</v>
      </c>
      <c r="D285" s="30" t="s">
        <v>74</v>
      </c>
      <c r="E285" s="31">
        <f>12000+856</f>
        <v>12856</v>
      </c>
      <c r="F285" s="45"/>
      <c r="G285" s="31">
        <v>12000</v>
      </c>
      <c r="H285" s="31">
        <v>12000</v>
      </c>
      <c r="I285" s="32">
        <v>11037</v>
      </c>
      <c r="J285" s="32">
        <v>9034</v>
      </c>
    </row>
    <row r="286" spans="2:10" x14ac:dyDescent="0.2">
      <c r="B286" s="4">
        <f t="shared" si="7"/>
        <v>277</v>
      </c>
      <c r="C286" s="30">
        <v>223003</v>
      </c>
      <c r="D286" s="30" t="s">
        <v>75</v>
      </c>
      <c r="E286" s="31">
        <f>39120+812</f>
        <v>39932</v>
      </c>
      <c r="F286" s="45"/>
      <c r="G286" s="31">
        <v>112064</v>
      </c>
      <c r="H286" s="31">
        <v>112064</v>
      </c>
      <c r="I286" s="32">
        <v>68531</v>
      </c>
      <c r="J286" s="32">
        <v>39781</v>
      </c>
    </row>
    <row r="287" spans="2:10" x14ac:dyDescent="0.2">
      <c r="B287" s="4">
        <f t="shared" si="7"/>
        <v>278</v>
      </c>
      <c r="C287" s="42">
        <v>290</v>
      </c>
      <c r="D287" s="42" t="s">
        <v>178</v>
      </c>
      <c r="E287" s="43">
        <f>E288</f>
        <v>0</v>
      </c>
      <c r="F287" s="506"/>
      <c r="G287" s="43">
        <f>G288</f>
        <v>0</v>
      </c>
      <c r="H287" s="43">
        <f>H288</f>
        <v>0</v>
      </c>
      <c r="I287" s="44">
        <f>I288</f>
        <v>3148</v>
      </c>
      <c r="J287" s="44">
        <f>J288</f>
        <v>11931</v>
      </c>
    </row>
    <row r="288" spans="2:10" ht="13.5" thickBot="1" x14ac:dyDescent="0.25">
      <c r="B288" s="4">
        <f t="shared" si="7"/>
        <v>279</v>
      </c>
      <c r="C288" s="30">
        <v>292012</v>
      </c>
      <c r="D288" s="30" t="s">
        <v>232</v>
      </c>
      <c r="E288" s="31"/>
      <c r="F288" s="45"/>
      <c r="G288" s="31"/>
      <c r="H288" s="31"/>
      <c r="I288" s="32">
        <v>3148</v>
      </c>
      <c r="J288" s="32">
        <v>11931</v>
      </c>
    </row>
    <row r="289" spans="2:20" ht="15" thickBot="1" x14ac:dyDescent="0.25">
      <c r="B289" s="4">
        <f t="shared" ref="B289:B364" si="8">B288+1</f>
        <v>280</v>
      </c>
      <c r="C289" s="36">
        <v>14</v>
      </c>
      <c r="D289" s="36" t="s">
        <v>1</v>
      </c>
      <c r="E289" s="37">
        <f>E290+E292</f>
        <v>153860</v>
      </c>
      <c r="F289" s="504"/>
      <c r="G289" s="37">
        <f>G290+G292+G294</f>
        <v>114850</v>
      </c>
      <c r="H289" s="37">
        <f>H290+H292+H294</f>
        <v>114850</v>
      </c>
      <c r="I289" s="38">
        <f>I290+I292+I294</f>
        <v>110469</v>
      </c>
      <c r="J289" s="38">
        <f>J290+J292+J294</f>
        <v>111689</v>
      </c>
    </row>
    <row r="290" spans="2:20" x14ac:dyDescent="0.2">
      <c r="B290" s="4">
        <f t="shared" si="8"/>
        <v>281</v>
      </c>
      <c r="C290" s="39">
        <v>210</v>
      </c>
      <c r="D290" s="39" t="s">
        <v>248</v>
      </c>
      <c r="E290" s="40">
        <f>E291</f>
        <v>300</v>
      </c>
      <c r="F290" s="505"/>
      <c r="G290" s="40">
        <f>G291</f>
        <v>150</v>
      </c>
      <c r="H290" s="40">
        <f>H291</f>
        <v>150</v>
      </c>
      <c r="I290" s="41">
        <f>I291</f>
        <v>18</v>
      </c>
      <c r="J290" s="41">
        <f>J291</f>
        <v>17</v>
      </c>
    </row>
    <row r="291" spans="2:20" x14ac:dyDescent="0.2">
      <c r="B291" s="4">
        <f t="shared" si="8"/>
        <v>282</v>
      </c>
      <c r="C291" s="30">
        <v>212003</v>
      </c>
      <c r="D291" s="30" t="s">
        <v>249</v>
      </c>
      <c r="E291" s="31">
        <v>300</v>
      </c>
      <c r="F291" s="45"/>
      <c r="G291" s="31">
        <v>150</v>
      </c>
      <c r="H291" s="31">
        <v>150</v>
      </c>
      <c r="I291" s="32">
        <v>18</v>
      </c>
      <c r="J291" s="32">
        <v>17</v>
      </c>
    </row>
    <row r="292" spans="2:20" x14ac:dyDescent="0.2">
      <c r="B292" s="4">
        <f t="shared" si="8"/>
        <v>283</v>
      </c>
      <c r="C292" s="42">
        <v>220</v>
      </c>
      <c r="D292" s="42" t="s">
        <v>220</v>
      </c>
      <c r="E292" s="43">
        <f>E293</f>
        <v>153560</v>
      </c>
      <c r="F292" s="506"/>
      <c r="G292" s="43">
        <f>G293</f>
        <v>114700</v>
      </c>
      <c r="H292" s="43">
        <f>H293</f>
        <v>114700</v>
      </c>
      <c r="I292" s="44">
        <f>I293</f>
        <v>110349</v>
      </c>
      <c r="J292" s="44">
        <f>J293</f>
        <v>107693</v>
      </c>
    </row>
    <row r="293" spans="2:20" x14ac:dyDescent="0.2">
      <c r="B293" s="4">
        <f t="shared" si="8"/>
        <v>284</v>
      </c>
      <c r="C293" s="30">
        <v>223002</v>
      </c>
      <c r="D293" s="30" t="s">
        <v>74</v>
      </c>
      <c r="E293" s="31">
        <f>114300+39260</f>
        <v>153560</v>
      </c>
      <c r="F293" s="45"/>
      <c r="G293" s="31">
        <v>114700</v>
      </c>
      <c r="H293" s="31">
        <v>114700</v>
      </c>
      <c r="I293" s="32">
        <v>110349</v>
      </c>
      <c r="J293" s="32">
        <v>107693</v>
      </c>
    </row>
    <row r="294" spans="2:20" x14ac:dyDescent="0.2">
      <c r="B294" s="4">
        <f t="shared" si="8"/>
        <v>285</v>
      </c>
      <c r="C294" s="42">
        <v>290</v>
      </c>
      <c r="D294" s="42" t="s">
        <v>178</v>
      </c>
      <c r="E294" s="43">
        <f>E295+E296</f>
        <v>0</v>
      </c>
      <c r="F294" s="506"/>
      <c r="G294" s="43">
        <f>SUM(G295:G296)</f>
        <v>0</v>
      </c>
      <c r="H294" s="43">
        <f>SUM(H295:H296)</f>
        <v>0</v>
      </c>
      <c r="I294" s="44">
        <f>SUM(I295:I296)</f>
        <v>102</v>
      </c>
      <c r="J294" s="44">
        <f>SUM(J295:J296)</f>
        <v>3979</v>
      </c>
    </row>
    <row r="295" spans="2:20" x14ac:dyDescent="0.2">
      <c r="B295" s="4">
        <f t="shared" si="8"/>
        <v>286</v>
      </c>
      <c r="C295" s="30">
        <v>292012</v>
      </c>
      <c r="D295" s="30" t="s">
        <v>232</v>
      </c>
      <c r="E295" s="31"/>
      <c r="F295" s="45"/>
      <c r="G295" s="31"/>
      <c r="H295" s="31"/>
      <c r="I295" s="32">
        <v>10</v>
      </c>
      <c r="J295" s="32">
        <v>3979</v>
      </c>
    </row>
    <row r="296" spans="2:20" x14ac:dyDescent="0.2">
      <c r="B296" s="4">
        <f t="shared" si="8"/>
        <v>287</v>
      </c>
      <c r="C296" s="30">
        <v>292017</v>
      </c>
      <c r="D296" s="30" t="s">
        <v>233</v>
      </c>
      <c r="E296" s="31"/>
      <c r="F296" s="45"/>
      <c r="G296" s="31"/>
      <c r="H296" s="31"/>
      <c r="I296" s="32">
        <v>92</v>
      </c>
      <c r="J296" s="32"/>
    </row>
    <row r="297" spans="2:20" ht="16.5" thickBot="1" x14ac:dyDescent="0.3">
      <c r="B297" s="4">
        <f t="shared" si="8"/>
        <v>288</v>
      </c>
      <c r="C297" s="33">
        <v>300</v>
      </c>
      <c r="D297" s="33" t="s">
        <v>223</v>
      </c>
      <c r="E297" s="34">
        <f>E298+E361+E366+E369+E372+E377+E389+E392+E395+E399+E404+E407+E411+E414+E417</f>
        <v>18317360</v>
      </c>
      <c r="F297" s="503"/>
      <c r="G297" s="34">
        <f>G298+G361+G377+G389+G395+G399+G404+G411+G414</f>
        <v>16285257</v>
      </c>
      <c r="H297" s="34">
        <f>H298+H361+H377+H389+H395+H399+H404+H411+H414+H417+H366</f>
        <v>18138789</v>
      </c>
      <c r="I297" s="35">
        <f>I298+I361+I377+I389+I395+I399+I404+I411+I414+I417+I366+I372+I407</f>
        <v>15554764</v>
      </c>
      <c r="J297" s="35">
        <f>J298+J361+J377+J389+J395+J399+J404+J411+J414+J417+J366+J369+J372+J392+J407</f>
        <v>13675708</v>
      </c>
    </row>
    <row r="298" spans="2:20" ht="15" thickBot="1" x14ac:dyDescent="0.25">
      <c r="B298" s="4">
        <f t="shared" si="8"/>
        <v>289</v>
      </c>
      <c r="C298" s="36"/>
      <c r="D298" s="36" t="s">
        <v>42</v>
      </c>
      <c r="E298" s="37">
        <f>E359+E299</f>
        <v>17653360</v>
      </c>
      <c r="F298" s="504"/>
      <c r="G298" s="37">
        <f>G359+G299</f>
        <v>16016257</v>
      </c>
      <c r="H298" s="37">
        <f>H359+H299</f>
        <v>17863289</v>
      </c>
      <c r="I298" s="38">
        <f>I359+I299</f>
        <v>15137784</v>
      </c>
      <c r="J298" s="38">
        <f>J359+J299</f>
        <v>13031515</v>
      </c>
    </row>
    <row r="299" spans="2:20" x14ac:dyDescent="0.2">
      <c r="B299" s="4">
        <f t="shared" si="8"/>
        <v>290</v>
      </c>
      <c r="C299" s="39">
        <v>310</v>
      </c>
      <c r="D299" s="39" t="s">
        <v>224</v>
      </c>
      <c r="E299" s="40">
        <f>E300+E308+E339+E341+E344</f>
        <v>17653360</v>
      </c>
      <c r="F299" s="505"/>
      <c r="G299" s="40">
        <f>G300+G308+G339+G344</f>
        <v>16016257</v>
      </c>
      <c r="H299" s="40">
        <f>H300+H308+H339+H344</f>
        <v>17863289</v>
      </c>
      <c r="I299" s="41">
        <f>I300+I308+I339+I344</f>
        <v>15086410</v>
      </c>
      <c r="J299" s="41">
        <f>J300+J308+J339+J344+J341</f>
        <v>13031515</v>
      </c>
    </row>
    <row r="300" spans="2:20" x14ac:dyDescent="0.2">
      <c r="B300" s="4">
        <f t="shared" si="8"/>
        <v>291</v>
      </c>
      <c r="C300" s="62">
        <v>311</v>
      </c>
      <c r="D300" s="62" t="s">
        <v>222</v>
      </c>
      <c r="E300" s="63">
        <f>SUM(E301:E307)</f>
        <v>0</v>
      </c>
      <c r="F300" s="45"/>
      <c r="G300" s="63">
        <f>SUM(G301:G306)</f>
        <v>0</v>
      </c>
      <c r="H300" s="63">
        <f>SUM(H301:H306)</f>
        <v>24000</v>
      </c>
      <c r="I300" s="64">
        <f>SUM(I301:I306)</f>
        <v>10400</v>
      </c>
      <c r="J300" s="64">
        <f>SUM(J301:J307)</f>
        <v>7000</v>
      </c>
    </row>
    <row r="301" spans="2:20" x14ac:dyDescent="0.2">
      <c r="B301" s="4">
        <f t="shared" si="8"/>
        <v>292</v>
      </c>
      <c r="C301" s="30"/>
      <c r="D301" s="30" t="s">
        <v>464</v>
      </c>
      <c r="E301" s="31"/>
      <c r="F301" s="45"/>
      <c r="G301" s="31"/>
      <c r="H301" s="31"/>
      <c r="I301" s="32"/>
      <c r="J301" s="32">
        <v>2000</v>
      </c>
    </row>
    <row r="302" spans="2:20" x14ac:dyDescent="0.2">
      <c r="B302" s="4">
        <f t="shared" si="8"/>
        <v>293</v>
      </c>
      <c r="C302" s="30"/>
      <c r="D302" s="30" t="s">
        <v>973</v>
      </c>
      <c r="E302" s="31"/>
      <c r="F302" s="45"/>
      <c r="G302" s="31"/>
      <c r="H302" s="31">
        <v>20000</v>
      </c>
      <c r="I302" s="32"/>
      <c r="J302" s="32"/>
    </row>
    <row r="303" spans="2:20" s="13" customFormat="1" ht="24" x14ac:dyDescent="0.2">
      <c r="B303" s="8">
        <f t="shared" si="8"/>
        <v>294</v>
      </c>
      <c r="C303" s="49"/>
      <c r="D303" s="50" t="s">
        <v>1127</v>
      </c>
      <c r="E303" s="51"/>
      <c r="F303" s="70"/>
      <c r="G303" s="51"/>
      <c r="H303" s="51">
        <v>4000</v>
      </c>
      <c r="I303" s="52"/>
      <c r="J303" s="5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x14ac:dyDescent="0.2">
      <c r="B304" s="4">
        <f t="shared" si="8"/>
        <v>295</v>
      </c>
      <c r="C304" s="30"/>
      <c r="D304" s="30" t="s">
        <v>846</v>
      </c>
      <c r="E304" s="31"/>
      <c r="F304" s="45"/>
      <c r="G304" s="31"/>
      <c r="H304" s="31"/>
      <c r="I304" s="32">
        <v>3000</v>
      </c>
      <c r="J304" s="32"/>
    </row>
    <row r="305" spans="2:20" x14ac:dyDescent="0.2">
      <c r="B305" s="4">
        <f t="shared" si="8"/>
        <v>296</v>
      </c>
      <c r="C305" s="30"/>
      <c r="D305" s="30" t="s">
        <v>721</v>
      </c>
      <c r="E305" s="31"/>
      <c r="F305" s="45"/>
      <c r="G305" s="31"/>
      <c r="H305" s="31"/>
      <c r="I305" s="32">
        <v>3000</v>
      </c>
      <c r="J305" s="32"/>
    </row>
    <row r="306" spans="2:20" x14ac:dyDescent="0.2">
      <c r="B306" s="4">
        <f t="shared" si="8"/>
        <v>297</v>
      </c>
      <c r="C306" s="30"/>
      <c r="D306" s="30" t="s">
        <v>465</v>
      </c>
      <c r="E306" s="31"/>
      <c r="F306" s="45"/>
      <c r="G306" s="31"/>
      <c r="H306" s="31"/>
      <c r="I306" s="32">
        <v>4400</v>
      </c>
      <c r="J306" s="32">
        <v>4400</v>
      </c>
    </row>
    <row r="307" spans="2:20" x14ac:dyDescent="0.2">
      <c r="B307" s="4">
        <f t="shared" si="8"/>
        <v>298</v>
      </c>
      <c r="C307" s="30"/>
      <c r="D307" s="30" t="s">
        <v>647</v>
      </c>
      <c r="E307" s="31"/>
      <c r="F307" s="45"/>
      <c r="G307" s="31"/>
      <c r="H307" s="31"/>
      <c r="I307" s="32"/>
      <c r="J307" s="32">
        <v>600</v>
      </c>
    </row>
    <row r="308" spans="2:20" s="13" customFormat="1" ht="24" x14ac:dyDescent="0.2">
      <c r="B308" s="4">
        <f t="shared" si="8"/>
        <v>299</v>
      </c>
      <c r="C308" s="65">
        <v>312001</v>
      </c>
      <c r="D308" s="66" t="s">
        <v>235</v>
      </c>
      <c r="E308" s="67">
        <f>SUM(E309:E338)</f>
        <v>3769595</v>
      </c>
      <c r="F308" s="70"/>
      <c r="G308" s="67">
        <f>SUM(G309:G338)</f>
        <v>2579997</v>
      </c>
      <c r="H308" s="67">
        <f>SUM(H309:H338)</f>
        <v>4243653</v>
      </c>
      <c r="I308" s="68">
        <f>SUM(I309:I338)</f>
        <v>2910462</v>
      </c>
      <c r="J308" s="68">
        <f>SUM(J309:J338)</f>
        <v>2323949</v>
      </c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x14ac:dyDescent="0.2">
      <c r="B309" s="4">
        <f t="shared" si="8"/>
        <v>300</v>
      </c>
      <c r="C309" s="69"/>
      <c r="D309" s="50" t="s">
        <v>461</v>
      </c>
      <c r="E309" s="70">
        <v>1552320</v>
      </c>
      <c r="F309" s="70"/>
      <c r="G309" s="51">
        <v>1297116</v>
      </c>
      <c r="H309" s="51">
        <v>1297116</v>
      </c>
      <c r="I309" s="52">
        <v>1261995</v>
      </c>
      <c r="J309" s="52">
        <v>1121205</v>
      </c>
    </row>
    <row r="310" spans="2:20" x14ac:dyDescent="0.2">
      <c r="B310" s="4">
        <f t="shared" si="8"/>
        <v>301</v>
      </c>
      <c r="C310" s="69"/>
      <c r="D310" s="50" t="s">
        <v>951</v>
      </c>
      <c r="E310" s="51"/>
      <c r="F310" s="70"/>
      <c r="G310" s="51"/>
      <c r="H310" s="51"/>
      <c r="I310" s="52">
        <v>120715</v>
      </c>
      <c r="J310" s="52"/>
    </row>
    <row r="311" spans="2:20" x14ac:dyDescent="0.2">
      <c r="B311" s="4">
        <f t="shared" si="8"/>
        <v>302</v>
      </c>
      <c r="C311" s="69"/>
      <c r="D311" s="50" t="s">
        <v>276</v>
      </c>
      <c r="E311" s="51">
        <v>16000</v>
      </c>
      <c r="F311" s="70"/>
      <c r="G311" s="51">
        <v>16000</v>
      </c>
      <c r="H311" s="51">
        <v>16000</v>
      </c>
      <c r="I311" s="52">
        <v>11473</v>
      </c>
      <c r="J311" s="52">
        <v>11062</v>
      </c>
    </row>
    <row r="312" spans="2:20" x14ac:dyDescent="0.2">
      <c r="B312" s="4">
        <f t="shared" si="8"/>
        <v>303</v>
      </c>
      <c r="C312" s="69"/>
      <c r="D312" s="50" t="s">
        <v>331</v>
      </c>
      <c r="E312" s="51"/>
      <c r="F312" s="70"/>
      <c r="G312" s="51"/>
      <c r="H312" s="51"/>
      <c r="I312" s="52"/>
      <c r="J312" s="52">
        <v>282</v>
      </c>
    </row>
    <row r="313" spans="2:20" x14ac:dyDescent="0.2">
      <c r="B313" s="4">
        <f t="shared" si="8"/>
        <v>304</v>
      </c>
      <c r="C313" s="69"/>
      <c r="D313" s="50" t="s">
        <v>1126</v>
      </c>
      <c r="E313" s="51">
        <f>1253705+120000</f>
        <v>1373705</v>
      </c>
      <c r="F313" s="511"/>
      <c r="G313" s="51"/>
      <c r="H313" s="51"/>
      <c r="I313" s="52">
        <v>103448</v>
      </c>
      <c r="J313" s="52">
        <v>695460</v>
      </c>
    </row>
    <row r="314" spans="2:20" x14ac:dyDescent="0.2">
      <c r="B314" s="4">
        <f t="shared" si="8"/>
        <v>305</v>
      </c>
      <c r="C314" s="69"/>
      <c r="D314" s="50" t="s">
        <v>182</v>
      </c>
      <c r="E314" s="51">
        <v>16000</v>
      </c>
      <c r="F314" s="70"/>
      <c r="G314" s="51">
        <v>16000</v>
      </c>
      <c r="H314" s="51">
        <v>16000</v>
      </c>
      <c r="I314" s="52">
        <v>8050</v>
      </c>
      <c r="J314" s="52">
        <v>5655</v>
      </c>
    </row>
    <row r="315" spans="2:20" x14ac:dyDescent="0.2">
      <c r="B315" s="4">
        <f t="shared" si="8"/>
        <v>306</v>
      </c>
      <c r="C315" s="69"/>
      <c r="D315" s="50" t="s">
        <v>830</v>
      </c>
      <c r="E315" s="51"/>
      <c r="F315" s="70"/>
      <c r="G315" s="51">
        <v>1800</v>
      </c>
      <c r="H315" s="51">
        <v>1800</v>
      </c>
      <c r="I315" s="52"/>
      <c r="J315" s="52"/>
    </row>
    <row r="316" spans="2:20" ht="24" x14ac:dyDescent="0.2">
      <c r="B316" s="4">
        <f t="shared" si="8"/>
        <v>307</v>
      </c>
      <c r="C316" s="69"/>
      <c r="D316" s="50" t="s">
        <v>722</v>
      </c>
      <c r="E316" s="51"/>
      <c r="F316" s="70"/>
      <c r="G316" s="51"/>
      <c r="H316" s="51"/>
      <c r="I316" s="52">
        <v>52000</v>
      </c>
      <c r="J316" s="52"/>
    </row>
    <row r="317" spans="2:20" x14ac:dyDescent="0.2">
      <c r="B317" s="4">
        <f t="shared" si="8"/>
        <v>308</v>
      </c>
      <c r="C317" s="69"/>
      <c r="D317" s="50" t="s">
        <v>723</v>
      </c>
      <c r="E317" s="51"/>
      <c r="F317" s="70"/>
      <c r="G317" s="51"/>
      <c r="H317" s="51">
        <v>1499386</v>
      </c>
      <c r="I317" s="52">
        <v>693810</v>
      </c>
      <c r="J317" s="52"/>
    </row>
    <row r="318" spans="2:20" x14ac:dyDescent="0.2">
      <c r="B318" s="4">
        <f t="shared" si="8"/>
        <v>309</v>
      </c>
      <c r="C318" s="69"/>
      <c r="D318" s="50" t="s">
        <v>1042</v>
      </c>
      <c r="E318" s="51"/>
      <c r="F318" s="70"/>
      <c r="G318" s="51"/>
      <c r="H318" s="51"/>
      <c r="I318" s="52"/>
      <c r="J318" s="52"/>
    </row>
    <row r="319" spans="2:20" ht="24" x14ac:dyDescent="0.2">
      <c r="B319" s="4">
        <f t="shared" si="8"/>
        <v>310</v>
      </c>
      <c r="C319" s="69"/>
      <c r="D319" s="50" t="s">
        <v>724</v>
      </c>
      <c r="E319" s="51"/>
      <c r="F319" s="70"/>
      <c r="G319" s="51"/>
      <c r="H319" s="51"/>
      <c r="I319" s="52">
        <v>31777</v>
      </c>
      <c r="J319" s="52"/>
    </row>
    <row r="320" spans="2:20" x14ac:dyDescent="0.2">
      <c r="B320" s="4">
        <f t="shared" si="8"/>
        <v>311</v>
      </c>
      <c r="C320" s="69"/>
      <c r="D320" s="50" t="s">
        <v>9</v>
      </c>
      <c r="E320" s="51"/>
      <c r="F320" s="70"/>
      <c r="G320" s="51"/>
      <c r="H320" s="51"/>
      <c r="I320" s="52"/>
      <c r="J320" s="52"/>
    </row>
    <row r="321" spans="2:10" x14ac:dyDescent="0.2">
      <c r="B321" s="4">
        <f t="shared" si="8"/>
        <v>312</v>
      </c>
      <c r="C321" s="69"/>
      <c r="D321" s="50" t="s">
        <v>312</v>
      </c>
      <c r="E321" s="51">
        <v>5000</v>
      </c>
      <c r="F321" s="70"/>
      <c r="G321" s="51">
        <v>45000</v>
      </c>
      <c r="H321" s="51">
        <v>45000</v>
      </c>
      <c r="I321" s="52">
        <v>35808</v>
      </c>
      <c r="J321" s="52">
        <v>50332</v>
      </c>
    </row>
    <row r="322" spans="2:10" ht="24" x14ac:dyDescent="0.2">
      <c r="B322" s="4">
        <f t="shared" si="8"/>
        <v>313</v>
      </c>
      <c r="C322" s="69"/>
      <c r="D322" s="50" t="s">
        <v>330</v>
      </c>
      <c r="E322" s="51"/>
      <c r="F322" s="70"/>
      <c r="G322" s="51"/>
      <c r="H322" s="51"/>
      <c r="I322" s="52"/>
      <c r="J322" s="52">
        <v>25342</v>
      </c>
    </row>
    <row r="323" spans="2:10" x14ac:dyDescent="0.2">
      <c r="B323" s="4">
        <f t="shared" si="8"/>
        <v>314</v>
      </c>
      <c r="C323" s="69"/>
      <c r="D323" s="50" t="s">
        <v>650</v>
      </c>
      <c r="E323" s="51"/>
      <c r="F323" s="70"/>
      <c r="G323" s="51"/>
      <c r="H323" s="51"/>
      <c r="I323" s="52"/>
      <c r="J323" s="52">
        <v>5587</v>
      </c>
    </row>
    <row r="324" spans="2:10" x14ac:dyDescent="0.2">
      <c r="B324" s="4">
        <f t="shared" si="8"/>
        <v>315</v>
      </c>
      <c r="C324" s="69"/>
      <c r="D324" s="50" t="s">
        <v>466</v>
      </c>
      <c r="E324" s="51"/>
      <c r="F324" s="70"/>
      <c r="G324" s="51"/>
      <c r="H324" s="51"/>
      <c r="I324" s="52">
        <v>141257</v>
      </c>
      <c r="J324" s="52">
        <v>109105</v>
      </c>
    </row>
    <row r="325" spans="2:10" x14ac:dyDescent="0.2">
      <c r="B325" s="4">
        <f t="shared" si="8"/>
        <v>316</v>
      </c>
      <c r="C325" s="69"/>
      <c r="D325" s="50" t="s">
        <v>648</v>
      </c>
      <c r="E325" s="51"/>
      <c r="F325" s="70"/>
      <c r="G325" s="51"/>
      <c r="H325" s="51"/>
      <c r="I325" s="52"/>
      <c r="J325" s="52">
        <v>52700</v>
      </c>
    </row>
    <row r="326" spans="2:10" x14ac:dyDescent="0.2">
      <c r="B326" s="4">
        <f t="shared" si="8"/>
        <v>317</v>
      </c>
      <c r="C326" s="69"/>
      <c r="D326" s="50" t="s">
        <v>329</v>
      </c>
      <c r="E326" s="51"/>
      <c r="F326" s="70"/>
      <c r="G326" s="51">
        <v>779000</v>
      </c>
      <c r="H326" s="51">
        <v>779000</v>
      </c>
      <c r="I326" s="52"/>
      <c r="J326" s="52"/>
    </row>
    <row r="327" spans="2:10" x14ac:dyDescent="0.2">
      <c r="B327" s="4">
        <f t="shared" si="8"/>
        <v>318</v>
      </c>
      <c r="C327" s="69"/>
      <c r="D327" s="50" t="s">
        <v>952</v>
      </c>
      <c r="E327" s="51">
        <v>612770</v>
      </c>
      <c r="F327" s="70"/>
      <c r="G327" s="51"/>
      <c r="H327" s="51">
        <v>166115</v>
      </c>
      <c r="I327" s="52">
        <v>356233</v>
      </c>
      <c r="J327" s="52">
        <v>186597</v>
      </c>
    </row>
    <row r="328" spans="2:10" x14ac:dyDescent="0.2">
      <c r="B328" s="4">
        <f t="shared" si="8"/>
        <v>319</v>
      </c>
      <c r="C328" s="69"/>
      <c r="D328" s="50" t="s">
        <v>953</v>
      </c>
      <c r="E328" s="51"/>
      <c r="F328" s="70"/>
      <c r="G328" s="51"/>
      <c r="H328" s="51"/>
      <c r="I328" s="52">
        <v>21137</v>
      </c>
      <c r="J328" s="52"/>
    </row>
    <row r="329" spans="2:10" x14ac:dyDescent="0.2">
      <c r="B329" s="4">
        <f t="shared" si="8"/>
        <v>320</v>
      </c>
      <c r="C329" s="69"/>
      <c r="D329" s="50" t="s">
        <v>954</v>
      </c>
      <c r="E329" s="51"/>
      <c r="F329" s="70"/>
      <c r="G329" s="51"/>
      <c r="H329" s="51"/>
      <c r="I329" s="52">
        <v>72759</v>
      </c>
      <c r="J329" s="52"/>
    </row>
    <row r="330" spans="2:10" x14ac:dyDescent="0.2">
      <c r="B330" s="4">
        <f t="shared" si="8"/>
        <v>321</v>
      </c>
      <c r="C330" s="69"/>
      <c r="D330" s="50" t="s">
        <v>633</v>
      </c>
      <c r="E330" s="51"/>
      <c r="F330" s="70"/>
      <c r="G330" s="51"/>
      <c r="H330" s="51"/>
      <c r="I330" s="52"/>
      <c r="J330" s="52">
        <f>2400+5047+23890</f>
        <v>31337</v>
      </c>
    </row>
    <row r="331" spans="2:10" ht="24" x14ac:dyDescent="0.2">
      <c r="B331" s="4">
        <f t="shared" si="8"/>
        <v>322</v>
      </c>
      <c r="C331" s="69"/>
      <c r="D331" s="50" t="s">
        <v>649</v>
      </c>
      <c r="E331" s="51"/>
      <c r="F331" s="70"/>
      <c r="G331" s="51"/>
      <c r="H331" s="51"/>
      <c r="I331" s="52"/>
      <c r="J331" s="52">
        <v>6200</v>
      </c>
    </row>
    <row r="332" spans="2:10" ht="24" x14ac:dyDescent="0.2">
      <c r="B332" s="4">
        <f t="shared" si="8"/>
        <v>323</v>
      </c>
      <c r="C332" s="69"/>
      <c r="D332" s="50" t="s">
        <v>974</v>
      </c>
      <c r="E332" s="51"/>
      <c r="F332" s="70"/>
      <c r="G332" s="51"/>
      <c r="H332" s="51">
        <v>255731</v>
      </c>
      <c r="I332" s="52"/>
      <c r="J332" s="52"/>
    </row>
    <row r="333" spans="2:10" x14ac:dyDescent="0.2">
      <c r="B333" s="4"/>
      <c r="C333" s="69"/>
      <c r="D333" s="50" t="s">
        <v>814</v>
      </c>
      <c r="E333" s="51"/>
      <c r="F333" s="70"/>
      <c r="G333" s="51"/>
      <c r="H333" s="51">
        <v>61797</v>
      </c>
      <c r="I333" s="52"/>
      <c r="J333" s="52"/>
    </row>
    <row r="334" spans="2:10" x14ac:dyDescent="0.2">
      <c r="B334" s="4">
        <f>B332+1</f>
        <v>324</v>
      </c>
      <c r="C334" s="69"/>
      <c r="D334" s="50" t="s">
        <v>1044</v>
      </c>
      <c r="E334" s="51">
        <v>193800</v>
      </c>
      <c r="F334" s="70"/>
      <c r="G334" s="51"/>
      <c r="H334" s="51"/>
      <c r="I334" s="52"/>
      <c r="J334" s="52"/>
    </row>
    <row r="335" spans="2:10" x14ac:dyDescent="0.2">
      <c r="B335" s="4">
        <f t="shared" si="8"/>
        <v>325</v>
      </c>
      <c r="C335" s="69"/>
      <c r="D335" s="50" t="s">
        <v>847</v>
      </c>
      <c r="E335" s="51"/>
      <c r="F335" s="70"/>
      <c r="G335" s="51">
        <v>266749</v>
      </c>
      <c r="H335" s="51"/>
      <c r="I335" s="52"/>
      <c r="J335" s="52"/>
    </row>
    <row r="336" spans="2:10" x14ac:dyDescent="0.2">
      <c r="B336" s="4">
        <f t="shared" si="8"/>
        <v>326</v>
      </c>
      <c r="C336" s="69"/>
      <c r="D336" s="50" t="s">
        <v>848</v>
      </c>
      <c r="E336" s="51"/>
      <c r="F336" s="70"/>
      <c r="G336" s="51">
        <v>52624</v>
      </c>
      <c r="H336" s="51">
        <v>0</v>
      </c>
      <c r="I336" s="52"/>
      <c r="J336" s="52"/>
    </row>
    <row r="337" spans="2:11" ht="24" x14ac:dyDescent="0.2">
      <c r="B337" s="4">
        <f t="shared" si="8"/>
        <v>327</v>
      </c>
      <c r="C337" s="69"/>
      <c r="D337" s="50" t="s">
        <v>328</v>
      </c>
      <c r="E337" s="51"/>
      <c r="F337" s="70"/>
      <c r="G337" s="51"/>
      <c r="H337" s="51"/>
      <c r="I337" s="52"/>
      <c r="J337" s="52">
        <v>23085</v>
      </c>
    </row>
    <row r="338" spans="2:11" ht="24" x14ac:dyDescent="0.2">
      <c r="B338" s="4">
        <f t="shared" si="8"/>
        <v>328</v>
      </c>
      <c r="C338" s="69"/>
      <c r="D338" s="50" t="s">
        <v>817</v>
      </c>
      <c r="E338" s="51"/>
      <c r="F338" s="70"/>
      <c r="G338" s="51">
        <v>105708</v>
      </c>
      <c r="H338" s="51">
        <v>105708</v>
      </c>
      <c r="I338" s="52"/>
      <c r="J338" s="52"/>
    </row>
    <row r="339" spans="2:11" x14ac:dyDescent="0.2">
      <c r="B339" s="4">
        <f t="shared" si="8"/>
        <v>329</v>
      </c>
      <c r="C339" s="62">
        <v>312002</v>
      </c>
      <c r="D339" s="62" t="s">
        <v>322</v>
      </c>
      <c r="E339" s="63">
        <f>E340</f>
        <v>0</v>
      </c>
      <c r="F339" s="45"/>
      <c r="G339" s="63">
        <f>G340</f>
        <v>100000</v>
      </c>
      <c r="H339" s="63">
        <f>H340</f>
        <v>0</v>
      </c>
      <c r="I339" s="64">
        <f>I340</f>
        <v>311043</v>
      </c>
      <c r="J339" s="64">
        <f>J340</f>
        <v>80444</v>
      </c>
    </row>
    <row r="340" spans="2:11" x14ac:dyDescent="0.2">
      <c r="B340" s="4">
        <f t="shared" si="8"/>
        <v>330</v>
      </c>
      <c r="C340" s="69"/>
      <c r="D340" s="30" t="s">
        <v>332</v>
      </c>
      <c r="E340" s="31">
        <v>0</v>
      </c>
      <c r="F340" s="45"/>
      <c r="G340" s="31">
        <v>100000</v>
      </c>
      <c r="H340" s="31">
        <v>0</v>
      </c>
      <c r="I340" s="32">
        <v>311043</v>
      </c>
      <c r="J340" s="32">
        <v>80444</v>
      </c>
      <c r="K340" s="71"/>
    </row>
    <row r="341" spans="2:11" x14ac:dyDescent="0.2">
      <c r="B341" s="4">
        <f t="shared" si="8"/>
        <v>331</v>
      </c>
      <c r="C341" s="62">
        <v>312008</v>
      </c>
      <c r="D341" s="62" t="s">
        <v>479</v>
      </c>
      <c r="E341" s="63">
        <f>E342+E343</f>
        <v>0</v>
      </c>
      <c r="F341" s="45"/>
      <c r="G341" s="63">
        <f>G342</f>
        <v>0</v>
      </c>
      <c r="H341" s="63">
        <f>H342</f>
        <v>0</v>
      </c>
      <c r="I341" s="64">
        <f>I342</f>
        <v>0</v>
      </c>
      <c r="J341" s="64">
        <f>J343</f>
        <v>15000</v>
      </c>
    </row>
    <row r="342" spans="2:11" x14ac:dyDescent="0.2">
      <c r="B342" s="4">
        <f t="shared" si="8"/>
        <v>332</v>
      </c>
      <c r="C342" s="69"/>
      <c r="D342" s="30" t="s">
        <v>478</v>
      </c>
      <c r="E342" s="31">
        <v>0</v>
      </c>
      <c r="F342" s="45"/>
      <c r="G342" s="31">
        <v>0</v>
      </c>
      <c r="H342" s="31"/>
      <c r="I342" s="32">
        <v>0</v>
      </c>
      <c r="J342" s="32">
        <v>0</v>
      </c>
    </row>
    <row r="343" spans="2:11" x14ac:dyDescent="0.2">
      <c r="B343" s="4">
        <f t="shared" si="8"/>
        <v>333</v>
      </c>
      <c r="C343" s="69"/>
      <c r="D343" s="30" t="s">
        <v>651</v>
      </c>
      <c r="E343" s="31">
        <v>0</v>
      </c>
      <c r="F343" s="45"/>
      <c r="G343" s="31">
        <v>0</v>
      </c>
      <c r="H343" s="31"/>
      <c r="I343" s="32">
        <v>0</v>
      </c>
      <c r="J343" s="32">
        <v>15000</v>
      </c>
    </row>
    <row r="344" spans="2:11" ht="24" x14ac:dyDescent="0.2">
      <c r="B344" s="4">
        <f t="shared" si="8"/>
        <v>334</v>
      </c>
      <c r="C344" s="65">
        <v>312012</v>
      </c>
      <c r="D344" s="66" t="s">
        <v>236</v>
      </c>
      <c r="E344" s="67">
        <f>SUM(E345:E358)</f>
        <v>13883765</v>
      </c>
      <c r="F344" s="70"/>
      <c r="G344" s="67">
        <f>SUM(G345:G358)</f>
        <v>13336260</v>
      </c>
      <c r="H344" s="67">
        <f>SUM(H345:H358)</f>
        <v>13595636</v>
      </c>
      <c r="I344" s="68">
        <f>SUM(I345:I358)</f>
        <v>11854505</v>
      </c>
      <c r="J344" s="68">
        <f>SUM(J345:J358)</f>
        <v>10605122</v>
      </c>
    </row>
    <row r="345" spans="2:11" x14ac:dyDescent="0.2">
      <c r="B345" s="4">
        <f t="shared" si="8"/>
        <v>335</v>
      </c>
      <c r="C345" s="69"/>
      <c r="D345" s="30" t="s">
        <v>336</v>
      </c>
      <c r="E345" s="31">
        <v>13097210</v>
      </c>
      <c r="F345" s="45"/>
      <c r="G345" s="31">
        <v>12696506</v>
      </c>
      <c r="H345" s="31">
        <v>12863408</v>
      </c>
      <c r="I345" s="32">
        <v>10815811</v>
      </c>
      <c r="J345" s="32">
        <v>10090394</v>
      </c>
    </row>
    <row r="346" spans="2:11" x14ac:dyDescent="0.2">
      <c r="B346" s="4">
        <f t="shared" si="8"/>
        <v>336</v>
      </c>
      <c r="C346" s="69"/>
      <c r="D346" s="30" t="s">
        <v>955</v>
      </c>
      <c r="E346" s="31"/>
      <c r="F346" s="45"/>
      <c r="G346" s="31"/>
      <c r="H346" s="31"/>
      <c r="I346" s="32">
        <v>344031</v>
      </c>
      <c r="J346" s="32"/>
    </row>
    <row r="347" spans="2:11" x14ac:dyDescent="0.2">
      <c r="B347" s="4">
        <f t="shared" si="8"/>
        <v>337</v>
      </c>
      <c r="C347" s="69"/>
      <c r="D347" s="30" t="s">
        <v>335</v>
      </c>
      <c r="E347" s="31">
        <v>442855</v>
      </c>
      <c r="F347" s="45"/>
      <c r="G347" s="31">
        <v>311204</v>
      </c>
      <c r="H347" s="31">
        <v>307032</v>
      </c>
      <c r="I347" s="32">
        <v>260536</v>
      </c>
      <c r="J347" s="32">
        <v>139845</v>
      </c>
    </row>
    <row r="348" spans="2:11" x14ac:dyDescent="0.2">
      <c r="B348" s="4">
        <f t="shared" si="8"/>
        <v>338</v>
      </c>
      <c r="C348" s="69"/>
      <c r="D348" s="30" t="s">
        <v>334</v>
      </c>
      <c r="E348" s="31">
        <v>173000</v>
      </c>
      <c r="F348" s="45"/>
      <c r="G348" s="31">
        <v>156000</v>
      </c>
      <c r="H348" s="31">
        <v>173182</v>
      </c>
      <c r="I348" s="32">
        <v>156385</v>
      </c>
      <c r="J348" s="32">
        <v>152908</v>
      </c>
    </row>
    <row r="349" spans="2:11" x14ac:dyDescent="0.2">
      <c r="B349" s="4">
        <f t="shared" si="8"/>
        <v>339</v>
      </c>
      <c r="C349" s="69"/>
      <c r="D349" s="30" t="s">
        <v>275</v>
      </c>
      <c r="E349" s="31">
        <v>83000</v>
      </c>
      <c r="F349" s="45"/>
      <c r="G349" s="31">
        <v>83000</v>
      </c>
      <c r="H349" s="31">
        <v>83000</v>
      </c>
      <c r="I349" s="32">
        <v>74169</v>
      </c>
      <c r="J349" s="32">
        <v>74158</v>
      </c>
    </row>
    <row r="350" spans="2:11" x14ac:dyDescent="0.2">
      <c r="B350" s="4">
        <f t="shared" si="8"/>
        <v>340</v>
      </c>
      <c r="C350" s="69"/>
      <c r="D350" s="30" t="s">
        <v>133</v>
      </c>
      <c r="E350" s="31">
        <v>40000</v>
      </c>
      <c r="F350" s="45"/>
      <c r="G350" s="31">
        <v>41850</v>
      </c>
      <c r="H350" s="31">
        <v>40922</v>
      </c>
      <c r="I350" s="32">
        <v>38097</v>
      </c>
      <c r="J350" s="32">
        <v>37094</v>
      </c>
    </row>
    <row r="351" spans="2:11" x14ac:dyDescent="0.2">
      <c r="B351" s="4">
        <f t="shared" si="8"/>
        <v>341</v>
      </c>
      <c r="C351" s="69"/>
      <c r="D351" s="30" t="s">
        <v>333</v>
      </c>
      <c r="E351" s="31">
        <v>18300</v>
      </c>
      <c r="F351" s="45"/>
      <c r="G351" s="31">
        <v>18300</v>
      </c>
      <c r="H351" s="31">
        <v>18300</v>
      </c>
      <c r="I351" s="32">
        <v>18796</v>
      </c>
      <c r="J351" s="32">
        <v>19152</v>
      </c>
    </row>
    <row r="352" spans="2:11" x14ac:dyDescent="0.2">
      <c r="B352" s="4">
        <f t="shared" si="8"/>
        <v>342</v>
      </c>
      <c r="C352" s="69"/>
      <c r="D352" s="30" t="s">
        <v>462</v>
      </c>
      <c r="E352" s="31">
        <v>24400</v>
      </c>
      <c r="F352" s="45"/>
      <c r="G352" s="31">
        <v>24400</v>
      </c>
      <c r="H352" s="31">
        <v>24400</v>
      </c>
      <c r="I352" s="32">
        <v>24575</v>
      </c>
      <c r="J352" s="32">
        <v>24539</v>
      </c>
    </row>
    <row r="353" spans="2:20" x14ac:dyDescent="0.2">
      <c r="B353" s="4">
        <f t="shared" si="8"/>
        <v>343</v>
      </c>
      <c r="C353" s="69"/>
      <c r="D353" s="30" t="s">
        <v>64</v>
      </c>
      <c r="E353" s="31">
        <v>5000</v>
      </c>
      <c r="F353" s="45"/>
      <c r="G353" s="31">
        <v>5000</v>
      </c>
      <c r="H353" s="31">
        <v>5000</v>
      </c>
      <c r="I353" s="32">
        <v>5549</v>
      </c>
      <c r="J353" s="32">
        <v>5428</v>
      </c>
    </row>
    <row r="354" spans="2:20" x14ac:dyDescent="0.2">
      <c r="B354" s="4">
        <f t="shared" si="8"/>
        <v>344</v>
      </c>
      <c r="C354" s="69"/>
      <c r="D354" s="30" t="s">
        <v>956</v>
      </c>
      <c r="E354" s="31"/>
      <c r="F354" s="45"/>
      <c r="G354" s="31"/>
      <c r="H354" s="31"/>
      <c r="I354" s="32">
        <v>82153</v>
      </c>
      <c r="J354" s="32"/>
    </row>
    <row r="355" spans="2:20" x14ac:dyDescent="0.2">
      <c r="B355" s="4"/>
      <c r="C355" s="69"/>
      <c r="D355" s="30" t="s">
        <v>1099</v>
      </c>
      <c r="E355" s="31"/>
      <c r="F355" s="45"/>
      <c r="G355" s="31"/>
      <c r="H355" s="31">
        <v>60712</v>
      </c>
      <c r="I355" s="32"/>
      <c r="J355" s="32"/>
    </row>
    <row r="356" spans="2:20" x14ac:dyDescent="0.2">
      <c r="B356" s="4">
        <f>B354+1</f>
        <v>345</v>
      </c>
      <c r="C356" s="69"/>
      <c r="D356" s="30" t="s">
        <v>957</v>
      </c>
      <c r="E356" s="31"/>
      <c r="F356" s="45"/>
      <c r="G356" s="31"/>
      <c r="H356" s="31">
        <v>19680</v>
      </c>
      <c r="I356" s="32">
        <v>34403</v>
      </c>
      <c r="J356" s="32"/>
    </row>
    <row r="357" spans="2:20" x14ac:dyDescent="0.2">
      <c r="B357" s="4">
        <f t="shared" si="8"/>
        <v>346</v>
      </c>
      <c r="C357" s="69"/>
      <c r="D357" s="30" t="s">
        <v>16</v>
      </c>
      <c r="E357" s="31"/>
      <c r="F357" s="45"/>
      <c r="G357" s="31"/>
      <c r="H357" s="31"/>
      <c r="I357" s="32"/>
      <c r="J357" s="32"/>
    </row>
    <row r="358" spans="2:20" x14ac:dyDescent="0.2">
      <c r="B358" s="4">
        <f t="shared" si="8"/>
        <v>347</v>
      </c>
      <c r="C358" s="69"/>
      <c r="D358" s="30" t="s">
        <v>469</v>
      </c>
      <c r="E358" s="31"/>
      <c r="F358" s="45"/>
      <c r="G358" s="31"/>
      <c r="H358" s="31"/>
      <c r="I358" s="32"/>
      <c r="J358" s="32">
        <v>61604</v>
      </c>
    </row>
    <row r="359" spans="2:20" x14ac:dyDescent="0.2">
      <c r="B359" s="4">
        <f t="shared" si="8"/>
        <v>348</v>
      </c>
      <c r="C359" s="42">
        <v>330</v>
      </c>
      <c r="D359" s="42" t="s">
        <v>313</v>
      </c>
      <c r="E359" s="43">
        <f>SUM(E360:E360)</f>
        <v>0</v>
      </c>
      <c r="F359" s="506"/>
      <c r="G359" s="43">
        <f>G360</f>
        <v>0</v>
      </c>
      <c r="H359" s="43">
        <f>H360</f>
        <v>0</v>
      </c>
      <c r="I359" s="44">
        <f>SUM(I360:I360)</f>
        <v>51374</v>
      </c>
      <c r="J359" s="44">
        <f>J360</f>
        <v>0</v>
      </c>
    </row>
    <row r="360" spans="2:20" ht="13.5" thickBot="1" x14ac:dyDescent="0.25">
      <c r="B360" s="4">
        <f t="shared" si="8"/>
        <v>349</v>
      </c>
      <c r="C360" s="59"/>
      <c r="D360" s="59" t="s">
        <v>470</v>
      </c>
      <c r="E360" s="60"/>
      <c r="F360" s="510"/>
      <c r="G360" s="60"/>
      <c r="H360" s="60"/>
      <c r="I360" s="61">
        <v>51374</v>
      </c>
      <c r="J360" s="61"/>
    </row>
    <row r="361" spans="2:20" ht="15" thickBot="1" x14ac:dyDescent="0.25">
      <c r="B361" s="4">
        <f t="shared" si="8"/>
        <v>350</v>
      </c>
      <c r="C361" s="36">
        <v>1</v>
      </c>
      <c r="D361" s="36" t="s">
        <v>53</v>
      </c>
      <c r="E361" s="37">
        <f>E362+E364</f>
        <v>6000</v>
      </c>
      <c r="F361" s="504"/>
      <c r="G361" s="37">
        <f>G362+G364</f>
        <v>3000</v>
      </c>
      <c r="H361" s="37">
        <f>H362+H364</f>
        <v>8040</v>
      </c>
      <c r="I361" s="38">
        <f>I362+I364</f>
        <v>7550</v>
      </c>
      <c r="J361" s="38">
        <f>J362+J364</f>
        <v>3428</v>
      </c>
    </row>
    <row r="362" spans="2:20" x14ac:dyDescent="0.2">
      <c r="B362" s="4">
        <f t="shared" si="8"/>
        <v>351</v>
      </c>
      <c r="C362" s="62">
        <v>311</v>
      </c>
      <c r="D362" s="62" t="s">
        <v>222</v>
      </c>
      <c r="E362" s="63">
        <f>E363</f>
        <v>0</v>
      </c>
      <c r="F362" s="45"/>
      <c r="G362" s="63">
        <f>G363</f>
        <v>0</v>
      </c>
      <c r="H362" s="63">
        <f>H363</f>
        <v>550</v>
      </c>
      <c r="I362" s="64">
        <f>I363</f>
        <v>450</v>
      </c>
      <c r="J362" s="64">
        <f>J363</f>
        <v>0</v>
      </c>
    </row>
    <row r="363" spans="2:20" x14ac:dyDescent="0.2">
      <c r="B363" s="4">
        <f t="shared" si="8"/>
        <v>352</v>
      </c>
      <c r="C363" s="30"/>
      <c r="D363" s="30" t="s">
        <v>222</v>
      </c>
      <c r="E363" s="31">
        <v>0</v>
      </c>
      <c r="F363" s="45"/>
      <c r="G363" s="31">
        <v>0</v>
      </c>
      <c r="H363" s="31">
        <v>550</v>
      </c>
      <c r="I363" s="32">
        <v>450</v>
      </c>
      <c r="J363" s="32">
        <v>0</v>
      </c>
    </row>
    <row r="364" spans="2:20" s="13" customFormat="1" ht="24" x14ac:dyDescent="0.2">
      <c r="B364" s="4">
        <f t="shared" si="8"/>
        <v>353</v>
      </c>
      <c r="C364" s="65">
        <v>312001</v>
      </c>
      <c r="D364" s="66" t="s">
        <v>235</v>
      </c>
      <c r="E364" s="67">
        <f>E365</f>
        <v>6000</v>
      </c>
      <c r="F364" s="70"/>
      <c r="G364" s="67">
        <f>G365</f>
        <v>3000</v>
      </c>
      <c r="H364" s="67">
        <f>H365</f>
        <v>7490</v>
      </c>
      <c r="I364" s="68">
        <f>I365</f>
        <v>7100</v>
      </c>
      <c r="J364" s="68">
        <f>J365</f>
        <v>3428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s="13" customFormat="1" ht="13.5" thickBot="1" x14ac:dyDescent="0.25">
      <c r="B365" s="4">
        <f t="shared" ref="B365:B371" si="9">B364+1</f>
        <v>354</v>
      </c>
      <c r="C365" s="72"/>
      <c r="D365" s="73" t="s">
        <v>467</v>
      </c>
      <c r="E365" s="74">
        <v>6000</v>
      </c>
      <c r="F365" s="512"/>
      <c r="G365" s="74">
        <v>3000</v>
      </c>
      <c r="H365" s="74">
        <v>7490</v>
      </c>
      <c r="I365" s="74">
        <v>7100</v>
      </c>
      <c r="J365" s="74">
        <v>3428</v>
      </c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s="13" customFormat="1" ht="15" thickBot="1" x14ac:dyDescent="0.25">
      <c r="B366" s="4">
        <f t="shared" si="9"/>
        <v>355</v>
      </c>
      <c r="C366" s="36">
        <v>2</v>
      </c>
      <c r="D366" s="36" t="s">
        <v>13</v>
      </c>
      <c r="E366" s="37">
        <f>E367</f>
        <v>0</v>
      </c>
      <c r="F366" s="504"/>
      <c r="G366" s="37"/>
      <c r="H366" s="37">
        <f>H367</f>
        <v>0</v>
      </c>
      <c r="I366" s="38">
        <f>I367</f>
        <v>765</v>
      </c>
      <c r="J366" s="38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s="13" customFormat="1" ht="24" x14ac:dyDescent="0.2">
      <c r="B367" s="4">
        <f t="shared" si="9"/>
        <v>356</v>
      </c>
      <c r="C367" s="65">
        <v>312001</v>
      </c>
      <c r="D367" s="66" t="s">
        <v>235</v>
      </c>
      <c r="E367" s="67">
        <f>E368</f>
        <v>0</v>
      </c>
      <c r="F367" s="70"/>
      <c r="G367" s="67">
        <f>G368</f>
        <v>0</v>
      </c>
      <c r="H367" s="67">
        <f>H368</f>
        <v>0</v>
      </c>
      <c r="I367" s="68">
        <f>I368</f>
        <v>765</v>
      </c>
      <c r="J367" s="68">
        <f>J368</f>
        <v>0</v>
      </c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s="13" customFormat="1" ht="13.5" thickBot="1" x14ac:dyDescent="0.25">
      <c r="B368" s="4">
        <f t="shared" si="9"/>
        <v>357</v>
      </c>
      <c r="C368" s="72"/>
      <c r="D368" s="73" t="s">
        <v>471</v>
      </c>
      <c r="E368" s="74">
        <v>0</v>
      </c>
      <c r="F368" s="512"/>
      <c r="G368" s="74"/>
      <c r="H368" s="74"/>
      <c r="I368" s="74">
        <v>765</v>
      </c>
      <c r="J368" s="74">
        <v>0</v>
      </c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s="13" customFormat="1" ht="15" thickBot="1" x14ac:dyDescent="0.25">
      <c r="B369" s="4">
        <f t="shared" si="9"/>
        <v>358</v>
      </c>
      <c r="C369" s="36">
        <v>3</v>
      </c>
      <c r="D369" s="36" t="s">
        <v>10</v>
      </c>
      <c r="E369" s="37">
        <f>E370</f>
        <v>0</v>
      </c>
      <c r="F369" s="504"/>
      <c r="G369" s="37"/>
      <c r="H369" s="37"/>
      <c r="I369" s="38"/>
      <c r="J369" s="38">
        <f>J370</f>
        <v>1960</v>
      </c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s="13" customFormat="1" x14ac:dyDescent="0.2">
      <c r="B370" s="4">
        <f t="shared" si="9"/>
        <v>359</v>
      </c>
      <c r="C370" s="62">
        <v>311</v>
      </c>
      <c r="D370" s="62" t="s">
        <v>222</v>
      </c>
      <c r="E370" s="63">
        <f>E371</f>
        <v>0</v>
      </c>
      <c r="F370" s="45"/>
      <c r="G370" s="63">
        <f>G371</f>
        <v>0</v>
      </c>
      <c r="H370" s="63">
        <f>H371</f>
        <v>0</v>
      </c>
      <c r="I370" s="64">
        <f>I371</f>
        <v>0</v>
      </c>
      <c r="J370" s="64">
        <f>J371</f>
        <v>1960</v>
      </c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s="13" customFormat="1" ht="13.5" thickBot="1" x14ac:dyDescent="0.25">
      <c r="B371" s="4">
        <f t="shared" si="9"/>
        <v>360</v>
      </c>
      <c r="C371" s="30"/>
      <c r="D371" s="30" t="s">
        <v>652</v>
      </c>
      <c r="E371" s="31">
        <v>0</v>
      </c>
      <c r="F371" s="45"/>
      <c r="G371" s="31"/>
      <c r="H371" s="31"/>
      <c r="I371" s="32">
        <v>0</v>
      </c>
      <c r="J371" s="32">
        <v>1960</v>
      </c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s="13" customFormat="1" ht="15" thickBot="1" x14ac:dyDescent="0.25">
      <c r="B372" s="4">
        <f t="shared" ref="B372:B421" si="10">B371+1</f>
        <v>361</v>
      </c>
      <c r="C372" s="36">
        <v>4</v>
      </c>
      <c r="D372" s="36" t="s">
        <v>89</v>
      </c>
      <c r="E372" s="37">
        <f>E373</f>
        <v>106000</v>
      </c>
      <c r="F372" s="504"/>
      <c r="G372" s="37"/>
      <c r="H372" s="37"/>
      <c r="I372" s="38">
        <f>I373</f>
        <v>9998</v>
      </c>
      <c r="J372" s="38">
        <f>J373</f>
        <v>8000</v>
      </c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s="13" customFormat="1" x14ac:dyDescent="0.2">
      <c r="B373" s="4">
        <f t="shared" si="10"/>
        <v>362</v>
      </c>
      <c r="C373" s="62">
        <v>311</v>
      </c>
      <c r="D373" s="62" t="s">
        <v>222</v>
      </c>
      <c r="E373" s="63">
        <f>SUM(E374:E376)</f>
        <v>106000</v>
      </c>
      <c r="F373" s="45"/>
      <c r="G373" s="63">
        <f>SUM(G374:G376)</f>
        <v>0</v>
      </c>
      <c r="H373" s="63">
        <f>SUM(H374:H376)</f>
        <v>0</v>
      </c>
      <c r="I373" s="64">
        <f>I375</f>
        <v>9998</v>
      </c>
      <c r="J373" s="64">
        <f>SUM(J374:J376)</f>
        <v>8000</v>
      </c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s="13" customFormat="1" x14ac:dyDescent="0.2">
      <c r="B374" s="4">
        <f t="shared" si="10"/>
        <v>363</v>
      </c>
      <c r="C374" s="439"/>
      <c r="D374" s="30" t="s">
        <v>1043</v>
      </c>
      <c r="E374" s="31">
        <v>106000</v>
      </c>
      <c r="F374" s="45"/>
      <c r="G374" s="31"/>
      <c r="H374" s="31"/>
      <c r="I374" s="32"/>
      <c r="J374" s="3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s="13" customFormat="1" x14ac:dyDescent="0.2">
      <c r="B375" s="4">
        <f t="shared" si="10"/>
        <v>364</v>
      </c>
      <c r="C375" s="75"/>
      <c r="D375" s="30" t="s">
        <v>958</v>
      </c>
      <c r="E375" s="31"/>
      <c r="F375" s="45"/>
      <c r="G375" s="31"/>
      <c r="H375" s="31"/>
      <c r="I375" s="32">
        <v>9998</v>
      </c>
      <c r="J375" s="3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s="13" customFormat="1" ht="13.5" thickBot="1" x14ac:dyDescent="0.25">
      <c r="B376" s="4">
        <f t="shared" si="10"/>
        <v>365</v>
      </c>
      <c r="C376" s="59"/>
      <c r="D376" s="59" t="s">
        <v>657</v>
      </c>
      <c r="E376" s="60"/>
      <c r="F376" s="510"/>
      <c r="G376" s="60"/>
      <c r="H376" s="60"/>
      <c r="I376" s="61"/>
      <c r="J376" s="61">
        <v>8000</v>
      </c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ht="15" thickBot="1" x14ac:dyDescent="0.25">
      <c r="B377" s="4">
        <f t="shared" si="10"/>
        <v>366</v>
      </c>
      <c r="C377" s="36">
        <v>5</v>
      </c>
      <c r="D377" s="36" t="s">
        <v>114</v>
      </c>
      <c r="E377" s="37">
        <f>E378+E381</f>
        <v>552000</v>
      </c>
      <c r="F377" s="504"/>
      <c r="G377" s="37">
        <f>G378+G381</f>
        <v>266000</v>
      </c>
      <c r="H377" s="37">
        <f>H378+H381</f>
        <v>267460</v>
      </c>
      <c r="I377" s="38">
        <f>I378+I381</f>
        <v>330534</v>
      </c>
      <c r="J377" s="38">
        <f>J378+J381</f>
        <v>334254</v>
      </c>
    </row>
    <row r="378" spans="2:20" x14ac:dyDescent="0.2">
      <c r="B378" s="4">
        <f t="shared" si="10"/>
        <v>367</v>
      </c>
      <c r="C378" s="62">
        <v>311</v>
      </c>
      <c r="D378" s="62" t="s">
        <v>222</v>
      </c>
      <c r="E378" s="63">
        <f>SUM(E379:E380)</f>
        <v>0</v>
      </c>
      <c r="F378" s="45"/>
      <c r="G378" s="63">
        <f>SUM(G379:G380)</f>
        <v>10000</v>
      </c>
      <c r="H378" s="63">
        <f>SUM(H379:H380)</f>
        <v>11460</v>
      </c>
      <c r="I378" s="64">
        <f>SUM(I379:I380)</f>
        <v>14484</v>
      </c>
      <c r="J378" s="64">
        <f>SUM(J379:J380)</f>
        <v>7219</v>
      </c>
    </row>
    <row r="379" spans="2:20" x14ac:dyDescent="0.2">
      <c r="B379" s="4">
        <f t="shared" si="10"/>
        <v>368</v>
      </c>
      <c r="C379" s="30"/>
      <c r="D379" s="30" t="s">
        <v>474</v>
      </c>
      <c r="E379" s="31"/>
      <c r="F379" s="45"/>
      <c r="G379" s="31">
        <v>10000</v>
      </c>
      <c r="H379" s="31">
        <v>11460</v>
      </c>
      <c r="I379" s="32">
        <v>14484</v>
      </c>
      <c r="J379" s="32">
        <f>4819+2400</f>
        <v>7219</v>
      </c>
    </row>
    <row r="380" spans="2:20" x14ac:dyDescent="0.2">
      <c r="B380" s="4">
        <f t="shared" si="10"/>
        <v>369</v>
      </c>
      <c r="C380" s="30"/>
      <c r="D380" s="30" t="s">
        <v>472</v>
      </c>
      <c r="E380" s="31"/>
      <c r="F380" s="45"/>
      <c r="G380" s="31"/>
      <c r="H380" s="31"/>
      <c r="I380" s="32"/>
      <c r="J380" s="32"/>
    </row>
    <row r="381" spans="2:20" s="13" customFormat="1" ht="24" x14ac:dyDescent="0.2">
      <c r="B381" s="4">
        <f t="shared" si="10"/>
        <v>370</v>
      </c>
      <c r="C381" s="65">
        <v>312001</v>
      </c>
      <c r="D381" s="66" t="s">
        <v>235</v>
      </c>
      <c r="E381" s="67">
        <f>SUM(E382:E388)</f>
        <v>552000</v>
      </c>
      <c r="F381" s="70"/>
      <c r="G381" s="67">
        <f>SUM(G382:G388)</f>
        <v>256000</v>
      </c>
      <c r="H381" s="67">
        <f>SUM(H382:H388)</f>
        <v>256000</v>
      </c>
      <c r="I381" s="68">
        <f>SUM(I382:I388)</f>
        <v>316050</v>
      </c>
      <c r="J381" s="68">
        <f>SUM(J382:J387)</f>
        <v>327035</v>
      </c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x14ac:dyDescent="0.2">
      <c r="B382" s="4">
        <f t="shared" si="10"/>
        <v>371</v>
      </c>
      <c r="C382" s="30"/>
      <c r="D382" s="30" t="s">
        <v>337</v>
      </c>
      <c r="E382" s="31"/>
      <c r="F382" s="45"/>
      <c r="G382" s="31"/>
      <c r="H382" s="31"/>
      <c r="I382" s="32"/>
      <c r="J382" s="32">
        <v>37927</v>
      </c>
    </row>
    <row r="383" spans="2:20" x14ac:dyDescent="0.2">
      <c r="B383" s="4">
        <f t="shared" si="10"/>
        <v>372</v>
      </c>
      <c r="C383" s="30"/>
      <c r="D383" s="30" t="s">
        <v>343</v>
      </c>
      <c r="E383" s="45">
        <v>500000</v>
      </c>
      <c r="F383" s="45"/>
      <c r="G383" s="31">
        <v>220000</v>
      </c>
      <c r="H383" s="31">
        <v>220000</v>
      </c>
      <c r="I383" s="32">
        <v>236153</v>
      </c>
      <c r="J383" s="32">
        <v>74412</v>
      </c>
    </row>
    <row r="384" spans="2:20" x14ac:dyDescent="0.2">
      <c r="B384" s="4">
        <f t="shared" si="10"/>
        <v>373</v>
      </c>
      <c r="C384" s="75"/>
      <c r="D384" s="30" t="s">
        <v>653</v>
      </c>
      <c r="E384" s="31"/>
      <c r="F384" s="45"/>
      <c r="G384" s="31"/>
      <c r="H384" s="31"/>
      <c r="I384" s="32"/>
      <c r="J384" s="32">
        <v>107982</v>
      </c>
    </row>
    <row r="385" spans="2:20" x14ac:dyDescent="0.2">
      <c r="B385" s="4">
        <f t="shared" si="10"/>
        <v>374</v>
      </c>
      <c r="C385" s="75"/>
      <c r="D385" s="30" t="s">
        <v>654</v>
      </c>
      <c r="E385" s="31"/>
      <c r="F385" s="45"/>
      <c r="G385" s="31"/>
      <c r="H385" s="31"/>
      <c r="I385" s="32">
        <v>20655</v>
      </c>
      <c r="J385" s="32">
        <v>17010</v>
      </c>
    </row>
    <row r="386" spans="2:20" x14ac:dyDescent="0.2">
      <c r="B386" s="4">
        <f t="shared" si="10"/>
        <v>375</v>
      </c>
      <c r="C386" s="75"/>
      <c r="D386" s="30" t="s">
        <v>655</v>
      </c>
      <c r="E386" s="31"/>
      <c r="F386" s="45"/>
      <c r="G386" s="31"/>
      <c r="H386" s="31"/>
      <c r="I386" s="32"/>
      <c r="J386" s="32">
        <v>82337</v>
      </c>
    </row>
    <row r="387" spans="2:20" ht="22.5" customHeight="1" x14ac:dyDescent="0.2">
      <c r="B387" s="4">
        <f t="shared" si="10"/>
        <v>376</v>
      </c>
      <c r="C387" s="75"/>
      <c r="D387" s="76" t="s">
        <v>656</v>
      </c>
      <c r="E387" s="31"/>
      <c r="F387" s="45"/>
      <c r="G387" s="31"/>
      <c r="H387" s="31"/>
      <c r="I387" s="32">
        <v>4348</v>
      </c>
      <c r="J387" s="32">
        <v>7367</v>
      </c>
    </row>
    <row r="388" spans="2:20" s="13" customFormat="1" ht="24.75" thickBot="1" x14ac:dyDescent="0.25">
      <c r="B388" s="4">
        <f t="shared" si="10"/>
        <v>377</v>
      </c>
      <c r="C388" s="77"/>
      <c r="D388" s="78" t="s">
        <v>473</v>
      </c>
      <c r="E388" s="449">
        <v>52000</v>
      </c>
      <c r="F388" s="449"/>
      <c r="G388" s="79">
        <v>36000</v>
      </c>
      <c r="H388" s="79">
        <v>36000</v>
      </c>
      <c r="I388" s="80">
        <v>54894</v>
      </c>
      <c r="J388" s="80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ht="15" thickBot="1" x14ac:dyDescent="0.25">
      <c r="B389" s="4">
        <f t="shared" si="10"/>
        <v>378</v>
      </c>
      <c r="C389" s="36">
        <v>6</v>
      </c>
      <c r="D389" s="36" t="s">
        <v>339</v>
      </c>
      <c r="E389" s="37">
        <f>E390</f>
        <v>0</v>
      </c>
      <c r="F389" s="504"/>
      <c r="G389" s="37">
        <f t="shared" ref="G389:J390" si="11">G390</f>
        <v>0</v>
      </c>
      <c r="H389" s="37">
        <f t="shared" si="11"/>
        <v>0</v>
      </c>
      <c r="I389" s="38">
        <f t="shared" si="11"/>
        <v>0</v>
      </c>
      <c r="J389" s="38">
        <f t="shared" si="11"/>
        <v>4899</v>
      </c>
    </row>
    <row r="390" spans="2:20" x14ac:dyDescent="0.2">
      <c r="B390" s="4">
        <f t="shared" si="10"/>
        <v>379</v>
      </c>
      <c r="C390" s="62">
        <v>341</v>
      </c>
      <c r="D390" s="62" t="s">
        <v>327</v>
      </c>
      <c r="E390" s="63">
        <f>E391</f>
        <v>0</v>
      </c>
      <c r="F390" s="45"/>
      <c r="G390" s="63">
        <f t="shared" si="11"/>
        <v>0</v>
      </c>
      <c r="H390" s="63">
        <f t="shared" si="11"/>
        <v>0</v>
      </c>
      <c r="I390" s="64">
        <f t="shared" si="11"/>
        <v>0</v>
      </c>
      <c r="J390" s="64">
        <f t="shared" si="11"/>
        <v>4899</v>
      </c>
    </row>
    <row r="391" spans="2:20" ht="13.5" thickBot="1" x14ac:dyDescent="0.25">
      <c r="B391" s="4">
        <f t="shared" si="10"/>
        <v>380</v>
      </c>
      <c r="C391" s="46"/>
      <c r="D391" s="46" t="s">
        <v>480</v>
      </c>
      <c r="E391" s="47">
        <v>0</v>
      </c>
      <c r="F391" s="507"/>
      <c r="G391" s="47">
        <v>0</v>
      </c>
      <c r="H391" s="47"/>
      <c r="I391" s="48">
        <v>0</v>
      </c>
      <c r="J391" s="48">
        <v>4899</v>
      </c>
    </row>
    <row r="392" spans="2:20" ht="15" thickBot="1" x14ac:dyDescent="0.25">
      <c r="B392" s="4">
        <f t="shared" si="10"/>
        <v>381</v>
      </c>
      <c r="C392" s="36">
        <v>7</v>
      </c>
      <c r="D392" s="36" t="s">
        <v>341</v>
      </c>
      <c r="E392" s="37">
        <f>E393</f>
        <v>0</v>
      </c>
      <c r="F392" s="504"/>
      <c r="G392" s="37">
        <f>G393</f>
        <v>0</v>
      </c>
      <c r="H392" s="37">
        <f>H393</f>
        <v>0</v>
      </c>
      <c r="I392" s="38">
        <f>I393</f>
        <v>0</v>
      </c>
      <c r="J392" s="38">
        <f>J393</f>
        <v>28946</v>
      </c>
    </row>
    <row r="393" spans="2:20" x14ac:dyDescent="0.2">
      <c r="B393" s="4">
        <f t="shared" si="10"/>
        <v>382</v>
      </c>
      <c r="C393" s="81">
        <v>312</v>
      </c>
      <c r="D393" s="82" t="s">
        <v>658</v>
      </c>
      <c r="E393" s="83">
        <f>E394</f>
        <v>0</v>
      </c>
      <c r="F393" s="513"/>
      <c r="G393" s="83">
        <f>G394</f>
        <v>0</v>
      </c>
      <c r="H393" s="83">
        <f>H394</f>
        <v>0</v>
      </c>
      <c r="I393" s="84">
        <f>I394</f>
        <v>0</v>
      </c>
      <c r="J393" s="84">
        <f>SUM(J394:J394)</f>
        <v>28946</v>
      </c>
    </row>
    <row r="394" spans="2:20" ht="13.5" thickBot="1" x14ac:dyDescent="0.25">
      <c r="B394" s="4">
        <f t="shared" si="10"/>
        <v>383</v>
      </c>
      <c r="C394" s="59"/>
      <c r="D394" s="59" t="s">
        <v>659</v>
      </c>
      <c r="E394" s="60"/>
      <c r="F394" s="510"/>
      <c r="G394" s="60"/>
      <c r="H394" s="60"/>
      <c r="I394" s="61"/>
      <c r="J394" s="61">
        <v>28946</v>
      </c>
    </row>
    <row r="395" spans="2:20" ht="15" thickBot="1" x14ac:dyDescent="0.25">
      <c r="B395" s="4">
        <f t="shared" si="10"/>
        <v>384</v>
      </c>
      <c r="C395" s="56">
        <v>8</v>
      </c>
      <c r="D395" s="56" t="s">
        <v>7</v>
      </c>
      <c r="E395" s="57">
        <f>E396</f>
        <v>0</v>
      </c>
      <c r="F395" s="509"/>
      <c r="G395" s="57">
        <f>G396</f>
        <v>0</v>
      </c>
      <c r="H395" s="57">
        <f>H396</f>
        <v>0</v>
      </c>
      <c r="I395" s="58">
        <f>I396</f>
        <v>46657</v>
      </c>
      <c r="J395" s="58">
        <f>J396</f>
        <v>51185</v>
      </c>
    </row>
    <row r="396" spans="2:20" s="13" customFormat="1" ht="24" x14ac:dyDescent="0.2">
      <c r="B396" s="4">
        <f t="shared" si="10"/>
        <v>385</v>
      </c>
      <c r="C396" s="81">
        <v>312001</v>
      </c>
      <c r="D396" s="82" t="s">
        <v>235</v>
      </c>
      <c r="E396" s="83">
        <f>E397+E398</f>
        <v>0</v>
      </c>
      <c r="F396" s="513"/>
      <c r="G396" s="83">
        <f>G397</f>
        <v>0</v>
      </c>
      <c r="H396" s="83">
        <f>H397</f>
        <v>0</v>
      </c>
      <c r="I396" s="84">
        <f>SUM(I397:I398)</f>
        <v>46657</v>
      </c>
      <c r="J396" s="84">
        <f>SUM(J397:J398)</f>
        <v>51185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s="13" customFormat="1" x14ac:dyDescent="0.2">
      <c r="B397" s="4">
        <f t="shared" si="10"/>
        <v>386</v>
      </c>
      <c r="C397" s="85"/>
      <c r="D397" s="85" t="s">
        <v>432</v>
      </c>
      <c r="E397" s="86"/>
      <c r="F397" s="514"/>
      <c r="G397" s="86"/>
      <c r="H397" s="86"/>
      <c r="I397" s="74">
        <v>46207</v>
      </c>
      <c r="J397" s="74">
        <v>50735</v>
      </c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s="13" customFormat="1" ht="13.5" thickBot="1" x14ac:dyDescent="0.25">
      <c r="B398" s="4">
        <f t="shared" si="10"/>
        <v>387</v>
      </c>
      <c r="C398" s="87"/>
      <c r="D398" s="88" t="s">
        <v>660</v>
      </c>
      <c r="E398" s="89"/>
      <c r="F398" s="515"/>
      <c r="G398" s="89"/>
      <c r="H398" s="89"/>
      <c r="I398" s="90">
        <v>450</v>
      </c>
      <c r="J398" s="90">
        <v>450</v>
      </c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s="13" customFormat="1" ht="15" thickBot="1" x14ac:dyDescent="0.25">
      <c r="B399" s="4">
        <f t="shared" si="10"/>
        <v>388</v>
      </c>
      <c r="C399" s="91">
        <v>9</v>
      </c>
      <c r="D399" s="91" t="s">
        <v>5</v>
      </c>
      <c r="E399" s="92">
        <f>E402+E400</f>
        <v>0</v>
      </c>
      <c r="F399" s="516"/>
      <c r="G399" s="92">
        <f>G402</f>
        <v>0</v>
      </c>
      <c r="H399" s="92">
        <f>H402</f>
        <v>0</v>
      </c>
      <c r="I399" s="93">
        <f>I402</f>
        <v>0</v>
      </c>
      <c r="J399" s="93">
        <f>J402+J400</f>
        <v>7729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s="13" customFormat="1" x14ac:dyDescent="0.2">
      <c r="B400" s="4">
        <f t="shared" si="10"/>
        <v>389</v>
      </c>
      <c r="C400" s="62">
        <v>311</v>
      </c>
      <c r="D400" s="62" t="s">
        <v>222</v>
      </c>
      <c r="E400" s="63">
        <f>E401</f>
        <v>0</v>
      </c>
      <c r="F400" s="45"/>
      <c r="G400" s="63">
        <f>G401</f>
        <v>0</v>
      </c>
      <c r="H400" s="63">
        <f>SUM(H401:H401)</f>
        <v>0</v>
      </c>
      <c r="I400" s="64">
        <f>SUM(I401:I401)</f>
        <v>0</v>
      </c>
      <c r="J400" s="64">
        <f>SUM(J401:J401)</f>
        <v>613</v>
      </c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s="13" customFormat="1" x14ac:dyDescent="0.2">
      <c r="B401" s="4">
        <f t="shared" si="10"/>
        <v>390</v>
      </c>
      <c r="C401" s="30"/>
      <c r="D401" s="30" t="s">
        <v>477</v>
      </c>
      <c r="E401" s="31"/>
      <c r="F401" s="45"/>
      <c r="G401" s="31"/>
      <c r="H401" s="31"/>
      <c r="I401" s="32"/>
      <c r="J401" s="32">
        <v>613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s="13" customFormat="1" ht="24" x14ac:dyDescent="0.2">
      <c r="B402" s="4">
        <f t="shared" si="10"/>
        <v>391</v>
      </c>
      <c r="C402" s="81">
        <v>312001</v>
      </c>
      <c r="D402" s="82" t="s">
        <v>235</v>
      </c>
      <c r="E402" s="83">
        <f>E403</f>
        <v>0</v>
      </c>
      <c r="F402" s="513"/>
      <c r="G402" s="83">
        <f>G403</f>
        <v>0</v>
      </c>
      <c r="H402" s="83">
        <f>H403</f>
        <v>0</v>
      </c>
      <c r="I402" s="84">
        <f>I403</f>
        <v>0</v>
      </c>
      <c r="J402" s="84">
        <f>J403</f>
        <v>7116</v>
      </c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s="13" customFormat="1" ht="13.5" thickBot="1" x14ac:dyDescent="0.25">
      <c r="B403" s="4">
        <f t="shared" si="10"/>
        <v>392</v>
      </c>
      <c r="C403" s="72"/>
      <c r="D403" s="85" t="s">
        <v>289</v>
      </c>
      <c r="E403" s="86"/>
      <c r="F403" s="514"/>
      <c r="G403" s="86"/>
      <c r="H403" s="86"/>
      <c r="I403" s="86"/>
      <c r="J403" s="86">
        <v>7116</v>
      </c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s="13" customFormat="1" ht="15" thickBot="1" x14ac:dyDescent="0.25">
      <c r="B404" s="4">
        <f t="shared" si="10"/>
        <v>393</v>
      </c>
      <c r="C404" s="91">
        <v>10</v>
      </c>
      <c r="D404" s="91" t="s">
        <v>0</v>
      </c>
      <c r="E404" s="92">
        <f>E405</f>
        <v>0</v>
      </c>
      <c r="F404" s="516"/>
      <c r="G404" s="92">
        <f t="shared" ref="G404:J405" si="12">G405</f>
        <v>0</v>
      </c>
      <c r="H404" s="92">
        <f t="shared" si="12"/>
        <v>0</v>
      </c>
      <c r="I404" s="93">
        <f t="shared" si="12"/>
        <v>2730</v>
      </c>
      <c r="J404" s="93">
        <f t="shared" si="12"/>
        <v>515</v>
      </c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s="13" customFormat="1" x14ac:dyDescent="0.2">
      <c r="B405" s="4">
        <f t="shared" si="10"/>
        <v>394</v>
      </c>
      <c r="C405" s="81">
        <v>311</v>
      </c>
      <c r="D405" s="81" t="s">
        <v>222</v>
      </c>
      <c r="E405" s="83">
        <f>E406</f>
        <v>0</v>
      </c>
      <c r="F405" s="513"/>
      <c r="G405" s="83">
        <f t="shared" si="12"/>
        <v>0</v>
      </c>
      <c r="H405" s="83">
        <f t="shared" si="12"/>
        <v>0</v>
      </c>
      <c r="I405" s="84">
        <f t="shared" si="12"/>
        <v>2730</v>
      </c>
      <c r="J405" s="84">
        <f t="shared" si="12"/>
        <v>515</v>
      </c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s="13" customFormat="1" ht="13.5" thickBot="1" x14ac:dyDescent="0.25">
      <c r="B406" s="4">
        <f t="shared" si="10"/>
        <v>395</v>
      </c>
      <c r="C406" s="49"/>
      <c r="D406" s="49" t="s">
        <v>477</v>
      </c>
      <c r="E406" s="51"/>
      <c r="F406" s="70"/>
      <c r="G406" s="51"/>
      <c r="H406" s="51"/>
      <c r="I406" s="52">
        <v>2730</v>
      </c>
      <c r="J406" s="52">
        <v>515</v>
      </c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s="13" customFormat="1" ht="15" thickBot="1" x14ac:dyDescent="0.25">
      <c r="B407" s="4">
        <f t="shared" si="10"/>
        <v>396</v>
      </c>
      <c r="C407" s="36">
        <v>11</v>
      </c>
      <c r="D407" s="36" t="s">
        <v>8</v>
      </c>
      <c r="E407" s="37">
        <f>E408</f>
        <v>0</v>
      </c>
      <c r="F407" s="504"/>
      <c r="G407" s="37">
        <f>G408</f>
        <v>0</v>
      </c>
      <c r="H407" s="37">
        <f>H408</f>
        <v>0</v>
      </c>
      <c r="I407" s="38">
        <f>I408</f>
        <v>3443</v>
      </c>
      <c r="J407" s="38">
        <f>J408</f>
        <v>25215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s="13" customFormat="1" ht="24" x14ac:dyDescent="0.2">
      <c r="B408" s="4">
        <f t="shared" si="10"/>
        <v>397</v>
      </c>
      <c r="C408" s="81">
        <v>312001</v>
      </c>
      <c r="D408" s="82" t="s">
        <v>235</v>
      </c>
      <c r="E408" s="83">
        <f>E409+E410</f>
        <v>0</v>
      </c>
      <c r="F408" s="513"/>
      <c r="G408" s="83">
        <f>G409</f>
        <v>0</v>
      </c>
      <c r="H408" s="83">
        <f>H409</f>
        <v>0</v>
      </c>
      <c r="I408" s="84">
        <f>I410</f>
        <v>3443</v>
      </c>
      <c r="J408" s="84">
        <f>J409</f>
        <v>25215</v>
      </c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s="13" customFormat="1" x14ac:dyDescent="0.2">
      <c r="B409" s="4">
        <f t="shared" si="10"/>
        <v>398</v>
      </c>
      <c r="C409" s="416"/>
      <c r="D409" s="49" t="s">
        <v>289</v>
      </c>
      <c r="E409" s="51"/>
      <c r="F409" s="70"/>
      <c r="G409" s="51"/>
      <c r="H409" s="51"/>
      <c r="I409" s="51"/>
      <c r="J409" s="51">
        <v>25215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s="13" customFormat="1" ht="13.5" thickBot="1" x14ac:dyDescent="0.25">
      <c r="B410" s="4">
        <f t="shared" si="10"/>
        <v>399</v>
      </c>
      <c r="C410" s="412"/>
      <c r="D410" s="77" t="s">
        <v>959</v>
      </c>
      <c r="E410" s="79"/>
      <c r="F410" s="449"/>
      <c r="G410" s="79"/>
      <c r="H410" s="79"/>
      <c r="I410" s="79">
        <v>3443</v>
      </c>
      <c r="J410" s="79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s="13" customFormat="1" ht="15" thickBot="1" x14ac:dyDescent="0.25">
      <c r="B411" s="4">
        <f t="shared" si="10"/>
        <v>400</v>
      </c>
      <c r="C411" s="91">
        <v>12</v>
      </c>
      <c r="D411" s="91" t="s">
        <v>6</v>
      </c>
      <c r="E411" s="92">
        <f>E412</f>
        <v>0</v>
      </c>
      <c r="F411" s="516"/>
      <c r="G411" s="92">
        <f t="shared" ref="G411:I412" si="13">G412</f>
        <v>0</v>
      </c>
      <c r="H411" s="92">
        <f t="shared" si="13"/>
        <v>0</v>
      </c>
      <c r="I411" s="93">
        <f t="shared" si="13"/>
        <v>500</v>
      </c>
      <c r="J411" s="93">
        <f>J412</f>
        <v>2096</v>
      </c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s="13" customFormat="1" x14ac:dyDescent="0.2">
      <c r="B412" s="4">
        <f t="shared" si="10"/>
        <v>401</v>
      </c>
      <c r="C412" s="81">
        <v>311</v>
      </c>
      <c r="D412" s="81" t="s">
        <v>222</v>
      </c>
      <c r="E412" s="83">
        <f>E413</f>
        <v>0</v>
      </c>
      <c r="F412" s="513"/>
      <c r="G412" s="83">
        <f t="shared" si="13"/>
        <v>0</v>
      </c>
      <c r="H412" s="83">
        <f t="shared" si="13"/>
        <v>0</v>
      </c>
      <c r="I412" s="84">
        <f t="shared" si="13"/>
        <v>500</v>
      </c>
      <c r="J412" s="84">
        <f>J413</f>
        <v>2096</v>
      </c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s="13" customFormat="1" ht="13.5" thickBot="1" x14ac:dyDescent="0.25">
      <c r="B413" s="4">
        <f t="shared" si="10"/>
        <v>402</v>
      </c>
      <c r="C413" s="94"/>
      <c r="D413" s="49" t="s">
        <v>661</v>
      </c>
      <c r="E413" s="51">
        <v>0</v>
      </c>
      <c r="F413" s="70"/>
      <c r="G413" s="51">
        <v>0</v>
      </c>
      <c r="H413" s="51"/>
      <c r="I413" s="52">
        <v>500</v>
      </c>
      <c r="J413" s="52">
        <v>2096</v>
      </c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s="13" customFormat="1" ht="15" thickBot="1" x14ac:dyDescent="0.25">
      <c r="B414" s="4">
        <f t="shared" si="10"/>
        <v>403</v>
      </c>
      <c r="C414" s="91">
        <v>13</v>
      </c>
      <c r="D414" s="91" t="s">
        <v>14</v>
      </c>
      <c r="E414" s="92">
        <f>E415</f>
        <v>0</v>
      </c>
      <c r="F414" s="516"/>
      <c r="G414" s="92">
        <f t="shared" ref="G414:J415" si="14">G415</f>
        <v>0</v>
      </c>
      <c r="H414" s="92">
        <f t="shared" si="14"/>
        <v>0</v>
      </c>
      <c r="I414" s="93">
        <f t="shared" si="14"/>
        <v>1496</v>
      </c>
      <c r="J414" s="93">
        <f t="shared" si="14"/>
        <v>2150</v>
      </c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s="13" customFormat="1" x14ac:dyDescent="0.2">
      <c r="B415" s="4">
        <f t="shared" si="10"/>
        <v>404</v>
      </c>
      <c r="C415" s="81">
        <v>311</v>
      </c>
      <c r="D415" s="81" t="s">
        <v>222</v>
      </c>
      <c r="E415" s="83">
        <f>E416</f>
        <v>0</v>
      </c>
      <c r="F415" s="513"/>
      <c r="G415" s="83">
        <f t="shared" si="14"/>
        <v>0</v>
      </c>
      <c r="H415" s="83">
        <f t="shared" si="14"/>
        <v>0</v>
      </c>
      <c r="I415" s="84">
        <f t="shared" si="14"/>
        <v>1496</v>
      </c>
      <c r="J415" s="84">
        <f t="shared" si="14"/>
        <v>2150</v>
      </c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ht="13.5" thickBot="1" x14ac:dyDescent="0.25">
      <c r="B416" s="4">
        <f t="shared" si="10"/>
        <v>405</v>
      </c>
      <c r="C416" s="46"/>
      <c r="D416" s="46" t="s">
        <v>661</v>
      </c>
      <c r="E416" s="47">
        <v>0</v>
      </c>
      <c r="F416" s="507"/>
      <c r="G416" s="47">
        <v>0</v>
      </c>
      <c r="H416" s="47"/>
      <c r="I416" s="48">
        <v>1496</v>
      </c>
      <c r="J416" s="48">
        <v>2150</v>
      </c>
    </row>
    <row r="417" spans="2:12" ht="15" thickBot="1" x14ac:dyDescent="0.25">
      <c r="B417" s="4">
        <f t="shared" si="10"/>
        <v>406</v>
      </c>
      <c r="C417" s="91">
        <v>14</v>
      </c>
      <c r="D417" s="56" t="s">
        <v>1</v>
      </c>
      <c r="E417" s="92">
        <f>E420+E418</f>
        <v>0</v>
      </c>
      <c r="F417" s="516"/>
      <c r="G417" s="92">
        <f>G420</f>
        <v>0</v>
      </c>
      <c r="H417" s="92">
        <f>H420</f>
        <v>0</v>
      </c>
      <c r="I417" s="93">
        <f>I420</f>
        <v>13307</v>
      </c>
      <c r="J417" s="93">
        <f>J418+J420</f>
        <v>173816</v>
      </c>
    </row>
    <row r="418" spans="2:12" x14ac:dyDescent="0.2">
      <c r="B418" s="4">
        <f t="shared" si="10"/>
        <v>407</v>
      </c>
      <c r="C418" s="95">
        <v>312</v>
      </c>
      <c r="D418" s="66" t="s">
        <v>658</v>
      </c>
      <c r="E418" s="67">
        <f>E419</f>
        <v>0</v>
      </c>
      <c r="F418" s="70"/>
      <c r="G418" s="67">
        <f>G419</f>
        <v>0</v>
      </c>
      <c r="H418" s="67">
        <f>H419</f>
        <v>0</v>
      </c>
      <c r="I418" s="68">
        <f>I419</f>
        <v>0</v>
      </c>
      <c r="J418" s="68">
        <f>J419</f>
        <v>164179</v>
      </c>
    </row>
    <row r="419" spans="2:12" x14ac:dyDescent="0.2">
      <c r="B419" s="4">
        <f t="shared" si="10"/>
        <v>408</v>
      </c>
      <c r="C419" s="59"/>
      <c r="D419" s="59" t="s">
        <v>662</v>
      </c>
      <c r="E419" s="60">
        <v>0</v>
      </c>
      <c r="F419" s="510"/>
      <c r="G419" s="60">
        <v>0</v>
      </c>
      <c r="H419" s="60"/>
      <c r="I419" s="61">
        <v>0</v>
      </c>
      <c r="J419" s="61">
        <v>164179</v>
      </c>
    </row>
    <row r="420" spans="2:12" x14ac:dyDescent="0.2">
      <c r="B420" s="4">
        <f t="shared" si="10"/>
        <v>409</v>
      </c>
      <c r="C420" s="96">
        <v>341</v>
      </c>
      <c r="D420" s="97" t="s">
        <v>327</v>
      </c>
      <c r="E420" s="98">
        <f>E421</f>
        <v>0</v>
      </c>
      <c r="F420" s="517"/>
      <c r="G420" s="98">
        <f>G421</f>
        <v>0</v>
      </c>
      <c r="H420" s="98">
        <f>H421</f>
        <v>0</v>
      </c>
      <c r="I420" s="99">
        <f>I421</f>
        <v>13307</v>
      </c>
      <c r="J420" s="99">
        <f>J421</f>
        <v>9637</v>
      </c>
    </row>
    <row r="421" spans="2:12" x14ac:dyDescent="0.2">
      <c r="B421" s="4">
        <f t="shared" si="10"/>
        <v>410</v>
      </c>
      <c r="C421" s="30"/>
      <c r="D421" s="30" t="s">
        <v>468</v>
      </c>
      <c r="E421" s="31">
        <v>0</v>
      </c>
      <c r="F421" s="45"/>
      <c r="G421" s="31">
        <v>0</v>
      </c>
      <c r="H421" s="31"/>
      <c r="I421" s="32">
        <v>13307</v>
      </c>
      <c r="J421" s="32">
        <v>9637</v>
      </c>
    </row>
    <row r="422" spans="2:12" ht="15.75" x14ac:dyDescent="0.2">
      <c r="B422" s="100">
        <f>B421+1</f>
        <v>411</v>
      </c>
      <c r="C422" s="101"/>
      <c r="D422" s="101" t="s">
        <v>121</v>
      </c>
      <c r="E422" s="102">
        <f>E297+E21+E7</f>
        <v>71335598</v>
      </c>
      <c r="F422" s="518"/>
      <c r="G422" s="102">
        <f>G297+G21+G7</f>
        <v>65871766</v>
      </c>
      <c r="H422" s="102">
        <f>H297+H21+H7</f>
        <v>68608122</v>
      </c>
      <c r="I422" s="103">
        <f>I297+I21+I7</f>
        <v>59977304</v>
      </c>
      <c r="J422" s="103">
        <f>J297+J21+J7</f>
        <v>54373299</v>
      </c>
    </row>
    <row r="423" spans="2:12" ht="12.75" customHeight="1" x14ac:dyDescent="0.2">
      <c r="L423" s="592"/>
    </row>
    <row r="424" spans="2:12" ht="24.75" customHeight="1" x14ac:dyDescent="0.2">
      <c r="B424" s="666" t="s">
        <v>173</v>
      </c>
      <c r="C424" s="667"/>
      <c r="D424" s="667"/>
      <c r="E424" s="655" t="s">
        <v>1204</v>
      </c>
      <c r="F424" s="494"/>
      <c r="G424" s="644" t="s">
        <v>836</v>
      </c>
      <c r="H424" s="644" t="s">
        <v>835</v>
      </c>
      <c r="I424" s="644" t="s">
        <v>834</v>
      </c>
      <c r="J424" s="644" t="s">
        <v>642</v>
      </c>
    </row>
    <row r="425" spans="2:12" ht="13.5" hidden="1" customHeight="1" x14ac:dyDescent="0.2">
      <c r="B425" s="668"/>
      <c r="C425" s="669"/>
      <c r="D425" s="669"/>
      <c r="E425" s="656"/>
      <c r="F425" s="495"/>
      <c r="G425" s="645"/>
      <c r="H425" s="645"/>
      <c r="I425" s="645"/>
      <c r="J425" s="645"/>
    </row>
    <row r="426" spans="2:12" x14ac:dyDescent="0.2">
      <c r="B426" s="670" t="s">
        <v>118</v>
      </c>
      <c r="C426" s="660" t="s">
        <v>120</v>
      </c>
      <c r="D426" s="664" t="s">
        <v>119</v>
      </c>
      <c r="E426" s="656"/>
      <c r="F426" s="495"/>
      <c r="G426" s="645"/>
      <c r="H426" s="645"/>
      <c r="I426" s="645"/>
      <c r="J426" s="645"/>
    </row>
    <row r="427" spans="2:12" ht="1.5" customHeight="1" x14ac:dyDescent="0.2">
      <c r="B427" s="670"/>
      <c r="C427" s="661"/>
      <c r="D427" s="665"/>
      <c r="E427" s="657"/>
      <c r="F427" s="519"/>
      <c r="G427" s="646"/>
      <c r="H427" s="646"/>
      <c r="I427" s="646"/>
      <c r="J427" s="646"/>
    </row>
    <row r="428" spans="2:12" ht="16.5" thickBot="1" x14ac:dyDescent="0.3">
      <c r="B428" s="106">
        <v>1</v>
      </c>
      <c r="C428" s="413">
        <v>200</v>
      </c>
      <c r="D428" s="413" t="s">
        <v>172</v>
      </c>
      <c r="E428" s="414">
        <f>E429+E434</f>
        <v>650000</v>
      </c>
      <c r="F428" s="520"/>
      <c r="G428" s="414">
        <f>G434+G429</f>
        <v>2000000</v>
      </c>
      <c r="H428" s="414">
        <f>H434+H429</f>
        <v>2001500</v>
      </c>
      <c r="I428" s="415">
        <f>I434+I429</f>
        <v>525541</v>
      </c>
      <c r="J428" s="415">
        <f>J434+J429</f>
        <v>409596</v>
      </c>
    </row>
    <row r="429" spans="2:12" ht="15" thickBot="1" x14ac:dyDescent="0.25">
      <c r="B429" s="110">
        <f>B428+1</f>
        <v>2</v>
      </c>
      <c r="C429" s="111"/>
      <c r="D429" s="111" t="s">
        <v>42</v>
      </c>
      <c r="E429" s="112">
        <f>E430</f>
        <v>650000</v>
      </c>
      <c r="F429" s="521"/>
      <c r="G429" s="112">
        <f>G430</f>
        <v>2000000</v>
      </c>
      <c r="H429" s="112">
        <f>H430</f>
        <v>2000000</v>
      </c>
      <c r="I429" s="113">
        <f>I430</f>
        <v>524464</v>
      </c>
      <c r="J429" s="113">
        <f>J430</f>
        <v>409596</v>
      </c>
    </row>
    <row r="430" spans="2:12" x14ac:dyDescent="0.2">
      <c r="B430" s="110">
        <f t="shared" ref="B430:B517" si="15">B429+1</f>
        <v>3</v>
      </c>
      <c r="C430" s="14">
        <v>230</v>
      </c>
      <c r="D430" s="14" t="s">
        <v>173</v>
      </c>
      <c r="E430" s="15">
        <f>E431+E432+E433</f>
        <v>650000</v>
      </c>
      <c r="F430" s="499"/>
      <c r="G430" s="15">
        <f>SUM(G431:G433)</f>
        <v>2000000</v>
      </c>
      <c r="H430" s="15">
        <f>SUM(H431:H433)</f>
        <v>2000000</v>
      </c>
      <c r="I430" s="16">
        <f>SUM(I431:I433)</f>
        <v>524464</v>
      </c>
      <c r="J430" s="16">
        <f>SUM(J431:J433)</f>
        <v>409596</v>
      </c>
    </row>
    <row r="431" spans="2:12" x14ac:dyDescent="0.2">
      <c r="B431" s="110">
        <f t="shared" si="15"/>
        <v>4</v>
      </c>
      <c r="C431" s="18">
        <v>231</v>
      </c>
      <c r="D431" s="18" t="s">
        <v>463</v>
      </c>
      <c r="E431" s="19">
        <v>100000</v>
      </c>
      <c r="F431" s="164"/>
      <c r="G431" s="19">
        <v>100000</v>
      </c>
      <c r="H431" s="19">
        <v>100000</v>
      </c>
      <c r="I431" s="20">
        <v>65769</v>
      </c>
      <c r="J431" s="20">
        <v>59700</v>
      </c>
    </row>
    <row r="432" spans="2:12" x14ac:dyDescent="0.2">
      <c r="B432" s="110">
        <f t="shared" si="15"/>
        <v>5</v>
      </c>
      <c r="C432" s="114">
        <v>231</v>
      </c>
      <c r="D432" s="114" t="s">
        <v>1066</v>
      </c>
      <c r="E432" s="19">
        <v>250000</v>
      </c>
      <c r="F432" s="522"/>
      <c r="G432" s="115"/>
      <c r="H432" s="115"/>
      <c r="I432" s="116"/>
      <c r="J432" s="116"/>
    </row>
    <row r="433" spans="2:10" ht="13.5" thickBot="1" x14ac:dyDescent="0.25">
      <c r="B433" s="110">
        <f t="shared" si="15"/>
        <v>6</v>
      </c>
      <c r="C433" s="114">
        <v>233001</v>
      </c>
      <c r="D433" s="114" t="s">
        <v>174</v>
      </c>
      <c r="E433" s="115">
        <v>300000</v>
      </c>
      <c r="F433" s="522"/>
      <c r="G433" s="115">
        <v>1900000</v>
      </c>
      <c r="H433" s="115">
        <v>1900000</v>
      </c>
      <c r="I433" s="116">
        <v>458695</v>
      </c>
      <c r="J433" s="116">
        <v>349896</v>
      </c>
    </row>
    <row r="434" spans="2:10" ht="15" thickBot="1" x14ac:dyDescent="0.25">
      <c r="B434" s="110">
        <f t="shared" si="15"/>
        <v>7</v>
      </c>
      <c r="C434" s="111">
        <v>2</v>
      </c>
      <c r="D434" s="111" t="s">
        <v>13</v>
      </c>
      <c r="E434" s="112">
        <f>E435</f>
        <v>0</v>
      </c>
      <c r="F434" s="521"/>
      <c r="G434" s="112">
        <f t="shared" ref="G434:J435" si="16">G435</f>
        <v>0</v>
      </c>
      <c r="H434" s="112">
        <f t="shared" si="16"/>
        <v>1500</v>
      </c>
      <c r="I434" s="113">
        <f t="shared" si="16"/>
        <v>1077</v>
      </c>
      <c r="J434" s="113">
        <f t="shared" si="16"/>
        <v>0</v>
      </c>
    </row>
    <row r="435" spans="2:10" x14ac:dyDescent="0.2">
      <c r="B435" s="110">
        <f t="shared" si="15"/>
        <v>8</v>
      </c>
      <c r="C435" s="14">
        <v>230</v>
      </c>
      <c r="D435" s="14" t="s">
        <v>173</v>
      </c>
      <c r="E435" s="15">
        <f>E436</f>
        <v>0</v>
      </c>
      <c r="F435" s="499"/>
      <c r="G435" s="15">
        <f t="shared" si="16"/>
        <v>0</v>
      </c>
      <c r="H435" s="15">
        <f t="shared" si="16"/>
        <v>1500</v>
      </c>
      <c r="I435" s="16">
        <f t="shared" si="16"/>
        <v>1077</v>
      </c>
      <c r="J435" s="16">
        <f t="shared" si="16"/>
        <v>0</v>
      </c>
    </row>
    <row r="436" spans="2:10" x14ac:dyDescent="0.2">
      <c r="B436" s="110">
        <f t="shared" si="15"/>
        <v>9</v>
      </c>
      <c r="C436" s="18">
        <v>231</v>
      </c>
      <c r="D436" s="18" t="s">
        <v>264</v>
      </c>
      <c r="E436" s="19">
        <v>0</v>
      </c>
      <c r="F436" s="164"/>
      <c r="G436" s="19"/>
      <c r="H436" s="19">
        <v>1500</v>
      </c>
      <c r="I436" s="20">
        <v>1077</v>
      </c>
      <c r="J436" s="20">
        <v>0</v>
      </c>
    </row>
    <row r="437" spans="2:10" ht="16.5" thickBot="1" x14ac:dyDescent="0.3">
      <c r="B437" s="110">
        <f t="shared" si="15"/>
        <v>10</v>
      </c>
      <c r="C437" s="107">
        <v>300</v>
      </c>
      <c r="D437" s="107" t="s">
        <v>223</v>
      </c>
      <c r="E437" s="108">
        <f>E438</f>
        <v>55452374</v>
      </c>
      <c r="F437" s="523"/>
      <c r="G437" s="108">
        <f>G438</f>
        <v>40496437</v>
      </c>
      <c r="H437" s="108">
        <f>H438</f>
        <v>47141766</v>
      </c>
      <c r="I437" s="109">
        <f>I438</f>
        <v>1628524</v>
      </c>
      <c r="J437" s="109">
        <f>J438</f>
        <v>2699381</v>
      </c>
    </row>
    <row r="438" spans="2:10" ht="15" thickBot="1" x14ac:dyDescent="0.25">
      <c r="B438" s="110">
        <f t="shared" si="15"/>
        <v>11</v>
      </c>
      <c r="C438" s="111"/>
      <c r="D438" s="111" t="s">
        <v>42</v>
      </c>
      <c r="E438" s="112">
        <f>E439+E514</f>
        <v>55452374</v>
      </c>
      <c r="F438" s="521"/>
      <c r="G438" s="112">
        <f>G439</f>
        <v>40496437</v>
      </c>
      <c r="H438" s="112">
        <f>H439+H514</f>
        <v>47141766</v>
      </c>
      <c r="I438" s="113">
        <f>I439+I514</f>
        <v>1628524</v>
      </c>
      <c r="J438" s="113">
        <f>J439+J514</f>
        <v>2699381</v>
      </c>
    </row>
    <row r="439" spans="2:10" x14ac:dyDescent="0.2">
      <c r="B439" s="110">
        <f t="shared" si="15"/>
        <v>12</v>
      </c>
      <c r="C439" s="14">
        <v>320</v>
      </c>
      <c r="D439" s="14" t="s">
        <v>277</v>
      </c>
      <c r="E439" s="15">
        <f>E443+E440</f>
        <v>55452374</v>
      </c>
      <c r="F439" s="499"/>
      <c r="G439" s="15">
        <f>G443+G440</f>
        <v>40496437</v>
      </c>
      <c r="H439" s="15">
        <f>H443+H440+H512</f>
        <v>47141766</v>
      </c>
      <c r="I439" s="16">
        <f>I443+I440</f>
        <v>1628524</v>
      </c>
      <c r="J439" s="16">
        <f>J443+J440</f>
        <v>2684580</v>
      </c>
    </row>
    <row r="440" spans="2:10" x14ac:dyDescent="0.2">
      <c r="B440" s="110">
        <f t="shared" si="15"/>
        <v>13</v>
      </c>
      <c r="C440" s="117">
        <v>321</v>
      </c>
      <c r="D440" s="117" t="s">
        <v>475</v>
      </c>
      <c r="E440" s="118">
        <f>SUM(E441:E442)</f>
        <v>0</v>
      </c>
      <c r="F440" s="164"/>
      <c r="G440" s="118">
        <f>SUM(G441:G442)</f>
        <v>0</v>
      </c>
      <c r="H440" s="118">
        <f>SUM(H441:H442)</f>
        <v>0</v>
      </c>
      <c r="I440" s="119">
        <f>SUM(I441:I442)</f>
        <v>20000</v>
      </c>
      <c r="J440" s="119">
        <f>SUM(J441:J442)</f>
        <v>0</v>
      </c>
    </row>
    <row r="441" spans="2:10" ht="24" x14ac:dyDescent="0.2">
      <c r="B441" s="110">
        <f t="shared" si="15"/>
        <v>14</v>
      </c>
      <c r="C441" s="120"/>
      <c r="D441" s="121" t="s">
        <v>725</v>
      </c>
      <c r="E441" s="122">
        <v>0</v>
      </c>
      <c r="F441" s="524"/>
      <c r="G441" s="122"/>
      <c r="H441" s="122"/>
      <c r="I441" s="123">
        <v>5000</v>
      </c>
      <c r="J441" s="123">
        <v>0</v>
      </c>
    </row>
    <row r="442" spans="2:10" ht="24" x14ac:dyDescent="0.2">
      <c r="B442" s="110">
        <f t="shared" si="15"/>
        <v>15</v>
      </c>
      <c r="C442" s="120"/>
      <c r="D442" s="121" t="s">
        <v>726</v>
      </c>
      <c r="E442" s="122">
        <v>0</v>
      </c>
      <c r="F442" s="524"/>
      <c r="G442" s="122"/>
      <c r="H442" s="122"/>
      <c r="I442" s="123">
        <v>15000</v>
      </c>
      <c r="J442" s="123">
        <v>0</v>
      </c>
    </row>
    <row r="443" spans="2:10" x14ac:dyDescent="0.2">
      <c r="B443" s="110">
        <f t="shared" si="15"/>
        <v>16</v>
      </c>
      <c r="C443" s="117">
        <v>322001</v>
      </c>
      <c r="D443" s="117" t="s">
        <v>278</v>
      </c>
      <c r="E443" s="118">
        <f>SUM(E444:E511)</f>
        <v>55452374</v>
      </c>
      <c r="F443" s="164"/>
      <c r="G443" s="118">
        <f>SUM(G444:G511)</f>
        <v>40496437</v>
      </c>
      <c r="H443" s="118">
        <f>SUM(H444:H511)</f>
        <v>46993066</v>
      </c>
      <c r="I443" s="119">
        <f>SUM(I444:I509)</f>
        <v>1608524</v>
      </c>
      <c r="J443" s="119">
        <f>SUM(J444:J509)</f>
        <v>2684580</v>
      </c>
    </row>
    <row r="444" spans="2:10" ht="24" x14ac:dyDescent="0.2">
      <c r="B444" s="110">
        <f t="shared" si="15"/>
        <v>17</v>
      </c>
      <c r="C444" s="120"/>
      <c r="D444" s="121" t="s">
        <v>975</v>
      </c>
      <c r="E444" s="122">
        <v>0</v>
      </c>
      <c r="F444" s="524"/>
      <c r="G444" s="122"/>
      <c r="H444" s="122">
        <v>30000</v>
      </c>
      <c r="I444" s="123"/>
      <c r="J444" s="123"/>
    </row>
    <row r="445" spans="2:10" x14ac:dyDescent="0.2">
      <c r="B445" s="110">
        <f t="shared" si="15"/>
        <v>18</v>
      </c>
      <c r="C445" s="120"/>
      <c r="D445" s="121" t="s">
        <v>979</v>
      </c>
      <c r="E445" s="122">
        <v>0</v>
      </c>
      <c r="F445" s="524"/>
      <c r="G445" s="122">
        <v>4405977</v>
      </c>
      <c r="H445" s="122">
        <v>5310979</v>
      </c>
      <c r="I445" s="123">
        <v>333894</v>
      </c>
      <c r="J445" s="123">
        <v>577110</v>
      </c>
    </row>
    <row r="446" spans="2:10" x14ac:dyDescent="0.2">
      <c r="B446" s="110">
        <f t="shared" si="15"/>
        <v>19</v>
      </c>
      <c r="C446" s="120"/>
      <c r="D446" s="121" t="s">
        <v>873</v>
      </c>
      <c r="E446" s="122">
        <v>0</v>
      </c>
      <c r="F446" s="524"/>
      <c r="G446" s="122">
        <v>1380000</v>
      </c>
      <c r="H446" s="122">
        <v>1380000</v>
      </c>
      <c r="I446" s="123"/>
      <c r="J446" s="123"/>
    </row>
    <row r="447" spans="2:10" ht="24" x14ac:dyDescent="0.2">
      <c r="B447" s="110">
        <f t="shared" si="15"/>
        <v>20</v>
      </c>
      <c r="C447" s="120"/>
      <c r="D447" s="121" t="s">
        <v>875</v>
      </c>
      <c r="E447" s="122">
        <v>3312000</v>
      </c>
      <c r="F447" s="524"/>
      <c r="G447" s="122">
        <v>2576000</v>
      </c>
      <c r="H447" s="122">
        <v>2576000</v>
      </c>
      <c r="I447" s="123"/>
      <c r="J447" s="123"/>
    </row>
    <row r="448" spans="2:10" x14ac:dyDescent="0.2">
      <c r="B448" s="110">
        <f t="shared" si="15"/>
        <v>21</v>
      </c>
      <c r="C448" s="120"/>
      <c r="D448" s="121" t="s">
        <v>317</v>
      </c>
      <c r="E448" s="122">
        <v>0</v>
      </c>
      <c r="F448" s="524"/>
      <c r="G448" s="122"/>
      <c r="H448" s="122"/>
      <c r="I448" s="123"/>
      <c r="J448" s="123"/>
    </row>
    <row r="449" spans="2:10" x14ac:dyDescent="0.2">
      <c r="B449" s="110">
        <f t="shared" si="15"/>
        <v>22</v>
      </c>
      <c r="C449" s="120"/>
      <c r="D449" s="121" t="s">
        <v>290</v>
      </c>
      <c r="E449" s="122">
        <v>10840870</v>
      </c>
      <c r="F449" s="524"/>
      <c r="G449" s="122"/>
      <c r="H449" s="122"/>
      <c r="I449" s="123"/>
      <c r="J449" s="123"/>
    </row>
    <row r="450" spans="2:10" ht="24" x14ac:dyDescent="0.2">
      <c r="B450" s="110">
        <f t="shared" si="15"/>
        <v>23</v>
      </c>
      <c r="C450" s="120"/>
      <c r="D450" s="121" t="s">
        <v>393</v>
      </c>
      <c r="E450" s="122">
        <v>0</v>
      </c>
      <c r="F450" s="524"/>
      <c r="G450" s="122"/>
      <c r="H450" s="122">
        <v>227757</v>
      </c>
      <c r="I450" s="123">
        <v>911029</v>
      </c>
      <c r="J450" s="123"/>
    </row>
    <row r="451" spans="2:10" ht="24" x14ac:dyDescent="0.2">
      <c r="B451" s="110">
        <f t="shared" si="15"/>
        <v>24</v>
      </c>
      <c r="C451" s="120"/>
      <c r="D451" s="121" t="s">
        <v>976</v>
      </c>
      <c r="E451" s="122">
        <v>0</v>
      </c>
      <c r="F451" s="524"/>
      <c r="G451" s="122"/>
      <c r="H451" s="122">
        <v>952000</v>
      </c>
      <c r="I451" s="123"/>
      <c r="J451" s="123"/>
    </row>
    <row r="452" spans="2:10" x14ac:dyDescent="0.2">
      <c r="B452" s="110">
        <f t="shared" si="15"/>
        <v>25</v>
      </c>
      <c r="C452" s="120"/>
      <c r="D452" s="121" t="s">
        <v>664</v>
      </c>
      <c r="E452" s="122">
        <v>0</v>
      </c>
      <c r="F452" s="524"/>
      <c r="G452" s="122"/>
      <c r="H452" s="122"/>
      <c r="I452" s="123"/>
      <c r="J452" s="123">
        <v>23000</v>
      </c>
    </row>
    <row r="453" spans="2:10" x14ac:dyDescent="0.2">
      <c r="B453" s="110">
        <f t="shared" si="15"/>
        <v>26</v>
      </c>
      <c r="C453" s="120"/>
      <c r="D453" s="121" t="s">
        <v>1069</v>
      </c>
      <c r="E453" s="122">
        <v>27600</v>
      </c>
      <c r="F453" s="524"/>
      <c r="G453" s="122"/>
      <c r="H453" s="122"/>
      <c r="I453" s="123"/>
      <c r="J453" s="123"/>
    </row>
    <row r="454" spans="2:10" x14ac:dyDescent="0.2">
      <c r="B454" s="110">
        <f t="shared" si="15"/>
        <v>27</v>
      </c>
      <c r="C454" s="120"/>
      <c r="D454" s="121" t="s">
        <v>1070</v>
      </c>
      <c r="E454" s="122">
        <v>3726000</v>
      </c>
      <c r="F454" s="524"/>
      <c r="G454" s="122">
        <v>3220000</v>
      </c>
      <c r="H454" s="122">
        <v>3220000</v>
      </c>
      <c r="I454" s="123"/>
      <c r="J454" s="123"/>
    </row>
    <row r="455" spans="2:10" x14ac:dyDescent="0.2">
      <c r="B455" s="110">
        <f t="shared" si="15"/>
        <v>28</v>
      </c>
      <c r="C455" s="120"/>
      <c r="D455" s="121" t="s">
        <v>1071</v>
      </c>
      <c r="E455" s="122">
        <v>4600</v>
      </c>
      <c r="F455" s="524"/>
      <c r="G455" s="122"/>
      <c r="H455" s="122"/>
      <c r="I455" s="123"/>
      <c r="J455" s="123"/>
    </row>
    <row r="456" spans="2:10" x14ac:dyDescent="0.2">
      <c r="B456" s="110">
        <f t="shared" si="15"/>
        <v>29</v>
      </c>
      <c r="C456" s="120"/>
      <c r="D456" s="121" t="s">
        <v>1072</v>
      </c>
      <c r="E456" s="122">
        <v>276000</v>
      </c>
      <c r="F456" s="524"/>
      <c r="G456" s="122"/>
      <c r="H456" s="122"/>
      <c r="I456" s="123"/>
      <c r="J456" s="123"/>
    </row>
    <row r="457" spans="2:10" ht="24" x14ac:dyDescent="0.2">
      <c r="B457" s="110">
        <f t="shared" si="15"/>
        <v>30</v>
      </c>
      <c r="C457" s="120"/>
      <c r="D457" s="121" t="s">
        <v>879</v>
      </c>
      <c r="E457" s="122">
        <v>0</v>
      </c>
      <c r="F457" s="524"/>
      <c r="G457" s="122">
        <v>190000</v>
      </c>
      <c r="H457" s="122">
        <v>190000</v>
      </c>
      <c r="I457" s="123"/>
      <c r="J457" s="123"/>
    </row>
    <row r="458" spans="2:10" x14ac:dyDescent="0.2">
      <c r="B458" s="110">
        <f t="shared" si="15"/>
        <v>31</v>
      </c>
      <c r="C458" s="120"/>
      <c r="D458" s="121" t="s">
        <v>848</v>
      </c>
      <c r="E458" s="122">
        <v>0</v>
      </c>
      <c r="F458" s="524"/>
      <c r="G458" s="122">
        <v>249209</v>
      </c>
      <c r="H458" s="122">
        <v>0</v>
      </c>
      <c r="I458" s="123"/>
      <c r="J458" s="123"/>
    </row>
    <row r="459" spans="2:10" x14ac:dyDescent="0.2">
      <c r="B459" s="110">
        <f t="shared" si="15"/>
        <v>32</v>
      </c>
      <c r="C459" s="120"/>
      <c r="D459" s="121" t="s">
        <v>857</v>
      </c>
      <c r="E459" s="122">
        <v>0</v>
      </c>
      <c r="F459" s="524"/>
      <c r="G459" s="122"/>
      <c r="H459" s="122"/>
      <c r="I459" s="123"/>
      <c r="J459" s="123">
        <v>48301</v>
      </c>
    </row>
    <row r="460" spans="2:10" x14ac:dyDescent="0.2">
      <c r="B460" s="110">
        <f t="shared" si="15"/>
        <v>33</v>
      </c>
      <c r="C460" s="120"/>
      <c r="D460" s="121" t="s">
        <v>856</v>
      </c>
      <c r="E460" s="122">
        <v>0</v>
      </c>
      <c r="F460" s="524"/>
      <c r="G460" s="122"/>
      <c r="H460" s="122"/>
      <c r="I460" s="123"/>
      <c r="J460" s="123">
        <v>81189</v>
      </c>
    </row>
    <row r="461" spans="2:10" x14ac:dyDescent="0.2">
      <c r="B461" s="110">
        <f t="shared" si="15"/>
        <v>34</v>
      </c>
      <c r="C461" s="120"/>
      <c r="D461" s="121" t="s">
        <v>858</v>
      </c>
      <c r="E461" s="122">
        <v>0</v>
      </c>
      <c r="F461" s="524"/>
      <c r="G461" s="122"/>
      <c r="H461" s="122"/>
      <c r="I461" s="123"/>
      <c r="J461" s="123">
        <v>28236</v>
      </c>
    </row>
    <row r="462" spans="2:10" x14ac:dyDescent="0.2">
      <c r="B462" s="110">
        <f t="shared" si="15"/>
        <v>35</v>
      </c>
      <c r="C462" s="120"/>
      <c r="D462" s="121" t="s">
        <v>557</v>
      </c>
      <c r="E462" s="122">
        <v>0</v>
      </c>
      <c r="F462" s="524"/>
      <c r="G462" s="122"/>
      <c r="H462" s="122"/>
      <c r="I462" s="123"/>
      <c r="J462" s="123"/>
    </row>
    <row r="463" spans="2:10" x14ac:dyDescent="0.2">
      <c r="B463" s="110">
        <f t="shared" si="15"/>
        <v>36</v>
      </c>
      <c r="C463" s="120"/>
      <c r="D463" s="121" t="s">
        <v>878</v>
      </c>
      <c r="E463" s="122">
        <v>0</v>
      </c>
      <c r="F463" s="524"/>
      <c r="G463" s="122">
        <v>6070000</v>
      </c>
      <c r="H463" s="122">
        <v>8924000</v>
      </c>
      <c r="I463" s="123"/>
      <c r="J463" s="123"/>
    </row>
    <row r="464" spans="2:10" x14ac:dyDescent="0.2">
      <c r="B464" s="110">
        <f t="shared" si="15"/>
        <v>37</v>
      </c>
      <c r="C464" s="120"/>
      <c r="D464" s="121" t="s">
        <v>851</v>
      </c>
      <c r="E464" s="122">
        <v>0</v>
      </c>
      <c r="F464" s="524"/>
      <c r="G464" s="122"/>
      <c r="H464" s="122"/>
      <c r="I464" s="123"/>
      <c r="J464" s="123">
        <v>103119</v>
      </c>
    </row>
    <row r="465" spans="2:10" ht="24" x14ac:dyDescent="0.2">
      <c r="B465" s="110">
        <f t="shared" si="15"/>
        <v>38</v>
      </c>
      <c r="C465" s="120"/>
      <c r="D465" s="121" t="s">
        <v>600</v>
      </c>
      <c r="E465" s="122">
        <v>0</v>
      </c>
      <c r="F465" s="524"/>
      <c r="G465" s="122">
        <v>446500</v>
      </c>
      <c r="H465" s="122">
        <v>446500</v>
      </c>
      <c r="I465" s="123">
        <v>13680</v>
      </c>
      <c r="J465" s="123"/>
    </row>
    <row r="466" spans="2:10" x14ac:dyDescent="0.2">
      <c r="B466" s="110">
        <f t="shared" si="15"/>
        <v>39</v>
      </c>
      <c r="C466" s="120"/>
      <c r="D466" s="121" t="s">
        <v>1046</v>
      </c>
      <c r="E466" s="122">
        <v>36800</v>
      </c>
      <c r="F466" s="524"/>
      <c r="G466" s="122"/>
      <c r="H466" s="122"/>
      <c r="I466" s="123"/>
      <c r="J466" s="123"/>
    </row>
    <row r="467" spans="2:10" x14ac:dyDescent="0.2">
      <c r="B467" s="110">
        <f t="shared" si="15"/>
        <v>40</v>
      </c>
      <c r="C467" s="120"/>
      <c r="D467" s="121" t="s">
        <v>663</v>
      </c>
      <c r="E467" s="122">
        <v>0</v>
      </c>
      <c r="F467" s="524"/>
      <c r="G467" s="122"/>
      <c r="H467" s="122"/>
      <c r="I467" s="123"/>
      <c r="J467" s="123">
        <v>2110</v>
      </c>
    </row>
    <row r="468" spans="2:10" ht="24" x14ac:dyDescent="0.2">
      <c r="B468" s="110">
        <f t="shared" si="15"/>
        <v>41</v>
      </c>
      <c r="C468" s="120"/>
      <c r="D468" s="121" t="s">
        <v>978</v>
      </c>
      <c r="E468" s="122">
        <v>0</v>
      </c>
      <c r="F468" s="524"/>
      <c r="G468" s="122"/>
      <c r="H468" s="122">
        <v>171000</v>
      </c>
      <c r="I468" s="123"/>
      <c r="J468" s="123"/>
    </row>
    <row r="469" spans="2:10" x14ac:dyDescent="0.2">
      <c r="B469" s="110">
        <f t="shared" si="15"/>
        <v>42</v>
      </c>
      <c r="C469" s="120"/>
      <c r="D469" s="121" t="s">
        <v>977</v>
      </c>
      <c r="E469" s="122">
        <v>0</v>
      </c>
      <c r="F469" s="524"/>
      <c r="G469" s="122"/>
      <c r="H469" s="122">
        <v>65265</v>
      </c>
      <c r="I469" s="123"/>
      <c r="J469" s="123"/>
    </row>
    <row r="470" spans="2:10" x14ac:dyDescent="0.2">
      <c r="B470" s="110">
        <f t="shared" si="15"/>
        <v>43</v>
      </c>
      <c r="C470" s="120"/>
      <c r="D470" s="121" t="s">
        <v>1067</v>
      </c>
      <c r="E470" s="122">
        <v>662400</v>
      </c>
      <c r="F470" s="524"/>
      <c r="G470" s="122"/>
      <c r="H470" s="122"/>
      <c r="I470" s="123"/>
      <c r="J470" s="123"/>
    </row>
    <row r="471" spans="2:10" x14ac:dyDescent="0.2">
      <c r="B471" s="110">
        <f t="shared" si="15"/>
        <v>44</v>
      </c>
      <c r="C471" s="120"/>
      <c r="D471" s="121" t="s">
        <v>681</v>
      </c>
      <c r="E471" s="122">
        <v>0</v>
      </c>
      <c r="F471" s="524"/>
      <c r="G471" s="122">
        <v>698070</v>
      </c>
      <c r="H471" s="122">
        <v>698070</v>
      </c>
      <c r="I471" s="123"/>
      <c r="J471" s="123"/>
    </row>
    <row r="472" spans="2:10" x14ac:dyDescent="0.2">
      <c r="B472" s="110">
        <f t="shared" si="15"/>
        <v>45</v>
      </c>
      <c r="C472" s="120"/>
      <c r="D472" s="121" t="s">
        <v>980</v>
      </c>
      <c r="E472" s="122">
        <v>300000</v>
      </c>
      <c r="F472" s="524"/>
      <c r="G472" s="122"/>
      <c r="H472" s="122">
        <v>300000</v>
      </c>
      <c r="I472" s="123"/>
      <c r="J472" s="123"/>
    </row>
    <row r="473" spans="2:10" x14ac:dyDescent="0.2">
      <c r="B473" s="110">
        <f t="shared" si="15"/>
        <v>46</v>
      </c>
      <c r="C473" s="120"/>
      <c r="D473" s="121" t="s">
        <v>680</v>
      </c>
      <c r="E473" s="122">
        <v>0</v>
      </c>
      <c r="F473" s="524"/>
      <c r="G473" s="122"/>
      <c r="H473" s="122"/>
      <c r="I473" s="123"/>
      <c r="J473" s="123"/>
    </row>
    <row r="474" spans="2:10" x14ac:dyDescent="0.2">
      <c r="B474" s="110">
        <f t="shared" si="15"/>
        <v>47</v>
      </c>
      <c r="C474" s="120"/>
      <c r="D474" s="121" t="s">
        <v>1075</v>
      </c>
      <c r="E474" s="122">
        <v>8924000</v>
      </c>
      <c r="F474" s="524"/>
      <c r="G474" s="122"/>
      <c r="H474" s="122"/>
      <c r="I474" s="123"/>
      <c r="J474" s="123"/>
    </row>
    <row r="475" spans="2:10" x14ac:dyDescent="0.2">
      <c r="B475" s="110">
        <f t="shared" si="15"/>
        <v>48</v>
      </c>
      <c r="C475" s="120"/>
      <c r="D475" s="121" t="s">
        <v>922</v>
      </c>
      <c r="E475" s="122">
        <v>0</v>
      </c>
      <c r="F475" s="524"/>
      <c r="G475" s="122">
        <v>1104000</v>
      </c>
      <c r="H475" s="122">
        <v>1104000</v>
      </c>
      <c r="I475" s="123"/>
      <c r="J475" s="123"/>
    </row>
    <row r="476" spans="2:10" ht="24" x14ac:dyDescent="0.2">
      <c r="B476" s="110">
        <f t="shared" si="15"/>
        <v>49</v>
      </c>
      <c r="C476" s="120"/>
      <c r="D476" s="121" t="s">
        <v>872</v>
      </c>
      <c r="E476" s="122">
        <v>1564000</v>
      </c>
      <c r="F476" s="524"/>
      <c r="G476" s="122">
        <v>1380000</v>
      </c>
      <c r="H476" s="122">
        <v>1380000</v>
      </c>
      <c r="I476" s="123"/>
      <c r="J476" s="123"/>
    </row>
    <row r="477" spans="2:10" x14ac:dyDescent="0.2">
      <c r="B477" s="110">
        <f t="shared" si="15"/>
        <v>50</v>
      </c>
      <c r="C477" s="120"/>
      <c r="D477" s="121" t="s">
        <v>876</v>
      </c>
      <c r="E477" s="122">
        <v>782000</v>
      </c>
      <c r="F477" s="524"/>
      <c r="G477" s="122">
        <v>588800</v>
      </c>
      <c r="H477" s="122">
        <v>588800</v>
      </c>
      <c r="I477" s="123"/>
      <c r="J477" s="123"/>
    </row>
    <row r="478" spans="2:10" x14ac:dyDescent="0.2">
      <c r="B478" s="110">
        <f t="shared" si="15"/>
        <v>51</v>
      </c>
      <c r="C478" s="120"/>
      <c r="D478" s="121" t="s">
        <v>1079</v>
      </c>
      <c r="E478" s="122">
        <v>1840000</v>
      </c>
      <c r="F478" s="524"/>
      <c r="G478" s="122"/>
      <c r="H478" s="122"/>
      <c r="I478" s="123"/>
      <c r="J478" s="123"/>
    </row>
    <row r="479" spans="2:10" x14ac:dyDescent="0.2">
      <c r="B479" s="110">
        <f t="shared" si="15"/>
        <v>52</v>
      </c>
      <c r="C479" s="120"/>
      <c r="D479" s="121" t="s">
        <v>1068</v>
      </c>
      <c r="E479" s="122">
        <v>2649600</v>
      </c>
      <c r="F479" s="524"/>
      <c r="G479" s="122">
        <v>2649000</v>
      </c>
      <c r="H479" s="122">
        <v>2649000</v>
      </c>
      <c r="I479" s="123"/>
      <c r="J479" s="123"/>
    </row>
    <row r="480" spans="2:10" x14ac:dyDescent="0.2">
      <c r="B480" s="110">
        <f t="shared" si="15"/>
        <v>53</v>
      </c>
      <c r="C480" s="120"/>
      <c r="D480" s="121" t="s">
        <v>429</v>
      </c>
      <c r="E480" s="122">
        <v>1656000</v>
      </c>
      <c r="F480" s="524"/>
      <c r="G480" s="122"/>
      <c r="H480" s="122"/>
      <c r="I480" s="123"/>
      <c r="J480" s="123"/>
    </row>
    <row r="481" spans="2:10" x14ac:dyDescent="0.2">
      <c r="B481" s="110">
        <f t="shared" si="15"/>
        <v>54</v>
      </c>
      <c r="C481" s="120"/>
      <c r="D481" s="121" t="s">
        <v>854</v>
      </c>
      <c r="E481" s="122">
        <v>0</v>
      </c>
      <c r="F481" s="524"/>
      <c r="G481" s="122">
        <v>889477</v>
      </c>
      <c r="H481" s="122">
        <v>889477</v>
      </c>
      <c r="I481" s="123"/>
      <c r="J481" s="123"/>
    </row>
    <row r="482" spans="2:10" x14ac:dyDescent="0.2">
      <c r="B482" s="110">
        <f t="shared" si="15"/>
        <v>55</v>
      </c>
      <c r="C482" s="120"/>
      <c r="D482" s="121" t="s">
        <v>682</v>
      </c>
      <c r="E482" s="122">
        <v>0</v>
      </c>
      <c r="F482" s="524"/>
      <c r="G482" s="122">
        <v>644901</v>
      </c>
      <c r="H482" s="122"/>
      <c r="I482" s="123"/>
      <c r="J482" s="123"/>
    </row>
    <row r="483" spans="2:10" x14ac:dyDescent="0.2">
      <c r="B483" s="110">
        <f t="shared" si="15"/>
        <v>56</v>
      </c>
      <c r="C483" s="120"/>
      <c r="D483" s="121" t="s">
        <v>1015</v>
      </c>
      <c r="E483" s="122">
        <v>920000</v>
      </c>
      <c r="F483" s="524"/>
      <c r="G483" s="122"/>
      <c r="H483" s="122"/>
      <c r="I483" s="123"/>
      <c r="J483" s="123"/>
    </row>
    <row r="484" spans="2:10" x14ac:dyDescent="0.2">
      <c r="B484" s="110">
        <f t="shared" si="15"/>
        <v>57</v>
      </c>
      <c r="C484" s="120"/>
      <c r="D484" s="121" t="s">
        <v>880</v>
      </c>
      <c r="E484" s="122">
        <v>0</v>
      </c>
      <c r="F484" s="524"/>
      <c r="G484" s="122">
        <v>193200</v>
      </c>
      <c r="H484" s="122">
        <v>193200</v>
      </c>
      <c r="I484" s="123"/>
      <c r="J484" s="123"/>
    </row>
    <row r="485" spans="2:10" ht="16.5" customHeight="1" x14ac:dyDescent="0.2">
      <c r="B485" s="110">
        <f t="shared" si="15"/>
        <v>58</v>
      </c>
      <c r="C485" s="120"/>
      <c r="D485" s="121" t="s">
        <v>852</v>
      </c>
      <c r="E485" s="122">
        <v>0</v>
      </c>
      <c r="F485" s="524"/>
      <c r="G485" s="122"/>
      <c r="H485" s="122"/>
      <c r="I485" s="123"/>
      <c r="J485" s="123"/>
    </row>
    <row r="486" spans="2:10" x14ac:dyDescent="0.2">
      <c r="B486" s="110">
        <f t="shared" si="15"/>
        <v>59</v>
      </c>
      <c r="C486" s="120"/>
      <c r="D486" s="121" t="s">
        <v>860</v>
      </c>
      <c r="E486" s="122">
        <v>0</v>
      </c>
      <c r="F486" s="524"/>
      <c r="G486" s="122"/>
      <c r="H486" s="122"/>
      <c r="I486" s="123"/>
      <c r="J486" s="123">
        <v>106016</v>
      </c>
    </row>
    <row r="487" spans="2:10" x14ac:dyDescent="0.2">
      <c r="B487" s="110">
        <f t="shared" si="15"/>
        <v>60</v>
      </c>
      <c r="C487" s="120"/>
      <c r="D487" s="121" t="s">
        <v>877</v>
      </c>
      <c r="E487" s="122">
        <v>0</v>
      </c>
      <c r="F487" s="524"/>
      <c r="G487" s="122">
        <v>261700</v>
      </c>
      <c r="H487" s="122">
        <v>261700</v>
      </c>
      <c r="I487" s="123"/>
      <c r="J487" s="123"/>
    </row>
    <row r="488" spans="2:10" ht="24" x14ac:dyDescent="0.2">
      <c r="B488" s="110">
        <f t="shared" si="15"/>
        <v>61</v>
      </c>
      <c r="C488" s="120"/>
      <c r="D488" s="121" t="s">
        <v>853</v>
      </c>
      <c r="E488" s="122">
        <v>0</v>
      </c>
      <c r="F488" s="524"/>
      <c r="G488" s="122"/>
      <c r="H488" s="122"/>
      <c r="I488" s="123"/>
      <c r="J488" s="123"/>
    </row>
    <row r="489" spans="2:10" ht="24" x14ac:dyDescent="0.2">
      <c r="B489" s="110">
        <f t="shared" si="15"/>
        <v>62</v>
      </c>
      <c r="C489" s="120"/>
      <c r="D489" s="121" t="s">
        <v>864</v>
      </c>
      <c r="E489" s="122">
        <v>0</v>
      </c>
      <c r="F489" s="524"/>
      <c r="G489" s="122"/>
      <c r="H489" s="122"/>
      <c r="I489" s="123">
        <v>79610</v>
      </c>
      <c r="J489" s="123">
        <v>163957</v>
      </c>
    </row>
    <row r="490" spans="2:10" x14ac:dyDescent="0.2">
      <c r="B490" s="110">
        <f t="shared" si="15"/>
        <v>63</v>
      </c>
      <c r="C490" s="120"/>
      <c r="D490" s="121" t="s">
        <v>1073</v>
      </c>
      <c r="E490" s="122">
        <v>13800000</v>
      </c>
      <c r="F490" s="524"/>
      <c r="G490" s="122">
        <v>11960000</v>
      </c>
      <c r="H490" s="122">
        <v>13800000</v>
      </c>
      <c r="I490" s="123"/>
      <c r="J490" s="123"/>
    </row>
    <row r="491" spans="2:10" ht="24" x14ac:dyDescent="0.2">
      <c r="B491" s="110">
        <f t="shared" si="15"/>
        <v>64</v>
      </c>
      <c r="C491" s="120"/>
      <c r="D491" s="121" t="s">
        <v>850</v>
      </c>
      <c r="E491" s="122">
        <v>0</v>
      </c>
      <c r="F491" s="524"/>
      <c r="G491" s="122"/>
      <c r="H491" s="122"/>
      <c r="I491" s="123">
        <v>2090</v>
      </c>
      <c r="J491" s="123">
        <v>206111</v>
      </c>
    </row>
    <row r="492" spans="2:10" ht="36" x14ac:dyDescent="0.2">
      <c r="B492" s="110">
        <f t="shared" si="15"/>
        <v>65</v>
      </c>
      <c r="C492" s="120"/>
      <c r="D492" s="121" t="s">
        <v>865</v>
      </c>
      <c r="E492" s="122">
        <v>0</v>
      </c>
      <c r="F492" s="524"/>
      <c r="G492" s="122"/>
      <c r="H492" s="122">
        <v>45715</v>
      </c>
      <c r="I492" s="123">
        <v>115482</v>
      </c>
      <c r="J492" s="123"/>
    </row>
    <row r="493" spans="2:10" ht="48" x14ac:dyDescent="0.2">
      <c r="B493" s="110">
        <f t="shared" si="15"/>
        <v>66</v>
      </c>
      <c r="C493" s="120"/>
      <c r="D493" s="121" t="s">
        <v>859</v>
      </c>
      <c r="E493" s="122">
        <v>0</v>
      </c>
      <c r="F493" s="524"/>
      <c r="G493" s="122"/>
      <c r="H493" s="122"/>
      <c r="I493" s="123"/>
      <c r="J493" s="123">
        <v>418142</v>
      </c>
    </row>
    <row r="494" spans="2:10" x14ac:dyDescent="0.2">
      <c r="B494" s="110">
        <f t="shared" si="15"/>
        <v>67</v>
      </c>
      <c r="C494" s="120"/>
      <c r="D494" s="121" t="s">
        <v>634</v>
      </c>
      <c r="E494" s="122">
        <v>0</v>
      </c>
      <c r="F494" s="524"/>
      <c r="G494" s="122"/>
      <c r="H494" s="122"/>
      <c r="I494" s="123"/>
      <c r="J494" s="123">
        <v>14453</v>
      </c>
    </row>
    <row r="495" spans="2:10" ht="24" x14ac:dyDescent="0.2">
      <c r="B495" s="110">
        <f t="shared" si="15"/>
        <v>68</v>
      </c>
      <c r="C495" s="120"/>
      <c r="D495" s="121" t="s">
        <v>1078</v>
      </c>
      <c r="E495" s="122">
        <v>950800</v>
      </c>
      <c r="F495" s="524"/>
      <c r="G495" s="122"/>
      <c r="H495" s="122"/>
      <c r="I495" s="123"/>
      <c r="J495" s="123"/>
    </row>
    <row r="496" spans="2:10" x14ac:dyDescent="0.2">
      <c r="B496" s="110">
        <f t="shared" si="15"/>
        <v>69</v>
      </c>
      <c r="C496" s="120"/>
      <c r="D496" s="121" t="s">
        <v>1060</v>
      </c>
      <c r="E496" s="122">
        <v>1316704</v>
      </c>
      <c r="F496" s="524"/>
      <c r="G496" s="122"/>
      <c r="H496" s="122"/>
      <c r="I496" s="123"/>
      <c r="J496" s="123"/>
    </row>
    <row r="497" spans="2:10" x14ac:dyDescent="0.2">
      <c r="B497" s="110">
        <f t="shared" si="15"/>
        <v>70</v>
      </c>
      <c r="C497" s="120"/>
      <c r="D497" s="121" t="s">
        <v>476</v>
      </c>
      <c r="E497" s="122">
        <v>0</v>
      </c>
      <c r="F497" s="524"/>
      <c r="G497" s="122"/>
      <c r="H497" s="122"/>
      <c r="I497" s="123"/>
      <c r="J497" s="123"/>
    </row>
    <row r="498" spans="2:10" ht="24" x14ac:dyDescent="0.2">
      <c r="B498" s="110">
        <f t="shared" si="15"/>
        <v>71</v>
      </c>
      <c r="C498" s="120"/>
      <c r="D498" s="121" t="s">
        <v>867</v>
      </c>
      <c r="E498" s="122">
        <v>0</v>
      </c>
      <c r="F498" s="524"/>
      <c r="G498" s="122">
        <v>211617</v>
      </c>
      <c r="H498" s="122">
        <v>211617</v>
      </c>
      <c r="I498" s="123"/>
      <c r="J498" s="123"/>
    </row>
    <row r="499" spans="2:10" ht="24" x14ac:dyDescent="0.2">
      <c r="B499" s="110">
        <f t="shared" si="15"/>
        <v>72</v>
      </c>
      <c r="C499" s="120"/>
      <c r="D499" s="121" t="s">
        <v>868</v>
      </c>
      <c r="E499" s="122">
        <v>0</v>
      </c>
      <c r="F499" s="524"/>
      <c r="G499" s="122">
        <v>151989</v>
      </c>
      <c r="H499" s="122">
        <v>151989</v>
      </c>
      <c r="I499" s="123"/>
      <c r="J499" s="123"/>
    </row>
    <row r="500" spans="2:10" ht="24" x14ac:dyDescent="0.2">
      <c r="B500" s="110">
        <f t="shared" si="15"/>
        <v>73</v>
      </c>
      <c r="C500" s="120"/>
      <c r="D500" s="121" t="s">
        <v>869</v>
      </c>
      <c r="E500" s="122">
        <v>0</v>
      </c>
      <c r="F500" s="524"/>
      <c r="G500" s="122"/>
      <c r="H500" s="122"/>
      <c r="I500" s="123"/>
      <c r="J500" s="123"/>
    </row>
    <row r="501" spans="2:10" ht="36" x14ac:dyDescent="0.2">
      <c r="B501" s="110">
        <f t="shared" si="15"/>
        <v>74</v>
      </c>
      <c r="C501" s="120"/>
      <c r="D501" s="121" t="s">
        <v>866</v>
      </c>
      <c r="E501" s="122">
        <v>0</v>
      </c>
      <c r="F501" s="524"/>
      <c r="G501" s="122">
        <v>246000</v>
      </c>
      <c r="H501" s="122">
        <v>246000</v>
      </c>
      <c r="I501" s="123"/>
      <c r="J501" s="123"/>
    </row>
    <row r="502" spans="2:10" ht="36" x14ac:dyDescent="0.2">
      <c r="B502" s="110">
        <f t="shared" si="15"/>
        <v>75</v>
      </c>
      <c r="C502" s="120"/>
      <c r="D502" s="121" t="s">
        <v>861</v>
      </c>
      <c r="E502" s="122">
        <v>0</v>
      </c>
      <c r="F502" s="524"/>
      <c r="G502" s="122"/>
      <c r="H502" s="122"/>
      <c r="I502" s="123">
        <v>76194</v>
      </c>
      <c r="J502" s="123">
        <v>582509</v>
      </c>
    </row>
    <row r="503" spans="2:10" ht="24" x14ac:dyDescent="0.2">
      <c r="B503" s="110">
        <f t="shared" si="15"/>
        <v>76</v>
      </c>
      <c r="C503" s="120"/>
      <c r="D503" s="121" t="s">
        <v>863</v>
      </c>
      <c r="E503" s="122">
        <v>0</v>
      </c>
      <c r="F503" s="524"/>
      <c r="G503" s="122"/>
      <c r="H503" s="122"/>
      <c r="I503" s="123"/>
      <c r="J503" s="123">
        <v>66025</v>
      </c>
    </row>
    <row r="504" spans="2:10" ht="24" x14ac:dyDescent="0.2">
      <c r="B504" s="110">
        <f t="shared" si="15"/>
        <v>77</v>
      </c>
      <c r="C504" s="120"/>
      <c r="D504" s="121" t="s">
        <v>855</v>
      </c>
      <c r="E504" s="122">
        <v>0</v>
      </c>
      <c r="F504" s="524"/>
      <c r="G504" s="122"/>
      <c r="H504" s="122"/>
      <c r="I504" s="123">
        <v>31322</v>
      </c>
      <c r="J504" s="123"/>
    </row>
    <row r="505" spans="2:10" ht="24" x14ac:dyDescent="0.2">
      <c r="B505" s="110">
        <f t="shared" si="15"/>
        <v>78</v>
      </c>
      <c r="C505" s="120"/>
      <c r="D505" s="121" t="s">
        <v>862</v>
      </c>
      <c r="E505" s="122">
        <v>0</v>
      </c>
      <c r="F505" s="524"/>
      <c r="G505" s="122"/>
      <c r="H505" s="122"/>
      <c r="I505" s="123"/>
      <c r="J505" s="123">
        <v>262174</v>
      </c>
    </row>
    <row r="506" spans="2:10" ht="24" x14ac:dyDescent="0.2">
      <c r="B506" s="110">
        <f t="shared" si="15"/>
        <v>79</v>
      </c>
      <c r="C506" s="120"/>
      <c r="D506" s="121" t="s">
        <v>870</v>
      </c>
      <c r="E506" s="122">
        <v>0</v>
      </c>
      <c r="F506" s="524"/>
      <c r="G506" s="122"/>
      <c r="H506" s="122"/>
      <c r="I506" s="123">
        <v>45223</v>
      </c>
      <c r="J506" s="123"/>
    </row>
    <row r="507" spans="2:10" ht="24" x14ac:dyDescent="0.2">
      <c r="B507" s="110">
        <f t="shared" si="15"/>
        <v>80</v>
      </c>
      <c r="C507" s="120"/>
      <c r="D507" s="121" t="s">
        <v>849</v>
      </c>
      <c r="E507" s="122">
        <v>0</v>
      </c>
      <c r="F507" s="524"/>
      <c r="G507" s="122"/>
      <c r="H507" s="122"/>
      <c r="I507" s="123"/>
      <c r="J507" s="123">
        <v>2128</v>
      </c>
    </row>
    <row r="508" spans="2:10" ht="24" x14ac:dyDescent="0.2">
      <c r="B508" s="110">
        <f t="shared" si="15"/>
        <v>81</v>
      </c>
      <c r="C508" s="120"/>
      <c r="D508" s="121" t="s">
        <v>679</v>
      </c>
      <c r="E508" s="122">
        <v>0</v>
      </c>
      <c r="F508" s="524"/>
      <c r="G508" s="122">
        <v>335267</v>
      </c>
      <c r="H508" s="122">
        <v>335267</v>
      </c>
      <c r="I508" s="123"/>
      <c r="J508" s="123"/>
    </row>
    <row r="509" spans="2:10" ht="24" x14ac:dyDescent="0.2">
      <c r="B509" s="110">
        <f t="shared" si="15"/>
        <v>82</v>
      </c>
      <c r="C509" s="120"/>
      <c r="D509" s="121" t="s">
        <v>871</v>
      </c>
      <c r="E509" s="122">
        <v>0</v>
      </c>
      <c r="F509" s="524"/>
      <c r="G509" s="122">
        <v>184730</v>
      </c>
      <c r="H509" s="122">
        <v>184730</v>
      </c>
      <c r="I509" s="123"/>
      <c r="J509" s="123"/>
    </row>
    <row r="510" spans="2:10" x14ac:dyDescent="0.2">
      <c r="B510" s="110">
        <f t="shared" si="15"/>
        <v>83</v>
      </c>
      <c r="C510" s="364"/>
      <c r="D510" s="365" t="s">
        <v>1059</v>
      </c>
      <c r="E510" s="366">
        <v>1748000</v>
      </c>
      <c r="F510" s="525"/>
      <c r="G510" s="366">
        <v>460000</v>
      </c>
      <c r="H510" s="366">
        <v>460000</v>
      </c>
      <c r="I510" s="367"/>
      <c r="J510" s="367"/>
    </row>
    <row r="511" spans="2:10" x14ac:dyDescent="0.2">
      <c r="B511" s="110">
        <f t="shared" si="15"/>
        <v>84</v>
      </c>
      <c r="C511" s="364"/>
      <c r="D511" s="365" t="s">
        <v>1050</v>
      </c>
      <c r="E511" s="366">
        <v>115000</v>
      </c>
      <c r="F511" s="525"/>
      <c r="G511" s="366"/>
      <c r="H511" s="366"/>
      <c r="I511" s="367"/>
      <c r="J511" s="367"/>
    </row>
    <row r="512" spans="2:10" x14ac:dyDescent="0.2">
      <c r="B512" s="110"/>
      <c r="C512" s="581">
        <v>322002</v>
      </c>
      <c r="D512" s="582" t="s">
        <v>322</v>
      </c>
      <c r="E512" s="583"/>
      <c r="F512" s="583"/>
      <c r="G512" s="583"/>
      <c r="H512" s="583">
        <f>H513</f>
        <v>148700</v>
      </c>
      <c r="I512" s="584"/>
      <c r="J512" s="584"/>
    </row>
    <row r="513" spans="2:10" x14ac:dyDescent="0.2">
      <c r="B513" s="110"/>
      <c r="C513" s="364"/>
      <c r="D513" s="365" t="s">
        <v>1100</v>
      </c>
      <c r="E513" s="366"/>
      <c r="F513" s="525"/>
      <c r="G513" s="366"/>
      <c r="H513" s="366">
        <v>148700</v>
      </c>
      <c r="I513" s="367"/>
      <c r="J513" s="367"/>
    </row>
    <row r="514" spans="2:10" x14ac:dyDescent="0.2">
      <c r="B514" s="110">
        <f>B511+1</f>
        <v>85</v>
      </c>
      <c r="C514" s="14">
        <v>330</v>
      </c>
      <c r="D514" s="14" t="s">
        <v>313</v>
      </c>
      <c r="E514" s="15">
        <v>0</v>
      </c>
      <c r="F514" s="499"/>
      <c r="G514" s="15">
        <f t="shared" ref="G514:J515" si="17">G515</f>
        <v>0</v>
      </c>
      <c r="H514" s="15">
        <f t="shared" si="17"/>
        <v>0</v>
      </c>
      <c r="I514" s="16">
        <f t="shared" si="17"/>
        <v>0</v>
      </c>
      <c r="J514" s="16">
        <f t="shared" si="17"/>
        <v>14801</v>
      </c>
    </row>
    <row r="515" spans="2:10" x14ac:dyDescent="0.2">
      <c r="B515" s="110">
        <f t="shared" si="15"/>
        <v>86</v>
      </c>
      <c r="C515" s="117">
        <v>332</v>
      </c>
      <c r="D515" s="117" t="s">
        <v>550</v>
      </c>
      <c r="E515" s="118">
        <f>E516</f>
        <v>0</v>
      </c>
      <c r="F515" s="164"/>
      <c r="G515" s="118">
        <f t="shared" si="17"/>
        <v>0</v>
      </c>
      <c r="H515" s="118">
        <f t="shared" si="17"/>
        <v>0</v>
      </c>
      <c r="I515" s="119">
        <f t="shared" si="17"/>
        <v>0</v>
      </c>
      <c r="J515" s="119">
        <f t="shared" si="17"/>
        <v>14801</v>
      </c>
    </row>
    <row r="516" spans="2:10" x14ac:dyDescent="0.2">
      <c r="B516" s="110">
        <f t="shared" si="15"/>
        <v>87</v>
      </c>
      <c r="C516" s="120"/>
      <c r="D516" s="121" t="s">
        <v>551</v>
      </c>
      <c r="E516" s="122">
        <v>0</v>
      </c>
      <c r="F516" s="524"/>
      <c r="G516" s="122"/>
      <c r="H516" s="122"/>
      <c r="I516" s="123"/>
      <c r="J516" s="123">
        <v>14801</v>
      </c>
    </row>
    <row r="517" spans="2:10" ht="15.75" x14ac:dyDescent="0.2">
      <c r="B517" s="110">
        <f t="shared" si="15"/>
        <v>88</v>
      </c>
      <c r="C517" s="124"/>
      <c r="D517" s="124" t="s">
        <v>44</v>
      </c>
      <c r="E517" s="125">
        <f>E437+E428</f>
        <v>56102374</v>
      </c>
      <c r="F517" s="526"/>
      <c r="G517" s="531">
        <f>G437+G428</f>
        <v>42496437</v>
      </c>
      <c r="H517" s="531">
        <f>H437+H428</f>
        <v>49143266</v>
      </c>
      <c r="I517" s="126">
        <f>I437+I428</f>
        <v>2154065</v>
      </c>
      <c r="J517" s="126">
        <f>J437+J428</f>
        <v>3108977</v>
      </c>
    </row>
    <row r="519" spans="2:10" ht="6.75" customHeight="1" x14ac:dyDescent="0.2">
      <c r="B519" s="666" t="s">
        <v>433</v>
      </c>
      <c r="C519" s="667"/>
      <c r="D519" s="667"/>
      <c r="E519" s="655" t="s">
        <v>1204</v>
      </c>
      <c r="F519" s="494"/>
      <c r="G519" s="644" t="s">
        <v>836</v>
      </c>
      <c r="H519" s="644" t="s">
        <v>835</v>
      </c>
      <c r="I519" s="644" t="s">
        <v>834</v>
      </c>
      <c r="J519" s="644" t="s">
        <v>642</v>
      </c>
    </row>
    <row r="520" spans="2:10" ht="12.75" customHeight="1" x14ac:dyDescent="0.2">
      <c r="B520" s="668"/>
      <c r="C520" s="669"/>
      <c r="D520" s="669"/>
      <c r="E520" s="656"/>
      <c r="F520" s="495"/>
      <c r="G520" s="645"/>
      <c r="H520" s="645"/>
      <c r="I520" s="645"/>
      <c r="J520" s="645"/>
    </row>
    <row r="521" spans="2:10" ht="13.5" customHeight="1" x14ac:dyDescent="0.2">
      <c r="B521" s="671" t="s">
        <v>118</v>
      </c>
      <c r="C521" s="660" t="s">
        <v>120</v>
      </c>
      <c r="D521" s="664" t="s">
        <v>119</v>
      </c>
      <c r="E521" s="656"/>
      <c r="F521" s="495"/>
      <c r="G521" s="645"/>
      <c r="H521" s="645"/>
      <c r="I521" s="645"/>
      <c r="J521" s="645"/>
    </row>
    <row r="522" spans="2:10" ht="6" customHeight="1" x14ac:dyDescent="0.2">
      <c r="B522" s="671"/>
      <c r="C522" s="660"/>
      <c r="D522" s="664"/>
      <c r="E522" s="657"/>
      <c r="F522" s="496"/>
      <c r="G522" s="647"/>
      <c r="H522" s="647"/>
      <c r="I522" s="647"/>
      <c r="J522" s="647"/>
    </row>
    <row r="523" spans="2:10" ht="15.75" x14ac:dyDescent="0.2">
      <c r="B523" s="127">
        <v>1</v>
      </c>
      <c r="C523" s="128"/>
      <c r="D523" s="128" t="s">
        <v>121</v>
      </c>
      <c r="E523" s="129">
        <f>E422</f>
        <v>71335598</v>
      </c>
      <c r="F523" s="527"/>
      <c r="G523" s="529">
        <f>G422</f>
        <v>65871766</v>
      </c>
      <c r="H523" s="529">
        <f>H422</f>
        <v>68608122</v>
      </c>
      <c r="I523" s="130">
        <f>I422</f>
        <v>59977304</v>
      </c>
      <c r="J523" s="130">
        <f>J422</f>
        <v>54373299</v>
      </c>
    </row>
    <row r="524" spans="2:10" ht="15.75" x14ac:dyDescent="0.2">
      <c r="B524" s="127">
        <v>2</v>
      </c>
      <c r="C524" s="128"/>
      <c r="D524" s="128" t="s">
        <v>44</v>
      </c>
      <c r="E524" s="129">
        <f>E517</f>
        <v>56102374</v>
      </c>
      <c r="F524" s="527"/>
      <c r="G524" s="529">
        <f>G517</f>
        <v>42496437</v>
      </c>
      <c r="H524" s="529">
        <f>H517</f>
        <v>49143266</v>
      </c>
      <c r="I524" s="130">
        <f>I517</f>
        <v>2154065</v>
      </c>
      <c r="J524" s="130">
        <f>J517</f>
        <v>3108977</v>
      </c>
    </row>
    <row r="525" spans="2:10" ht="15.75" x14ac:dyDescent="0.25">
      <c r="B525" s="131">
        <v>3</v>
      </c>
      <c r="C525" s="132"/>
      <c r="D525" s="132" t="s">
        <v>45</v>
      </c>
      <c r="E525" s="133">
        <f>E523+E524</f>
        <v>127437972</v>
      </c>
      <c r="F525" s="528"/>
      <c r="G525" s="530">
        <f>G422+G517</f>
        <v>108368203</v>
      </c>
      <c r="H525" s="530">
        <f>H422+H517</f>
        <v>117751388</v>
      </c>
      <c r="I525" s="134">
        <f>I422+I517</f>
        <v>62131369</v>
      </c>
      <c r="J525" s="134">
        <f>J422+J517</f>
        <v>57482276</v>
      </c>
    </row>
    <row r="527" spans="2:10" s="2" customFormat="1" x14ac:dyDescent="0.2">
      <c r="B527" s="135"/>
      <c r="F527" s="438"/>
      <c r="I527" s="105"/>
      <c r="J527" s="105"/>
    </row>
  </sheetData>
  <mergeCells count="28">
    <mergeCell ref="E519:E522"/>
    <mergeCell ref="E424:E427"/>
    <mergeCell ref="B424:D425"/>
    <mergeCell ref="B426:B427"/>
    <mergeCell ref="I519:I522"/>
    <mergeCell ref="G519:G522"/>
    <mergeCell ref="B521:B522"/>
    <mergeCell ref="C521:C522"/>
    <mergeCell ref="D521:D522"/>
    <mergeCell ref="B519:D520"/>
    <mergeCell ref="I424:I427"/>
    <mergeCell ref="H424:H427"/>
    <mergeCell ref="J424:J427"/>
    <mergeCell ref="H519:H522"/>
    <mergeCell ref="J519:J522"/>
    <mergeCell ref="B2:J2"/>
    <mergeCell ref="J3:J6"/>
    <mergeCell ref="B3:D4"/>
    <mergeCell ref="B5:B6"/>
    <mergeCell ref="E3:E6"/>
    <mergeCell ref="G424:G427"/>
    <mergeCell ref="C5:C6"/>
    <mergeCell ref="G3:G6"/>
    <mergeCell ref="I3:I6"/>
    <mergeCell ref="C426:C427"/>
    <mergeCell ref="H3:H6"/>
    <mergeCell ref="D5:D6"/>
    <mergeCell ref="D426:D427"/>
  </mergeCells>
  <phoneticPr fontId="1" type="noConversion"/>
  <pageMargins left="0.11811023622047245" right="0.31496062992125984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B1:AA2428"/>
  <sheetViews>
    <sheetView showWhiteSpace="0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.140625" style="3" customWidth="1"/>
    <col min="2" max="2" width="4" style="136" customWidth="1"/>
    <col min="3" max="3" width="5.5703125" style="3" customWidth="1"/>
    <col min="4" max="4" width="3.42578125" style="3" customWidth="1"/>
    <col min="5" max="5" width="4.42578125" style="3" customWidth="1"/>
    <col min="6" max="6" width="5.5703125" style="137" customWidth="1"/>
    <col min="7" max="7" width="5" style="137" customWidth="1"/>
    <col min="8" max="8" width="39.7109375" style="3" customWidth="1"/>
    <col min="9" max="9" width="12.5703125" style="2" customWidth="1"/>
    <col min="10" max="10" width="13.140625" style="2" customWidth="1"/>
    <col min="11" max="11" width="12.140625" style="105" customWidth="1"/>
    <col min="12" max="12" width="9" style="105" customWidth="1"/>
    <col min="13" max="13" width="9.28515625" style="105" customWidth="1"/>
    <col min="14" max="14" width="1" style="438" customWidth="1"/>
    <col min="15" max="15" width="12" style="2" customWidth="1"/>
    <col min="16" max="16" width="12.28515625" style="2" customWidth="1"/>
    <col min="17" max="17" width="12.7109375" style="2" customWidth="1"/>
    <col min="18" max="18" width="8.28515625" style="105" customWidth="1"/>
    <col min="19" max="19" width="8.140625" style="105" customWidth="1"/>
    <col min="20" max="20" width="1.140625" style="438" customWidth="1"/>
    <col min="21" max="21" width="12.42578125" style="2" customWidth="1"/>
    <col min="22" max="23" width="9.140625" style="3" customWidth="1"/>
    <col min="24" max="24" width="12.140625" style="3" customWidth="1"/>
    <col min="25" max="25" width="12.7109375" style="3" customWidth="1"/>
    <col min="26" max="26" width="13.140625" style="3" customWidth="1"/>
    <col min="27" max="27" width="11.7109375" style="3" customWidth="1"/>
    <col min="28" max="16384" width="9.140625" style="3"/>
  </cols>
  <sheetData>
    <row r="1" spans="2:21" ht="10.5" customHeight="1" x14ac:dyDescent="0.35">
      <c r="B1" s="679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</row>
    <row r="2" spans="2:21" ht="13.5" customHeight="1" x14ac:dyDescent="0.2">
      <c r="B2" s="684" t="s">
        <v>842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567"/>
      <c r="U2" s="682" t="s">
        <v>1207</v>
      </c>
    </row>
    <row r="3" spans="2:21" ht="19.5" customHeight="1" x14ac:dyDescent="0.2">
      <c r="B3" s="681"/>
      <c r="C3" s="681" t="s">
        <v>122</v>
      </c>
      <c r="D3" s="681" t="s">
        <v>123</v>
      </c>
      <c r="E3" s="681"/>
      <c r="F3" s="681" t="s">
        <v>124</v>
      </c>
      <c r="G3" s="689" t="s">
        <v>125</v>
      </c>
      <c r="H3" s="686" t="s">
        <v>126</v>
      </c>
      <c r="I3" s="673" t="s">
        <v>1205</v>
      </c>
      <c r="J3" s="674" t="s">
        <v>837</v>
      </c>
      <c r="K3" s="674" t="s">
        <v>838</v>
      </c>
      <c r="L3" s="672" t="s">
        <v>839</v>
      </c>
      <c r="M3" s="672" t="s">
        <v>643</v>
      </c>
      <c r="N3" s="493"/>
      <c r="O3" s="673" t="s">
        <v>1206</v>
      </c>
      <c r="P3" s="674" t="s">
        <v>840</v>
      </c>
      <c r="Q3" s="674" t="s">
        <v>841</v>
      </c>
      <c r="R3" s="672" t="s">
        <v>839</v>
      </c>
      <c r="S3" s="672" t="s">
        <v>643</v>
      </c>
      <c r="T3" s="493"/>
      <c r="U3" s="683"/>
    </row>
    <row r="4" spans="2:21" ht="14.25" customHeight="1" x14ac:dyDescent="0.2">
      <c r="B4" s="681"/>
      <c r="C4" s="681"/>
      <c r="D4" s="681"/>
      <c r="E4" s="681"/>
      <c r="F4" s="681"/>
      <c r="G4" s="689"/>
      <c r="H4" s="686"/>
      <c r="I4" s="673"/>
      <c r="J4" s="674"/>
      <c r="K4" s="674"/>
      <c r="L4" s="672"/>
      <c r="M4" s="672"/>
      <c r="N4" s="493"/>
      <c r="O4" s="673"/>
      <c r="P4" s="674"/>
      <c r="Q4" s="674"/>
      <c r="R4" s="672"/>
      <c r="S4" s="672"/>
      <c r="T4" s="493"/>
      <c r="U4" s="683"/>
    </row>
    <row r="5" spans="2:21" ht="11.25" customHeight="1" x14ac:dyDescent="0.2">
      <c r="B5" s="681"/>
      <c r="C5" s="681"/>
      <c r="D5" s="681"/>
      <c r="E5" s="681"/>
      <c r="F5" s="681"/>
      <c r="G5" s="689"/>
      <c r="H5" s="686"/>
      <c r="I5" s="673"/>
      <c r="J5" s="674"/>
      <c r="K5" s="674"/>
      <c r="L5" s="672"/>
      <c r="M5" s="672"/>
      <c r="N5" s="493"/>
      <c r="O5" s="673"/>
      <c r="P5" s="674"/>
      <c r="Q5" s="674"/>
      <c r="R5" s="672"/>
      <c r="S5" s="672"/>
      <c r="T5" s="493"/>
      <c r="U5" s="683"/>
    </row>
    <row r="6" spans="2:21" ht="4.5" customHeight="1" x14ac:dyDescent="0.2">
      <c r="B6" s="681"/>
      <c r="C6" s="681"/>
      <c r="D6" s="681"/>
      <c r="E6" s="681"/>
      <c r="F6" s="681"/>
      <c r="G6" s="689"/>
      <c r="H6" s="686"/>
      <c r="I6" s="673"/>
      <c r="J6" s="674"/>
      <c r="K6" s="674"/>
      <c r="L6" s="672"/>
      <c r="M6" s="672"/>
      <c r="N6" s="493"/>
      <c r="O6" s="673"/>
      <c r="P6" s="674"/>
      <c r="Q6" s="674"/>
      <c r="R6" s="672"/>
      <c r="S6" s="672"/>
      <c r="T6" s="493"/>
      <c r="U6" s="683"/>
    </row>
    <row r="7" spans="2:21" ht="23.25" customHeight="1" x14ac:dyDescent="0.35">
      <c r="B7" s="679" t="s">
        <v>1096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</row>
    <row r="8" spans="2:21" ht="21.75" customHeight="1" x14ac:dyDescent="0.2">
      <c r="B8" s="8">
        <v>1</v>
      </c>
      <c r="C8" s="710" t="s">
        <v>41</v>
      </c>
      <c r="D8" s="711"/>
      <c r="E8" s="711"/>
      <c r="F8" s="711"/>
      <c r="G8" s="711"/>
      <c r="H8" s="711"/>
      <c r="I8" s="138">
        <f>I78+I75+I67+I51+I32+I9</f>
        <v>977385</v>
      </c>
      <c r="J8" s="138">
        <f>J78+J75+J67+J51+J32+J9</f>
        <v>941269</v>
      </c>
      <c r="K8" s="138">
        <f>K78+K75+K67+K51+K32+K9</f>
        <v>784976</v>
      </c>
      <c r="L8" s="139">
        <f>L78+L75+L67+L51+L32+L9</f>
        <v>700228</v>
      </c>
      <c r="M8" s="139">
        <f>M78+M75+M67+M51+M32+M9</f>
        <v>521892</v>
      </c>
      <c r="N8" s="532"/>
      <c r="O8" s="138">
        <f>O78+O75+O67+O51+O32+O9</f>
        <v>1113500</v>
      </c>
      <c r="P8" s="138">
        <f>P78+P75+P67+P51+P32+P9</f>
        <v>2649040</v>
      </c>
      <c r="Q8" s="138">
        <f>Q78+Q75+Q67+Q51+Q32+Q9</f>
        <v>1350574</v>
      </c>
      <c r="R8" s="139">
        <f>R78+R75+R67+R51+R32+R9</f>
        <v>144638</v>
      </c>
      <c r="S8" s="139">
        <f>S78+S75+S67+S51+S32+S9</f>
        <v>129945</v>
      </c>
      <c r="T8" s="532"/>
      <c r="U8" s="140">
        <f t="shared" ref="U8:U39" si="0">I8+O8</f>
        <v>2090885</v>
      </c>
    </row>
    <row r="9" spans="2:21" ht="15.75" x14ac:dyDescent="0.25">
      <c r="B9" s="8">
        <f>B8+1</f>
        <v>2</v>
      </c>
      <c r="C9" s="141">
        <v>1</v>
      </c>
      <c r="D9" s="677" t="s">
        <v>200</v>
      </c>
      <c r="E9" s="678"/>
      <c r="F9" s="678"/>
      <c r="G9" s="678"/>
      <c r="H9" s="678"/>
      <c r="I9" s="142">
        <f>I25+I22+I19+I10</f>
        <v>211200</v>
      </c>
      <c r="J9" s="142">
        <f>J25+J22+J19+J10</f>
        <v>234655</v>
      </c>
      <c r="K9" s="142">
        <f>K25+K22+K19+K10</f>
        <v>224855</v>
      </c>
      <c r="L9" s="143">
        <f>L25+L22+L19+L10</f>
        <v>194243</v>
      </c>
      <c r="M9" s="143">
        <f>M25+M22+M19+M10</f>
        <v>164231</v>
      </c>
      <c r="N9" s="533"/>
      <c r="O9" s="142"/>
      <c r="P9" s="142"/>
      <c r="Q9" s="142"/>
      <c r="R9" s="143"/>
      <c r="S9" s="143"/>
      <c r="T9" s="533"/>
      <c r="U9" s="411">
        <f t="shared" si="0"/>
        <v>211200</v>
      </c>
    </row>
    <row r="10" spans="2:21" ht="14.25" x14ac:dyDescent="0.2">
      <c r="B10" s="8">
        <f>B9+1</f>
        <v>3</v>
      </c>
      <c r="C10" s="145"/>
      <c r="D10" s="145">
        <v>1</v>
      </c>
      <c r="E10" s="708" t="s">
        <v>214</v>
      </c>
      <c r="F10" s="709"/>
      <c r="G10" s="709"/>
      <c r="H10" s="709"/>
      <c r="I10" s="146">
        <f>I11+I17</f>
        <v>36700</v>
      </c>
      <c r="J10" s="146">
        <f>J11+J17</f>
        <v>46300</v>
      </c>
      <c r="K10" s="146">
        <f>K11+K17</f>
        <v>46500</v>
      </c>
      <c r="L10" s="147">
        <f>L11+L17</f>
        <v>22415</v>
      </c>
      <c r="M10" s="147">
        <f>M11+M17</f>
        <v>23781</v>
      </c>
      <c r="N10" s="534"/>
      <c r="O10" s="146"/>
      <c r="P10" s="146"/>
      <c r="Q10" s="146"/>
      <c r="R10" s="147"/>
      <c r="S10" s="147"/>
      <c r="T10" s="534"/>
      <c r="U10" s="148">
        <f t="shared" si="0"/>
        <v>36700</v>
      </c>
    </row>
    <row r="11" spans="2:21" x14ac:dyDescent="0.2">
      <c r="B11" s="8">
        <f t="shared" ref="B11:B78" si="1">B10+1</f>
        <v>4</v>
      </c>
      <c r="C11" s="24"/>
      <c r="D11" s="24"/>
      <c r="E11" s="24"/>
      <c r="F11" s="149" t="s">
        <v>79</v>
      </c>
      <c r="G11" s="150">
        <v>630</v>
      </c>
      <c r="H11" s="24" t="s">
        <v>131</v>
      </c>
      <c r="I11" s="25">
        <f>I16+I15+I14+I13+I12</f>
        <v>36700</v>
      </c>
      <c r="J11" s="25">
        <f>J16+J15+J14+J13+J12</f>
        <v>30300</v>
      </c>
      <c r="K11" s="25">
        <f>K16+K15+K14+K13+K12</f>
        <v>46500</v>
      </c>
      <c r="L11" s="26">
        <f>L16+L15+L14+L13+L12</f>
        <v>22415</v>
      </c>
      <c r="M11" s="26">
        <f>M16+M15+M14+M13+M12</f>
        <v>23781</v>
      </c>
      <c r="N11" s="501"/>
      <c r="O11" s="25"/>
      <c r="P11" s="25"/>
      <c r="Q11" s="25"/>
      <c r="R11" s="26"/>
      <c r="S11" s="26"/>
      <c r="T11" s="501"/>
      <c r="U11" s="151">
        <f t="shared" si="0"/>
        <v>36700</v>
      </c>
    </row>
    <row r="12" spans="2:21" x14ac:dyDescent="0.2">
      <c r="B12" s="8">
        <f t="shared" si="1"/>
        <v>5</v>
      </c>
      <c r="C12" s="18"/>
      <c r="D12" s="18"/>
      <c r="E12" s="18"/>
      <c r="F12" s="152"/>
      <c r="G12" s="153">
        <v>631</v>
      </c>
      <c r="H12" s="18" t="s">
        <v>137</v>
      </c>
      <c r="I12" s="19">
        <v>8000</v>
      </c>
      <c r="J12" s="19">
        <v>4000</v>
      </c>
      <c r="K12" s="19">
        <v>12000</v>
      </c>
      <c r="L12" s="20">
        <v>1494</v>
      </c>
      <c r="M12" s="20">
        <v>129</v>
      </c>
      <c r="N12" s="164"/>
      <c r="O12" s="19"/>
      <c r="P12" s="19"/>
      <c r="Q12" s="19"/>
      <c r="R12" s="20"/>
      <c r="S12" s="20"/>
      <c r="T12" s="164"/>
      <c r="U12" s="154">
        <f t="shared" si="0"/>
        <v>8000</v>
      </c>
    </row>
    <row r="13" spans="2:21" x14ac:dyDescent="0.2">
      <c r="B13" s="8">
        <f t="shared" si="1"/>
        <v>6</v>
      </c>
      <c r="C13" s="18"/>
      <c r="D13" s="18"/>
      <c r="E13" s="18"/>
      <c r="F13" s="152"/>
      <c r="G13" s="153">
        <v>633</v>
      </c>
      <c r="H13" s="18" t="s">
        <v>135</v>
      </c>
      <c r="I13" s="19">
        <v>15000</v>
      </c>
      <c r="J13" s="19">
        <v>15000</v>
      </c>
      <c r="K13" s="19">
        <v>15000</v>
      </c>
      <c r="L13" s="20">
        <v>11346</v>
      </c>
      <c r="M13" s="20">
        <v>14356</v>
      </c>
      <c r="N13" s="164"/>
      <c r="O13" s="19"/>
      <c r="P13" s="19"/>
      <c r="Q13" s="19"/>
      <c r="R13" s="20"/>
      <c r="S13" s="20"/>
      <c r="T13" s="164"/>
      <c r="U13" s="154">
        <f t="shared" si="0"/>
        <v>15000</v>
      </c>
    </row>
    <row r="14" spans="2:21" x14ac:dyDescent="0.2">
      <c r="B14" s="8">
        <f t="shared" si="1"/>
        <v>7</v>
      </c>
      <c r="C14" s="18"/>
      <c r="D14" s="18"/>
      <c r="E14" s="18"/>
      <c r="F14" s="152"/>
      <c r="G14" s="153">
        <v>634</v>
      </c>
      <c r="H14" s="18" t="s">
        <v>142</v>
      </c>
      <c r="I14" s="19">
        <v>2000</v>
      </c>
      <c r="J14" s="19">
        <v>1000</v>
      </c>
      <c r="K14" s="19">
        <v>1000</v>
      </c>
      <c r="L14" s="20">
        <v>790</v>
      </c>
      <c r="M14" s="20">
        <v>876</v>
      </c>
      <c r="N14" s="164"/>
      <c r="O14" s="19"/>
      <c r="P14" s="19"/>
      <c r="Q14" s="19"/>
      <c r="R14" s="20"/>
      <c r="S14" s="20"/>
      <c r="T14" s="164"/>
      <c r="U14" s="154">
        <f t="shared" si="0"/>
        <v>2000</v>
      </c>
    </row>
    <row r="15" spans="2:21" x14ac:dyDescent="0.2">
      <c r="B15" s="8">
        <f t="shared" si="1"/>
        <v>8</v>
      </c>
      <c r="C15" s="18"/>
      <c r="D15" s="18"/>
      <c r="E15" s="18"/>
      <c r="F15" s="152"/>
      <c r="G15" s="153">
        <v>636</v>
      </c>
      <c r="H15" s="18" t="s">
        <v>136</v>
      </c>
      <c r="I15" s="19">
        <v>1700</v>
      </c>
      <c r="J15" s="19">
        <v>700</v>
      </c>
      <c r="K15" s="19">
        <v>700</v>
      </c>
      <c r="L15" s="20">
        <v>512</v>
      </c>
      <c r="M15" s="20">
        <v>432</v>
      </c>
      <c r="N15" s="164"/>
      <c r="O15" s="19"/>
      <c r="P15" s="19"/>
      <c r="Q15" s="19"/>
      <c r="R15" s="20"/>
      <c r="S15" s="20"/>
      <c r="T15" s="164"/>
      <c r="U15" s="154">
        <f t="shared" si="0"/>
        <v>1700</v>
      </c>
    </row>
    <row r="16" spans="2:21" x14ac:dyDescent="0.2">
      <c r="B16" s="8">
        <f t="shared" si="1"/>
        <v>9</v>
      </c>
      <c r="C16" s="18"/>
      <c r="D16" s="18"/>
      <c r="E16" s="18"/>
      <c r="F16" s="152"/>
      <c r="G16" s="153">
        <v>637</v>
      </c>
      <c r="H16" s="18" t="s">
        <v>132</v>
      </c>
      <c r="I16" s="19">
        <v>10000</v>
      </c>
      <c r="J16" s="19">
        <v>9600</v>
      </c>
      <c r="K16" s="19">
        <v>17800</v>
      </c>
      <c r="L16" s="20">
        <v>8273</v>
      </c>
      <c r="M16" s="20">
        <v>7988</v>
      </c>
      <c r="N16" s="164"/>
      <c r="O16" s="19"/>
      <c r="P16" s="19"/>
      <c r="Q16" s="19"/>
      <c r="R16" s="20"/>
      <c r="S16" s="20"/>
      <c r="T16" s="164"/>
      <c r="U16" s="154">
        <f t="shared" si="0"/>
        <v>10000</v>
      </c>
    </row>
    <row r="17" spans="2:21" x14ac:dyDescent="0.2">
      <c r="B17" s="8">
        <f t="shared" si="1"/>
        <v>10</v>
      </c>
      <c r="C17" s="24"/>
      <c r="D17" s="24"/>
      <c r="E17" s="24"/>
      <c r="F17" s="149" t="s">
        <v>79</v>
      </c>
      <c r="G17" s="150">
        <v>640</v>
      </c>
      <c r="H17" s="24" t="s">
        <v>139</v>
      </c>
      <c r="I17" s="25">
        <f>I18</f>
        <v>0</v>
      </c>
      <c r="J17" s="25">
        <f>J18</f>
        <v>16000</v>
      </c>
      <c r="K17" s="25"/>
      <c r="L17" s="26"/>
      <c r="M17" s="26"/>
      <c r="N17" s="501"/>
      <c r="O17" s="25"/>
      <c r="P17" s="25"/>
      <c r="Q17" s="25"/>
      <c r="R17" s="26"/>
      <c r="S17" s="26"/>
      <c r="T17" s="501"/>
      <c r="U17" s="151">
        <f t="shared" si="0"/>
        <v>0</v>
      </c>
    </row>
    <row r="18" spans="2:21" x14ac:dyDescent="0.2">
      <c r="B18" s="8">
        <f t="shared" si="1"/>
        <v>11</v>
      </c>
      <c r="C18" s="120"/>
      <c r="D18" s="120"/>
      <c r="E18" s="120"/>
      <c r="F18" s="155"/>
      <c r="G18" s="155"/>
      <c r="H18" s="156" t="s">
        <v>481</v>
      </c>
      <c r="I18" s="157">
        <v>0</v>
      </c>
      <c r="J18" s="157">
        <v>16000</v>
      </c>
      <c r="K18" s="157"/>
      <c r="L18" s="158"/>
      <c r="M18" s="158"/>
      <c r="N18" s="535"/>
      <c r="O18" s="157"/>
      <c r="P18" s="157"/>
      <c r="Q18" s="157"/>
      <c r="R18" s="158"/>
      <c r="S18" s="158"/>
      <c r="T18" s="535"/>
      <c r="U18" s="159">
        <f t="shared" si="0"/>
        <v>0</v>
      </c>
    </row>
    <row r="19" spans="2:21" ht="14.25" x14ac:dyDescent="0.2">
      <c r="B19" s="8">
        <f t="shared" si="1"/>
        <v>12</v>
      </c>
      <c r="C19" s="160"/>
      <c r="D19" s="160">
        <v>2</v>
      </c>
      <c r="E19" s="675" t="s">
        <v>244</v>
      </c>
      <c r="F19" s="676"/>
      <c r="G19" s="676"/>
      <c r="H19" s="676"/>
      <c r="I19" s="161">
        <f t="shared" ref="I19:M20" si="2">I20</f>
        <v>3000</v>
      </c>
      <c r="J19" s="161">
        <f t="shared" si="2"/>
        <v>2855</v>
      </c>
      <c r="K19" s="161">
        <f t="shared" si="2"/>
        <v>2855</v>
      </c>
      <c r="L19" s="162">
        <f t="shared" si="2"/>
        <v>2961</v>
      </c>
      <c r="M19" s="162">
        <f t="shared" si="2"/>
        <v>1990</v>
      </c>
      <c r="N19" s="534"/>
      <c r="O19" s="161"/>
      <c r="P19" s="161"/>
      <c r="Q19" s="161"/>
      <c r="R19" s="162"/>
      <c r="S19" s="162"/>
      <c r="T19" s="534"/>
      <c r="U19" s="163">
        <f t="shared" si="0"/>
        <v>3000</v>
      </c>
    </row>
    <row r="20" spans="2:21" x14ac:dyDescent="0.2">
      <c r="B20" s="8">
        <f t="shared" si="1"/>
        <v>13</v>
      </c>
      <c r="C20" s="24"/>
      <c r="D20" s="24"/>
      <c r="E20" s="24"/>
      <c r="F20" s="149" t="s">
        <v>79</v>
      </c>
      <c r="G20" s="150">
        <v>630</v>
      </c>
      <c r="H20" s="24" t="s">
        <v>131</v>
      </c>
      <c r="I20" s="25">
        <f t="shared" si="2"/>
        <v>3000</v>
      </c>
      <c r="J20" s="25">
        <f t="shared" si="2"/>
        <v>2855</v>
      </c>
      <c r="K20" s="25">
        <f t="shared" si="2"/>
        <v>2855</v>
      </c>
      <c r="L20" s="26">
        <f t="shared" si="2"/>
        <v>2961</v>
      </c>
      <c r="M20" s="26">
        <f t="shared" si="2"/>
        <v>1990</v>
      </c>
      <c r="N20" s="501"/>
      <c r="O20" s="25"/>
      <c r="P20" s="25"/>
      <c r="Q20" s="25"/>
      <c r="R20" s="26"/>
      <c r="S20" s="26"/>
      <c r="T20" s="501"/>
      <c r="U20" s="151">
        <f t="shared" si="0"/>
        <v>3000</v>
      </c>
    </row>
    <row r="21" spans="2:21" x14ac:dyDescent="0.2">
      <c r="B21" s="8">
        <f t="shared" si="1"/>
        <v>14</v>
      </c>
      <c r="C21" s="18"/>
      <c r="D21" s="18"/>
      <c r="E21" s="18"/>
      <c r="F21" s="152"/>
      <c r="G21" s="153">
        <v>633</v>
      </c>
      <c r="H21" s="18" t="s">
        <v>135</v>
      </c>
      <c r="I21" s="19">
        <v>3000</v>
      </c>
      <c r="J21" s="19">
        <v>2855</v>
      </c>
      <c r="K21" s="19">
        <v>2855</v>
      </c>
      <c r="L21" s="20">
        <v>2961</v>
      </c>
      <c r="M21" s="20">
        <v>1990</v>
      </c>
      <c r="N21" s="164"/>
      <c r="O21" s="19"/>
      <c r="P21" s="19"/>
      <c r="Q21" s="19"/>
      <c r="R21" s="20"/>
      <c r="S21" s="20"/>
      <c r="T21" s="164"/>
      <c r="U21" s="154">
        <f t="shared" si="0"/>
        <v>3000</v>
      </c>
    </row>
    <row r="22" spans="2:21" ht="14.25" x14ac:dyDescent="0.2">
      <c r="B22" s="8">
        <f t="shared" si="1"/>
        <v>15</v>
      </c>
      <c r="C22" s="160"/>
      <c r="D22" s="160">
        <v>3</v>
      </c>
      <c r="E22" s="675" t="s">
        <v>245</v>
      </c>
      <c r="F22" s="676"/>
      <c r="G22" s="676"/>
      <c r="H22" s="676"/>
      <c r="I22" s="161">
        <f t="shared" ref="I22:M23" si="3">I23</f>
        <v>2500</v>
      </c>
      <c r="J22" s="161">
        <f t="shared" si="3"/>
        <v>1900</v>
      </c>
      <c r="K22" s="161">
        <f t="shared" si="3"/>
        <v>1900</v>
      </c>
      <c r="L22" s="162">
        <f t="shared" si="3"/>
        <v>1824</v>
      </c>
      <c r="M22" s="162">
        <f t="shared" si="3"/>
        <v>632</v>
      </c>
      <c r="N22" s="534"/>
      <c r="O22" s="161"/>
      <c r="P22" s="161"/>
      <c r="Q22" s="161"/>
      <c r="R22" s="162"/>
      <c r="S22" s="162"/>
      <c r="T22" s="534"/>
      <c r="U22" s="163">
        <f t="shared" si="0"/>
        <v>2500</v>
      </c>
    </row>
    <row r="23" spans="2:21" x14ac:dyDescent="0.2">
      <c r="B23" s="8">
        <f t="shared" si="1"/>
        <v>16</v>
      </c>
      <c r="C23" s="24"/>
      <c r="D23" s="24"/>
      <c r="E23" s="24"/>
      <c r="F23" s="149" t="s">
        <v>79</v>
      </c>
      <c r="G23" s="150">
        <v>630</v>
      </c>
      <c r="H23" s="24" t="s">
        <v>131</v>
      </c>
      <c r="I23" s="25">
        <f>I24</f>
        <v>2500</v>
      </c>
      <c r="J23" s="25">
        <f>J24</f>
        <v>1900</v>
      </c>
      <c r="K23" s="25">
        <f>K24</f>
        <v>1900</v>
      </c>
      <c r="L23" s="26">
        <f t="shared" si="3"/>
        <v>1824</v>
      </c>
      <c r="M23" s="26">
        <f t="shared" si="3"/>
        <v>632</v>
      </c>
      <c r="N23" s="501"/>
      <c r="O23" s="25"/>
      <c r="P23" s="25"/>
      <c r="Q23" s="25"/>
      <c r="R23" s="26"/>
      <c r="S23" s="26"/>
      <c r="T23" s="501"/>
      <c r="U23" s="151">
        <f t="shared" si="0"/>
        <v>2500</v>
      </c>
    </row>
    <row r="24" spans="2:21" x14ac:dyDescent="0.2">
      <c r="B24" s="8">
        <f t="shared" si="1"/>
        <v>17</v>
      </c>
      <c r="C24" s="18"/>
      <c r="D24" s="18"/>
      <c r="E24" s="18"/>
      <c r="F24" s="152"/>
      <c r="G24" s="153">
        <v>633</v>
      </c>
      <c r="H24" s="18" t="s">
        <v>135</v>
      </c>
      <c r="I24" s="19">
        <v>2500</v>
      </c>
      <c r="J24" s="19">
        <v>1900</v>
      </c>
      <c r="K24" s="19">
        <v>1900</v>
      </c>
      <c r="L24" s="20">
        <v>1824</v>
      </c>
      <c r="M24" s="20">
        <v>632</v>
      </c>
      <c r="N24" s="164"/>
      <c r="O24" s="19"/>
      <c r="P24" s="19"/>
      <c r="Q24" s="19"/>
      <c r="R24" s="20"/>
      <c r="S24" s="20"/>
      <c r="T24" s="164"/>
      <c r="U24" s="154">
        <f t="shared" si="0"/>
        <v>2500</v>
      </c>
    </row>
    <row r="25" spans="2:21" ht="14.25" x14ac:dyDescent="0.2">
      <c r="B25" s="8">
        <f t="shared" si="1"/>
        <v>18</v>
      </c>
      <c r="C25" s="160"/>
      <c r="D25" s="160">
        <v>4</v>
      </c>
      <c r="E25" s="675" t="s">
        <v>199</v>
      </c>
      <c r="F25" s="676"/>
      <c r="G25" s="676"/>
      <c r="H25" s="676"/>
      <c r="I25" s="161">
        <f>I26+I27+I31</f>
        <v>169000</v>
      </c>
      <c r="J25" s="161">
        <f>J26+J27</f>
        <v>183600</v>
      </c>
      <c r="K25" s="161">
        <f>K26+K27</f>
        <v>173600</v>
      </c>
      <c r="L25" s="162">
        <f>L26+L27</f>
        <v>167043</v>
      </c>
      <c r="M25" s="162">
        <f>M26+M27</f>
        <v>137828</v>
      </c>
      <c r="N25" s="534"/>
      <c r="O25" s="161"/>
      <c r="P25" s="161"/>
      <c r="Q25" s="161"/>
      <c r="R25" s="162"/>
      <c r="S25" s="162"/>
      <c r="T25" s="534"/>
      <c r="U25" s="163">
        <f t="shared" si="0"/>
        <v>169000</v>
      </c>
    </row>
    <row r="26" spans="2:21" x14ac:dyDescent="0.2">
      <c r="B26" s="8">
        <f t="shared" si="1"/>
        <v>19</v>
      </c>
      <c r="C26" s="24"/>
      <c r="D26" s="24"/>
      <c r="E26" s="24"/>
      <c r="F26" s="149" t="s">
        <v>79</v>
      </c>
      <c r="G26" s="150">
        <v>620</v>
      </c>
      <c r="H26" s="24" t="s">
        <v>134</v>
      </c>
      <c r="I26" s="25">
        <v>35000</v>
      </c>
      <c r="J26" s="25">
        <v>33600</v>
      </c>
      <c r="K26" s="25">
        <v>37200</v>
      </c>
      <c r="L26" s="26">
        <v>33540</v>
      </c>
      <c r="M26" s="26">
        <v>31924</v>
      </c>
      <c r="N26" s="501"/>
      <c r="O26" s="25"/>
      <c r="P26" s="25"/>
      <c r="Q26" s="25"/>
      <c r="R26" s="26"/>
      <c r="S26" s="26"/>
      <c r="T26" s="501"/>
      <c r="U26" s="151">
        <f t="shared" si="0"/>
        <v>35000</v>
      </c>
    </row>
    <row r="27" spans="2:21" x14ac:dyDescent="0.2">
      <c r="B27" s="8">
        <f t="shared" si="1"/>
        <v>20</v>
      </c>
      <c r="C27" s="24"/>
      <c r="D27" s="24"/>
      <c r="E27" s="24"/>
      <c r="F27" s="149" t="s">
        <v>79</v>
      </c>
      <c r="G27" s="150">
        <v>630</v>
      </c>
      <c r="H27" s="24" t="s">
        <v>131</v>
      </c>
      <c r="I27" s="25">
        <f>I30+I29+I28</f>
        <v>133500</v>
      </c>
      <c r="J27" s="25">
        <f>J30+J29+J28</f>
        <v>150000</v>
      </c>
      <c r="K27" s="25">
        <f>K30+K29+K28</f>
        <v>136400</v>
      </c>
      <c r="L27" s="26">
        <f>L30+L29+L28</f>
        <v>133503</v>
      </c>
      <c r="M27" s="26">
        <f>M30+M29+M28</f>
        <v>105904</v>
      </c>
      <c r="N27" s="501"/>
      <c r="O27" s="25"/>
      <c r="P27" s="25"/>
      <c r="Q27" s="25"/>
      <c r="R27" s="26"/>
      <c r="S27" s="26"/>
      <c r="T27" s="501"/>
      <c r="U27" s="151">
        <f t="shared" si="0"/>
        <v>133500</v>
      </c>
    </row>
    <row r="28" spans="2:21" x14ac:dyDescent="0.2">
      <c r="B28" s="8">
        <f t="shared" si="1"/>
        <v>21</v>
      </c>
      <c r="C28" s="18"/>
      <c r="D28" s="18"/>
      <c r="E28" s="18"/>
      <c r="F28" s="152"/>
      <c r="G28" s="153">
        <v>632</v>
      </c>
      <c r="H28" s="18" t="s">
        <v>144</v>
      </c>
      <c r="I28" s="19">
        <v>11000</v>
      </c>
      <c r="J28" s="19">
        <v>15000</v>
      </c>
      <c r="K28" s="19">
        <v>15000</v>
      </c>
      <c r="L28" s="20">
        <v>9996</v>
      </c>
      <c r="M28" s="20">
        <v>9922</v>
      </c>
      <c r="N28" s="164"/>
      <c r="O28" s="19"/>
      <c r="P28" s="19"/>
      <c r="Q28" s="19"/>
      <c r="R28" s="20"/>
      <c r="S28" s="20"/>
      <c r="T28" s="164"/>
      <c r="U28" s="154">
        <f t="shared" si="0"/>
        <v>11000</v>
      </c>
    </row>
    <row r="29" spans="2:21" x14ac:dyDescent="0.2">
      <c r="B29" s="8">
        <f t="shared" si="1"/>
        <v>22</v>
      </c>
      <c r="C29" s="18"/>
      <c r="D29" s="18"/>
      <c r="E29" s="18"/>
      <c r="F29" s="152"/>
      <c r="G29" s="153">
        <v>633</v>
      </c>
      <c r="H29" s="18" t="s">
        <v>135</v>
      </c>
      <c r="I29" s="19">
        <v>2500</v>
      </c>
      <c r="J29" s="19">
        <v>5000</v>
      </c>
      <c r="K29" s="19">
        <v>5000</v>
      </c>
      <c r="L29" s="20">
        <v>21171</v>
      </c>
      <c r="M29" s="20">
        <v>328</v>
      </c>
      <c r="N29" s="164"/>
      <c r="O29" s="19"/>
      <c r="P29" s="19"/>
      <c r="Q29" s="19"/>
      <c r="R29" s="20"/>
      <c r="S29" s="20"/>
      <c r="T29" s="164"/>
      <c r="U29" s="154">
        <f t="shared" si="0"/>
        <v>2500</v>
      </c>
    </row>
    <row r="30" spans="2:21" x14ac:dyDescent="0.2">
      <c r="B30" s="8">
        <f t="shared" si="1"/>
        <v>23</v>
      </c>
      <c r="C30" s="18"/>
      <c r="D30" s="18"/>
      <c r="E30" s="18"/>
      <c r="F30" s="152"/>
      <c r="G30" s="153">
        <v>637</v>
      </c>
      <c r="H30" s="18" t="s">
        <v>132</v>
      </c>
      <c r="I30" s="19">
        <v>120000</v>
      </c>
      <c r="J30" s="19">
        <v>130000</v>
      </c>
      <c r="K30" s="19">
        <v>116400</v>
      </c>
      <c r="L30" s="20">
        <v>102336</v>
      </c>
      <c r="M30" s="20">
        <v>95654</v>
      </c>
      <c r="N30" s="164"/>
      <c r="O30" s="19"/>
      <c r="P30" s="19"/>
      <c r="Q30" s="19"/>
      <c r="R30" s="20"/>
      <c r="S30" s="20"/>
      <c r="T30" s="164"/>
      <c r="U30" s="154">
        <f t="shared" si="0"/>
        <v>120000</v>
      </c>
    </row>
    <row r="31" spans="2:21" x14ac:dyDescent="0.2">
      <c r="B31" s="8">
        <f t="shared" si="1"/>
        <v>24</v>
      </c>
      <c r="C31" s="24"/>
      <c r="D31" s="24"/>
      <c r="E31" s="24"/>
      <c r="F31" s="149" t="s">
        <v>79</v>
      </c>
      <c r="G31" s="150">
        <v>640</v>
      </c>
      <c r="H31" s="24" t="s">
        <v>139</v>
      </c>
      <c r="I31" s="25">
        <v>500</v>
      </c>
      <c r="J31" s="25">
        <v>0</v>
      </c>
      <c r="K31" s="25">
        <v>0</v>
      </c>
      <c r="L31" s="26">
        <v>0</v>
      </c>
      <c r="M31" s="26">
        <v>0</v>
      </c>
      <c r="N31" s="501"/>
      <c r="O31" s="25"/>
      <c r="P31" s="25"/>
      <c r="Q31" s="25"/>
      <c r="R31" s="26"/>
      <c r="S31" s="26"/>
      <c r="T31" s="501"/>
      <c r="U31" s="151">
        <f t="shared" si="0"/>
        <v>500</v>
      </c>
    </row>
    <row r="32" spans="2:21" ht="15.75" x14ac:dyDescent="0.25">
      <c r="B32" s="8">
        <f t="shared" si="1"/>
        <v>25</v>
      </c>
      <c r="C32" s="141">
        <v>2</v>
      </c>
      <c r="D32" s="677" t="s">
        <v>213</v>
      </c>
      <c r="E32" s="678"/>
      <c r="F32" s="678"/>
      <c r="G32" s="678"/>
      <c r="H32" s="678"/>
      <c r="I32" s="142">
        <f>I33+I34</f>
        <v>300000</v>
      </c>
      <c r="J32" s="142">
        <f>J33+J34</f>
        <v>150000</v>
      </c>
      <c r="K32" s="142">
        <f>K33+K34</f>
        <v>150000</v>
      </c>
      <c r="L32" s="143">
        <f>L33+L34</f>
        <v>175322</v>
      </c>
      <c r="M32" s="143">
        <f>M33+M34</f>
        <v>157749</v>
      </c>
      <c r="N32" s="533"/>
      <c r="O32" s="142">
        <f>O39</f>
        <v>184000</v>
      </c>
      <c r="P32" s="142">
        <f>P39</f>
        <v>183000</v>
      </c>
      <c r="Q32" s="142">
        <f>Q39</f>
        <v>219000</v>
      </c>
      <c r="R32" s="143">
        <f>R39</f>
        <v>112344</v>
      </c>
      <c r="S32" s="143">
        <f>S39</f>
        <v>129945</v>
      </c>
      <c r="T32" s="533"/>
      <c r="U32" s="144">
        <f t="shared" si="0"/>
        <v>484000</v>
      </c>
    </row>
    <row r="33" spans="2:21" x14ac:dyDescent="0.2">
      <c r="B33" s="8">
        <f t="shared" si="1"/>
        <v>26</v>
      </c>
      <c r="C33" s="24"/>
      <c r="D33" s="24"/>
      <c r="E33" s="24"/>
      <c r="F33" s="149" t="s">
        <v>212</v>
      </c>
      <c r="G33" s="150">
        <v>620</v>
      </c>
      <c r="H33" s="24" t="s">
        <v>134</v>
      </c>
      <c r="I33" s="25">
        <v>0</v>
      </c>
      <c r="J33" s="25">
        <v>1100</v>
      </c>
      <c r="K33" s="25">
        <v>1100</v>
      </c>
      <c r="L33" s="26">
        <v>0</v>
      </c>
      <c r="M33" s="26">
        <v>273</v>
      </c>
      <c r="N33" s="501"/>
      <c r="O33" s="25"/>
      <c r="P33" s="25"/>
      <c r="Q33" s="25"/>
      <c r="R33" s="26"/>
      <c r="S33" s="26"/>
      <c r="T33" s="501"/>
      <c r="U33" s="151">
        <f t="shared" si="0"/>
        <v>0</v>
      </c>
    </row>
    <row r="34" spans="2:21" x14ac:dyDescent="0.2">
      <c r="B34" s="8">
        <f t="shared" si="1"/>
        <v>27</v>
      </c>
      <c r="C34" s="24"/>
      <c r="D34" s="24"/>
      <c r="E34" s="24"/>
      <c r="F34" s="149" t="s">
        <v>212</v>
      </c>
      <c r="G34" s="150">
        <v>630</v>
      </c>
      <c r="H34" s="24" t="s">
        <v>131</v>
      </c>
      <c r="I34" s="25">
        <f>SUM(I35:I38)</f>
        <v>300000</v>
      </c>
      <c r="J34" s="25">
        <f>J38+J37+J36+J35</f>
        <v>148900</v>
      </c>
      <c r="K34" s="25">
        <f>K38+K37+K36+K35</f>
        <v>148900</v>
      </c>
      <c r="L34" s="26">
        <f>SUM(L35:L38)</f>
        <v>175322</v>
      </c>
      <c r="M34" s="26">
        <f>SUM(M35:M38)</f>
        <v>157476</v>
      </c>
      <c r="N34" s="501"/>
      <c r="O34" s="25"/>
      <c r="P34" s="25"/>
      <c r="Q34" s="25"/>
      <c r="R34" s="26"/>
      <c r="S34" s="26"/>
      <c r="T34" s="501"/>
      <c r="U34" s="151">
        <f t="shared" si="0"/>
        <v>300000</v>
      </c>
    </row>
    <row r="35" spans="2:21" x14ac:dyDescent="0.2">
      <c r="B35" s="8">
        <f t="shared" si="1"/>
        <v>28</v>
      </c>
      <c r="C35" s="18"/>
      <c r="D35" s="18"/>
      <c r="E35" s="18"/>
      <c r="F35" s="152"/>
      <c r="G35" s="153">
        <v>631</v>
      </c>
      <c r="H35" s="18" t="s">
        <v>137</v>
      </c>
      <c r="I35" s="19">
        <v>1000</v>
      </c>
      <c r="J35" s="19">
        <v>500</v>
      </c>
      <c r="K35" s="19">
        <v>500</v>
      </c>
      <c r="L35" s="20">
        <v>219</v>
      </c>
      <c r="M35" s="20">
        <v>299</v>
      </c>
      <c r="N35" s="164"/>
      <c r="O35" s="19"/>
      <c r="P35" s="19"/>
      <c r="Q35" s="19"/>
      <c r="R35" s="20"/>
      <c r="S35" s="20"/>
      <c r="T35" s="164"/>
      <c r="U35" s="154">
        <f t="shared" si="0"/>
        <v>1000</v>
      </c>
    </row>
    <row r="36" spans="2:21" x14ac:dyDescent="0.2">
      <c r="B36" s="8">
        <f t="shared" si="1"/>
        <v>29</v>
      </c>
      <c r="C36" s="18"/>
      <c r="D36" s="18"/>
      <c r="E36" s="18"/>
      <c r="F36" s="152"/>
      <c r="G36" s="153">
        <v>633</v>
      </c>
      <c r="H36" s="18" t="s">
        <v>135</v>
      </c>
      <c r="I36" s="19">
        <v>11000</v>
      </c>
      <c r="J36" s="19">
        <v>10900</v>
      </c>
      <c r="K36" s="19">
        <v>10900</v>
      </c>
      <c r="L36" s="20">
        <v>5982</v>
      </c>
      <c r="M36" s="20">
        <v>720</v>
      </c>
      <c r="N36" s="164"/>
      <c r="O36" s="19"/>
      <c r="P36" s="19"/>
      <c r="Q36" s="19"/>
      <c r="R36" s="20"/>
      <c r="S36" s="20"/>
      <c r="T36" s="164"/>
      <c r="U36" s="154">
        <f t="shared" si="0"/>
        <v>11000</v>
      </c>
    </row>
    <row r="37" spans="2:21" x14ac:dyDescent="0.2">
      <c r="B37" s="8">
        <f t="shared" si="1"/>
        <v>30</v>
      </c>
      <c r="C37" s="18"/>
      <c r="D37" s="18"/>
      <c r="E37" s="18"/>
      <c r="F37" s="152"/>
      <c r="G37" s="153">
        <v>635</v>
      </c>
      <c r="H37" s="18" t="s">
        <v>143</v>
      </c>
      <c r="I37" s="19">
        <v>17000</v>
      </c>
      <c r="J37" s="19">
        <v>16000</v>
      </c>
      <c r="K37" s="19">
        <v>16000</v>
      </c>
      <c r="L37" s="20">
        <v>10045</v>
      </c>
      <c r="M37" s="20">
        <v>8390</v>
      </c>
      <c r="N37" s="164"/>
      <c r="O37" s="19"/>
      <c r="P37" s="19"/>
      <c r="Q37" s="19"/>
      <c r="R37" s="20"/>
      <c r="S37" s="20"/>
      <c r="T37" s="164"/>
      <c r="U37" s="154">
        <f t="shared" si="0"/>
        <v>17000</v>
      </c>
    </row>
    <row r="38" spans="2:21" x14ac:dyDescent="0.2">
      <c r="B38" s="8">
        <f t="shared" si="1"/>
        <v>31</v>
      </c>
      <c r="C38" s="18"/>
      <c r="D38" s="18"/>
      <c r="E38" s="18"/>
      <c r="F38" s="152"/>
      <c r="G38" s="153">
        <v>637</v>
      </c>
      <c r="H38" s="18" t="s">
        <v>132</v>
      </c>
      <c r="I38" s="19">
        <f>391500-120500</f>
        <v>271000</v>
      </c>
      <c r="J38" s="19">
        <v>121500</v>
      </c>
      <c r="K38" s="19">
        <v>121500</v>
      </c>
      <c r="L38" s="20">
        <v>159076</v>
      </c>
      <c r="M38" s="20">
        <v>148067</v>
      </c>
      <c r="N38" s="164"/>
      <c r="O38" s="19"/>
      <c r="P38" s="19"/>
      <c r="Q38" s="19"/>
      <c r="R38" s="20"/>
      <c r="S38" s="20"/>
      <c r="T38" s="164"/>
      <c r="U38" s="154">
        <f t="shared" si="0"/>
        <v>271000</v>
      </c>
    </row>
    <row r="39" spans="2:21" x14ac:dyDescent="0.2">
      <c r="B39" s="8">
        <f t="shared" si="1"/>
        <v>32</v>
      </c>
      <c r="C39" s="24"/>
      <c r="D39" s="24"/>
      <c r="E39" s="24"/>
      <c r="F39" s="149" t="s">
        <v>212</v>
      </c>
      <c r="G39" s="150">
        <v>710</v>
      </c>
      <c r="H39" s="24" t="s">
        <v>185</v>
      </c>
      <c r="I39" s="25"/>
      <c r="J39" s="25"/>
      <c r="K39" s="25"/>
      <c r="L39" s="26"/>
      <c r="M39" s="26"/>
      <c r="N39" s="501"/>
      <c r="O39" s="25">
        <f>O40+O43+O48</f>
        <v>184000</v>
      </c>
      <c r="P39" s="25">
        <f>P40+P43+P48</f>
        <v>183000</v>
      </c>
      <c r="Q39" s="25">
        <f>Q40+Q43+Q48</f>
        <v>219000</v>
      </c>
      <c r="R39" s="26">
        <f>R40+R43+R48</f>
        <v>112344</v>
      </c>
      <c r="S39" s="26">
        <f>S40+S43+S48</f>
        <v>129945</v>
      </c>
      <c r="T39" s="501"/>
      <c r="U39" s="151">
        <f t="shared" si="0"/>
        <v>184000</v>
      </c>
    </row>
    <row r="40" spans="2:21" x14ac:dyDescent="0.2">
      <c r="B40" s="8">
        <f t="shared" si="1"/>
        <v>33</v>
      </c>
      <c r="C40" s="18"/>
      <c r="D40" s="18"/>
      <c r="E40" s="18"/>
      <c r="F40" s="152"/>
      <c r="G40" s="153">
        <v>711</v>
      </c>
      <c r="H40" s="18" t="s">
        <v>219</v>
      </c>
      <c r="I40" s="19"/>
      <c r="J40" s="19"/>
      <c r="K40" s="19"/>
      <c r="L40" s="20"/>
      <c r="M40" s="20"/>
      <c r="N40" s="164"/>
      <c r="O40" s="19">
        <f>SUM(O41:O42)</f>
        <v>129000</v>
      </c>
      <c r="P40" s="19">
        <f>P41</f>
        <v>30000</v>
      </c>
      <c r="Q40" s="19">
        <f>Q41</f>
        <v>30000</v>
      </c>
      <c r="R40" s="20">
        <f>R41</f>
        <v>25300</v>
      </c>
      <c r="S40" s="20">
        <f>S41</f>
        <v>19196</v>
      </c>
      <c r="T40" s="164"/>
      <c r="U40" s="154">
        <f t="shared" ref="U40:U72" si="4">I40+O40</f>
        <v>129000</v>
      </c>
    </row>
    <row r="41" spans="2:21" s="13" customFormat="1" ht="24" x14ac:dyDescent="0.2">
      <c r="B41" s="8">
        <f t="shared" si="1"/>
        <v>34</v>
      </c>
      <c r="C41" s="166"/>
      <c r="D41" s="166"/>
      <c r="E41" s="166"/>
      <c r="F41" s="167"/>
      <c r="G41" s="167"/>
      <c r="H41" s="168" t="s">
        <v>482</v>
      </c>
      <c r="I41" s="169"/>
      <c r="J41" s="169"/>
      <c r="K41" s="169"/>
      <c r="L41" s="170"/>
      <c r="M41" s="170"/>
      <c r="N41" s="536"/>
      <c r="O41" s="169">
        <f>50000-5000</f>
        <v>45000</v>
      </c>
      <c r="P41" s="169">
        <v>30000</v>
      </c>
      <c r="Q41" s="169">
        <v>30000</v>
      </c>
      <c r="R41" s="170">
        <v>25300</v>
      </c>
      <c r="S41" s="170">
        <v>19196</v>
      </c>
      <c r="T41" s="536"/>
      <c r="U41" s="171">
        <f t="shared" si="4"/>
        <v>45000</v>
      </c>
    </row>
    <row r="42" spans="2:21" s="13" customFormat="1" x14ac:dyDescent="0.2">
      <c r="B42" s="8">
        <f t="shared" si="1"/>
        <v>35</v>
      </c>
      <c r="C42" s="166"/>
      <c r="D42" s="166"/>
      <c r="E42" s="166"/>
      <c r="F42" s="167"/>
      <c r="G42" s="167"/>
      <c r="H42" s="168" t="s">
        <v>1054</v>
      </c>
      <c r="I42" s="169"/>
      <c r="J42" s="169"/>
      <c r="K42" s="169"/>
      <c r="L42" s="170"/>
      <c r="M42" s="170"/>
      <c r="N42" s="536"/>
      <c r="O42" s="169">
        <v>84000</v>
      </c>
      <c r="P42" s="169"/>
      <c r="Q42" s="169"/>
      <c r="R42" s="170"/>
      <c r="S42" s="170"/>
      <c r="T42" s="536"/>
      <c r="U42" s="171">
        <f t="shared" si="4"/>
        <v>84000</v>
      </c>
    </row>
    <row r="43" spans="2:21" x14ac:dyDescent="0.2">
      <c r="B43" s="8">
        <f t="shared" si="1"/>
        <v>36</v>
      </c>
      <c r="C43" s="18"/>
      <c r="D43" s="18"/>
      <c r="E43" s="18"/>
      <c r="F43" s="152"/>
      <c r="G43" s="153">
        <v>716</v>
      </c>
      <c r="H43" s="18" t="s">
        <v>226</v>
      </c>
      <c r="I43" s="19"/>
      <c r="J43" s="19"/>
      <c r="K43" s="19"/>
      <c r="L43" s="20"/>
      <c r="M43" s="20"/>
      <c r="N43" s="164"/>
      <c r="O43" s="19">
        <f>SUM(O44:O47)</f>
        <v>55000</v>
      </c>
      <c r="P43" s="19">
        <f>P44+P45+P47</f>
        <v>153000</v>
      </c>
      <c r="Q43" s="19">
        <f>SUM(Q44:Q47)</f>
        <v>183250</v>
      </c>
      <c r="R43" s="20">
        <f>SUM(R44:R47)</f>
        <v>84457</v>
      </c>
      <c r="S43" s="20">
        <f>SUM(S44:S47)</f>
        <v>110749</v>
      </c>
      <c r="T43" s="164"/>
      <c r="U43" s="154">
        <f t="shared" si="4"/>
        <v>55000</v>
      </c>
    </row>
    <row r="44" spans="2:21" x14ac:dyDescent="0.2">
      <c r="B44" s="8">
        <f t="shared" si="1"/>
        <v>37</v>
      </c>
      <c r="C44" s="120"/>
      <c r="D44" s="120"/>
      <c r="E44" s="120"/>
      <c r="F44" s="155"/>
      <c r="G44" s="155"/>
      <c r="H44" s="156" t="s">
        <v>483</v>
      </c>
      <c r="I44" s="157"/>
      <c r="J44" s="157"/>
      <c r="K44" s="157"/>
      <c r="L44" s="158"/>
      <c r="M44" s="158"/>
      <c r="N44" s="535"/>
      <c r="O44" s="157"/>
      <c r="P44" s="157"/>
      <c r="Q44" s="157"/>
      <c r="R44" s="158"/>
      <c r="S44" s="158">
        <v>19228</v>
      </c>
      <c r="T44" s="535"/>
      <c r="U44" s="159">
        <f t="shared" si="4"/>
        <v>0</v>
      </c>
    </row>
    <row r="45" spans="2:21" x14ac:dyDescent="0.2">
      <c r="B45" s="8">
        <f t="shared" si="1"/>
        <v>38</v>
      </c>
      <c r="C45" s="120"/>
      <c r="D45" s="120"/>
      <c r="E45" s="120"/>
      <c r="F45" s="155"/>
      <c r="G45" s="155"/>
      <c r="H45" s="156" t="s">
        <v>484</v>
      </c>
      <c r="I45" s="157"/>
      <c r="J45" s="157"/>
      <c r="K45" s="157"/>
      <c r="L45" s="158"/>
      <c r="M45" s="158"/>
      <c r="N45" s="535"/>
      <c r="O45" s="157"/>
      <c r="P45" s="157">
        <v>83000</v>
      </c>
      <c r="Q45" s="157">
        <v>104000</v>
      </c>
      <c r="R45" s="158">
        <v>27027</v>
      </c>
      <c r="S45" s="158">
        <v>34644</v>
      </c>
      <c r="T45" s="535"/>
      <c r="U45" s="159">
        <f t="shared" si="4"/>
        <v>0</v>
      </c>
    </row>
    <row r="46" spans="2:21" s="13" customFormat="1" ht="33.75" customHeight="1" x14ac:dyDescent="0.2">
      <c r="B46" s="8">
        <f t="shared" si="1"/>
        <v>39</v>
      </c>
      <c r="C46" s="166"/>
      <c r="D46" s="166"/>
      <c r="E46" s="166"/>
      <c r="F46" s="167"/>
      <c r="G46" s="167"/>
      <c r="H46" s="168" t="s">
        <v>1154</v>
      </c>
      <c r="I46" s="169"/>
      <c r="J46" s="169"/>
      <c r="K46" s="169"/>
      <c r="L46" s="170"/>
      <c r="M46" s="170"/>
      <c r="N46" s="536"/>
      <c r="O46" s="169">
        <v>5000</v>
      </c>
      <c r="P46" s="169"/>
      <c r="Q46" s="169"/>
      <c r="R46" s="170"/>
      <c r="S46" s="170"/>
      <c r="T46" s="536"/>
      <c r="U46" s="159">
        <f t="shared" si="4"/>
        <v>5000</v>
      </c>
    </row>
    <row r="47" spans="2:21" ht="12" customHeight="1" x14ac:dyDescent="0.2">
      <c r="B47" s="8">
        <f t="shared" si="1"/>
        <v>40</v>
      </c>
      <c r="C47" s="120"/>
      <c r="D47" s="120"/>
      <c r="E47" s="120"/>
      <c r="F47" s="155"/>
      <c r="G47" s="155"/>
      <c r="H47" s="156" t="s">
        <v>430</v>
      </c>
      <c r="I47" s="157"/>
      <c r="J47" s="157"/>
      <c r="K47" s="157"/>
      <c r="L47" s="158"/>
      <c r="M47" s="158"/>
      <c r="N47" s="535"/>
      <c r="O47" s="157">
        <v>50000</v>
      </c>
      <c r="P47" s="157">
        <v>70000</v>
      </c>
      <c r="Q47" s="157">
        <v>79250</v>
      </c>
      <c r="R47" s="158">
        <v>57430</v>
      </c>
      <c r="S47" s="158">
        <v>56877</v>
      </c>
      <c r="T47" s="535"/>
      <c r="U47" s="159">
        <f t="shared" si="4"/>
        <v>50000</v>
      </c>
    </row>
    <row r="48" spans="2:21" x14ac:dyDescent="0.2">
      <c r="B48" s="8">
        <f t="shared" si="1"/>
        <v>41</v>
      </c>
      <c r="C48" s="18"/>
      <c r="D48" s="18"/>
      <c r="E48" s="18"/>
      <c r="F48" s="152"/>
      <c r="G48" s="153">
        <v>717</v>
      </c>
      <c r="H48" s="18" t="s">
        <v>192</v>
      </c>
      <c r="I48" s="19"/>
      <c r="J48" s="19"/>
      <c r="K48" s="19"/>
      <c r="L48" s="20"/>
      <c r="M48" s="20"/>
      <c r="N48" s="164"/>
      <c r="O48" s="19"/>
      <c r="P48" s="19"/>
      <c r="Q48" s="19">
        <f>Q49+Q50</f>
        <v>5750</v>
      </c>
      <c r="R48" s="20">
        <f>R49</f>
        <v>2587</v>
      </c>
      <c r="S48" s="20"/>
      <c r="T48" s="164"/>
      <c r="U48" s="154">
        <f t="shared" si="4"/>
        <v>0</v>
      </c>
    </row>
    <row r="49" spans="2:21" x14ac:dyDescent="0.2">
      <c r="B49" s="8">
        <f t="shared" si="1"/>
        <v>42</v>
      </c>
      <c r="C49" s="120"/>
      <c r="D49" s="120"/>
      <c r="E49" s="120"/>
      <c r="F49" s="155"/>
      <c r="G49" s="155"/>
      <c r="H49" s="156" t="s">
        <v>960</v>
      </c>
      <c r="I49" s="157"/>
      <c r="J49" s="157"/>
      <c r="K49" s="157"/>
      <c r="L49" s="158"/>
      <c r="M49" s="158"/>
      <c r="N49" s="535"/>
      <c r="O49" s="157"/>
      <c r="P49" s="157"/>
      <c r="Q49" s="157"/>
      <c r="R49" s="158">
        <v>2587</v>
      </c>
      <c r="S49" s="158"/>
      <c r="T49" s="535"/>
      <c r="U49" s="159">
        <f t="shared" si="4"/>
        <v>0</v>
      </c>
    </row>
    <row r="50" spans="2:21" x14ac:dyDescent="0.2">
      <c r="B50" s="8">
        <f t="shared" si="1"/>
        <v>43</v>
      </c>
      <c r="C50" s="120"/>
      <c r="D50" s="120"/>
      <c r="E50" s="120"/>
      <c r="F50" s="155"/>
      <c r="G50" s="155"/>
      <c r="H50" s="156" t="s">
        <v>1101</v>
      </c>
      <c r="I50" s="157"/>
      <c r="J50" s="157"/>
      <c r="K50" s="157"/>
      <c r="L50" s="158"/>
      <c r="M50" s="158"/>
      <c r="N50" s="535"/>
      <c r="O50" s="157"/>
      <c r="P50" s="157"/>
      <c r="Q50" s="157">
        <v>5750</v>
      </c>
      <c r="R50" s="158"/>
      <c r="S50" s="158"/>
      <c r="T50" s="535"/>
      <c r="U50" s="159">
        <f t="shared" si="4"/>
        <v>0</v>
      </c>
    </row>
    <row r="51" spans="2:21" ht="15.75" x14ac:dyDescent="0.25">
      <c r="B51" s="8">
        <f t="shared" si="1"/>
        <v>44</v>
      </c>
      <c r="C51" s="141">
        <v>3</v>
      </c>
      <c r="D51" s="677" t="s">
        <v>146</v>
      </c>
      <c r="E51" s="678"/>
      <c r="F51" s="678"/>
      <c r="G51" s="678"/>
      <c r="H51" s="678"/>
      <c r="I51" s="142">
        <f>I52+I53+I57</f>
        <v>275500</v>
      </c>
      <c r="J51" s="142">
        <f>J52+J53</f>
        <v>366749</v>
      </c>
      <c r="K51" s="142">
        <f>K52+K53</f>
        <v>85961</v>
      </c>
      <c r="L51" s="143">
        <f>L53+L52+L57</f>
        <v>66214</v>
      </c>
      <c r="M51" s="143">
        <f>M53</f>
        <v>40309</v>
      </c>
      <c r="N51" s="533"/>
      <c r="O51" s="142">
        <f>O58</f>
        <v>929500</v>
      </c>
      <c r="P51" s="142">
        <f>P58</f>
        <v>2466040</v>
      </c>
      <c r="Q51" s="142">
        <f>Q58</f>
        <v>1131574</v>
      </c>
      <c r="R51" s="143">
        <f>R58</f>
        <v>32294</v>
      </c>
      <c r="S51" s="143"/>
      <c r="T51" s="533"/>
      <c r="U51" s="144">
        <f t="shared" si="4"/>
        <v>1205000</v>
      </c>
    </row>
    <row r="52" spans="2:21" x14ac:dyDescent="0.2">
      <c r="B52" s="8">
        <f t="shared" si="1"/>
        <v>45</v>
      </c>
      <c r="C52" s="24"/>
      <c r="D52" s="24"/>
      <c r="E52" s="24"/>
      <c r="F52" s="149" t="s">
        <v>79</v>
      </c>
      <c r="G52" s="150">
        <v>620</v>
      </c>
      <c r="H52" s="24" t="s">
        <v>134</v>
      </c>
      <c r="I52" s="25">
        <v>0</v>
      </c>
      <c r="J52" s="25"/>
      <c r="K52" s="25"/>
      <c r="L52" s="26">
        <v>5452</v>
      </c>
      <c r="M52" s="26"/>
      <c r="N52" s="501"/>
      <c r="O52" s="25"/>
      <c r="P52" s="25"/>
      <c r="Q52" s="25"/>
      <c r="R52" s="26"/>
      <c r="S52" s="26"/>
      <c r="T52" s="501"/>
      <c r="U52" s="151">
        <f t="shared" si="4"/>
        <v>0</v>
      </c>
    </row>
    <row r="53" spans="2:21" x14ac:dyDescent="0.2">
      <c r="B53" s="8">
        <f t="shared" si="1"/>
        <v>46</v>
      </c>
      <c r="C53" s="24"/>
      <c r="D53" s="24"/>
      <c r="E53" s="24"/>
      <c r="F53" s="149" t="s">
        <v>79</v>
      </c>
      <c r="G53" s="150">
        <v>630</v>
      </c>
      <c r="H53" s="24" t="s">
        <v>131</v>
      </c>
      <c r="I53" s="25">
        <f>SUM(I54:I56)</f>
        <v>275500</v>
      </c>
      <c r="J53" s="25">
        <f>SUM(J54:J55)</f>
        <v>366749</v>
      </c>
      <c r="K53" s="25">
        <f>K54+K57</f>
        <v>85961</v>
      </c>
      <c r="L53" s="26">
        <f>L54</f>
        <v>58582</v>
      </c>
      <c r="M53" s="26">
        <f>M54</f>
        <v>40309</v>
      </c>
      <c r="N53" s="501"/>
      <c r="O53" s="25"/>
      <c r="P53" s="25"/>
      <c r="Q53" s="25"/>
      <c r="R53" s="26"/>
      <c r="S53" s="26"/>
      <c r="T53" s="501"/>
      <c r="U53" s="151">
        <f t="shared" si="4"/>
        <v>275500</v>
      </c>
    </row>
    <row r="54" spans="2:21" x14ac:dyDescent="0.2">
      <c r="B54" s="8">
        <f t="shared" si="1"/>
        <v>47</v>
      </c>
      <c r="C54" s="18"/>
      <c r="D54" s="18"/>
      <c r="E54" s="18"/>
      <c r="F54" s="152"/>
      <c r="G54" s="153">
        <v>637</v>
      </c>
      <c r="H54" s="18" t="s">
        <v>132</v>
      </c>
      <c r="I54" s="19">
        <f>86000-4300</f>
        <v>81700</v>
      </c>
      <c r="J54" s="19">
        <v>85961</v>
      </c>
      <c r="K54" s="19">
        <v>85961</v>
      </c>
      <c r="L54" s="20">
        <v>58582</v>
      </c>
      <c r="M54" s="20">
        <v>40309</v>
      </c>
      <c r="N54" s="164"/>
      <c r="O54" s="19"/>
      <c r="P54" s="19"/>
      <c r="Q54" s="19"/>
      <c r="R54" s="20"/>
      <c r="S54" s="20"/>
      <c r="T54" s="164"/>
      <c r="U54" s="154">
        <f t="shared" si="4"/>
        <v>81700</v>
      </c>
    </row>
    <row r="55" spans="2:21" x14ac:dyDescent="0.2">
      <c r="B55" s="8">
        <f t="shared" si="1"/>
        <v>48</v>
      </c>
      <c r="C55" s="18"/>
      <c r="D55" s="18"/>
      <c r="E55" s="18"/>
      <c r="F55" s="152"/>
      <c r="G55" s="153">
        <v>630</v>
      </c>
      <c r="H55" s="18" t="s">
        <v>682</v>
      </c>
      <c r="I55" s="19">
        <v>0</v>
      </c>
      <c r="J55" s="19">
        <f>97199+183589</f>
        <v>280788</v>
      </c>
      <c r="K55" s="19"/>
      <c r="L55" s="20"/>
      <c r="M55" s="20"/>
      <c r="N55" s="164"/>
      <c r="O55" s="19"/>
      <c r="P55" s="19"/>
      <c r="Q55" s="19"/>
      <c r="R55" s="20"/>
      <c r="S55" s="20"/>
      <c r="T55" s="164"/>
      <c r="U55" s="154">
        <f t="shared" si="4"/>
        <v>0</v>
      </c>
    </row>
    <row r="56" spans="2:21" ht="12" customHeight="1" x14ac:dyDescent="0.2">
      <c r="B56" s="8">
        <f t="shared" si="1"/>
        <v>49</v>
      </c>
      <c r="C56" s="18"/>
      <c r="D56" s="18"/>
      <c r="E56" s="18"/>
      <c r="F56" s="152"/>
      <c r="G56" s="153">
        <v>630</v>
      </c>
      <c r="H56" s="18" t="s">
        <v>1044</v>
      </c>
      <c r="I56" s="19">
        <v>193800</v>
      </c>
      <c r="J56" s="19"/>
      <c r="K56" s="19"/>
      <c r="L56" s="20"/>
      <c r="M56" s="20"/>
      <c r="N56" s="164"/>
      <c r="O56" s="19"/>
      <c r="P56" s="19"/>
      <c r="Q56" s="19"/>
      <c r="R56" s="20"/>
      <c r="S56" s="20"/>
      <c r="T56" s="164"/>
      <c r="U56" s="154">
        <f t="shared" si="4"/>
        <v>193800</v>
      </c>
    </row>
    <row r="57" spans="2:21" x14ac:dyDescent="0.2">
      <c r="B57" s="8">
        <f t="shared" si="1"/>
        <v>50</v>
      </c>
      <c r="C57" s="18"/>
      <c r="D57" s="18"/>
      <c r="E57" s="18"/>
      <c r="F57" s="152"/>
      <c r="G57" s="153">
        <v>600</v>
      </c>
      <c r="H57" s="18" t="s">
        <v>683</v>
      </c>
      <c r="I57" s="19"/>
      <c r="J57" s="19"/>
      <c r="K57" s="19"/>
      <c r="L57" s="20">
        <v>2180</v>
      </c>
      <c r="M57" s="20"/>
      <c r="N57" s="164"/>
      <c r="O57" s="19"/>
      <c r="P57" s="19"/>
      <c r="Q57" s="19"/>
      <c r="R57" s="20"/>
      <c r="S57" s="20"/>
      <c r="T57" s="164"/>
      <c r="U57" s="154">
        <f t="shared" si="4"/>
        <v>0</v>
      </c>
    </row>
    <row r="58" spans="2:21" x14ac:dyDescent="0.2">
      <c r="B58" s="8">
        <f t="shared" si="1"/>
        <v>51</v>
      </c>
      <c r="C58" s="24"/>
      <c r="D58" s="24"/>
      <c r="E58" s="24"/>
      <c r="F58" s="149" t="s">
        <v>79</v>
      </c>
      <c r="G58" s="150">
        <v>710</v>
      </c>
      <c r="H58" s="24" t="s">
        <v>185</v>
      </c>
      <c r="I58" s="25"/>
      <c r="J58" s="25"/>
      <c r="K58" s="25"/>
      <c r="L58" s="26"/>
      <c r="M58" s="26"/>
      <c r="N58" s="501"/>
      <c r="O58" s="25">
        <f>O62+O59</f>
        <v>929500</v>
      </c>
      <c r="P58" s="25">
        <f>P62+P59</f>
        <v>2466040</v>
      </c>
      <c r="Q58" s="25">
        <f>Q62+Q59</f>
        <v>1131574</v>
      </c>
      <c r="R58" s="26">
        <f>R59</f>
        <v>32294</v>
      </c>
      <c r="S58" s="26"/>
      <c r="T58" s="501"/>
      <c r="U58" s="151">
        <f t="shared" si="4"/>
        <v>929500</v>
      </c>
    </row>
    <row r="59" spans="2:21" x14ac:dyDescent="0.2">
      <c r="B59" s="8">
        <f t="shared" si="1"/>
        <v>52</v>
      </c>
      <c r="C59" s="18"/>
      <c r="D59" s="18"/>
      <c r="E59" s="18"/>
      <c r="F59" s="152"/>
      <c r="G59" s="153">
        <v>716</v>
      </c>
      <c r="H59" s="18" t="s">
        <v>226</v>
      </c>
      <c r="I59" s="19"/>
      <c r="J59" s="19"/>
      <c r="K59" s="19"/>
      <c r="L59" s="20"/>
      <c r="M59" s="20"/>
      <c r="N59" s="164"/>
      <c r="O59" s="19">
        <f>SUM(O60:O61)</f>
        <v>429500</v>
      </c>
      <c r="P59" s="19">
        <f>SUM(P60:P61)</f>
        <v>1192879</v>
      </c>
      <c r="Q59" s="19">
        <f>SUM(Q60:Q61)</f>
        <v>131574</v>
      </c>
      <c r="R59" s="20">
        <f>R61</f>
        <v>32294</v>
      </c>
      <c r="S59" s="20"/>
      <c r="T59" s="164"/>
      <c r="U59" s="154">
        <f t="shared" si="4"/>
        <v>429500</v>
      </c>
    </row>
    <row r="60" spans="2:21" x14ac:dyDescent="0.2">
      <c r="B60" s="8">
        <f t="shared" si="1"/>
        <v>53</v>
      </c>
      <c r="C60" s="120"/>
      <c r="D60" s="120"/>
      <c r="E60" s="120"/>
      <c r="F60" s="155"/>
      <c r="G60" s="155"/>
      <c r="H60" s="156" t="s">
        <v>684</v>
      </c>
      <c r="I60" s="157"/>
      <c r="J60" s="157"/>
      <c r="K60" s="157"/>
      <c r="L60" s="158"/>
      <c r="M60" s="158"/>
      <c r="N60" s="535"/>
      <c r="O60" s="157">
        <f>300000+129500</f>
        <v>429500</v>
      </c>
      <c r="P60" s="157">
        <v>500000</v>
      </c>
      <c r="Q60" s="157">
        <v>131574</v>
      </c>
      <c r="R60" s="158"/>
      <c r="S60" s="158"/>
      <c r="T60" s="535"/>
      <c r="U60" s="159">
        <f t="shared" si="4"/>
        <v>429500</v>
      </c>
    </row>
    <row r="61" spans="2:21" x14ac:dyDescent="0.2">
      <c r="B61" s="8">
        <f t="shared" si="1"/>
        <v>54</v>
      </c>
      <c r="C61" s="120"/>
      <c r="D61" s="120"/>
      <c r="E61" s="120"/>
      <c r="F61" s="155"/>
      <c r="G61" s="155"/>
      <c r="H61" s="156" t="s">
        <v>682</v>
      </c>
      <c r="I61" s="157"/>
      <c r="J61" s="157"/>
      <c r="K61" s="157"/>
      <c r="L61" s="158"/>
      <c r="M61" s="158"/>
      <c r="N61" s="535"/>
      <c r="O61" s="157"/>
      <c r="P61" s="157">
        <f>277104+415775</f>
        <v>692879</v>
      </c>
      <c r="Q61" s="157"/>
      <c r="R61" s="158">
        <v>32294</v>
      </c>
      <c r="S61" s="158"/>
      <c r="T61" s="535"/>
      <c r="U61" s="159">
        <f t="shared" si="4"/>
        <v>0</v>
      </c>
    </row>
    <row r="62" spans="2:21" x14ac:dyDescent="0.2">
      <c r="B62" s="8">
        <f t="shared" si="1"/>
        <v>55</v>
      </c>
      <c r="C62" s="18"/>
      <c r="D62" s="18"/>
      <c r="E62" s="18"/>
      <c r="F62" s="152"/>
      <c r="G62" s="153">
        <v>717</v>
      </c>
      <c r="H62" s="18" t="s">
        <v>192</v>
      </c>
      <c r="I62" s="19"/>
      <c r="J62" s="19"/>
      <c r="K62" s="19"/>
      <c r="L62" s="20"/>
      <c r="M62" s="20"/>
      <c r="N62" s="164"/>
      <c r="O62" s="19">
        <f>SUM(O63:O63)</f>
        <v>500000</v>
      </c>
      <c r="P62" s="19">
        <f>P63</f>
        <v>1273161</v>
      </c>
      <c r="Q62" s="19">
        <f>Q63</f>
        <v>1000000</v>
      </c>
      <c r="R62" s="20"/>
      <c r="S62" s="20"/>
      <c r="T62" s="164"/>
      <c r="U62" s="154">
        <f t="shared" si="4"/>
        <v>500000</v>
      </c>
    </row>
    <row r="63" spans="2:21" x14ac:dyDescent="0.2">
      <c r="B63" s="8">
        <f t="shared" si="1"/>
        <v>56</v>
      </c>
      <c r="C63" s="375"/>
      <c r="D63" s="375"/>
      <c r="E63" s="375"/>
      <c r="F63" s="388"/>
      <c r="G63" s="388"/>
      <c r="H63" s="389" t="s">
        <v>84</v>
      </c>
      <c r="I63" s="406"/>
      <c r="J63" s="406"/>
      <c r="K63" s="406"/>
      <c r="L63" s="423"/>
      <c r="M63" s="423"/>
      <c r="N63" s="537"/>
      <c r="O63" s="406">
        <f>484200+15800</f>
        <v>500000</v>
      </c>
      <c r="P63" s="406">
        <v>1273161</v>
      </c>
      <c r="Q63" s="406">
        <v>1000000</v>
      </c>
      <c r="R63" s="423"/>
      <c r="S63" s="423"/>
      <c r="T63" s="537"/>
      <c r="U63" s="466">
        <f t="shared" si="4"/>
        <v>500000</v>
      </c>
    </row>
    <row r="64" spans="2:21" ht="15.75" x14ac:dyDescent="0.25">
      <c r="B64" s="8">
        <f t="shared" si="1"/>
        <v>57</v>
      </c>
      <c r="C64" s="462">
        <v>4</v>
      </c>
      <c r="D64" s="702" t="s">
        <v>750</v>
      </c>
      <c r="E64" s="703"/>
      <c r="F64" s="703"/>
      <c r="G64" s="703"/>
      <c r="H64" s="704"/>
      <c r="I64" s="463"/>
      <c r="J64" s="463"/>
      <c r="K64" s="463"/>
      <c r="L64" s="464"/>
      <c r="M64" s="464"/>
      <c r="N64" s="539"/>
      <c r="O64" s="463"/>
      <c r="P64" s="463"/>
      <c r="Q64" s="463"/>
      <c r="R64" s="464"/>
      <c r="S64" s="464"/>
      <c r="T64" s="539"/>
      <c r="U64" s="465">
        <f t="shared" si="4"/>
        <v>0</v>
      </c>
    </row>
    <row r="65" spans="2:21" ht="15.75" x14ac:dyDescent="0.25">
      <c r="B65" s="8">
        <f t="shared" si="1"/>
        <v>58</v>
      </c>
      <c r="C65" s="174">
        <v>5</v>
      </c>
      <c r="D65" s="705" t="s">
        <v>751</v>
      </c>
      <c r="E65" s="706"/>
      <c r="F65" s="706"/>
      <c r="G65" s="706"/>
      <c r="H65" s="707"/>
      <c r="I65" s="142"/>
      <c r="J65" s="142"/>
      <c r="K65" s="142"/>
      <c r="L65" s="143"/>
      <c r="M65" s="143"/>
      <c r="N65" s="533"/>
      <c r="O65" s="142"/>
      <c r="P65" s="142"/>
      <c r="Q65" s="142"/>
      <c r="R65" s="143"/>
      <c r="S65" s="143"/>
      <c r="T65" s="533"/>
      <c r="U65" s="144">
        <f t="shared" si="4"/>
        <v>0</v>
      </c>
    </row>
    <row r="66" spans="2:21" ht="15.75" x14ac:dyDescent="0.25">
      <c r="B66" s="8">
        <f t="shared" si="1"/>
        <v>59</v>
      </c>
      <c r="C66" s="174">
        <v>6</v>
      </c>
      <c r="D66" s="705" t="s">
        <v>752</v>
      </c>
      <c r="E66" s="706"/>
      <c r="F66" s="706"/>
      <c r="G66" s="706"/>
      <c r="H66" s="707"/>
      <c r="I66" s="142"/>
      <c r="J66" s="142"/>
      <c r="K66" s="142"/>
      <c r="L66" s="143"/>
      <c r="M66" s="143"/>
      <c r="N66" s="533"/>
      <c r="O66" s="142"/>
      <c r="P66" s="142"/>
      <c r="Q66" s="142"/>
      <c r="R66" s="143"/>
      <c r="S66" s="143"/>
      <c r="T66" s="533"/>
      <c r="U66" s="144">
        <f t="shared" si="4"/>
        <v>0</v>
      </c>
    </row>
    <row r="67" spans="2:21" ht="15.75" x14ac:dyDescent="0.25">
      <c r="B67" s="8">
        <f t="shared" si="1"/>
        <v>60</v>
      </c>
      <c r="C67" s="141">
        <v>7</v>
      </c>
      <c r="D67" s="700" t="s">
        <v>259</v>
      </c>
      <c r="E67" s="701"/>
      <c r="F67" s="701"/>
      <c r="G67" s="701"/>
      <c r="H67" s="701"/>
      <c r="I67" s="142">
        <f>I68+I69+I73</f>
        <v>180785</v>
      </c>
      <c r="J67" s="142">
        <f>J68+J69+J73</f>
        <v>180000</v>
      </c>
      <c r="K67" s="142">
        <f>K68+K69+K73</f>
        <v>199500</v>
      </c>
      <c r="L67" s="143">
        <f>L68+L69+L73</f>
        <v>167673</v>
      </c>
      <c r="M67" s="143">
        <f>M68+M69+M73</f>
        <v>145931</v>
      </c>
      <c r="N67" s="533"/>
      <c r="O67" s="142"/>
      <c r="P67" s="142"/>
      <c r="Q67" s="142"/>
      <c r="R67" s="143"/>
      <c r="S67" s="143"/>
      <c r="T67" s="533"/>
      <c r="U67" s="144">
        <f t="shared" si="4"/>
        <v>180785</v>
      </c>
    </row>
    <row r="68" spans="2:21" x14ac:dyDescent="0.2">
      <c r="B68" s="8">
        <f t="shared" si="1"/>
        <v>61</v>
      </c>
      <c r="C68" s="24"/>
      <c r="D68" s="24"/>
      <c r="E68" s="24"/>
      <c r="F68" s="149" t="s">
        <v>79</v>
      </c>
      <c r="G68" s="150">
        <v>620</v>
      </c>
      <c r="H68" s="24" t="s">
        <v>134</v>
      </c>
      <c r="I68" s="25">
        <v>2000</v>
      </c>
      <c r="J68" s="25">
        <v>2000</v>
      </c>
      <c r="K68" s="25">
        <v>2000</v>
      </c>
      <c r="L68" s="26">
        <v>1210</v>
      </c>
      <c r="M68" s="26">
        <v>1126</v>
      </c>
      <c r="N68" s="501"/>
      <c r="O68" s="25"/>
      <c r="P68" s="25"/>
      <c r="Q68" s="25"/>
      <c r="R68" s="26"/>
      <c r="S68" s="26"/>
      <c r="T68" s="501"/>
      <c r="U68" s="151">
        <f t="shared" si="4"/>
        <v>2000</v>
      </c>
    </row>
    <row r="69" spans="2:21" x14ac:dyDescent="0.2">
      <c r="B69" s="8">
        <f t="shared" si="1"/>
        <v>62</v>
      </c>
      <c r="C69" s="24"/>
      <c r="D69" s="24"/>
      <c r="E69" s="24"/>
      <c r="F69" s="149" t="s">
        <v>79</v>
      </c>
      <c r="G69" s="150">
        <v>630</v>
      </c>
      <c r="H69" s="24" t="s">
        <v>131</v>
      </c>
      <c r="I69" s="25">
        <f>I72+I71+I70</f>
        <v>158785</v>
      </c>
      <c r="J69" s="25">
        <f>J72+J71+J70</f>
        <v>166000</v>
      </c>
      <c r="K69" s="25">
        <f>K72+K71+K70</f>
        <v>181000</v>
      </c>
      <c r="L69" s="26">
        <f>L72+L71+L70</f>
        <v>155980</v>
      </c>
      <c r="M69" s="26">
        <f>M72+M71+M70</f>
        <v>131989</v>
      </c>
      <c r="N69" s="501"/>
      <c r="O69" s="25"/>
      <c r="P69" s="25"/>
      <c r="Q69" s="25"/>
      <c r="R69" s="26"/>
      <c r="S69" s="26"/>
      <c r="T69" s="501"/>
      <c r="U69" s="151">
        <f t="shared" si="4"/>
        <v>158785</v>
      </c>
    </row>
    <row r="70" spans="2:21" x14ac:dyDescent="0.2">
      <c r="B70" s="8">
        <f t="shared" si="1"/>
        <v>63</v>
      </c>
      <c r="C70" s="18"/>
      <c r="D70" s="18"/>
      <c r="E70" s="18"/>
      <c r="F70" s="152"/>
      <c r="G70" s="153">
        <v>632</v>
      </c>
      <c r="H70" s="18" t="s">
        <v>144</v>
      </c>
      <c r="I70" s="19">
        <f>150000-9016+2500+2000+1</f>
        <v>145485</v>
      </c>
      <c r="J70" s="19">
        <v>156700</v>
      </c>
      <c r="K70" s="19">
        <v>171700</v>
      </c>
      <c r="L70" s="20">
        <v>151029</v>
      </c>
      <c r="M70" s="20">
        <v>108603</v>
      </c>
      <c r="N70" s="164"/>
      <c r="O70" s="19"/>
      <c r="P70" s="19"/>
      <c r="Q70" s="19"/>
      <c r="R70" s="20"/>
      <c r="S70" s="20"/>
      <c r="T70" s="164"/>
      <c r="U70" s="154">
        <f t="shared" si="4"/>
        <v>145485</v>
      </c>
    </row>
    <row r="71" spans="2:21" x14ac:dyDescent="0.2">
      <c r="B71" s="8">
        <f t="shared" si="1"/>
        <v>64</v>
      </c>
      <c r="C71" s="18"/>
      <c r="D71" s="18"/>
      <c r="E71" s="18"/>
      <c r="F71" s="152"/>
      <c r="G71" s="153">
        <v>633</v>
      </c>
      <c r="H71" s="18" t="s">
        <v>135</v>
      </c>
      <c r="I71" s="19">
        <v>5000</v>
      </c>
      <c r="J71" s="19">
        <v>5000</v>
      </c>
      <c r="K71" s="19">
        <v>5000</v>
      </c>
      <c r="L71" s="20">
        <v>1000</v>
      </c>
      <c r="M71" s="20"/>
      <c r="N71" s="164"/>
      <c r="O71" s="19"/>
      <c r="P71" s="19"/>
      <c r="Q71" s="19"/>
      <c r="R71" s="20"/>
      <c r="S71" s="20"/>
      <c r="T71" s="164"/>
      <c r="U71" s="154">
        <f t="shared" si="4"/>
        <v>5000</v>
      </c>
    </row>
    <row r="72" spans="2:21" x14ac:dyDescent="0.2">
      <c r="B72" s="8">
        <f t="shared" si="1"/>
        <v>65</v>
      </c>
      <c r="C72" s="18"/>
      <c r="D72" s="18"/>
      <c r="E72" s="18"/>
      <c r="F72" s="152"/>
      <c r="G72" s="153">
        <v>637</v>
      </c>
      <c r="H72" s="18" t="s">
        <v>132</v>
      </c>
      <c r="I72" s="19">
        <v>8300</v>
      </c>
      <c r="J72" s="19">
        <v>4300</v>
      </c>
      <c r="K72" s="19">
        <v>4300</v>
      </c>
      <c r="L72" s="20">
        <v>3951</v>
      </c>
      <c r="M72" s="20">
        <v>23386</v>
      </c>
      <c r="N72" s="164"/>
      <c r="O72" s="19"/>
      <c r="P72" s="19"/>
      <c r="Q72" s="19"/>
      <c r="R72" s="20"/>
      <c r="S72" s="20"/>
      <c r="T72" s="164"/>
      <c r="U72" s="154">
        <f t="shared" si="4"/>
        <v>8300</v>
      </c>
    </row>
    <row r="73" spans="2:21" x14ac:dyDescent="0.2">
      <c r="B73" s="8">
        <f t="shared" si="1"/>
        <v>66</v>
      </c>
      <c r="C73" s="24"/>
      <c r="D73" s="24"/>
      <c r="E73" s="24"/>
      <c r="F73" s="149" t="s">
        <v>258</v>
      </c>
      <c r="G73" s="150">
        <v>630</v>
      </c>
      <c r="H73" s="24" t="s">
        <v>131</v>
      </c>
      <c r="I73" s="25">
        <f>I74</f>
        <v>20000</v>
      </c>
      <c r="J73" s="25">
        <f>J74</f>
        <v>12000</v>
      </c>
      <c r="K73" s="25">
        <f>K74</f>
        <v>16500</v>
      </c>
      <c r="L73" s="26">
        <f>L74</f>
        <v>10483</v>
      </c>
      <c r="M73" s="26">
        <f>M74</f>
        <v>12816</v>
      </c>
      <c r="N73" s="501"/>
      <c r="O73" s="25"/>
      <c r="P73" s="25"/>
      <c r="Q73" s="25"/>
      <c r="R73" s="26"/>
      <c r="S73" s="26"/>
      <c r="T73" s="501"/>
      <c r="U73" s="151">
        <f t="shared" ref="U73:U78" si="5">I73+O73</f>
        <v>20000</v>
      </c>
    </row>
    <row r="74" spans="2:21" x14ac:dyDescent="0.2">
      <c r="B74" s="8">
        <f t="shared" si="1"/>
        <v>67</v>
      </c>
      <c r="C74" s="18"/>
      <c r="D74" s="18"/>
      <c r="E74" s="18"/>
      <c r="F74" s="152"/>
      <c r="G74" s="153">
        <v>637</v>
      </c>
      <c r="H74" s="18" t="s">
        <v>132</v>
      </c>
      <c r="I74" s="19">
        <v>20000</v>
      </c>
      <c r="J74" s="19">
        <v>12000</v>
      </c>
      <c r="K74" s="19">
        <v>16500</v>
      </c>
      <c r="L74" s="20">
        <v>10483</v>
      </c>
      <c r="M74" s="20">
        <v>12816</v>
      </c>
      <c r="N74" s="164"/>
      <c r="O74" s="19"/>
      <c r="P74" s="19"/>
      <c r="Q74" s="19"/>
      <c r="R74" s="20"/>
      <c r="S74" s="20"/>
      <c r="T74" s="164"/>
      <c r="U74" s="154">
        <f t="shared" si="5"/>
        <v>20000</v>
      </c>
    </row>
    <row r="75" spans="2:21" ht="15.75" x14ac:dyDescent="0.25">
      <c r="B75" s="8">
        <f t="shared" si="1"/>
        <v>68</v>
      </c>
      <c r="C75" s="141">
        <v>8</v>
      </c>
      <c r="D75" s="677" t="s">
        <v>279</v>
      </c>
      <c r="E75" s="678"/>
      <c r="F75" s="678"/>
      <c r="G75" s="678"/>
      <c r="H75" s="678"/>
      <c r="I75" s="142">
        <f>I76</f>
        <v>9900</v>
      </c>
      <c r="J75" s="142">
        <f t="shared" ref="J75:M76" si="6">J76</f>
        <v>9865</v>
      </c>
      <c r="K75" s="142">
        <f t="shared" si="6"/>
        <v>9865</v>
      </c>
      <c r="L75" s="143">
        <f>L76</f>
        <v>15053</v>
      </c>
      <c r="M75" s="143">
        <f t="shared" si="6"/>
        <v>13672</v>
      </c>
      <c r="N75" s="533"/>
      <c r="O75" s="142"/>
      <c r="P75" s="142"/>
      <c r="Q75" s="142"/>
      <c r="R75" s="143"/>
      <c r="S75" s="143"/>
      <c r="T75" s="533"/>
      <c r="U75" s="144">
        <f t="shared" si="5"/>
        <v>9900</v>
      </c>
    </row>
    <row r="76" spans="2:21" x14ac:dyDescent="0.2">
      <c r="B76" s="8">
        <f t="shared" si="1"/>
        <v>69</v>
      </c>
      <c r="C76" s="24"/>
      <c r="D76" s="24"/>
      <c r="E76" s="24"/>
      <c r="F76" s="149" t="s">
        <v>79</v>
      </c>
      <c r="G76" s="150">
        <v>640</v>
      </c>
      <c r="H76" s="24" t="s">
        <v>139</v>
      </c>
      <c r="I76" s="25">
        <f>I77</f>
        <v>9900</v>
      </c>
      <c r="J76" s="25">
        <f t="shared" si="6"/>
        <v>9865</v>
      </c>
      <c r="K76" s="25">
        <f t="shared" si="6"/>
        <v>9865</v>
      </c>
      <c r="L76" s="26">
        <f>L77</f>
        <v>15053</v>
      </c>
      <c r="M76" s="26">
        <f t="shared" si="6"/>
        <v>13672</v>
      </c>
      <c r="N76" s="501"/>
      <c r="O76" s="25"/>
      <c r="P76" s="25"/>
      <c r="Q76" s="25"/>
      <c r="R76" s="26"/>
      <c r="S76" s="26"/>
      <c r="T76" s="501"/>
      <c r="U76" s="151">
        <f t="shared" si="5"/>
        <v>9900</v>
      </c>
    </row>
    <row r="77" spans="2:21" x14ac:dyDescent="0.2">
      <c r="B77" s="8">
        <f t="shared" si="1"/>
        <v>70</v>
      </c>
      <c r="C77" s="18"/>
      <c r="D77" s="18"/>
      <c r="E77" s="18"/>
      <c r="F77" s="152"/>
      <c r="G77" s="153">
        <v>642</v>
      </c>
      <c r="H77" s="18" t="s">
        <v>140</v>
      </c>
      <c r="I77" s="19">
        <v>9900</v>
      </c>
      <c r="J77" s="19">
        <v>9865</v>
      </c>
      <c r="K77" s="19">
        <v>9865</v>
      </c>
      <c r="L77" s="20">
        <v>15053</v>
      </c>
      <c r="M77" s="20">
        <v>13672</v>
      </c>
      <c r="N77" s="164"/>
      <c r="O77" s="19"/>
      <c r="P77" s="19"/>
      <c r="Q77" s="19"/>
      <c r="R77" s="20"/>
      <c r="S77" s="20"/>
      <c r="T77" s="164"/>
      <c r="U77" s="154">
        <f t="shared" si="5"/>
        <v>9900</v>
      </c>
    </row>
    <row r="78" spans="2:21" ht="15.75" x14ac:dyDescent="0.25">
      <c r="B78" s="175">
        <f t="shared" si="1"/>
        <v>71</v>
      </c>
      <c r="C78" s="176">
        <v>9</v>
      </c>
      <c r="D78" s="698" t="s">
        <v>188</v>
      </c>
      <c r="E78" s="699"/>
      <c r="F78" s="699"/>
      <c r="G78" s="699"/>
      <c r="H78" s="699"/>
      <c r="I78" s="177"/>
      <c r="J78" s="177"/>
      <c r="K78" s="177">
        <v>114795</v>
      </c>
      <c r="L78" s="178">
        <v>81723</v>
      </c>
      <c r="M78" s="178"/>
      <c r="N78" s="540"/>
      <c r="O78" s="177"/>
      <c r="P78" s="177"/>
      <c r="Q78" s="177"/>
      <c r="R78" s="178"/>
      <c r="S78" s="178"/>
      <c r="T78" s="540"/>
      <c r="U78" s="179">
        <f t="shared" si="5"/>
        <v>0</v>
      </c>
    </row>
    <row r="83" spans="2:21" ht="27" x14ac:dyDescent="0.35">
      <c r="B83" s="679" t="s">
        <v>18</v>
      </c>
      <c r="C83" s="680"/>
      <c r="D83" s="680"/>
      <c r="E83" s="680"/>
      <c r="F83" s="680"/>
      <c r="G83" s="680"/>
      <c r="H83" s="680"/>
      <c r="I83" s="680"/>
      <c r="J83" s="680"/>
      <c r="K83" s="680"/>
      <c r="L83" s="680"/>
      <c r="M83" s="680"/>
      <c r="N83" s="680"/>
      <c r="O83" s="680"/>
      <c r="P83" s="680"/>
      <c r="Q83" s="680"/>
      <c r="R83" s="680"/>
      <c r="S83" s="680"/>
      <c r="T83" s="680"/>
      <c r="U83" s="680"/>
    </row>
    <row r="84" spans="2:21" ht="13.5" customHeight="1" x14ac:dyDescent="0.2">
      <c r="B84" s="684" t="s">
        <v>842</v>
      </c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567"/>
      <c r="U84" s="682" t="s">
        <v>1207</v>
      </c>
    </row>
    <row r="85" spans="2:21" ht="13.5" customHeight="1" x14ac:dyDescent="0.2">
      <c r="B85" s="681"/>
      <c r="C85" s="681" t="s">
        <v>122</v>
      </c>
      <c r="D85" s="681" t="s">
        <v>123</v>
      </c>
      <c r="E85" s="681"/>
      <c r="F85" s="681" t="s">
        <v>124</v>
      </c>
      <c r="G85" s="689" t="s">
        <v>125</v>
      </c>
      <c r="H85" s="686" t="s">
        <v>126</v>
      </c>
      <c r="I85" s="673" t="s">
        <v>1205</v>
      </c>
      <c r="J85" s="674" t="s">
        <v>837</v>
      </c>
      <c r="K85" s="674" t="s">
        <v>838</v>
      </c>
      <c r="L85" s="672" t="s">
        <v>839</v>
      </c>
      <c r="M85" s="672" t="s">
        <v>643</v>
      </c>
      <c r="N85" s="493"/>
      <c r="O85" s="673" t="s">
        <v>1206</v>
      </c>
      <c r="P85" s="674" t="s">
        <v>840</v>
      </c>
      <c r="Q85" s="674" t="s">
        <v>841</v>
      </c>
      <c r="R85" s="672" t="s">
        <v>839</v>
      </c>
      <c r="S85" s="672" t="s">
        <v>643</v>
      </c>
      <c r="T85" s="493"/>
      <c r="U85" s="683"/>
    </row>
    <row r="86" spans="2:21" ht="12.75" customHeight="1" x14ac:dyDescent="0.2">
      <c r="B86" s="681"/>
      <c r="C86" s="681"/>
      <c r="D86" s="681"/>
      <c r="E86" s="681"/>
      <c r="F86" s="681"/>
      <c r="G86" s="689"/>
      <c r="H86" s="686"/>
      <c r="I86" s="673"/>
      <c r="J86" s="674"/>
      <c r="K86" s="674"/>
      <c r="L86" s="672"/>
      <c r="M86" s="672"/>
      <c r="N86" s="493"/>
      <c r="O86" s="673"/>
      <c r="P86" s="674"/>
      <c r="Q86" s="674"/>
      <c r="R86" s="672"/>
      <c r="S86" s="672"/>
      <c r="T86" s="493"/>
      <c r="U86" s="683"/>
    </row>
    <row r="87" spans="2:21" x14ac:dyDescent="0.2">
      <c r="B87" s="681"/>
      <c r="C87" s="681"/>
      <c r="D87" s="681"/>
      <c r="E87" s="681"/>
      <c r="F87" s="681"/>
      <c r="G87" s="689"/>
      <c r="H87" s="686"/>
      <c r="I87" s="673"/>
      <c r="J87" s="674"/>
      <c r="K87" s="674"/>
      <c r="L87" s="672"/>
      <c r="M87" s="672"/>
      <c r="N87" s="493"/>
      <c r="O87" s="673"/>
      <c r="P87" s="674"/>
      <c r="Q87" s="674"/>
      <c r="R87" s="672"/>
      <c r="S87" s="672"/>
      <c r="T87" s="493"/>
      <c r="U87" s="683"/>
    </row>
    <row r="88" spans="2:21" ht="18" customHeight="1" x14ac:dyDescent="0.2">
      <c r="B88" s="681"/>
      <c r="C88" s="681"/>
      <c r="D88" s="681"/>
      <c r="E88" s="681"/>
      <c r="F88" s="681"/>
      <c r="G88" s="689"/>
      <c r="H88" s="686"/>
      <c r="I88" s="673"/>
      <c r="J88" s="674"/>
      <c r="K88" s="674"/>
      <c r="L88" s="672"/>
      <c r="M88" s="672"/>
      <c r="N88" s="493"/>
      <c r="O88" s="673"/>
      <c r="P88" s="674"/>
      <c r="Q88" s="674"/>
      <c r="R88" s="672"/>
      <c r="S88" s="672"/>
      <c r="T88" s="493"/>
      <c r="U88" s="683"/>
    </row>
    <row r="89" spans="2:21" ht="15.75" x14ac:dyDescent="0.2">
      <c r="B89" s="8">
        <v>1</v>
      </c>
      <c r="C89" s="687" t="s">
        <v>18</v>
      </c>
      <c r="D89" s="688"/>
      <c r="E89" s="688"/>
      <c r="F89" s="688"/>
      <c r="G89" s="688"/>
      <c r="H89" s="688"/>
      <c r="I89" s="138">
        <f>I90+I103</f>
        <v>128440</v>
      </c>
      <c r="J89" s="138">
        <f>J90+J103</f>
        <v>110000</v>
      </c>
      <c r="K89" s="138">
        <f>K90+K103</f>
        <v>117000</v>
      </c>
      <c r="L89" s="139">
        <f>L90+L103</f>
        <v>111189</v>
      </c>
      <c r="M89" s="139">
        <f>M90+M103</f>
        <v>493687</v>
      </c>
      <c r="N89" s="532"/>
      <c r="O89" s="138"/>
      <c r="P89" s="138"/>
      <c r="Q89" s="138"/>
      <c r="R89" s="139"/>
      <c r="S89" s="139">
        <f>S90</f>
        <v>5957</v>
      </c>
      <c r="T89" s="532"/>
      <c r="U89" s="140">
        <f t="shared" ref="U89:U107" si="7">I89+O89</f>
        <v>128440</v>
      </c>
    </row>
    <row r="90" spans="2:21" ht="15.75" x14ac:dyDescent="0.25">
      <c r="B90" s="8">
        <f>B89+1</f>
        <v>2</v>
      </c>
      <c r="C90" s="141">
        <v>1</v>
      </c>
      <c r="D90" s="677" t="s">
        <v>205</v>
      </c>
      <c r="E90" s="678"/>
      <c r="F90" s="678"/>
      <c r="G90" s="678"/>
      <c r="H90" s="678"/>
      <c r="I90" s="142">
        <f>I91+I93+I96+I97+I99</f>
        <v>99940</v>
      </c>
      <c r="J90" s="142">
        <f>J91+J93+J96+J97+J99</f>
        <v>80000</v>
      </c>
      <c r="K90" s="142">
        <f>K91+K93+K96+K97+K99</f>
        <v>92000</v>
      </c>
      <c r="L90" s="143">
        <f>L91+L93+L96+L97+L99</f>
        <v>80293</v>
      </c>
      <c r="M90" s="143">
        <f>M91+M93+M96+M97+M99</f>
        <v>490875</v>
      </c>
      <c r="N90" s="533"/>
      <c r="O90" s="142"/>
      <c r="P90" s="142"/>
      <c r="Q90" s="142"/>
      <c r="R90" s="143"/>
      <c r="S90" s="143">
        <f>S100</f>
        <v>5957</v>
      </c>
      <c r="T90" s="533"/>
      <c r="U90" s="144">
        <f t="shared" si="7"/>
        <v>99940</v>
      </c>
    </row>
    <row r="91" spans="2:21" x14ac:dyDescent="0.2">
      <c r="B91" s="8">
        <f>B90+1</f>
        <v>3</v>
      </c>
      <c r="C91" s="24"/>
      <c r="D91" s="24"/>
      <c r="E91" s="24"/>
      <c r="F91" s="149" t="s">
        <v>79</v>
      </c>
      <c r="G91" s="150">
        <v>630</v>
      </c>
      <c r="H91" s="24" t="s">
        <v>575</v>
      </c>
      <c r="I91" s="25">
        <f>I92</f>
        <v>19940</v>
      </c>
      <c r="J91" s="25">
        <f>J92</f>
        <v>19000</v>
      </c>
      <c r="K91" s="25">
        <f>K92</f>
        <v>15000</v>
      </c>
      <c r="L91" s="26">
        <f>L92</f>
        <v>12916</v>
      </c>
      <c r="M91" s="26">
        <f>M92</f>
        <v>14823</v>
      </c>
      <c r="N91" s="501"/>
      <c r="O91" s="25"/>
      <c r="P91" s="25"/>
      <c r="Q91" s="25"/>
      <c r="R91" s="26"/>
      <c r="S91" s="26"/>
      <c r="T91" s="501"/>
      <c r="U91" s="151">
        <f t="shared" si="7"/>
        <v>19940</v>
      </c>
    </row>
    <row r="92" spans="2:21" x14ac:dyDescent="0.2">
      <c r="B92" s="8">
        <f t="shared" ref="B92:B104" si="8">B91+1</f>
        <v>4</v>
      </c>
      <c r="C92" s="18"/>
      <c r="D92" s="18"/>
      <c r="E92" s="18"/>
      <c r="F92" s="152"/>
      <c r="G92" s="153">
        <v>637</v>
      </c>
      <c r="H92" s="18" t="s">
        <v>132</v>
      </c>
      <c r="I92" s="19">
        <v>19940</v>
      </c>
      <c r="J92" s="19">
        <v>19000</v>
      </c>
      <c r="K92" s="19">
        <v>15000</v>
      </c>
      <c r="L92" s="20">
        <v>12916</v>
      </c>
      <c r="M92" s="20">
        <v>14823</v>
      </c>
      <c r="N92" s="164"/>
      <c r="O92" s="19"/>
      <c r="P92" s="19"/>
      <c r="Q92" s="19"/>
      <c r="R92" s="20"/>
      <c r="S92" s="20"/>
      <c r="T92" s="164"/>
      <c r="U92" s="154">
        <f t="shared" si="7"/>
        <v>19940</v>
      </c>
    </row>
    <row r="93" spans="2:21" x14ac:dyDescent="0.2">
      <c r="B93" s="8">
        <f t="shared" si="8"/>
        <v>5</v>
      </c>
      <c r="C93" s="18"/>
      <c r="D93" s="18"/>
      <c r="E93" s="18"/>
      <c r="F93" s="149" t="s">
        <v>255</v>
      </c>
      <c r="G93" s="150">
        <v>630</v>
      </c>
      <c r="H93" s="24" t="s">
        <v>131</v>
      </c>
      <c r="I93" s="25">
        <f>I94+I95</f>
        <v>19000</v>
      </c>
      <c r="J93" s="25">
        <f>J94</f>
        <v>11000</v>
      </c>
      <c r="K93" s="25">
        <f>K94+K95</f>
        <v>20000</v>
      </c>
      <c r="L93" s="26">
        <f>L94</f>
        <v>16955</v>
      </c>
      <c r="M93" s="26">
        <f>M94</f>
        <v>8128</v>
      </c>
      <c r="N93" s="501"/>
      <c r="O93" s="25"/>
      <c r="P93" s="25"/>
      <c r="Q93" s="25"/>
      <c r="R93" s="26"/>
      <c r="S93" s="26"/>
      <c r="T93" s="501"/>
      <c r="U93" s="151">
        <f t="shared" si="7"/>
        <v>19000</v>
      </c>
    </row>
    <row r="94" spans="2:21" x14ac:dyDescent="0.2">
      <c r="B94" s="8">
        <f t="shared" si="8"/>
        <v>6</v>
      </c>
      <c r="C94" s="18"/>
      <c r="D94" s="18"/>
      <c r="E94" s="18"/>
      <c r="F94" s="152"/>
      <c r="G94" s="153">
        <v>637</v>
      </c>
      <c r="H94" s="18" t="s">
        <v>522</v>
      </c>
      <c r="I94" s="19">
        <f>20000*0.95</f>
        <v>19000</v>
      </c>
      <c r="J94" s="19">
        <v>11000</v>
      </c>
      <c r="K94" s="19">
        <v>16600</v>
      </c>
      <c r="L94" s="20">
        <v>16955</v>
      </c>
      <c r="M94" s="20">
        <v>8128</v>
      </c>
      <c r="N94" s="164"/>
      <c r="O94" s="19"/>
      <c r="P94" s="19"/>
      <c r="Q94" s="19"/>
      <c r="R94" s="20"/>
      <c r="S94" s="20"/>
      <c r="T94" s="164"/>
      <c r="U94" s="154">
        <f t="shared" si="7"/>
        <v>19000</v>
      </c>
    </row>
    <row r="95" spans="2:21" x14ac:dyDescent="0.2">
      <c r="B95" s="8">
        <f t="shared" si="8"/>
        <v>7</v>
      </c>
      <c r="C95" s="18"/>
      <c r="D95" s="18"/>
      <c r="E95" s="18"/>
      <c r="F95" s="152"/>
      <c r="G95" s="153">
        <v>633</v>
      </c>
      <c r="H95" s="18" t="s">
        <v>981</v>
      </c>
      <c r="I95" s="19"/>
      <c r="J95" s="19"/>
      <c r="K95" s="19">
        <v>3400</v>
      </c>
      <c r="L95" s="20"/>
      <c r="M95" s="20"/>
      <c r="N95" s="164"/>
      <c r="O95" s="19"/>
      <c r="P95" s="19"/>
      <c r="Q95" s="19"/>
      <c r="R95" s="20"/>
      <c r="S95" s="20"/>
      <c r="T95" s="164"/>
      <c r="U95" s="154">
        <f t="shared" si="7"/>
        <v>0</v>
      </c>
    </row>
    <row r="96" spans="2:21" s="180" customFormat="1" x14ac:dyDescent="0.2">
      <c r="B96" s="8">
        <f t="shared" si="8"/>
        <v>8</v>
      </c>
      <c r="C96" s="24"/>
      <c r="D96" s="24"/>
      <c r="E96" s="24"/>
      <c r="F96" s="149" t="s">
        <v>80</v>
      </c>
      <c r="G96" s="150">
        <v>600</v>
      </c>
      <c r="H96" s="24" t="s">
        <v>523</v>
      </c>
      <c r="I96" s="25">
        <v>28000</v>
      </c>
      <c r="J96" s="25">
        <v>25000</v>
      </c>
      <c r="K96" s="25">
        <v>25000</v>
      </c>
      <c r="L96" s="26">
        <v>27935</v>
      </c>
      <c r="M96" s="26">
        <v>21420</v>
      </c>
      <c r="N96" s="501"/>
      <c r="O96" s="25"/>
      <c r="P96" s="25"/>
      <c r="Q96" s="25"/>
      <c r="R96" s="26"/>
      <c r="S96" s="26"/>
      <c r="T96" s="501"/>
      <c r="U96" s="151">
        <f t="shared" si="7"/>
        <v>28000</v>
      </c>
    </row>
    <row r="97" spans="2:21" s="180" customFormat="1" x14ac:dyDescent="0.2">
      <c r="B97" s="8">
        <f t="shared" si="8"/>
        <v>9</v>
      </c>
      <c r="C97" s="24"/>
      <c r="D97" s="24"/>
      <c r="E97" s="24"/>
      <c r="F97" s="149" t="s">
        <v>229</v>
      </c>
      <c r="G97" s="150">
        <v>630</v>
      </c>
      <c r="H97" s="24" t="s">
        <v>576</v>
      </c>
      <c r="I97" s="25">
        <f>I98</f>
        <v>33000</v>
      </c>
      <c r="J97" s="25">
        <f>J98</f>
        <v>25000</v>
      </c>
      <c r="K97" s="25">
        <f>K98</f>
        <v>32000</v>
      </c>
      <c r="L97" s="26">
        <f>L98</f>
        <v>22487</v>
      </c>
      <c r="M97" s="26">
        <f>M98</f>
        <v>18946</v>
      </c>
      <c r="N97" s="501"/>
      <c r="O97" s="25"/>
      <c r="P97" s="25"/>
      <c r="Q97" s="25"/>
      <c r="R97" s="26"/>
      <c r="S97" s="26"/>
      <c r="T97" s="501"/>
      <c r="U97" s="151">
        <f t="shared" si="7"/>
        <v>33000</v>
      </c>
    </row>
    <row r="98" spans="2:21" s="180" customFormat="1" x14ac:dyDescent="0.2">
      <c r="B98" s="8">
        <f t="shared" si="8"/>
        <v>10</v>
      </c>
      <c r="C98" s="24"/>
      <c r="D98" s="24"/>
      <c r="E98" s="24"/>
      <c r="F98" s="152"/>
      <c r="G98" s="153">
        <v>637</v>
      </c>
      <c r="H98" s="18" t="s">
        <v>132</v>
      </c>
      <c r="I98" s="19">
        <v>33000</v>
      </c>
      <c r="J98" s="19">
        <v>25000</v>
      </c>
      <c r="K98" s="19">
        <v>32000</v>
      </c>
      <c r="L98" s="20">
        <v>22487</v>
      </c>
      <c r="M98" s="20">
        <v>18946</v>
      </c>
      <c r="N98" s="164"/>
      <c r="O98" s="25"/>
      <c r="P98" s="25"/>
      <c r="Q98" s="25"/>
      <c r="R98" s="26"/>
      <c r="S98" s="26"/>
      <c r="T98" s="501"/>
      <c r="U98" s="151">
        <f t="shared" si="7"/>
        <v>33000</v>
      </c>
    </row>
    <row r="99" spans="2:21" s="180" customFormat="1" x14ac:dyDescent="0.2">
      <c r="B99" s="8">
        <f t="shared" si="8"/>
        <v>11</v>
      </c>
      <c r="C99" s="24"/>
      <c r="D99" s="24"/>
      <c r="E99" s="24"/>
      <c r="F99" s="571" t="s">
        <v>255</v>
      </c>
      <c r="G99" s="572"/>
      <c r="H99" s="573" t="s">
        <v>524</v>
      </c>
      <c r="I99" s="501"/>
      <c r="J99" s="501"/>
      <c r="K99" s="501"/>
      <c r="L99" s="574"/>
      <c r="M99" s="574">
        <v>427558</v>
      </c>
      <c r="N99" s="501"/>
      <c r="O99" s="25"/>
      <c r="P99" s="25"/>
      <c r="Q99" s="25"/>
      <c r="R99" s="26"/>
      <c r="S99" s="26"/>
      <c r="T99" s="501"/>
      <c r="U99" s="151">
        <f t="shared" si="7"/>
        <v>0</v>
      </c>
    </row>
    <row r="100" spans="2:21" x14ac:dyDescent="0.2">
      <c r="B100" s="8">
        <f t="shared" si="8"/>
        <v>12</v>
      </c>
      <c r="C100" s="18"/>
      <c r="D100" s="18"/>
      <c r="E100" s="18"/>
      <c r="F100" s="149" t="s">
        <v>255</v>
      </c>
      <c r="G100" s="150">
        <v>710</v>
      </c>
      <c r="H100" s="24" t="s">
        <v>185</v>
      </c>
      <c r="I100" s="25"/>
      <c r="J100" s="25"/>
      <c r="K100" s="25"/>
      <c r="L100" s="26"/>
      <c r="M100" s="26"/>
      <c r="N100" s="501"/>
      <c r="O100" s="25"/>
      <c r="P100" s="25"/>
      <c r="Q100" s="25"/>
      <c r="R100" s="26"/>
      <c r="S100" s="26">
        <f>S101</f>
        <v>5957</v>
      </c>
      <c r="T100" s="501"/>
      <c r="U100" s="151">
        <f t="shared" si="7"/>
        <v>0</v>
      </c>
    </row>
    <row r="101" spans="2:21" x14ac:dyDescent="0.2">
      <c r="B101" s="8">
        <f t="shared" si="8"/>
        <v>13</v>
      </c>
      <c r="C101" s="18"/>
      <c r="D101" s="18"/>
      <c r="E101" s="18"/>
      <c r="F101" s="152"/>
      <c r="G101" s="153">
        <v>713</v>
      </c>
      <c r="H101" s="18" t="s">
        <v>230</v>
      </c>
      <c r="I101" s="19"/>
      <c r="J101" s="19"/>
      <c r="K101" s="19"/>
      <c r="L101" s="20"/>
      <c r="M101" s="20"/>
      <c r="N101" s="164"/>
      <c r="O101" s="19"/>
      <c r="P101" s="19"/>
      <c r="Q101" s="19"/>
      <c r="R101" s="20"/>
      <c r="S101" s="20">
        <f>S102</f>
        <v>5957</v>
      </c>
      <c r="T101" s="164"/>
      <c r="U101" s="154">
        <f t="shared" si="7"/>
        <v>0</v>
      </c>
    </row>
    <row r="102" spans="2:21" x14ac:dyDescent="0.2">
      <c r="B102" s="8">
        <f t="shared" si="8"/>
        <v>14</v>
      </c>
      <c r="C102" s="18"/>
      <c r="D102" s="18"/>
      <c r="E102" s="18"/>
      <c r="F102" s="152"/>
      <c r="G102" s="153"/>
      <c r="H102" s="120" t="s">
        <v>665</v>
      </c>
      <c r="I102" s="158"/>
      <c r="J102" s="158"/>
      <c r="K102" s="158"/>
      <c r="L102" s="158"/>
      <c r="M102" s="158"/>
      <c r="N102" s="541"/>
      <c r="O102" s="158"/>
      <c r="P102" s="158"/>
      <c r="Q102" s="158"/>
      <c r="R102" s="158"/>
      <c r="S102" s="158">
        <v>5957</v>
      </c>
      <c r="T102" s="541"/>
      <c r="U102" s="181">
        <f t="shared" si="7"/>
        <v>0</v>
      </c>
    </row>
    <row r="103" spans="2:21" ht="15.75" x14ac:dyDescent="0.25">
      <c r="B103" s="8">
        <f t="shared" si="8"/>
        <v>15</v>
      </c>
      <c r="C103" s="141">
        <v>2</v>
      </c>
      <c r="D103" s="677" t="s">
        <v>256</v>
      </c>
      <c r="E103" s="678"/>
      <c r="F103" s="678"/>
      <c r="G103" s="678"/>
      <c r="H103" s="678"/>
      <c r="I103" s="142">
        <f>+I104+I106</f>
        <v>28500</v>
      </c>
      <c r="J103" s="142">
        <f>J104+J106</f>
        <v>30000</v>
      </c>
      <c r="K103" s="142">
        <f>K104+K106</f>
        <v>25000</v>
      </c>
      <c r="L103" s="143">
        <f>L104+L106</f>
        <v>30896</v>
      </c>
      <c r="M103" s="143">
        <f>M104+M106</f>
        <v>2812</v>
      </c>
      <c r="N103" s="533"/>
      <c r="O103" s="142"/>
      <c r="P103" s="142"/>
      <c r="Q103" s="142"/>
      <c r="R103" s="143"/>
      <c r="S103" s="143"/>
      <c r="T103" s="533"/>
      <c r="U103" s="144">
        <f t="shared" si="7"/>
        <v>28500</v>
      </c>
    </row>
    <row r="104" spans="2:21" x14ac:dyDescent="0.2">
      <c r="B104" s="8">
        <f t="shared" si="8"/>
        <v>16</v>
      </c>
      <c r="C104" s="24"/>
      <c r="D104" s="24"/>
      <c r="E104" s="24"/>
      <c r="F104" s="149" t="s">
        <v>255</v>
      </c>
      <c r="G104" s="150">
        <v>630</v>
      </c>
      <c r="H104" s="24" t="s">
        <v>131</v>
      </c>
      <c r="I104" s="25">
        <f>I105</f>
        <v>4500</v>
      </c>
      <c r="J104" s="25">
        <f>J105</f>
        <v>5000</v>
      </c>
      <c r="K104" s="25">
        <f>K105</f>
        <v>0</v>
      </c>
      <c r="L104" s="26">
        <f>L105</f>
        <v>5896</v>
      </c>
      <c r="M104" s="26">
        <f>M105</f>
        <v>1612</v>
      </c>
      <c r="N104" s="501"/>
      <c r="O104" s="25"/>
      <c r="P104" s="25"/>
      <c r="Q104" s="25"/>
      <c r="R104" s="26"/>
      <c r="S104" s="26"/>
      <c r="T104" s="501"/>
      <c r="U104" s="151">
        <f t="shared" si="7"/>
        <v>4500</v>
      </c>
    </row>
    <row r="105" spans="2:21" x14ac:dyDescent="0.2">
      <c r="B105" s="8">
        <f>B104+1</f>
        <v>17</v>
      </c>
      <c r="C105" s="18"/>
      <c r="D105" s="18"/>
      <c r="E105" s="18"/>
      <c r="F105" s="152"/>
      <c r="G105" s="153">
        <v>637</v>
      </c>
      <c r="H105" s="18" t="s">
        <v>132</v>
      </c>
      <c r="I105" s="19">
        <v>4500</v>
      </c>
      <c r="J105" s="19">
        <v>5000</v>
      </c>
      <c r="K105" s="19">
        <v>0</v>
      </c>
      <c r="L105" s="20">
        <v>5896</v>
      </c>
      <c r="M105" s="20">
        <v>1612</v>
      </c>
      <c r="N105" s="164"/>
      <c r="O105" s="19"/>
      <c r="P105" s="19"/>
      <c r="Q105" s="19"/>
      <c r="R105" s="20"/>
      <c r="S105" s="20"/>
      <c r="T105" s="164"/>
      <c r="U105" s="154">
        <f t="shared" si="7"/>
        <v>4500</v>
      </c>
    </row>
    <row r="106" spans="2:21" x14ac:dyDescent="0.2">
      <c r="B106" s="8">
        <f>B105+1</f>
        <v>18</v>
      </c>
      <c r="C106" s="24"/>
      <c r="D106" s="24"/>
      <c r="E106" s="24"/>
      <c r="F106" s="149" t="s">
        <v>255</v>
      </c>
      <c r="G106" s="150">
        <v>640</v>
      </c>
      <c r="H106" s="24" t="s">
        <v>139</v>
      </c>
      <c r="I106" s="25">
        <f>I107</f>
        <v>24000</v>
      </c>
      <c r="J106" s="25">
        <f>J107</f>
        <v>25000</v>
      </c>
      <c r="K106" s="25">
        <f>K107</f>
        <v>25000</v>
      </c>
      <c r="L106" s="26">
        <f>L107</f>
        <v>25000</v>
      </c>
      <c r="M106" s="26">
        <f>M107</f>
        <v>1200</v>
      </c>
      <c r="N106" s="501"/>
      <c r="O106" s="25"/>
      <c r="P106" s="25"/>
      <c r="Q106" s="25"/>
      <c r="R106" s="26"/>
      <c r="S106" s="26"/>
      <c r="T106" s="501"/>
      <c r="U106" s="151">
        <f t="shared" si="7"/>
        <v>24000</v>
      </c>
    </row>
    <row r="107" spans="2:21" x14ac:dyDescent="0.2">
      <c r="B107" s="8">
        <f>B106+1</f>
        <v>19</v>
      </c>
      <c r="C107" s="182"/>
      <c r="D107" s="182"/>
      <c r="E107" s="182"/>
      <c r="F107" s="183"/>
      <c r="G107" s="183"/>
      <c r="H107" s="182" t="s">
        <v>485</v>
      </c>
      <c r="I107" s="184">
        <v>24000</v>
      </c>
      <c r="J107" s="184">
        <v>25000</v>
      </c>
      <c r="K107" s="184">
        <v>25000</v>
      </c>
      <c r="L107" s="184">
        <v>25000</v>
      </c>
      <c r="M107" s="184">
        <v>1200</v>
      </c>
      <c r="N107" s="542"/>
      <c r="O107" s="184"/>
      <c r="P107" s="184"/>
      <c r="Q107" s="184"/>
      <c r="R107" s="184"/>
      <c r="S107" s="184"/>
      <c r="T107" s="542"/>
      <c r="U107" s="185">
        <f t="shared" si="7"/>
        <v>24000</v>
      </c>
    </row>
    <row r="120" spans="2:26" ht="27" x14ac:dyDescent="0.35">
      <c r="B120" s="679" t="s">
        <v>19</v>
      </c>
      <c r="C120" s="680"/>
      <c r="D120" s="680"/>
      <c r="E120" s="680"/>
      <c r="F120" s="680"/>
      <c r="G120" s="680"/>
      <c r="H120" s="680"/>
      <c r="I120" s="680"/>
      <c r="J120" s="680"/>
      <c r="K120" s="680"/>
      <c r="L120" s="680"/>
      <c r="M120" s="680"/>
      <c r="N120" s="680"/>
      <c r="O120" s="680"/>
      <c r="P120" s="680"/>
      <c r="Q120" s="680"/>
      <c r="R120" s="680"/>
      <c r="S120" s="680"/>
      <c r="T120" s="680"/>
      <c r="U120" s="680"/>
    </row>
    <row r="121" spans="2:26" ht="13.5" customHeight="1" x14ac:dyDescent="0.2">
      <c r="B121" s="684" t="s">
        <v>842</v>
      </c>
      <c r="C121" s="685"/>
      <c r="D121" s="685"/>
      <c r="E121" s="685"/>
      <c r="F121" s="685"/>
      <c r="G121" s="685"/>
      <c r="H121" s="685"/>
      <c r="I121" s="685"/>
      <c r="J121" s="685"/>
      <c r="K121" s="685"/>
      <c r="L121" s="685"/>
      <c r="M121" s="685"/>
      <c r="N121" s="685"/>
      <c r="O121" s="685"/>
      <c r="P121" s="685"/>
      <c r="Q121" s="685"/>
      <c r="R121" s="685"/>
      <c r="S121" s="685"/>
      <c r="T121" s="567"/>
      <c r="U121" s="682" t="s">
        <v>1207</v>
      </c>
    </row>
    <row r="122" spans="2:26" ht="12.75" customHeight="1" x14ac:dyDescent="0.2">
      <c r="B122" s="681"/>
      <c r="C122" s="681" t="s">
        <v>122</v>
      </c>
      <c r="D122" s="681" t="s">
        <v>123</v>
      </c>
      <c r="E122" s="681"/>
      <c r="F122" s="681" t="s">
        <v>124</v>
      </c>
      <c r="G122" s="689" t="s">
        <v>125</v>
      </c>
      <c r="H122" s="686" t="s">
        <v>126</v>
      </c>
      <c r="I122" s="673" t="s">
        <v>1205</v>
      </c>
      <c r="J122" s="674" t="s">
        <v>837</v>
      </c>
      <c r="K122" s="674" t="s">
        <v>838</v>
      </c>
      <c r="L122" s="672" t="s">
        <v>839</v>
      </c>
      <c r="M122" s="672" t="s">
        <v>643</v>
      </c>
      <c r="N122" s="493"/>
      <c r="O122" s="673" t="s">
        <v>1206</v>
      </c>
      <c r="P122" s="674" t="s">
        <v>840</v>
      </c>
      <c r="Q122" s="674" t="s">
        <v>841</v>
      </c>
      <c r="R122" s="672" t="s">
        <v>839</v>
      </c>
      <c r="S122" s="672" t="s">
        <v>643</v>
      </c>
      <c r="T122" s="493"/>
      <c r="U122" s="683"/>
    </row>
    <row r="123" spans="2:26" x14ac:dyDescent="0.2">
      <c r="B123" s="681"/>
      <c r="C123" s="681"/>
      <c r="D123" s="681"/>
      <c r="E123" s="681"/>
      <c r="F123" s="681"/>
      <c r="G123" s="689"/>
      <c r="H123" s="686"/>
      <c r="I123" s="673"/>
      <c r="J123" s="674"/>
      <c r="K123" s="674"/>
      <c r="L123" s="672"/>
      <c r="M123" s="672"/>
      <c r="N123" s="493"/>
      <c r="O123" s="673"/>
      <c r="P123" s="674"/>
      <c r="Q123" s="674"/>
      <c r="R123" s="672"/>
      <c r="S123" s="672"/>
      <c r="T123" s="493"/>
      <c r="U123" s="683"/>
    </row>
    <row r="124" spans="2:26" ht="21" customHeight="1" x14ac:dyDescent="0.2">
      <c r="B124" s="681"/>
      <c r="C124" s="681"/>
      <c r="D124" s="681"/>
      <c r="E124" s="681"/>
      <c r="F124" s="681"/>
      <c r="G124" s="689"/>
      <c r="H124" s="686"/>
      <c r="I124" s="673"/>
      <c r="J124" s="674"/>
      <c r="K124" s="674"/>
      <c r="L124" s="672"/>
      <c r="M124" s="672"/>
      <c r="N124" s="493"/>
      <c r="O124" s="673"/>
      <c r="P124" s="674"/>
      <c r="Q124" s="674"/>
      <c r="R124" s="672"/>
      <c r="S124" s="672"/>
      <c r="T124" s="493"/>
      <c r="U124" s="683"/>
    </row>
    <row r="125" spans="2:26" x14ac:dyDescent="0.2">
      <c r="B125" s="681"/>
      <c r="C125" s="681"/>
      <c r="D125" s="681"/>
      <c r="E125" s="681"/>
      <c r="F125" s="681"/>
      <c r="G125" s="689"/>
      <c r="H125" s="686"/>
      <c r="I125" s="673"/>
      <c r="J125" s="674"/>
      <c r="K125" s="674"/>
      <c r="L125" s="672"/>
      <c r="M125" s="672"/>
      <c r="N125" s="493"/>
      <c r="O125" s="673"/>
      <c r="P125" s="674"/>
      <c r="Q125" s="674"/>
      <c r="R125" s="672"/>
      <c r="S125" s="672"/>
      <c r="T125" s="493"/>
      <c r="U125" s="683"/>
    </row>
    <row r="126" spans="2:26" ht="15.75" x14ac:dyDescent="0.2">
      <c r="B126" s="8">
        <v>1</v>
      </c>
      <c r="C126" s="687" t="s">
        <v>19</v>
      </c>
      <c r="D126" s="688"/>
      <c r="E126" s="688"/>
      <c r="F126" s="688"/>
      <c r="G126" s="688"/>
      <c r="H126" s="688"/>
      <c r="I126" s="138">
        <f>I231+I210+I205+I189+I155+I149+I130+I127</f>
        <v>7263625</v>
      </c>
      <c r="J126" s="138">
        <f>J231+J210+J205+J189+J155+J149+J130+J127</f>
        <v>7014982</v>
      </c>
      <c r="K126" s="138">
        <f>K231+K210+K205+K189+K155+K149+K130+K127</f>
        <v>7162610</v>
      </c>
      <c r="L126" s="139">
        <f>L231+L210+L205+L189+L155+L149+L130+L127</f>
        <v>5205095</v>
      </c>
      <c r="M126" s="139">
        <f>M231+M210+M205+M189+M155+M149+M130+M127</f>
        <v>4678345</v>
      </c>
      <c r="N126" s="532"/>
      <c r="O126" s="138">
        <f>O231+O210+O205+O189+O155+O149+O130+O127</f>
        <v>3299081</v>
      </c>
      <c r="P126" s="138">
        <f>P231+P210+P205+P189+P155+P149+P130+P127</f>
        <v>2465854</v>
      </c>
      <c r="Q126" s="138">
        <f>Q231+Q210+Q205+Q189+Q155+Q149+Q130+Q127</f>
        <v>2700553</v>
      </c>
      <c r="R126" s="139">
        <f>R231+R210+R205+R189+R155+R149+R130+R127</f>
        <v>497542</v>
      </c>
      <c r="S126" s="139">
        <f>S231+S210+S205+S189+S155+S149+S130+S127</f>
        <v>334462</v>
      </c>
      <c r="T126" s="532"/>
      <c r="U126" s="140">
        <f t="shared" ref="U126:U158" si="9">I126+O126</f>
        <v>10562706</v>
      </c>
      <c r="Z126" s="2"/>
    </row>
    <row r="127" spans="2:26" ht="15.75" x14ac:dyDescent="0.25">
      <c r="B127" s="8">
        <f>B126+1</f>
        <v>2</v>
      </c>
      <c r="C127" s="141">
        <v>1</v>
      </c>
      <c r="D127" s="677" t="s">
        <v>153</v>
      </c>
      <c r="E127" s="678"/>
      <c r="F127" s="678"/>
      <c r="G127" s="678"/>
      <c r="H127" s="678"/>
      <c r="I127" s="142">
        <f>I128</f>
        <v>110000</v>
      </c>
      <c r="J127" s="142">
        <f t="shared" ref="J127:M128" si="10">J128</f>
        <v>110000</v>
      </c>
      <c r="K127" s="142">
        <f t="shared" si="10"/>
        <v>93700</v>
      </c>
      <c r="L127" s="143">
        <f t="shared" si="10"/>
        <v>75222</v>
      </c>
      <c r="M127" s="143">
        <f t="shared" si="10"/>
        <v>70123</v>
      </c>
      <c r="N127" s="533"/>
      <c r="O127" s="142"/>
      <c r="P127" s="142"/>
      <c r="Q127" s="142"/>
      <c r="R127" s="143"/>
      <c r="S127" s="143"/>
      <c r="T127" s="533"/>
      <c r="U127" s="144">
        <f t="shared" si="9"/>
        <v>110000</v>
      </c>
    </row>
    <row r="128" spans="2:26" x14ac:dyDescent="0.2">
      <c r="B128" s="8">
        <f>B127+1</f>
        <v>3</v>
      </c>
      <c r="C128" s="24"/>
      <c r="D128" s="24"/>
      <c r="E128" s="24"/>
      <c r="F128" s="149" t="s">
        <v>79</v>
      </c>
      <c r="G128" s="150">
        <v>630</v>
      </c>
      <c r="H128" s="24" t="s">
        <v>131</v>
      </c>
      <c r="I128" s="25">
        <f>I129</f>
        <v>110000</v>
      </c>
      <c r="J128" s="25">
        <f t="shared" si="10"/>
        <v>110000</v>
      </c>
      <c r="K128" s="25">
        <f t="shared" si="10"/>
        <v>93700</v>
      </c>
      <c r="L128" s="26">
        <f t="shared" si="10"/>
        <v>75222</v>
      </c>
      <c r="M128" s="26">
        <f t="shared" si="10"/>
        <v>70123</v>
      </c>
      <c r="N128" s="501"/>
      <c r="O128" s="25"/>
      <c r="P128" s="25"/>
      <c r="Q128" s="25"/>
      <c r="R128" s="26"/>
      <c r="S128" s="26"/>
      <c r="T128" s="501"/>
      <c r="U128" s="151">
        <f t="shared" si="9"/>
        <v>110000</v>
      </c>
    </row>
    <row r="129" spans="2:21" x14ac:dyDescent="0.2">
      <c r="B129" s="8">
        <f t="shared" ref="B129:B195" si="11">B128+1</f>
        <v>4</v>
      </c>
      <c r="C129" s="18"/>
      <c r="D129" s="18"/>
      <c r="E129" s="18"/>
      <c r="F129" s="152"/>
      <c r="G129" s="153">
        <v>637</v>
      </c>
      <c r="H129" s="18" t="s">
        <v>132</v>
      </c>
      <c r="I129" s="19">
        <v>110000</v>
      </c>
      <c r="J129" s="19">
        <v>110000</v>
      </c>
      <c r="K129" s="19">
        <v>93700</v>
      </c>
      <c r="L129" s="20">
        <v>75222</v>
      </c>
      <c r="M129" s="20">
        <v>70123</v>
      </c>
      <c r="N129" s="164"/>
      <c r="O129" s="19"/>
      <c r="P129" s="19"/>
      <c r="Q129" s="19"/>
      <c r="R129" s="20"/>
      <c r="S129" s="20"/>
      <c r="T129" s="164"/>
      <c r="U129" s="154">
        <f t="shared" si="9"/>
        <v>110000</v>
      </c>
    </row>
    <row r="130" spans="2:21" ht="15.75" x14ac:dyDescent="0.25">
      <c r="B130" s="8">
        <f t="shared" si="11"/>
        <v>5</v>
      </c>
      <c r="C130" s="141">
        <v>2</v>
      </c>
      <c r="D130" s="677" t="s">
        <v>152</v>
      </c>
      <c r="E130" s="678"/>
      <c r="F130" s="678"/>
      <c r="G130" s="678"/>
      <c r="H130" s="678"/>
      <c r="I130" s="142">
        <f>I141+I134+I131</f>
        <v>116470</v>
      </c>
      <c r="J130" s="142">
        <f>J141+J134+J131</f>
        <v>109610</v>
      </c>
      <c r="K130" s="142">
        <f>K141+K134+K131</f>
        <v>109610</v>
      </c>
      <c r="L130" s="143">
        <f>L141+L134+L131</f>
        <v>77848</v>
      </c>
      <c r="M130" s="143">
        <f>M141+M134+M131</f>
        <v>74989</v>
      </c>
      <c r="N130" s="533"/>
      <c r="O130" s="142">
        <f>O141+O134+O131</f>
        <v>793391</v>
      </c>
      <c r="P130" s="142">
        <f>P141+P134+P131</f>
        <v>650100</v>
      </c>
      <c r="Q130" s="142">
        <f>Q141+Q134+Q131</f>
        <v>921200</v>
      </c>
      <c r="R130" s="143">
        <f>R141+R134+R131</f>
        <v>353769</v>
      </c>
      <c r="S130" s="143">
        <f>S141+S134+S131</f>
        <v>251892</v>
      </c>
      <c r="T130" s="533"/>
      <c r="U130" s="144">
        <f t="shared" si="9"/>
        <v>909861</v>
      </c>
    </row>
    <row r="131" spans="2:21" ht="14.25" x14ac:dyDescent="0.2">
      <c r="B131" s="8">
        <f t="shared" si="11"/>
        <v>6</v>
      </c>
      <c r="C131" s="160"/>
      <c r="D131" s="160">
        <v>1</v>
      </c>
      <c r="E131" s="675" t="s">
        <v>158</v>
      </c>
      <c r="F131" s="676"/>
      <c r="G131" s="676"/>
      <c r="H131" s="676"/>
      <c r="I131" s="161">
        <f>I132</f>
        <v>13060</v>
      </c>
      <c r="J131" s="161">
        <f t="shared" ref="J131:M132" si="12">J132</f>
        <v>13750</v>
      </c>
      <c r="K131" s="161">
        <f t="shared" si="12"/>
        <v>13750</v>
      </c>
      <c r="L131" s="162">
        <f t="shared" si="12"/>
        <v>2184</v>
      </c>
      <c r="M131" s="162">
        <f t="shared" si="12"/>
        <v>2251</v>
      </c>
      <c r="N131" s="534"/>
      <c r="O131" s="161">
        <v>0</v>
      </c>
      <c r="P131" s="161"/>
      <c r="Q131" s="161"/>
      <c r="R131" s="162"/>
      <c r="S131" s="162"/>
      <c r="T131" s="534"/>
      <c r="U131" s="163">
        <f t="shared" si="9"/>
        <v>13060</v>
      </c>
    </row>
    <row r="132" spans="2:21" x14ac:dyDescent="0.2">
      <c r="B132" s="8">
        <f t="shared" si="11"/>
        <v>7</v>
      </c>
      <c r="C132" s="24"/>
      <c r="D132" s="24"/>
      <c r="E132" s="24"/>
      <c r="F132" s="149" t="s">
        <v>79</v>
      </c>
      <c r="G132" s="150">
        <v>630</v>
      </c>
      <c r="H132" s="24" t="s">
        <v>131</v>
      </c>
      <c r="I132" s="25">
        <f>I133</f>
        <v>13060</v>
      </c>
      <c r="J132" s="25">
        <f t="shared" si="12"/>
        <v>13750</v>
      </c>
      <c r="K132" s="25">
        <f t="shared" si="12"/>
        <v>13750</v>
      </c>
      <c r="L132" s="26">
        <f t="shared" si="12"/>
        <v>2184</v>
      </c>
      <c r="M132" s="26">
        <f t="shared" si="12"/>
        <v>2251</v>
      </c>
      <c r="N132" s="501"/>
      <c r="O132" s="25"/>
      <c r="P132" s="25"/>
      <c r="Q132" s="25"/>
      <c r="R132" s="26"/>
      <c r="S132" s="26"/>
      <c r="T132" s="501"/>
      <c r="U132" s="151">
        <f t="shared" si="9"/>
        <v>13060</v>
      </c>
    </row>
    <row r="133" spans="2:21" x14ac:dyDescent="0.2">
      <c r="B133" s="8">
        <f t="shared" si="11"/>
        <v>8</v>
      </c>
      <c r="C133" s="18"/>
      <c r="D133" s="18"/>
      <c r="E133" s="18"/>
      <c r="F133" s="152"/>
      <c r="G133" s="153">
        <v>637</v>
      </c>
      <c r="H133" s="18" t="s">
        <v>132</v>
      </c>
      <c r="I133" s="19">
        <v>13060</v>
      </c>
      <c r="J133" s="19">
        <v>13750</v>
      </c>
      <c r="K133" s="19">
        <v>13750</v>
      </c>
      <c r="L133" s="20">
        <v>2184</v>
      </c>
      <c r="M133" s="20">
        <v>2251</v>
      </c>
      <c r="N133" s="164"/>
      <c r="O133" s="19"/>
      <c r="P133" s="19"/>
      <c r="Q133" s="19"/>
      <c r="R133" s="20"/>
      <c r="S133" s="20"/>
      <c r="T133" s="164"/>
      <c r="U133" s="154">
        <f t="shared" si="9"/>
        <v>13060</v>
      </c>
    </row>
    <row r="134" spans="2:21" ht="14.25" x14ac:dyDescent="0.2">
      <c r="B134" s="8">
        <f t="shared" si="11"/>
        <v>9</v>
      </c>
      <c r="C134" s="160"/>
      <c r="D134" s="160">
        <v>2</v>
      </c>
      <c r="E134" s="675" t="s">
        <v>151</v>
      </c>
      <c r="F134" s="676"/>
      <c r="G134" s="676"/>
      <c r="H134" s="676"/>
      <c r="I134" s="161">
        <f>I135</f>
        <v>29410</v>
      </c>
      <c r="J134" s="161">
        <f>J135</f>
        <v>27660</v>
      </c>
      <c r="K134" s="161">
        <f>K135</f>
        <v>27660</v>
      </c>
      <c r="L134" s="162">
        <f>L135</f>
        <v>19149</v>
      </c>
      <c r="M134" s="162">
        <f>M135</f>
        <v>18274</v>
      </c>
      <c r="N134" s="534"/>
      <c r="O134" s="161">
        <f>O138</f>
        <v>150100</v>
      </c>
      <c r="P134" s="161">
        <f>P138</f>
        <v>150100</v>
      </c>
      <c r="Q134" s="161">
        <f>Q138</f>
        <v>100</v>
      </c>
      <c r="R134" s="162">
        <f>R138</f>
        <v>26</v>
      </c>
      <c r="S134" s="162">
        <f>S138</f>
        <v>11</v>
      </c>
      <c r="T134" s="534"/>
      <c r="U134" s="163">
        <f t="shared" si="9"/>
        <v>179510</v>
      </c>
    </row>
    <row r="135" spans="2:21" x14ac:dyDescent="0.2">
      <c r="B135" s="8">
        <f t="shared" si="11"/>
        <v>10</v>
      </c>
      <c r="C135" s="24"/>
      <c r="D135" s="24"/>
      <c r="E135" s="24"/>
      <c r="F135" s="149" t="s">
        <v>79</v>
      </c>
      <c r="G135" s="150">
        <v>630</v>
      </c>
      <c r="H135" s="24" t="s">
        <v>131</v>
      </c>
      <c r="I135" s="25">
        <f>I137+I136</f>
        <v>29410</v>
      </c>
      <c r="J135" s="25">
        <f>J137+J136</f>
        <v>27660</v>
      </c>
      <c r="K135" s="25">
        <f>K137+K136</f>
        <v>27660</v>
      </c>
      <c r="L135" s="26">
        <f>L137+L136</f>
        <v>19149</v>
      </c>
      <c r="M135" s="26">
        <f>M137+M136</f>
        <v>18274</v>
      </c>
      <c r="N135" s="501"/>
      <c r="O135" s="25"/>
      <c r="P135" s="25"/>
      <c r="Q135" s="25"/>
      <c r="R135" s="26"/>
      <c r="S135" s="26"/>
      <c r="T135" s="501"/>
      <c r="U135" s="151">
        <f t="shared" si="9"/>
        <v>29410</v>
      </c>
    </row>
    <row r="136" spans="2:21" x14ac:dyDescent="0.2">
      <c r="B136" s="8">
        <f t="shared" si="11"/>
        <v>11</v>
      </c>
      <c r="C136" s="18"/>
      <c r="D136" s="18"/>
      <c r="E136" s="18"/>
      <c r="F136" s="152"/>
      <c r="G136" s="153">
        <v>636</v>
      </c>
      <c r="H136" s="18" t="s">
        <v>136</v>
      </c>
      <c r="I136" s="19">
        <v>9410</v>
      </c>
      <c r="J136" s="19">
        <v>9410</v>
      </c>
      <c r="K136" s="19">
        <v>9410</v>
      </c>
      <c r="L136" s="20">
        <v>9408</v>
      </c>
      <c r="M136" s="20">
        <v>9409</v>
      </c>
      <c r="N136" s="164"/>
      <c r="O136" s="19"/>
      <c r="P136" s="19"/>
      <c r="Q136" s="19"/>
      <c r="R136" s="20"/>
      <c r="S136" s="20"/>
      <c r="T136" s="164"/>
      <c r="U136" s="154">
        <f t="shared" si="9"/>
        <v>9410</v>
      </c>
    </row>
    <row r="137" spans="2:21" x14ac:dyDescent="0.2">
      <c r="B137" s="8">
        <f t="shared" si="11"/>
        <v>12</v>
      </c>
      <c r="C137" s="18"/>
      <c r="D137" s="18"/>
      <c r="E137" s="18"/>
      <c r="F137" s="152"/>
      <c r="G137" s="153">
        <v>637</v>
      </c>
      <c r="H137" s="18" t="s">
        <v>132</v>
      </c>
      <c r="I137" s="19">
        <v>20000</v>
      </c>
      <c r="J137" s="19">
        <v>18250</v>
      </c>
      <c r="K137" s="19">
        <v>18250</v>
      </c>
      <c r="L137" s="20">
        <v>9741</v>
      </c>
      <c r="M137" s="20">
        <v>8865</v>
      </c>
      <c r="N137" s="164"/>
      <c r="O137" s="19"/>
      <c r="P137" s="19"/>
      <c r="Q137" s="19"/>
      <c r="R137" s="20"/>
      <c r="S137" s="20"/>
      <c r="T137" s="164"/>
      <c r="U137" s="154">
        <f t="shared" si="9"/>
        <v>20000</v>
      </c>
    </row>
    <row r="138" spans="2:21" x14ac:dyDescent="0.2">
      <c r="B138" s="8">
        <f t="shared" si="11"/>
        <v>13</v>
      </c>
      <c r="C138" s="24"/>
      <c r="D138" s="24"/>
      <c r="E138" s="24"/>
      <c r="F138" s="149" t="s">
        <v>79</v>
      </c>
      <c r="G138" s="150">
        <v>710</v>
      </c>
      <c r="H138" s="24" t="s">
        <v>185</v>
      </c>
      <c r="I138" s="25"/>
      <c r="J138" s="25"/>
      <c r="K138" s="25"/>
      <c r="L138" s="26"/>
      <c r="M138" s="26"/>
      <c r="N138" s="501"/>
      <c r="O138" s="25">
        <f t="shared" ref="O138:S139" si="13">O139</f>
        <v>150100</v>
      </c>
      <c r="P138" s="25">
        <f t="shared" si="13"/>
        <v>150100</v>
      </c>
      <c r="Q138" s="25">
        <f t="shared" si="13"/>
        <v>100</v>
      </c>
      <c r="R138" s="26">
        <f t="shared" si="13"/>
        <v>26</v>
      </c>
      <c r="S138" s="26">
        <f t="shared" si="13"/>
        <v>11</v>
      </c>
      <c r="T138" s="501"/>
      <c r="U138" s="151">
        <f t="shared" si="9"/>
        <v>150100</v>
      </c>
    </row>
    <row r="139" spans="2:21" x14ac:dyDescent="0.2">
      <c r="B139" s="8">
        <f t="shared" si="11"/>
        <v>14</v>
      </c>
      <c r="C139" s="18"/>
      <c r="D139" s="18"/>
      <c r="E139" s="18"/>
      <c r="F139" s="152"/>
      <c r="G139" s="153">
        <v>712</v>
      </c>
      <c r="H139" s="18" t="s">
        <v>62</v>
      </c>
      <c r="I139" s="19"/>
      <c r="J139" s="19"/>
      <c r="K139" s="19"/>
      <c r="L139" s="20"/>
      <c r="M139" s="20"/>
      <c r="N139" s="164"/>
      <c r="O139" s="19">
        <f t="shared" si="13"/>
        <v>150100</v>
      </c>
      <c r="P139" s="19">
        <f t="shared" si="13"/>
        <v>150100</v>
      </c>
      <c r="Q139" s="19">
        <f t="shared" si="13"/>
        <v>100</v>
      </c>
      <c r="R139" s="20">
        <f t="shared" si="13"/>
        <v>26</v>
      </c>
      <c r="S139" s="20">
        <f t="shared" si="13"/>
        <v>11</v>
      </c>
      <c r="T139" s="164"/>
      <c r="U139" s="154">
        <f t="shared" si="9"/>
        <v>150100</v>
      </c>
    </row>
    <row r="140" spans="2:21" x14ac:dyDescent="0.2">
      <c r="B140" s="8">
        <f t="shared" si="11"/>
        <v>15</v>
      </c>
      <c r="C140" s="120"/>
      <c r="D140" s="120"/>
      <c r="E140" s="156"/>
      <c r="F140" s="155"/>
      <c r="G140" s="155"/>
      <c r="H140" s="156" t="s">
        <v>486</v>
      </c>
      <c r="I140" s="157"/>
      <c r="J140" s="157"/>
      <c r="K140" s="157"/>
      <c r="L140" s="158"/>
      <c r="M140" s="158"/>
      <c r="N140" s="535"/>
      <c r="O140" s="157">
        <v>150100</v>
      </c>
      <c r="P140" s="157">
        <v>150100</v>
      </c>
      <c r="Q140" s="157">
        <v>100</v>
      </c>
      <c r="R140" s="158">
        <v>26</v>
      </c>
      <c r="S140" s="158">
        <v>11</v>
      </c>
      <c r="T140" s="535"/>
      <c r="U140" s="159">
        <f t="shared" si="9"/>
        <v>150100</v>
      </c>
    </row>
    <row r="141" spans="2:21" ht="15" x14ac:dyDescent="0.25">
      <c r="B141" s="8">
        <f t="shared" si="11"/>
        <v>16</v>
      </c>
      <c r="C141" s="160"/>
      <c r="D141" s="160">
        <v>3</v>
      </c>
      <c r="E141" s="675" t="s">
        <v>217</v>
      </c>
      <c r="F141" s="715"/>
      <c r="G141" s="715"/>
      <c r="H141" s="715"/>
      <c r="I141" s="161">
        <f>I142</f>
        <v>74000</v>
      </c>
      <c r="J141" s="161">
        <f>J142</f>
        <v>68200</v>
      </c>
      <c r="K141" s="161">
        <f>K142</f>
        <v>68200</v>
      </c>
      <c r="L141" s="162">
        <f>L142</f>
        <v>56515</v>
      </c>
      <c r="M141" s="162">
        <f>M142</f>
        <v>54464</v>
      </c>
      <c r="N141" s="534"/>
      <c r="O141" s="161">
        <f>O145</f>
        <v>643291</v>
      </c>
      <c r="P141" s="161">
        <f>P145</f>
        <v>500000</v>
      </c>
      <c r="Q141" s="161">
        <f>Q145</f>
        <v>921100</v>
      </c>
      <c r="R141" s="162">
        <f>R145</f>
        <v>353743</v>
      </c>
      <c r="S141" s="162">
        <f>S145</f>
        <v>251881</v>
      </c>
      <c r="T141" s="534"/>
      <c r="U141" s="163">
        <f t="shared" si="9"/>
        <v>717291</v>
      </c>
    </row>
    <row r="142" spans="2:21" x14ac:dyDescent="0.2">
      <c r="B142" s="8">
        <f t="shared" si="11"/>
        <v>17</v>
      </c>
      <c r="C142" s="24"/>
      <c r="D142" s="24"/>
      <c r="E142" s="24"/>
      <c r="F142" s="149" t="s">
        <v>79</v>
      </c>
      <c r="G142" s="150">
        <v>630</v>
      </c>
      <c r="H142" s="24" t="s">
        <v>131</v>
      </c>
      <c r="I142" s="25">
        <f>I144+I143</f>
        <v>74000</v>
      </c>
      <c r="J142" s="25">
        <f>J144+J143</f>
        <v>68200</v>
      </c>
      <c r="K142" s="25">
        <f>K144+K143</f>
        <v>68200</v>
      </c>
      <c r="L142" s="26">
        <f>L144+L143</f>
        <v>56515</v>
      </c>
      <c r="M142" s="26">
        <f>M144+M143</f>
        <v>54464</v>
      </c>
      <c r="N142" s="501"/>
      <c r="O142" s="25"/>
      <c r="P142" s="25"/>
      <c r="Q142" s="25"/>
      <c r="R142" s="26"/>
      <c r="S142" s="26"/>
      <c r="T142" s="501"/>
      <c r="U142" s="151">
        <f t="shared" si="9"/>
        <v>74000</v>
      </c>
    </row>
    <row r="143" spans="2:21" x14ac:dyDescent="0.2">
      <c r="B143" s="8">
        <f t="shared" si="11"/>
        <v>18</v>
      </c>
      <c r="C143" s="18"/>
      <c r="D143" s="18"/>
      <c r="E143" s="18"/>
      <c r="F143" s="152"/>
      <c r="G143" s="153">
        <v>636</v>
      </c>
      <c r="H143" s="18" t="s">
        <v>136</v>
      </c>
      <c r="I143" s="19">
        <f>54700+800</f>
        <v>55500</v>
      </c>
      <c r="J143" s="19">
        <v>57600</v>
      </c>
      <c r="K143" s="19">
        <v>57600</v>
      </c>
      <c r="L143" s="20">
        <v>51230</v>
      </c>
      <c r="M143" s="20">
        <v>49587</v>
      </c>
      <c r="N143" s="164"/>
      <c r="O143" s="19"/>
      <c r="P143" s="19"/>
      <c r="Q143" s="19"/>
      <c r="R143" s="20"/>
      <c r="S143" s="20"/>
      <c r="T143" s="164"/>
      <c r="U143" s="154">
        <f t="shared" si="9"/>
        <v>55500</v>
      </c>
    </row>
    <row r="144" spans="2:21" x14ac:dyDescent="0.2">
      <c r="B144" s="8">
        <f t="shared" si="11"/>
        <v>19</v>
      </c>
      <c r="C144" s="18"/>
      <c r="D144" s="18"/>
      <c r="E144" s="18"/>
      <c r="F144" s="152"/>
      <c r="G144" s="153">
        <v>637</v>
      </c>
      <c r="H144" s="18" t="s">
        <v>132</v>
      </c>
      <c r="I144" s="19">
        <v>18500</v>
      </c>
      <c r="J144" s="19">
        <v>10600</v>
      </c>
      <c r="K144" s="19">
        <v>10600</v>
      </c>
      <c r="L144" s="20">
        <v>5285</v>
      </c>
      <c r="M144" s="20">
        <v>4877</v>
      </c>
      <c r="N144" s="164"/>
      <c r="O144" s="19"/>
      <c r="P144" s="19"/>
      <c r="Q144" s="19"/>
      <c r="R144" s="20"/>
      <c r="S144" s="20"/>
      <c r="T144" s="164"/>
      <c r="U144" s="154">
        <f t="shared" si="9"/>
        <v>18500</v>
      </c>
    </row>
    <row r="145" spans="2:21" x14ac:dyDescent="0.2">
      <c r="B145" s="8">
        <f t="shared" si="11"/>
        <v>20</v>
      </c>
      <c r="C145" s="24"/>
      <c r="D145" s="24"/>
      <c r="E145" s="24"/>
      <c r="F145" s="149" t="s">
        <v>79</v>
      </c>
      <c r="G145" s="150">
        <v>710</v>
      </c>
      <c r="H145" s="24" t="s">
        <v>185</v>
      </c>
      <c r="I145" s="25"/>
      <c r="J145" s="25"/>
      <c r="K145" s="25"/>
      <c r="L145" s="26"/>
      <c r="M145" s="26"/>
      <c r="N145" s="501"/>
      <c r="O145" s="25">
        <f>O146</f>
        <v>643291</v>
      </c>
      <c r="P145" s="25">
        <f>P146</f>
        <v>500000</v>
      </c>
      <c r="Q145" s="25">
        <f>Q146</f>
        <v>921100</v>
      </c>
      <c r="R145" s="26">
        <f>R146</f>
        <v>353743</v>
      </c>
      <c r="S145" s="26">
        <f>S146</f>
        <v>251881</v>
      </c>
      <c r="T145" s="501"/>
      <c r="U145" s="151">
        <f t="shared" si="9"/>
        <v>643291</v>
      </c>
    </row>
    <row r="146" spans="2:21" x14ac:dyDescent="0.2">
      <c r="B146" s="8">
        <f t="shared" si="11"/>
        <v>21</v>
      </c>
      <c r="C146" s="18"/>
      <c r="D146" s="18"/>
      <c r="E146" s="18"/>
      <c r="F146" s="152"/>
      <c r="G146" s="153">
        <v>711</v>
      </c>
      <c r="H146" s="18" t="s">
        <v>219</v>
      </c>
      <c r="I146" s="19"/>
      <c r="J146" s="19"/>
      <c r="K146" s="19"/>
      <c r="L146" s="20"/>
      <c r="M146" s="20"/>
      <c r="N146" s="164"/>
      <c r="O146" s="19">
        <f>O147+O148</f>
        <v>643291</v>
      </c>
      <c r="P146" s="19">
        <f>P147</f>
        <v>500000</v>
      </c>
      <c r="Q146" s="19">
        <f>SUM(Q147:Q147)</f>
        <v>921100</v>
      </c>
      <c r="R146" s="20">
        <f>R147</f>
        <v>353743</v>
      </c>
      <c r="S146" s="20">
        <f>S147</f>
        <v>251881</v>
      </c>
      <c r="T146" s="164"/>
      <c r="U146" s="154">
        <f t="shared" si="9"/>
        <v>643291</v>
      </c>
    </row>
    <row r="147" spans="2:21" x14ac:dyDescent="0.2">
      <c r="B147" s="8">
        <f t="shared" si="11"/>
        <v>22</v>
      </c>
      <c r="C147" s="120"/>
      <c r="D147" s="120"/>
      <c r="E147" s="156"/>
      <c r="F147" s="155"/>
      <c r="G147" s="155"/>
      <c r="H147" s="156" t="s">
        <v>487</v>
      </c>
      <c r="I147" s="157"/>
      <c r="J147" s="157"/>
      <c r="K147" s="157"/>
      <c r="L147" s="158"/>
      <c r="M147" s="158"/>
      <c r="N147" s="535"/>
      <c r="O147" s="157">
        <v>623291</v>
      </c>
      <c r="P147" s="157">
        <v>500000</v>
      </c>
      <c r="Q147" s="157">
        <v>921100</v>
      </c>
      <c r="R147" s="158">
        <v>353743</v>
      </c>
      <c r="S147" s="158">
        <v>251881</v>
      </c>
      <c r="T147" s="535"/>
      <c r="U147" s="159">
        <f t="shared" si="9"/>
        <v>623291</v>
      </c>
    </row>
    <row r="148" spans="2:21" x14ac:dyDescent="0.2">
      <c r="B148" s="8">
        <f t="shared" si="11"/>
        <v>23</v>
      </c>
      <c r="C148" s="120"/>
      <c r="D148" s="120"/>
      <c r="E148" s="156"/>
      <c r="F148" s="155"/>
      <c r="G148" s="155"/>
      <c r="H148" s="156" t="s">
        <v>1183</v>
      </c>
      <c r="I148" s="157"/>
      <c r="J148" s="157"/>
      <c r="K148" s="157"/>
      <c r="L148" s="158"/>
      <c r="M148" s="158"/>
      <c r="N148" s="535"/>
      <c r="O148" s="157">
        <v>20000</v>
      </c>
      <c r="P148" s="157"/>
      <c r="Q148" s="157"/>
      <c r="R148" s="158"/>
      <c r="S148" s="158"/>
      <c r="T148" s="535"/>
      <c r="U148" s="159">
        <f t="shared" si="9"/>
        <v>20000</v>
      </c>
    </row>
    <row r="149" spans="2:21" ht="15.75" x14ac:dyDescent="0.25">
      <c r="B149" s="8">
        <f t="shared" si="11"/>
        <v>24</v>
      </c>
      <c r="C149" s="141">
        <v>3</v>
      </c>
      <c r="D149" s="677" t="s">
        <v>159</v>
      </c>
      <c r="E149" s="678"/>
      <c r="F149" s="678"/>
      <c r="G149" s="678"/>
      <c r="H149" s="678"/>
      <c r="I149" s="142">
        <f>I152</f>
        <v>8000</v>
      </c>
      <c r="J149" s="142">
        <f>J152</f>
        <v>13000</v>
      </c>
      <c r="K149" s="142">
        <f>K152</f>
        <v>10572</v>
      </c>
      <c r="L149" s="143">
        <f>L152</f>
        <v>5391</v>
      </c>
      <c r="M149" s="143">
        <f>M150+M151+M152</f>
        <v>72620</v>
      </c>
      <c r="N149" s="533"/>
      <c r="O149" s="142"/>
      <c r="P149" s="142"/>
      <c r="Q149" s="142"/>
      <c r="R149" s="143"/>
      <c r="S149" s="143"/>
      <c r="T149" s="533"/>
      <c r="U149" s="144">
        <f t="shared" si="9"/>
        <v>8000</v>
      </c>
    </row>
    <row r="150" spans="2:21" x14ac:dyDescent="0.2">
      <c r="B150" s="8">
        <f t="shared" si="11"/>
        <v>25</v>
      </c>
      <c r="C150" s="24"/>
      <c r="D150" s="24"/>
      <c r="E150" s="24"/>
      <c r="F150" s="149" t="s">
        <v>79</v>
      </c>
      <c r="G150" s="150">
        <v>610</v>
      </c>
      <c r="H150" s="24" t="s">
        <v>141</v>
      </c>
      <c r="I150" s="25"/>
      <c r="J150" s="25"/>
      <c r="K150" s="25"/>
      <c r="L150" s="26"/>
      <c r="M150" s="26">
        <v>700</v>
      </c>
      <c r="N150" s="501"/>
      <c r="O150" s="25"/>
      <c r="P150" s="25"/>
      <c r="Q150" s="25"/>
      <c r="R150" s="26"/>
      <c r="S150" s="26"/>
      <c r="T150" s="501"/>
      <c r="U150" s="151">
        <f t="shared" si="9"/>
        <v>0</v>
      </c>
    </row>
    <row r="151" spans="2:21" x14ac:dyDescent="0.2">
      <c r="B151" s="8">
        <f t="shared" si="11"/>
        <v>26</v>
      </c>
      <c r="C151" s="24"/>
      <c r="D151" s="24"/>
      <c r="E151" s="24"/>
      <c r="F151" s="149" t="s">
        <v>79</v>
      </c>
      <c r="G151" s="150">
        <v>620</v>
      </c>
      <c r="H151" s="24" t="s">
        <v>134</v>
      </c>
      <c r="I151" s="25"/>
      <c r="J151" s="25"/>
      <c r="K151" s="25"/>
      <c r="L151" s="26"/>
      <c r="M151" s="26">
        <v>8232</v>
      </c>
      <c r="N151" s="501"/>
      <c r="O151" s="25"/>
      <c r="P151" s="25"/>
      <c r="Q151" s="25"/>
      <c r="R151" s="26"/>
      <c r="S151" s="26"/>
      <c r="T151" s="501"/>
      <c r="U151" s="151">
        <f t="shared" si="9"/>
        <v>0</v>
      </c>
    </row>
    <row r="152" spans="2:21" x14ac:dyDescent="0.2">
      <c r="B152" s="8">
        <f t="shared" si="11"/>
        <v>27</v>
      </c>
      <c r="C152" s="24"/>
      <c r="D152" s="24"/>
      <c r="E152" s="24"/>
      <c r="F152" s="149"/>
      <c r="G152" s="150">
        <v>630</v>
      </c>
      <c r="H152" s="24" t="s">
        <v>131</v>
      </c>
      <c r="I152" s="25">
        <f>I154+I153</f>
        <v>8000</v>
      </c>
      <c r="J152" s="25">
        <f>J154+J153</f>
        <v>13000</v>
      </c>
      <c r="K152" s="25">
        <f>K154+K153</f>
        <v>10572</v>
      </c>
      <c r="L152" s="26">
        <f>L154+L153</f>
        <v>5391</v>
      </c>
      <c r="M152" s="26">
        <f>M154+M153</f>
        <v>63688</v>
      </c>
      <c r="N152" s="501"/>
      <c r="O152" s="25"/>
      <c r="P152" s="25"/>
      <c r="Q152" s="25"/>
      <c r="R152" s="26"/>
      <c r="S152" s="26"/>
      <c r="T152" s="501"/>
      <c r="U152" s="151">
        <f t="shared" si="9"/>
        <v>8000</v>
      </c>
    </row>
    <row r="153" spans="2:21" x14ac:dyDescent="0.2">
      <c r="B153" s="8">
        <f t="shared" si="11"/>
        <v>28</v>
      </c>
      <c r="C153" s="18"/>
      <c r="D153" s="18"/>
      <c r="E153" s="18"/>
      <c r="F153" s="149" t="s">
        <v>79</v>
      </c>
      <c r="G153" s="153">
        <v>633</v>
      </c>
      <c r="H153" s="18" t="s">
        <v>135</v>
      </c>
      <c r="I153" s="19">
        <v>1000</v>
      </c>
      <c r="J153" s="19">
        <v>2000</v>
      </c>
      <c r="K153" s="19">
        <v>2572</v>
      </c>
      <c r="L153" s="20">
        <v>1788</v>
      </c>
      <c r="M153" s="20">
        <v>15436</v>
      </c>
      <c r="N153" s="164"/>
      <c r="O153" s="19"/>
      <c r="P153" s="19"/>
      <c r="Q153" s="19"/>
      <c r="R153" s="20"/>
      <c r="S153" s="20"/>
      <c r="T153" s="164"/>
      <c r="U153" s="154">
        <f t="shared" si="9"/>
        <v>1000</v>
      </c>
    </row>
    <row r="154" spans="2:21" x14ac:dyDescent="0.2">
      <c r="B154" s="8">
        <f t="shared" si="11"/>
        <v>29</v>
      </c>
      <c r="C154" s="18"/>
      <c r="D154" s="18"/>
      <c r="E154" s="18"/>
      <c r="F154" s="149" t="s">
        <v>832</v>
      </c>
      <c r="G154" s="153">
        <v>637</v>
      </c>
      <c r="H154" s="18" t="s">
        <v>132</v>
      </c>
      <c r="I154" s="19">
        <v>7000</v>
      </c>
      <c r="J154" s="19">
        <v>11000</v>
      </c>
      <c r="K154" s="19">
        <v>8000</v>
      </c>
      <c r="L154" s="20">
        <v>3603</v>
      </c>
      <c r="M154" s="20">
        <v>48252</v>
      </c>
      <c r="N154" s="164"/>
      <c r="O154" s="19"/>
      <c r="P154" s="19"/>
      <c r="Q154" s="19"/>
      <c r="R154" s="20"/>
      <c r="S154" s="20"/>
      <c r="T154" s="164"/>
      <c r="U154" s="154">
        <f t="shared" si="9"/>
        <v>7000</v>
      </c>
    </row>
    <row r="155" spans="2:21" ht="15.75" x14ac:dyDescent="0.25">
      <c r="B155" s="8">
        <f t="shared" si="11"/>
        <v>30</v>
      </c>
      <c r="C155" s="141">
        <v>4</v>
      </c>
      <c r="D155" s="677" t="s">
        <v>201</v>
      </c>
      <c r="E155" s="678"/>
      <c r="F155" s="678"/>
      <c r="G155" s="678"/>
      <c r="H155" s="678"/>
      <c r="I155" s="142">
        <f>I156</f>
        <v>269000</v>
      </c>
      <c r="J155" s="142">
        <f>J156</f>
        <v>164985</v>
      </c>
      <c r="K155" s="142">
        <f>K156</f>
        <v>220585</v>
      </c>
      <c r="L155" s="143">
        <f>L156</f>
        <v>252245</v>
      </c>
      <c r="M155" s="143">
        <f>M156</f>
        <v>131603</v>
      </c>
      <c r="N155" s="533"/>
      <c r="O155" s="142">
        <f>O163</f>
        <v>2375690</v>
      </c>
      <c r="P155" s="142">
        <f>P163</f>
        <v>1283976</v>
      </c>
      <c r="Q155" s="142">
        <f>Q163</f>
        <v>1443300</v>
      </c>
      <c r="R155" s="143">
        <f>R163</f>
        <v>73618</v>
      </c>
      <c r="S155" s="143">
        <f>S163</f>
        <v>16701</v>
      </c>
      <c r="T155" s="533"/>
      <c r="U155" s="144">
        <f t="shared" si="9"/>
        <v>2644690</v>
      </c>
    </row>
    <row r="156" spans="2:21" x14ac:dyDescent="0.2">
      <c r="B156" s="8">
        <f t="shared" si="11"/>
        <v>31</v>
      </c>
      <c r="C156" s="24"/>
      <c r="D156" s="24"/>
      <c r="E156" s="24"/>
      <c r="F156" s="149" t="s">
        <v>163</v>
      </c>
      <c r="G156" s="150">
        <v>630</v>
      </c>
      <c r="H156" s="24" t="s">
        <v>131</v>
      </c>
      <c r="I156" s="25">
        <f>I161+I159+I158+I157+I160+I162</f>
        <v>269000</v>
      </c>
      <c r="J156" s="25">
        <f>J161+J159+J158+J157+J160</f>
        <v>164985</v>
      </c>
      <c r="K156" s="25">
        <f>K161+K159+K158+K157+K160</f>
        <v>220585</v>
      </c>
      <c r="L156" s="26">
        <f>SUM(L157:L162)</f>
        <v>252245</v>
      </c>
      <c r="M156" s="26">
        <f>SUM(M157:M162)</f>
        <v>131603</v>
      </c>
      <c r="N156" s="501"/>
      <c r="O156" s="25"/>
      <c r="P156" s="25"/>
      <c r="Q156" s="25"/>
      <c r="R156" s="26"/>
      <c r="S156" s="26"/>
      <c r="T156" s="501"/>
      <c r="U156" s="151">
        <f t="shared" si="9"/>
        <v>269000</v>
      </c>
    </row>
    <row r="157" spans="2:21" x14ac:dyDescent="0.2">
      <c r="B157" s="8">
        <f t="shared" si="11"/>
        <v>32</v>
      </c>
      <c r="C157" s="18"/>
      <c r="D157" s="18"/>
      <c r="E157" s="18"/>
      <c r="F157" s="152"/>
      <c r="G157" s="153">
        <v>632</v>
      </c>
      <c r="H157" s="18" t="s">
        <v>144</v>
      </c>
      <c r="I157" s="19">
        <v>98000</v>
      </c>
      <c r="J157" s="19">
        <v>111985</v>
      </c>
      <c r="K157" s="19">
        <v>108985</v>
      </c>
      <c r="L157" s="20">
        <v>128021</v>
      </c>
      <c r="M157" s="20">
        <v>54316</v>
      </c>
      <c r="N157" s="164"/>
      <c r="O157" s="19"/>
      <c r="P157" s="19"/>
      <c r="Q157" s="19"/>
      <c r="R157" s="20"/>
      <c r="S157" s="20"/>
      <c r="T157" s="164"/>
      <c r="U157" s="154">
        <f t="shared" si="9"/>
        <v>98000</v>
      </c>
    </row>
    <row r="158" spans="2:21" x14ac:dyDescent="0.2">
      <c r="B158" s="8">
        <f t="shared" si="11"/>
        <v>33</v>
      </c>
      <c r="C158" s="18"/>
      <c r="D158" s="18"/>
      <c r="E158" s="18"/>
      <c r="F158" s="152"/>
      <c r="G158" s="153">
        <v>633</v>
      </c>
      <c r="H158" s="18" t="s">
        <v>135</v>
      </c>
      <c r="I158" s="19">
        <v>13000</v>
      </c>
      <c r="J158" s="19">
        <v>8000</v>
      </c>
      <c r="K158" s="19">
        <v>8000</v>
      </c>
      <c r="L158" s="20">
        <v>5823</v>
      </c>
      <c r="M158" s="20">
        <v>6652</v>
      </c>
      <c r="N158" s="164"/>
      <c r="O158" s="19"/>
      <c r="P158" s="19"/>
      <c r="Q158" s="19"/>
      <c r="R158" s="20"/>
      <c r="S158" s="20"/>
      <c r="T158" s="164"/>
      <c r="U158" s="154">
        <f t="shared" si="9"/>
        <v>13000</v>
      </c>
    </row>
    <row r="159" spans="2:21" x14ac:dyDescent="0.2">
      <c r="B159" s="8">
        <f t="shared" si="11"/>
        <v>34</v>
      </c>
      <c r="C159" s="18"/>
      <c r="D159" s="18"/>
      <c r="E159" s="18"/>
      <c r="F159" s="152"/>
      <c r="G159" s="153">
        <v>635</v>
      </c>
      <c r="H159" s="18" t="s">
        <v>143</v>
      </c>
      <c r="I159" s="19">
        <v>95000</v>
      </c>
      <c r="J159" s="19">
        <v>40000</v>
      </c>
      <c r="K159" s="19">
        <v>55000</v>
      </c>
      <c r="L159" s="20">
        <v>94376</v>
      </c>
      <c r="M159" s="20">
        <v>36652</v>
      </c>
      <c r="N159" s="164"/>
      <c r="O159" s="19"/>
      <c r="P159" s="19"/>
      <c r="Q159" s="19"/>
      <c r="R159" s="20"/>
      <c r="S159" s="20"/>
      <c r="T159" s="164"/>
      <c r="U159" s="154">
        <f t="shared" ref="U159:U191" si="14">I159+O159</f>
        <v>95000</v>
      </c>
    </row>
    <row r="160" spans="2:21" x14ac:dyDescent="0.2">
      <c r="B160" s="8">
        <f t="shared" si="11"/>
        <v>35</v>
      </c>
      <c r="C160" s="18"/>
      <c r="D160" s="18"/>
      <c r="E160" s="18"/>
      <c r="F160" s="152"/>
      <c r="G160" s="153">
        <v>635</v>
      </c>
      <c r="H160" s="18" t="s">
        <v>685</v>
      </c>
      <c r="I160" s="19"/>
      <c r="J160" s="19"/>
      <c r="K160" s="19"/>
      <c r="L160" s="20">
        <v>21474</v>
      </c>
      <c r="M160" s="20"/>
      <c r="N160" s="164"/>
      <c r="O160" s="19"/>
      <c r="P160" s="19"/>
      <c r="Q160" s="19"/>
      <c r="R160" s="20"/>
      <c r="S160" s="20"/>
      <c r="T160" s="164"/>
      <c r="U160" s="154">
        <f t="shared" si="14"/>
        <v>0</v>
      </c>
    </row>
    <row r="161" spans="2:21" x14ac:dyDescent="0.2">
      <c r="B161" s="8">
        <f t="shared" si="11"/>
        <v>36</v>
      </c>
      <c r="C161" s="18"/>
      <c r="D161" s="18"/>
      <c r="E161" s="18"/>
      <c r="F161" s="152"/>
      <c r="G161" s="153">
        <v>637</v>
      </c>
      <c r="H161" s="18" t="s">
        <v>132</v>
      </c>
      <c r="I161" s="19">
        <v>63000</v>
      </c>
      <c r="J161" s="19">
        <v>5000</v>
      </c>
      <c r="K161" s="19">
        <v>48600</v>
      </c>
      <c r="L161" s="20">
        <v>2551</v>
      </c>
      <c r="M161" s="20">
        <v>9683</v>
      </c>
      <c r="N161" s="164"/>
      <c r="O161" s="19"/>
      <c r="P161" s="19"/>
      <c r="Q161" s="19"/>
      <c r="R161" s="20"/>
      <c r="S161" s="20"/>
      <c r="T161" s="164"/>
      <c r="U161" s="154">
        <f t="shared" si="14"/>
        <v>63000</v>
      </c>
    </row>
    <row r="162" spans="2:21" s="13" customFormat="1" ht="27" customHeight="1" x14ac:dyDescent="0.2">
      <c r="B162" s="8">
        <f t="shared" si="11"/>
        <v>37</v>
      </c>
      <c r="C162" s="186"/>
      <c r="D162" s="186"/>
      <c r="E162" s="186"/>
      <c r="F162" s="187"/>
      <c r="G162" s="188">
        <v>637</v>
      </c>
      <c r="H162" s="121" t="s">
        <v>666</v>
      </c>
      <c r="I162" s="157"/>
      <c r="J162" s="122"/>
      <c r="K162" s="122"/>
      <c r="L162" s="123"/>
      <c r="M162" s="123">
        <v>24300</v>
      </c>
      <c r="N162" s="524"/>
      <c r="O162" s="122"/>
      <c r="P162" s="122"/>
      <c r="Q162" s="122"/>
      <c r="R162" s="123"/>
      <c r="S162" s="123"/>
      <c r="T162" s="524"/>
      <c r="U162" s="189">
        <f t="shared" si="14"/>
        <v>0</v>
      </c>
    </row>
    <row r="163" spans="2:21" x14ac:dyDescent="0.2">
      <c r="B163" s="8">
        <f t="shared" si="11"/>
        <v>38</v>
      </c>
      <c r="C163" s="24"/>
      <c r="D163" s="24"/>
      <c r="E163" s="24"/>
      <c r="F163" s="149" t="s">
        <v>202</v>
      </c>
      <c r="G163" s="150">
        <v>710</v>
      </c>
      <c r="H163" s="24" t="s">
        <v>185</v>
      </c>
      <c r="I163" s="157"/>
      <c r="J163" s="25"/>
      <c r="K163" s="25"/>
      <c r="L163" s="26"/>
      <c r="M163" s="26"/>
      <c r="N163" s="501"/>
      <c r="O163" s="25">
        <f>O175+O164</f>
        <v>2375690</v>
      </c>
      <c r="P163" s="25">
        <f>P175+P164</f>
        <v>1283976</v>
      </c>
      <c r="Q163" s="25">
        <f>Q175+Q164</f>
        <v>1443300</v>
      </c>
      <c r="R163" s="26">
        <f>R175+R164</f>
        <v>73618</v>
      </c>
      <c r="S163" s="26">
        <f>S175+S164</f>
        <v>16701</v>
      </c>
      <c r="T163" s="501"/>
      <c r="U163" s="151">
        <f t="shared" si="14"/>
        <v>2375690</v>
      </c>
    </row>
    <row r="164" spans="2:21" x14ac:dyDescent="0.2">
      <c r="B164" s="8">
        <f>B163+1</f>
        <v>39</v>
      </c>
      <c r="C164" s="18"/>
      <c r="D164" s="18"/>
      <c r="E164" s="18"/>
      <c r="F164" s="152"/>
      <c r="G164" s="153">
        <v>716</v>
      </c>
      <c r="H164" s="18" t="s">
        <v>226</v>
      </c>
      <c r="I164" s="157"/>
      <c r="J164" s="19"/>
      <c r="K164" s="19"/>
      <c r="L164" s="20"/>
      <c r="M164" s="20"/>
      <c r="N164" s="164"/>
      <c r="O164" s="19">
        <f>SUM(O166:O173)</f>
        <v>39120</v>
      </c>
      <c r="P164" s="19">
        <f>SUM(P166:P169)</f>
        <v>28600</v>
      </c>
      <c r="Q164" s="19">
        <f>SUM(Q165:Q172)</f>
        <v>79832</v>
      </c>
      <c r="R164" s="20">
        <f>SUM(R165:R174)</f>
        <v>21300</v>
      </c>
      <c r="S164" s="20">
        <f>SUM(S165:S174)</f>
        <v>11703</v>
      </c>
      <c r="T164" s="164"/>
      <c r="U164" s="154">
        <f t="shared" si="14"/>
        <v>39120</v>
      </c>
    </row>
    <row r="165" spans="2:21" x14ac:dyDescent="0.2">
      <c r="B165" s="8">
        <f t="shared" ref="B165:B178" si="15">B164+1</f>
        <v>40</v>
      </c>
      <c r="C165" s="120"/>
      <c r="D165" s="120"/>
      <c r="E165" s="156"/>
      <c r="F165" s="155"/>
      <c r="G165" s="155"/>
      <c r="H165" s="156" t="s">
        <v>307</v>
      </c>
      <c r="I165" s="157"/>
      <c r="J165" s="157"/>
      <c r="K165" s="157"/>
      <c r="L165" s="157"/>
      <c r="M165" s="157"/>
      <c r="N165" s="535"/>
      <c r="O165" s="157"/>
      <c r="P165" s="157"/>
      <c r="Q165" s="157"/>
      <c r="R165" s="158"/>
      <c r="S165" s="158">
        <v>2300</v>
      </c>
      <c r="T165" s="535"/>
      <c r="U165" s="159">
        <f t="shared" si="14"/>
        <v>0</v>
      </c>
    </row>
    <row r="166" spans="2:21" x14ac:dyDescent="0.2">
      <c r="B166" s="8">
        <f t="shared" si="15"/>
        <v>41</v>
      </c>
      <c r="C166" s="120"/>
      <c r="D166" s="120"/>
      <c r="E166" s="156"/>
      <c r="F166" s="155"/>
      <c r="G166" s="155"/>
      <c r="H166" s="156" t="s">
        <v>882</v>
      </c>
      <c r="I166" s="157"/>
      <c r="J166" s="157"/>
      <c r="K166" s="157"/>
      <c r="L166" s="157"/>
      <c r="M166" s="157"/>
      <c r="N166" s="535"/>
      <c r="O166" s="157"/>
      <c r="P166" s="157">
        <v>15000</v>
      </c>
      <c r="Q166" s="157">
        <v>11880</v>
      </c>
      <c r="R166" s="158"/>
      <c r="S166" s="158"/>
      <c r="T166" s="535"/>
      <c r="U166" s="159">
        <f t="shared" si="14"/>
        <v>0</v>
      </c>
    </row>
    <row r="167" spans="2:21" x14ac:dyDescent="0.2">
      <c r="B167" s="8">
        <f t="shared" si="15"/>
        <v>42</v>
      </c>
      <c r="C167" s="120"/>
      <c r="D167" s="120"/>
      <c r="E167" s="156"/>
      <c r="F167" s="155"/>
      <c r="G167" s="155"/>
      <c r="H167" s="156" t="s">
        <v>883</v>
      </c>
      <c r="I167" s="157"/>
      <c r="J167" s="157"/>
      <c r="K167" s="157"/>
      <c r="L167" s="157"/>
      <c r="M167" s="157"/>
      <c r="N167" s="535"/>
      <c r="O167" s="157"/>
      <c r="P167" s="157">
        <v>3600</v>
      </c>
      <c r="Q167" s="157">
        <v>6240</v>
      </c>
      <c r="R167" s="158"/>
      <c r="S167" s="158"/>
      <c r="T167" s="535"/>
      <c r="U167" s="159">
        <f t="shared" si="14"/>
        <v>0</v>
      </c>
    </row>
    <row r="168" spans="2:21" x14ac:dyDescent="0.2">
      <c r="B168" s="8">
        <f t="shared" si="15"/>
        <v>43</v>
      </c>
      <c r="C168" s="120"/>
      <c r="D168" s="120"/>
      <c r="E168" s="156"/>
      <c r="F168" s="155"/>
      <c r="G168" s="155"/>
      <c r="H168" s="156" t="s">
        <v>884</v>
      </c>
      <c r="I168" s="157"/>
      <c r="J168" s="157"/>
      <c r="K168" s="157"/>
      <c r="L168" s="157"/>
      <c r="M168" s="157"/>
      <c r="N168" s="535"/>
      <c r="O168" s="157"/>
      <c r="P168" s="157">
        <v>10000</v>
      </c>
      <c r="Q168" s="157">
        <v>11760</v>
      </c>
      <c r="R168" s="158"/>
      <c r="S168" s="158"/>
      <c r="T168" s="535"/>
      <c r="U168" s="159">
        <f t="shared" si="14"/>
        <v>0</v>
      </c>
    </row>
    <row r="169" spans="2:21" x14ac:dyDescent="0.2">
      <c r="B169" s="8">
        <f t="shared" si="15"/>
        <v>44</v>
      </c>
      <c r="C169" s="120"/>
      <c r="D169" s="120"/>
      <c r="E169" s="156"/>
      <c r="F169" s="155"/>
      <c r="G169" s="155"/>
      <c r="H169" s="156" t="s">
        <v>753</v>
      </c>
      <c r="I169" s="157"/>
      <c r="J169" s="157"/>
      <c r="K169" s="157"/>
      <c r="L169" s="157"/>
      <c r="M169" s="157"/>
      <c r="N169" s="535"/>
      <c r="O169" s="157">
        <v>11640</v>
      </c>
      <c r="P169" s="157"/>
      <c r="Q169" s="157">
        <v>13400</v>
      </c>
      <c r="R169" s="158">
        <v>1500</v>
      </c>
      <c r="S169" s="158"/>
      <c r="T169" s="535"/>
      <c r="U169" s="159">
        <f t="shared" si="14"/>
        <v>11640</v>
      </c>
    </row>
    <row r="170" spans="2:21" x14ac:dyDescent="0.2">
      <c r="B170" s="8">
        <f t="shared" si="15"/>
        <v>45</v>
      </c>
      <c r="C170" s="120"/>
      <c r="D170" s="120"/>
      <c r="E170" s="156"/>
      <c r="F170" s="155"/>
      <c r="G170" s="155"/>
      <c r="H170" s="156" t="s">
        <v>982</v>
      </c>
      <c r="I170" s="157"/>
      <c r="J170" s="157"/>
      <c r="K170" s="157"/>
      <c r="L170" s="157"/>
      <c r="M170" s="157"/>
      <c r="N170" s="535"/>
      <c r="O170" s="157"/>
      <c r="P170" s="157"/>
      <c r="Q170" s="157">
        <v>9072</v>
      </c>
      <c r="R170" s="158"/>
      <c r="S170" s="158"/>
      <c r="T170" s="535"/>
      <c r="U170" s="159">
        <f t="shared" si="14"/>
        <v>0</v>
      </c>
    </row>
    <row r="171" spans="2:21" x14ac:dyDescent="0.2">
      <c r="B171" s="8">
        <f t="shared" si="15"/>
        <v>46</v>
      </c>
      <c r="C171" s="120"/>
      <c r="D171" s="120"/>
      <c r="E171" s="156"/>
      <c r="F171" s="155"/>
      <c r="G171" s="155"/>
      <c r="H171" s="156" t="s">
        <v>1102</v>
      </c>
      <c r="I171" s="157"/>
      <c r="J171" s="157"/>
      <c r="K171" s="157"/>
      <c r="L171" s="157"/>
      <c r="M171" s="157"/>
      <c r="N171" s="535"/>
      <c r="O171" s="157">
        <v>27480</v>
      </c>
      <c r="P171" s="157"/>
      <c r="Q171" s="157">
        <v>27480</v>
      </c>
      <c r="R171" s="158"/>
      <c r="S171" s="158"/>
      <c r="T171" s="535"/>
      <c r="U171" s="159">
        <f t="shared" si="14"/>
        <v>27480</v>
      </c>
    </row>
    <row r="172" spans="2:21" x14ac:dyDescent="0.2">
      <c r="B172" s="8">
        <f t="shared" si="15"/>
        <v>47</v>
      </c>
      <c r="C172" s="120"/>
      <c r="D172" s="120"/>
      <c r="E172" s="156"/>
      <c r="F172" s="155"/>
      <c r="G172" s="155"/>
      <c r="H172" s="156" t="s">
        <v>754</v>
      </c>
      <c r="I172" s="157"/>
      <c r="J172" s="157"/>
      <c r="K172" s="157"/>
      <c r="L172" s="157"/>
      <c r="M172" s="157"/>
      <c r="N172" s="535"/>
      <c r="O172" s="157"/>
      <c r="P172" s="157"/>
      <c r="Q172" s="157"/>
      <c r="R172" s="158">
        <v>4440</v>
      </c>
      <c r="S172" s="158"/>
      <c r="T172" s="535"/>
      <c r="U172" s="159">
        <f t="shared" si="14"/>
        <v>0</v>
      </c>
    </row>
    <row r="173" spans="2:21" x14ac:dyDescent="0.2">
      <c r="B173" s="8">
        <f t="shared" si="15"/>
        <v>48</v>
      </c>
      <c r="C173" s="120"/>
      <c r="D173" s="120"/>
      <c r="E173" s="156"/>
      <c r="F173" s="155"/>
      <c r="G173" s="155"/>
      <c r="H173" s="156" t="s">
        <v>431</v>
      </c>
      <c r="I173" s="157"/>
      <c r="J173" s="157"/>
      <c r="K173" s="157"/>
      <c r="L173" s="157"/>
      <c r="M173" s="157"/>
      <c r="N173" s="535"/>
      <c r="O173" s="157"/>
      <c r="P173" s="157"/>
      <c r="Q173" s="157"/>
      <c r="R173" s="158">
        <v>15360</v>
      </c>
      <c r="S173" s="158"/>
      <c r="T173" s="535"/>
      <c r="U173" s="159">
        <f t="shared" si="14"/>
        <v>0</v>
      </c>
    </row>
    <row r="174" spans="2:21" x14ac:dyDescent="0.2">
      <c r="B174" s="8">
        <f t="shared" si="15"/>
        <v>49</v>
      </c>
      <c r="C174" s="120"/>
      <c r="D174" s="120"/>
      <c r="E174" s="156"/>
      <c r="F174" s="155"/>
      <c r="G174" s="155"/>
      <c r="H174" s="156" t="s">
        <v>300</v>
      </c>
      <c r="I174" s="157"/>
      <c r="J174" s="157"/>
      <c r="K174" s="157"/>
      <c r="L174" s="157"/>
      <c r="M174" s="157"/>
      <c r="N174" s="535"/>
      <c r="O174" s="157"/>
      <c r="P174" s="157"/>
      <c r="Q174" s="157"/>
      <c r="R174" s="158"/>
      <c r="S174" s="158">
        <v>9403</v>
      </c>
      <c r="T174" s="535"/>
      <c r="U174" s="159">
        <f t="shared" si="14"/>
        <v>0</v>
      </c>
    </row>
    <row r="175" spans="2:21" x14ac:dyDescent="0.2">
      <c r="B175" s="8">
        <f t="shared" si="15"/>
        <v>50</v>
      </c>
      <c r="C175" s="18"/>
      <c r="D175" s="18"/>
      <c r="E175" s="18"/>
      <c r="F175" s="152"/>
      <c r="G175" s="153">
        <v>717</v>
      </c>
      <c r="H175" s="18" t="s">
        <v>192</v>
      </c>
      <c r="I175" s="157"/>
      <c r="J175" s="19"/>
      <c r="K175" s="19"/>
      <c r="L175" s="20"/>
      <c r="M175" s="20"/>
      <c r="N175" s="164"/>
      <c r="O175" s="19">
        <f>SUM(O176:O188)</f>
        <v>2336570</v>
      </c>
      <c r="P175" s="19">
        <f>SUM(P176:P188)</f>
        <v>1255376</v>
      </c>
      <c r="Q175" s="19">
        <f>SUM(Q176:Q188)</f>
        <v>1363468</v>
      </c>
      <c r="R175" s="20">
        <f>SUM(R176:R188)</f>
        <v>52318</v>
      </c>
      <c r="S175" s="20">
        <f>SUM(S176:S187)</f>
        <v>4998</v>
      </c>
      <c r="T175" s="164"/>
      <c r="U175" s="154">
        <f t="shared" si="14"/>
        <v>2336570</v>
      </c>
    </row>
    <row r="176" spans="2:21" x14ac:dyDescent="0.2">
      <c r="B176" s="8">
        <f t="shared" si="15"/>
        <v>51</v>
      </c>
      <c r="C176" s="120"/>
      <c r="D176" s="120"/>
      <c r="E176" s="156"/>
      <c r="F176" s="155"/>
      <c r="G176" s="155"/>
      <c r="H176" s="156" t="s">
        <v>879</v>
      </c>
      <c r="I176" s="157"/>
      <c r="J176" s="157"/>
      <c r="K176" s="157"/>
      <c r="L176" s="157"/>
      <c r="M176" s="157"/>
      <c r="N176" s="535"/>
      <c r="O176" s="157"/>
      <c r="P176" s="157">
        <v>224376</v>
      </c>
      <c r="Q176" s="157">
        <v>230986</v>
      </c>
      <c r="R176" s="158"/>
      <c r="S176" s="158"/>
      <c r="T176" s="535"/>
      <c r="U176" s="159">
        <f t="shared" si="14"/>
        <v>0</v>
      </c>
    </row>
    <row r="177" spans="2:21" x14ac:dyDescent="0.2">
      <c r="B177" s="8">
        <f t="shared" si="15"/>
        <v>52</v>
      </c>
      <c r="C177" s="120"/>
      <c r="D177" s="120"/>
      <c r="E177" s="156"/>
      <c r="F177" s="155"/>
      <c r="G177" s="155"/>
      <c r="H177" s="156" t="s">
        <v>882</v>
      </c>
      <c r="I177" s="157"/>
      <c r="J177" s="157"/>
      <c r="K177" s="157"/>
      <c r="L177" s="157"/>
      <c r="M177" s="157"/>
      <c r="N177" s="535"/>
      <c r="O177" s="157"/>
      <c r="P177" s="157">
        <v>171000</v>
      </c>
      <c r="Q177" s="157">
        <v>165000</v>
      </c>
      <c r="R177" s="158"/>
      <c r="S177" s="158"/>
      <c r="T177" s="535"/>
      <c r="U177" s="159">
        <f t="shared" si="14"/>
        <v>0</v>
      </c>
    </row>
    <row r="178" spans="2:21" x14ac:dyDescent="0.2">
      <c r="B178" s="8">
        <f t="shared" si="15"/>
        <v>53</v>
      </c>
      <c r="C178" s="120"/>
      <c r="D178" s="120"/>
      <c r="E178" s="156"/>
      <c r="F178" s="155"/>
      <c r="G178" s="155"/>
      <c r="H178" s="156" t="s">
        <v>883</v>
      </c>
      <c r="I178" s="157"/>
      <c r="J178" s="157"/>
      <c r="K178" s="157"/>
      <c r="L178" s="157"/>
      <c r="M178" s="157"/>
      <c r="N178" s="535"/>
      <c r="O178" s="157">
        <v>53625</v>
      </c>
      <c r="P178" s="157">
        <v>37000</v>
      </c>
      <c r="Q178" s="157">
        <v>53625</v>
      </c>
      <c r="R178" s="158"/>
      <c r="S178" s="158"/>
      <c r="T178" s="535"/>
      <c r="U178" s="159">
        <f t="shared" si="14"/>
        <v>53625</v>
      </c>
    </row>
    <row r="179" spans="2:21" x14ac:dyDescent="0.2">
      <c r="B179" s="8">
        <f t="shared" si="11"/>
        <v>54</v>
      </c>
      <c r="C179" s="120"/>
      <c r="D179" s="120"/>
      <c r="E179" s="156"/>
      <c r="F179" s="155"/>
      <c r="G179" s="155"/>
      <c r="H179" s="156" t="s">
        <v>885</v>
      </c>
      <c r="I179" s="157"/>
      <c r="J179" s="157"/>
      <c r="K179" s="157"/>
      <c r="L179" s="157"/>
      <c r="M179" s="157"/>
      <c r="N179" s="535"/>
      <c r="O179" s="157"/>
      <c r="P179" s="157">
        <v>100000</v>
      </c>
      <c r="Q179" s="157">
        <v>93012</v>
      </c>
      <c r="R179" s="158"/>
      <c r="S179" s="158"/>
      <c r="T179" s="535"/>
      <c r="U179" s="159">
        <f t="shared" si="14"/>
        <v>0</v>
      </c>
    </row>
    <row r="180" spans="2:21" x14ac:dyDescent="0.2">
      <c r="B180" s="8">
        <f t="shared" si="11"/>
        <v>55</v>
      </c>
      <c r="C180" s="120"/>
      <c r="D180" s="120"/>
      <c r="E180" s="156"/>
      <c r="F180" s="155"/>
      <c r="G180" s="155"/>
      <c r="H180" s="156" t="s">
        <v>886</v>
      </c>
      <c r="I180" s="157"/>
      <c r="J180" s="157"/>
      <c r="K180" s="157"/>
      <c r="L180" s="157"/>
      <c r="M180" s="157"/>
      <c r="N180" s="535"/>
      <c r="O180" s="157"/>
      <c r="P180" s="157">
        <v>28000</v>
      </c>
      <c r="Q180" s="157">
        <v>34000</v>
      </c>
      <c r="R180" s="158"/>
      <c r="S180" s="158"/>
      <c r="T180" s="535"/>
      <c r="U180" s="159">
        <f t="shared" si="14"/>
        <v>0</v>
      </c>
    </row>
    <row r="181" spans="2:21" x14ac:dyDescent="0.2">
      <c r="B181" s="8">
        <f t="shared" si="11"/>
        <v>56</v>
      </c>
      <c r="C181" s="120"/>
      <c r="D181" s="120"/>
      <c r="E181" s="156"/>
      <c r="F181" s="155"/>
      <c r="G181" s="155"/>
      <c r="H181" s="156" t="s">
        <v>887</v>
      </c>
      <c r="I181" s="157"/>
      <c r="J181" s="157"/>
      <c r="K181" s="157"/>
      <c r="L181" s="157"/>
      <c r="M181" s="157"/>
      <c r="N181" s="535"/>
      <c r="O181" s="157">
        <f>237945+20000</f>
        <v>257945</v>
      </c>
      <c r="P181" s="157">
        <v>195000</v>
      </c>
      <c r="Q181" s="157">
        <v>283000</v>
      </c>
      <c r="R181" s="158"/>
      <c r="S181" s="157"/>
      <c r="T181" s="535"/>
      <c r="U181" s="159">
        <f t="shared" si="14"/>
        <v>257945</v>
      </c>
    </row>
    <row r="182" spans="2:21" x14ac:dyDescent="0.2">
      <c r="B182" s="8">
        <f t="shared" si="11"/>
        <v>57</v>
      </c>
      <c r="C182" s="120"/>
      <c r="D182" s="120"/>
      <c r="E182" s="156"/>
      <c r="F182" s="155"/>
      <c r="G182" s="155"/>
      <c r="H182" s="156" t="s">
        <v>1062</v>
      </c>
      <c r="I182" s="157"/>
      <c r="J182" s="157"/>
      <c r="K182" s="157"/>
      <c r="L182" s="157"/>
      <c r="M182" s="157"/>
      <c r="N182" s="535"/>
      <c r="O182" s="157">
        <v>1900000</v>
      </c>
      <c r="P182" s="157">
        <v>500000</v>
      </c>
      <c r="Q182" s="157">
        <v>500000</v>
      </c>
      <c r="R182" s="158"/>
      <c r="S182" s="157"/>
      <c r="T182" s="535"/>
      <c r="U182" s="159">
        <f t="shared" si="14"/>
        <v>1900000</v>
      </c>
    </row>
    <row r="183" spans="2:21" x14ac:dyDescent="0.2">
      <c r="B183" s="8">
        <f t="shared" si="11"/>
        <v>58</v>
      </c>
      <c r="C183" s="120"/>
      <c r="D183" s="120"/>
      <c r="E183" s="156"/>
      <c r="F183" s="155"/>
      <c r="G183" s="155"/>
      <c r="H183" s="156" t="s">
        <v>1063</v>
      </c>
      <c r="I183" s="157"/>
      <c r="J183" s="157"/>
      <c r="K183" s="157"/>
      <c r="L183" s="157"/>
      <c r="M183" s="157"/>
      <c r="N183" s="535"/>
      <c r="O183" s="157">
        <v>125000</v>
      </c>
      <c r="P183" s="157"/>
      <c r="Q183" s="157"/>
      <c r="R183" s="158"/>
      <c r="S183" s="157"/>
      <c r="T183" s="535"/>
      <c r="U183" s="159">
        <f t="shared" si="14"/>
        <v>125000</v>
      </c>
    </row>
    <row r="184" spans="2:21" x14ac:dyDescent="0.2">
      <c r="B184" s="8">
        <f t="shared" si="11"/>
        <v>59</v>
      </c>
      <c r="C184" s="120"/>
      <c r="D184" s="120"/>
      <c r="E184" s="156"/>
      <c r="F184" s="155"/>
      <c r="G184" s="155"/>
      <c r="H184" s="156" t="s">
        <v>983</v>
      </c>
      <c r="I184" s="157"/>
      <c r="J184" s="157"/>
      <c r="K184" s="157"/>
      <c r="L184" s="157"/>
      <c r="M184" s="157"/>
      <c r="N184" s="535"/>
      <c r="O184" s="157"/>
      <c r="P184" s="157"/>
      <c r="Q184" s="157">
        <v>3845</v>
      </c>
      <c r="R184" s="158"/>
      <c r="S184" s="157"/>
      <c r="T184" s="535"/>
      <c r="U184" s="159">
        <f t="shared" si="14"/>
        <v>0</v>
      </c>
    </row>
    <row r="185" spans="2:21" x14ac:dyDescent="0.2">
      <c r="B185" s="8">
        <f t="shared" si="11"/>
        <v>60</v>
      </c>
      <c r="C185" s="120"/>
      <c r="D185" s="120"/>
      <c r="E185" s="156"/>
      <c r="F185" s="155"/>
      <c r="G185" s="155"/>
      <c r="H185" s="156" t="s">
        <v>554</v>
      </c>
      <c r="I185" s="157"/>
      <c r="J185" s="157"/>
      <c r="K185" s="157"/>
      <c r="L185" s="157"/>
      <c r="M185" s="157"/>
      <c r="N185" s="535"/>
      <c r="O185" s="157"/>
      <c r="P185" s="157"/>
      <c r="Q185" s="157"/>
      <c r="R185" s="158">
        <v>32754</v>
      </c>
      <c r="S185" s="157"/>
      <c r="T185" s="535"/>
      <c r="U185" s="159">
        <f t="shared" si="14"/>
        <v>0</v>
      </c>
    </row>
    <row r="186" spans="2:21" x14ac:dyDescent="0.2">
      <c r="B186" s="8">
        <f t="shared" si="11"/>
        <v>61</v>
      </c>
      <c r="C186" s="120"/>
      <c r="D186" s="120"/>
      <c r="E186" s="156"/>
      <c r="F186" s="155"/>
      <c r="G186" s="155"/>
      <c r="H186" s="156" t="s">
        <v>525</v>
      </c>
      <c r="I186" s="157"/>
      <c r="J186" s="157"/>
      <c r="K186" s="157"/>
      <c r="L186" s="157"/>
      <c r="M186" s="157"/>
      <c r="N186" s="535"/>
      <c r="O186" s="157"/>
      <c r="P186" s="157"/>
      <c r="Q186" s="157"/>
      <c r="R186" s="158"/>
      <c r="S186" s="157">
        <v>4998</v>
      </c>
      <c r="T186" s="535"/>
      <c r="U186" s="159">
        <f t="shared" si="14"/>
        <v>0</v>
      </c>
    </row>
    <row r="187" spans="2:21" x14ac:dyDescent="0.2">
      <c r="B187" s="8">
        <f t="shared" si="11"/>
        <v>62</v>
      </c>
      <c r="C187" s="120"/>
      <c r="D187" s="120"/>
      <c r="E187" s="156"/>
      <c r="F187" s="155"/>
      <c r="G187" s="155"/>
      <c r="H187" s="156" t="s">
        <v>755</v>
      </c>
      <c r="I187" s="157"/>
      <c r="J187" s="157"/>
      <c r="K187" s="157"/>
      <c r="L187" s="157"/>
      <c r="M187" s="157"/>
      <c r="N187" s="535"/>
      <c r="O187" s="157"/>
      <c r="P187" s="157"/>
      <c r="Q187" s="157"/>
      <c r="R187" s="158">
        <v>1736</v>
      </c>
      <c r="S187" s="157"/>
      <c r="T187" s="535"/>
      <c r="U187" s="159">
        <f t="shared" si="14"/>
        <v>0</v>
      </c>
    </row>
    <row r="188" spans="2:21" x14ac:dyDescent="0.2">
      <c r="B188" s="8">
        <f t="shared" si="11"/>
        <v>63</v>
      </c>
      <c r="C188" s="120"/>
      <c r="D188" s="120"/>
      <c r="E188" s="156"/>
      <c r="F188" s="155"/>
      <c r="G188" s="155"/>
      <c r="H188" s="156" t="s">
        <v>342</v>
      </c>
      <c r="I188" s="157"/>
      <c r="J188" s="157"/>
      <c r="K188" s="157"/>
      <c r="L188" s="157"/>
      <c r="M188" s="157"/>
      <c r="N188" s="535"/>
      <c r="O188" s="157"/>
      <c r="P188" s="157"/>
      <c r="Q188" s="157"/>
      <c r="R188" s="158">
        <v>17828</v>
      </c>
      <c r="S188" s="157"/>
      <c r="T188" s="535"/>
      <c r="U188" s="159">
        <f t="shared" si="14"/>
        <v>0</v>
      </c>
    </row>
    <row r="189" spans="2:21" ht="15.75" x14ac:dyDescent="0.25">
      <c r="B189" s="8">
        <f t="shared" si="11"/>
        <v>64</v>
      </c>
      <c r="C189" s="141">
        <v>5</v>
      </c>
      <c r="D189" s="677" t="s">
        <v>162</v>
      </c>
      <c r="E189" s="678"/>
      <c r="F189" s="678"/>
      <c r="G189" s="678"/>
      <c r="H189" s="678"/>
      <c r="I189" s="142">
        <f>I190+I191+I192+I197+I199+I200</f>
        <v>6277830</v>
      </c>
      <c r="J189" s="142">
        <f>J190+J191+J192+J197+J199+J200</f>
        <v>5974481</v>
      </c>
      <c r="K189" s="142">
        <f>K190+K191+K192+K197+K199+K200</f>
        <v>6170631</v>
      </c>
      <c r="L189" s="143">
        <f>L190+L191+L192+L197+L199+L200</f>
        <v>4453233</v>
      </c>
      <c r="M189" s="143">
        <f>M190+M191+M192+M197+M199+M200</f>
        <v>4019671</v>
      </c>
      <c r="N189" s="533"/>
      <c r="O189" s="142"/>
      <c r="P189" s="142"/>
      <c r="Q189" s="142">
        <f>Q201</f>
        <v>66600</v>
      </c>
      <c r="R189" s="143"/>
      <c r="S189" s="143"/>
      <c r="T189" s="533"/>
      <c r="U189" s="144">
        <f t="shared" si="14"/>
        <v>6277830</v>
      </c>
    </row>
    <row r="190" spans="2:21" x14ac:dyDescent="0.2">
      <c r="B190" s="8">
        <f t="shared" si="11"/>
        <v>65</v>
      </c>
      <c r="C190" s="24"/>
      <c r="D190" s="24"/>
      <c r="E190" s="24"/>
      <c r="F190" s="149" t="s">
        <v>79</v>
      </c>
      <c r="G190" s="150">
        <v>610</v>
      </c>
      <c r="H190" s="24" t="s">
        <v>141</v>
      </c>
      <c r="I190" s="25">
        <v>3400000</v>
      </c>
      <c r="J190" s="25">
        <v>3200000</v>
      </c>
      <c r="K190" s="25">
        <v>3200000</v>
      </c>
      <c r="L190" s="26">
        <v>2639602</v>
      </c>
      <c r="M190" s="26">
        <v>2476780</v>
      </c>
      <c r="N190" s="501"/>
      <c r="O190" s="25"/>
      <c r="P190" s="25"/>
      <c r="Q190" s="25"/>
      <c r="R190" s="26"/>
      <c r="S190" s="26"/>
      <c r="T190" s="501"/>
      <c r="U190" s="151">
        <f t="shared" si="14"/>
        <v>3400000</v>
      </c>
    </row>
    <row r="191" spans="2:21" x14ac:dyDescent="0.2">
      <c r="B191" s="8">
        <f t="shared" si="11"/>
        <v>66</v>
      </c>
      <c r="C191" s="24"/>
      <c r="D191" s="24"/>
      <c r="E191" s="24"/>
      <c r="F191" s="149" t="s">
        <v>79</v>
      </c>
      <c r="G191" s="150">
        <v>620</v>
      </c>
      <c r="H191" s="24" t="s">
        <v>134</v>
      </c>
      <c r="I191" s="25">
        <v>1325000</v>
      </c>
      <c r="J191" s="25">
        <v>1279000</v>
      </c>
      <c r="K191" s="25">
        <v>1255000</v>
      </c>
      <c r="L191" s="26">
        <v>995837</v>
      </c>
      <c r="M191" s="26">
        <v>941102</v>
      </c>
      <c r="N191" s="501"/>
      <c r="O191" s="25"/>
      <c r="P191" s="25"/>
      <c r="Q191" s="25"/>
      <c r="R191" s="26"/>
      <c r="S191" s="26"/>
      <c r="T191" s="501"/>
      <c r="U191" s="151">
        <f t="shared" si="14"/>
        <v>1325000</v>
      </c>
    </row>
    <row r="192" spans="2:21" x14ac:dyDescent="0.2">
      <c r="B192" s="8">
        <f t="shared" si="11"/>
        <v>67</v>
      </c>
      <c r="C192" s="24"/>
      <c r="D192" s="24"/>
      <c r="E192" s="24"/>
      <c r="F192" s="149" t="s">
        <v>79</v>
      </c>
      <c r="G192" s="150">
        <v>630</v>
      </c>
      <c r="H192" s="24" t="s">
        <v>131</v>
      </c>
      <c r="I192" s="25">
        <f>I193+I194+I195+I196</f>
        <v>934830</v>
      </c>
      <c r="J192" s="25">
        <f>J196+J195+J194+J193</f>
        <v>1286481</v>
      </c>
      <c r="K192" s="25">
        <f>K196+K195+K194+K193</f>
        <v>1233381</v>
      </c>
      <c r="L192" s="26">
        <f>L196+L195+L194+L193</f>
        <v>598270</v>
      </c>
      <c r="M192" s="26">
        <f>M196+M195+M194+M193</f>
        <v>448819</v>
      </c>
      <c r="N192" s="501"/>
      <c r="O192" s="25"/>
      <c r="P192" s="25"/>
      <c r="Q192" s="25"/>
      <c r="R192" s="26"/>
      <c r="S192" s="26"/>
      <c r="T192" s="501"/>
      <c r="U192" s="151">
        <f t="shared" ref="U192:U223" si="16">I192+O192</f>
        <v>934830</v>
      </c>
    </row>
    <row r="193" spans="2:21" x14ac:dyDescent="0.2">
      <c r="B193" s="8">
        <f t="shared" si="11"/>
        <v>68</v>
      </c>
      <c r="C193" s="18"/>
      <c r="D193" s="18"/>
      <c r="E193" s="18"/>
      <c r="F193" s="152"/>
      <c r="G193" s="153">
        <v>632</v>
      </c>
      <c r="H193" s="18" t="s">
        <v>144</v>
      </c>
      <c r="I193" s="19">
        <v>525000</v>
      </c>
      <c r="J193" s="19">
        <v>851781</v>
      </c>
      <c r="K193" s="19">
        <v>803681</v>
      </c>
      <c r="L193" s="20">
        <v>318283</v>
      </c>
      <c r="M193" s="20">
        <v>119072</v>
      </c>
      <c r="N193" s="164"/>
      <c r="O193" s="19"/>
      <c r="P193" s="19"/>
      <c r="Q193" s="19"/>
      <c r="R193" s="20"/>
      <c r="S193" s="20"/>
      <c r="T193" s="164"/>
      <c r="U193" s="154">
        <f t="shared" si="16"/>
        <v>525000</v>
      </c>
    </row>
    <row r="194" spans="2:21" x14ac:dyDescent="0.2">
      <c r="B194" s="8">
        <f t="shared" si="11"/>
        <v>69</v>
      </c>
      <c r="C194" s="18"/>
      <c r="D194" s="18"/>
      <c r="E194" s="18"/>
      <c r="F194" s="152"/>
      <c r="G194" s="153">
        <v>633</v>
      </c>
      <c r="H194" s="18" t="s">
        <v>135</v>
      </c>
      <c r="I194" s="19">
        <v>40000</v>
      </c>
      <c r="J194" s="19">
        <v>35000</v>
      </c>
      <c r="K194" s="19">
        <v>39000</v>
      </c>
      <c r="L194" s="20">
        <v>33006</v>
      </c>
      <c r="M194" s="20">
        <v>35508</v>
      </c>
      <c r="N194" s="164"/>
      <c r="O194" s="19"/>
      <c r="P194" s="19"/>
      <c r="Q194" s="19"/>
      <c r="R194" s="20"/>
      <c r="S194" s="20"/>
      <c r="T194" s="164"/>
      <c r="U194" s="154">
        <f t="shared" si="16"/>
        <v>40000</v>
      </c>
    </row>
    <row r="195" spans="2:21" x14ac:dyDescent="0.2">
      <c r="B195" s="8">
        <f t="shared" si="11"/>
        <v>70</v>
      </c>
      <c r="C195" s="18"/>
      <c r="D195" s="18"/>
      <c r="E195" s="18"/>
      <c r="F195" s="152"/>
      <c r="G195" s="153">
        <v>635</v>
      </c>
      <c r="H195" s="18" t="s">
        <v>143</v>
      </c>
      <c r="I195" s="19">
        <v>65000</v>
      </c>
      <c r="J195" s="19">
        <v>35000</v>
      </c>
      <c r="K195" s="19">
        <v>45000</v>
      </c>
      <c r="L195" s="20">
        <v>28854</v>
      </c>
      <c r="M195" s="20">
        <v>27769</v>
      </c>
      <c r="N195" s="164"/>
      <c r="O195" s="19"/>
      <c r="P195" s="19"/>
      <c r="Q195" s="19"/>
      <c r="R195" s="20"/>
      <c r="S195" s="20"/>
      <c r="T195" s="164"/>
      <c r="U195" s="154">
        <f t="shared" si="16"/>
        <v>65000</v>
      </c>
    </row>
    <row r="196" spans="2:21" x14ac:dyDescent="0.2">
      <c r="B196" s="8">
        <f t="shared" ref="B196:B227" si="17">B195+1</f>
        <v>71</v>
      </c>
      <c r="C196" s="18"/>
      <c r="D196" s="18"/>
      <c r="E196" s="18"/>
      <c r="F196" s="152"/>
      <c r="G196" s="153">
        <v>637</v>
      </c>
      <c r="H196" s="18" t="s">
        <v>132</v>
      </c>
      <c r="I196" s="19">
        <v>304830</v>
      </c>
      <c r="J196" s="19">
        <v>364700</v>
      </c>
      <c r="K196" s="19">
        <v>345700</v>
      </c>
      <c r="L196" s="20">
        <v>218127</v>
      </c>
      <c r="M196" s="20">
        <f>252599+13871</f>
        <v>266470</v>
      </c>
      <c r="N196" s="164"/>
      <c r="O196" s="19"/>
      <c r="P196" s="19"/>
      <c r="Q196" s="19"/>
      <c r="R196" s="20"/>
      <c r="S196" s="20"/>
      <c r="T196" s="164"/>
      <c r="U196" s="154">
        <f t="shared" si="16"/>
        <v>304830</v>
      </c>
    </row>
    <row r="197" spans="2:21" x14ac:dyDescent="0.2">
      <c r="B197" s="8">
        <f t="shared" si="17"/>
        <v>72</v>
      </c>
      <c r="C197" s="24"/>
      <c r="D197" s="24"/>
      <c r="E197" s="24"/>
      <c r="F197" s="149" t="s">
        <v>258</v>
      </c>
      <c r="G197" s="150">
        <v>630</v>
      </c>
      <c r="H197" s="24" t="s">
        <v>131</v>
      </c>
      <c r="I197" s="25">
        <f>I198</f>
        <v>25000</v>
      </c>
      <c r="J197" s="25">
        <f>J198</f>
        <v>25000</v>
      </c>
      <c r="K197" s="25">
        <f>K198</f>
        <v>25000</v>
      </c>
      <c r="L197" s="26">
        <f>L198</f>
        <v>19939</v>
      </c>
      <c r="M197" s="26">
        <f>M198</f>
        <v>20000</v>
      </c>
      <c r="N197" s="501"/>
      <c r="O197" s="25"/>
      <c r="P197" s="25"/>
      <c r="Q197" s="25"/>
      <c r="R197" s="26"/>
      <c r="S197" s="26"/>
      <c r="T197" s="501"/>
      <c r="U197" s="151">
        <f t="shared" si="16"/>
        <v>25000</v>
      </c>
    </row>
    <row r="198" spans="2:21" x14ac:dyDescent="0.2">
      <c r="B198" s="8">
        <f t="shared" si="17"/>
        <v>73</v>
      </c>
      <c r="C198" s="18"/>
      <c r="D198" s="18"/>
      <c r="E198" s="18"/>
      <c r="F198" s="152"/>
      <c r="G198" s="153">
        <v>637</v>
      </c>
      <c r="H198" s="18" t="s">
        <v>132</v>
      </c>
      <c r="I198" s="19">
        <v>25000</v>
      </c>
      <c r="J198" s="19">
        <v>25000</v>
      </c>
      <c r="K198" s="19">
        <v>25000</v>
      </c>
      <c r="L198" s="20">
        <v>19939</v>
      </c>
      <c r="M198" s="20">
        <v>20000</v>
      </c>
      <c r="N198" s="164"/>
      <c r="O198" s="19"/>
      <c r="P198" s="19"/>
      <c r="Q198" s="19"/>
      <c r="R198" s="20"/>
      <c r="S198" s="20"/>
      <c r="T198" s="164"/>
      <c r="U198" s="154">
        <f t="shared" si="16"/>
        <v>25000</v>
      </c>
    </row>
    <row r="199" spans="2:21" x14ac:dyDescent="0.2">
      <c r="B199" s="8">
        <f t="shared" si="17"/>
        <v>74</v>
      </c>
      <c r="C199" s="24"/>
      <c r="D199" s="24"/>
      <c r="E199" s="24"/>
      <c r="F199" s="149" t="s">
        <v>218</v>
      </c>
      <c r="G199" s="150">
        <v>650</v>
      </c>
      <c r="H199" s="24" t="s">
        <v>961</v>
      </c>
      <c r="I199" s="25">
        <v>418000</v>
      </c>
      <c r="J199" s="25">
        <v>120000</v>
      </c>
      <c r="K199" s="25">
        <v>330250</v>
      </c>
      <c r="L199" s="26">
        <v>101081</v>
      </c>
      <c r="M199" s="26">
        <v>95155</v>
      </c>
      <c r="N199" s="501"/>
      <c r="O199" s="25"/>
      <c r="P199" s="25"/>
      <c r="Q199" s="25"/>
      <c r="R199" s="26"/>
      <c r="S199" s="26"/>
      <c r="T199" s="501"/>
      <c r="U199" s="151">
        <f t="shared" si="16"/>
        <v>418000</v>
      </c>
    </row>
    <row r="200" spans="2:21" x14ac:dyDescent="0.2">
      <c r="B200" s="8">
        <f t="shared" si="17"/>
        <v>75</v>
      </c>
      <c r="C200" s="24"/>
      <c r="D200" s="24"/>
      <c r="E200" s="24"/>
      <c r="F200" s="149" t="s">
        <v>79</v>
      </c>
      <c r="G200" s="150">
        <v>640</v>
      </c>
      <c r="H200" s="24" t="s">
        <v>139</v>
      </c>
      <c r="I200" s="25">
        <v>175000</v>
      </c>
      <c r="J200" s="25">
        <v>64000</v>
      </c>
      <c r="K200" s="25">
        <v>127000</v>
      </c>
      <c r="L200" s="26">
        <v>98504</v>
      </c>
      <c r="M200" s="26">
        <v>37815</v>
      </c>
      <c r="N200" s="501"/>
      <c r="O200" s="25"/>
      <c r="P200" s="25"/>
      <c r="Q200" s="25"/>
      <c r="R200" s="26"/>
      <c r="S200" s="26"/>
      <c r="T200" s="501"/>
      <c r="U200" s="151">
        <f t="shared" si="16"/>
        <v>175000</v>
      </c>
    </row>
    <row r="201" spans="2:21" x14ac:dyDescent="0.2">
      <c r="B201" s="8">
        <f t="shared" si="17"/>
        <v>76</v>
      </c>
      <c r="C201" s="24"/>
      <c r="D201" s="24"/>
      <c r="E201" s="24"/>
      <c r="F201" s="149" t="s">
        <v>79</v>
      </c>
      <c r="G201" s="150">
        <v>710</v>
      </c>
      <c r="H201" s="24" t="s">
        <v>185</v>
      </c>
      <c r="I201" s="25"/>
      <c r="J201" s="25"/>
      <c r="K201" s="25"/>
      <c r="L201" s="26"/>
      <c r="M201" s="26"/>
      <c r="N201" s="501"/>
      <c r="O201" s="25"/>
      <c r="P201" s="25"/>
      <c r="Q201" s="25">
        <f>Q202</f>
        <v>66600</v>
      </c>
      <c r="R201" s="26"/>
      <c r="S201" s="26"/>
      <c r="T201" s="501"/>
      <c r="U201" s="151">
        <f t="shared" si="16"/>
        <v>0</v>
      </c>
    </row>
    <row r="202" spans="2:21" x14ac:dyDescent="0.2">
      <c r="B202" s="8">
        <f t="shared" si="17"/>
        <v>77</v>
      </c>
      <c r="C202" s="18"/>
      <c r="D202" s="18"/>
      <c r="E202" s="18"/>
      <c r="F202" s="152"/>
      <c r="G202" s="153">
        <v>717</v>
      </c>
      <c r="H202" s="18" t="s">
        <v>192</v>
      </c>
      <c r="I202" s="19"/>
      <c r="J202" s="19"/>
      <c r="K202" s="19"/>
      <c r="L202" s="20"/>
      <c r="M202" s="20"/>
      <c r="N202" s="164"/>
      <c r="O202" s="19"/>
      <c r="P202" s="19"/>
      <c r="Q202" s="19">
        <f>SUM(Q203:Q204)</f>
        <v>66600</v>
      </c>
      <c r="R202" s="20"/>
      <c r="S202" s="20"/>
      <c r="T202" s="164"/>
      <c r="U202" s="154">
        <f t="shared" si="16"/>
        <v>0</v>
      </c>
    </row>
    <row r="203" spans="2:21" x14ac:dyDescent="0.2">
      <c r="B203" s="8">
        <f t="shared" si="17"/>
        <v>78</v>
      </c>
      <c r="C203" s="120"/>
      <c r="D203" s="120"/>
      <c r="E203" s="156"/>
      <c r="F203" s="155"/>
      <c r="G203" s="155"/>
      <c r="H203" s="156" t="s">
        <v>984</v>
      </c>
      <c r="I203" s="19"/>
      <c r="J203" s="157"/>
      <c r="K203" s="157"/>
      <c r="L203" s="158"/>
      <c r="M203" s="158"/>
      <c r="N203" s="535"/>
      <c r="O203" s="157"/>
      <c r="P203" s="157"/>
      <c r="Q203" s="157">
        <v>16600</v>
      </c>
      <c r="R203" s="158"/>
      <c r="S203" s="158"/>
      <c r="T203" s="535"/>
      <c r="U203" s="159">
        <f t="shared" si="16"/>
        <v>0</v>
      </c>
    </row>
    <row r="204" spans="2:21" x14ac:dyDescent="0.2">
      <c r="B204" s="8">
        <f t="shared" si="17"/>
        <v>79</v>
      </c>
      <c r="C204" s="120"/>
      <c r="D204" s="120"/>
      <c r="E204" s="156"/>
      <c r="F204" s="155"/>
      <c r="G204" s="155"/>
      <c r="H204" s="156" t="s">
        <v>1103</v>
      </c>
      <c r="I204" s="19"/>
      <c r="J204" s="157"/>
      <c r="K204" s="157"/>
      <c r="L204" s="158"/>
      <c r="M204" s="158"/>
      <c r="N204" s="535"/>
      <c r="O204" s="157"/>
      <c r="P204" s="157"/>
      <c r="Q204" s="157">
        <v>50000</v>
      </c>
      <c r="R204" s="158"/>
      <c r="S204" s="158"/>
      <c r="T204" s="535"/>
      <c r="U204" s="159">
        <f t="shared" si="16"/>
        <v>0</v>
      </c>
    </row>
    <row r="205" spans="2:21" ht="15.75" x14ac:dyDescent="0.25">
      <c r="B205" s="8">
        <f t="shared" si="17"/>
        <v>80</v>
      </c>
      <c r="C205" s="141">
        <v>6</v>
      </c>
      <c r="D205" s="677" t="s">
        <v>274</v>
      </c>
      <c r="E205" s="678"/>
      <c r="F205" s="678"/>
      <c r="G205" s="678"/>
      <c r="H205" s="678"/>
      <c r="I205" s="142">
        <f>I206+I208</f>
        <v>19500</v>
      </c>
      <c r="J205" s="142">
        <f>J206+J208</f>
        <v>17100</v>
      </c>
      <c r="K205" s="142">
        <f>K206+K208</f>
        <v>12100</v>
      </c>
      <c r="L205" s="143">
        <f>L206+L208</f>
        <v>13834</v>
      </c>
      <c r="M205" s="143">
        <f>M206+M208</f>
        <v>5794</v>
      </c>
      <c r="N205" s="533"/>
      <c r="O205" s="142"/>
      <c r="P205" s="142"/>
      <c r="Q205" s="142"/>
      <c r="R205" s="143"/>
      <c r="S205" s="143"/>
      <c r="T205" s="533"/>
      <c r="U205" s="144">
        <f t="shared" si="16"/>
        <v>19500</v>
      </c>
    </row>
    <row r="206" spans="2:21" x14ac:dyDescent="0.2">
      <c r="B206" s="8">
        <f t="shared" si="17"/>
        <v>81</v>
      </c>
      <c r="C206" s="24"/>
      <c r="D206" s="24"/>
      <c r="E206" s="24"/>
      <c r="F206" s="149" t="s">
        <v>79</v>
      </c>
      <c r="G206" s="150">
        <v>630</v>
      </c>
      <c r="H206" s="24" t="s">
        <v>131</v>
      </c>
      <c r="I206" s="25">
        <f>I207</f>
        <v>5500</v>
      </c>
      <c r="J206" s="25">
        <f>J207</f>
        <v>5000</v>
      </c>
      <c r="K206" s="25">
        <f>K207</f>
        <v>5000</v>
      </c>
      <c r="L206" s="26">
        <f>L207</f>
        <v>3318</v>
      </c>
      <c r="M206" s="26">
        <f>M207</f>
        <v>1748</v>
      </c>
      <c r="N206" s="501"/>
      <c r="O206" s="25"/>
      <c r="P206" s="25"/>
      <c r="Q206" s="25"/>
      <c r="R206" s="26"/>
      <c r="S206" s="26"/>
      <c r="T206" s="501"/>
      <c r="U206" s="151">
        <f t="shared" si="16"/>
        <v>5500</v>
      </c>
    </row>
    <row r="207" spans="2:21" x14ac:dyDescent="0.2">
      <c r="B207" s="8">
        <f t="shared" si="17"/>
        <v>82</v>
      </c>
      <c r="C207" s="18"/>
      <c r="D207" s="18"/>
      <c r="E207" s="18"/>
      <c r="F207" s="152"/>
      <c r="G207" s="153">
        <v>631</v>
      </c>
      <c r="H207" s="18" t="s">
        <v>137</v>
      </c>
      <c r="I207" s="19">
        <v>5500</v>
      </c>
      <c r="J207" s="19">
        <v>5000</v>
      </c>
      <c r="K207" s="19">
        <v>5000</v>
      </c>
      <c r="L207" s="20">
        <v>3318</v>
      </c>
      <c r="M207" s="20">
        <v>1748</v>
      </c>
      <c r="N207" s="164"/>
      <c r="O207" s="19"/>
      <c r="P207" s="19"/>
      <c r="Q207" s="19"/>
      <c r="R207" s="20"/>
      <c r="S207" s="20"/>
      <c r="T207" s="164"/>
      <c r="U207" s="154">
        <f t="shared" si="16"/>
        <v>5500</v>
      </c>
    </row>
    <row r="208" spans="2:21" x14ac:dyDescent="0.2">
      <c r="B208" s="8">
        <f t="shared" si="17"/>
        <v>83</v>
      </c>
      <c r="C208" s="24"/>
      <c r="D208" s="24"/>
      <c r="E208" s="24"/>
      <c r="F208" s="149" t="s">
        <v>168</v>
      </c>
      <c r="G208" s="150">
        <v>630</v>
      </c>
      <c r="H208" s="24" t="s">
        <v>131</v>
      </c>
      <c r="I208" s="25">
        <f>I209</f>
        <v>14000</v>
      </c>
      <c r="J208" s="25">
        <f>J209</f>
        <v>12100</v>
      </c>
      <c r="K208" s="25">
        <f>K209</f>
        <v>7100</v>
      </c>
      <c r="L208" s="26">
        <f>L209</f>
        <v>10516</v>
      </c>
      <c r="M208" s="26">
        <f>M209</f>
        <v>4046</v>
      </c>
      <c r="N208" s="501"/>
      <c r="O208" s="25"/>
      <c r="P208" s="25"/>
      <c r="Q208" s="25"/>
      <c r="R208" s="26"/>
      <c r="S208" s="26"/>
      <c r="T208" s="501"/>
      <c r="U208" s="151">
        <f t="shared" si="16"/>
        <v>14000</v>
      </c>
    </row>
    <row r="209" spans="2:21" x14ac:dyDescent="0.2">
      <c r="B209" s="8">
        <f t="shared" si="17"/>
        <v>84</v>
      </c>
      <c r="C209" s="18"/>
      <c r="D209" s="18"/>
      <c r="E209" s="18"/>
      <c r="F209" s="152"/>
      <c r="G209" s="153">
        <v>637</v>
      </c>
      <c r="H209" s="18" t="s">
        <v>132</v>
      </c>
      <c r="I209" s="19">
        <v>14000</v>
      </c>
      <c r="J209" s="19">
        <v>12100</v>
      </c>
      <c r="K209" s="19">
        <v>7100</v>
      </c>
      <c r="L209" s="20">
        <v>10516</v>
      </c>
      <c r="M209" s="20">
        <v>4046</v>
      </c>
      <c r="N209" s="164"/>
      <c r="O209" s="19"/>
      <c r="P209" s="19"/>
      <c r="Q209" s="19"/>
      <c r="R209" s="20"/>
      <c r="S209" s="20"/>
      <c r="T209" s="164"/>
      <c r="U209" s="154">
        <f t="shared" si="16"/>
        <v>14000</v>
      </c>
    </row>
    <row r="210" spans="2:21" ht="15.75" x14ac:dyDescent="0.25">
      <c r="B210" s="8">
        <f t="shared" si="17"/>
        <v>85</v>
      </c>
      <c r="C210" s="141">
        <v>7</v>
      </c>
      <c r="D210" s="677" t="s">
        <v>145</v>
      </c>
      <c r="E210" s="678"/>
      <c r="F210" s="678"/>
      <c r="G210" s="678"/>
      <c r="H210" s="678"/>
      <c r="I210" s="142">
        <f>I211</f>
        <v>408500</v>
      </c>
      <c r="J210" s="142">
        <f>J211</f>
        <v>575806</v>
      </c>
      <c r="K210" s="142">
        <f>K211</f>
        <v>495412</v>
      </c>
      <c r="L210" s="143">
        <f>L211</f>
        <v>287616</v>
      </c>
      <c r="M210" s="143">
        <f>M211</f>
        <v>268725</v>
      </c>
      <c r="N210" s="533"/>
      <c r="O210" s="142">
        <f>O219</f>
        <v>130000</v>
      </c>
      <c r="P210" s="142">
        <f>P219</f>
        <v>491778</v>
      </c>
      <c r="Q210" s="142">
        <f>Q219</f>
        <v>229453</v>
      </c>
      <c r="R210" s="143">
        <f>R219</f>
        <v>70155</v>
      </c>
      <c r="S210" s="143">
        <f>S219</f>
        <v>24891</v>
      </c>
      <c r="T210" s="533"/>
      <c r="U210" s="144">
        <f t="shared" si="16"/>
        <v>538500</v>
      </c>
    </row>
    <row r="211" spans="2:21" x14ac:dyDescent="0.2">
      <c r="B211" s="8">
        <f t="shared" si="17"/>
        <v>86</v>
      </c>
      <c r="C211" s="24"/>
      <c r="D211" s="24"/>
      <c r="E211" s="24"/>
      <c r="F211" s="149" t="s">
        <v>79</v>
      </c>
      <c r="G211" s="150">
        <v>630</v>
      </c>
      <c r="H211" s="24" t="s">
        <v>131</v>
      </c>
      <c r="I211" s="25">
        <f>SUM(I212:I216)</f>
        <v>408500</v>
      </c>
      <c r="J211" s="25">
        <f>J216+J215+J214+J213+J212+J217+J218</f>
        <v>575806</v>
      </c>
      <c r="K211" s="25">
        <f>SUM(K212:K218)</f>
        <v>495412</v>
      </c>
      <c r="L211" s="26">
        <f>L216+L215+L214+L213+L212</f>
        <v>287616</v>
      </c>
      <c r="M211" s="26">
        <f>M216+M215+M214+M213+M212</f>
        <v>268725</v>
      </c>
      <c r="N211" s="501"/>
      <c r="O211" s="25"/>
      <c r="P211" s="25"/>
      <c r="Q211" s="25"/>
      <c r="R211" s="26"/>
      <c r="S211" s="26"/>
      <c r="T211" s="501"/>
      <c r="U211" s="151">
        <f t="shared" si="16"/>
        <v>408500</v>
      </c>
    </row>
    <row r="212" spans="2:21" x14ac:dyDescent="0.2">
      <c r="B212" s="8">
        <f t="shared" si="17"/>
        <v>87</v>
      </c>
      <c r="C212" s="18"/>
      <c r="D212" s="18"/>
      <c r="E212" s="18"/>
      <c r="F212" s="152"/>
      <c r="G212" s="153">
        <v>632</v>
      </c>
      <c r="H212" s="18" t="s">
        <v>144</v>
      </c>
      <c r="I212" s="19">
        <v>6000</v>
      </c>
      <c r="J212" s="19">
        <v>4800</v>
      </c>
      <c r="K212" s="19">
        <v>4800</v>
      </c>
      <c r="L212" s="20">
        <v>4130</v>
      </c>
      <c r="M212" s="20">
        <v>3627</v>
      </c>
      <c r="N212" s="164"/>
      <c r="O212" s="19"/>
      <c r="P212" s="19"/>
      <c r="Q212" s="19"/>
      <c r="R212" s="20"/>
      <c r="S212" s="20"/>
      <c r="T212" s="164"/>
      <c r="U212" s="154">
        <f t="shared" si="16"/>
        <v>6000</v>
      </c>
    </row>
    <row r="213" spans="2:21" x14ac:dyDescent="0.2">
      <c r="B213" s="8">
        <f t="shared" si="17"/>
        <v>88</v>
      </c>
      <c r="C213" s="18"/>
      <c r="D213" s="18"/>
      <c r="E213" s="18"/>
      <c r="F213" s="152"/>
      <c r="G213" s="153">
        <v>633</v>
      </c>
      <c r="H213" s="18" t="s">
        <v>135</v>
      </c>
      <c r="I213" s="19">
        <v>68000</v>
      </c>
      <c r="J213" s="19">
        <v>60000</v>
      </c>
      <c r="K213" s="19">
        <v>60000</v>
      </c>
      <c r="L213" s="20">
        <v>56020</v>
      </c>
      <c r="M213" s="20">
        <v>59809</v>
      </c>
      <c r="N213" s="164"/>
      <c r="O213" s="19"/>
      <c r="P213" s="19"/>
      <c r="Q213" s="19"/>
      <c r="R213" s="20"/>
      <c r="S213" s="20"/>
      <c r="T213" s="164"/>
      <c r="U213" s="154">
        <f t="shared" si="16"/>
        <v>68000</v>
      </c>
    </row>
    <row r="214" spans="2:21" x14ac:dyDescent="0.2">
      <c r="B214" s="8">
        <f t="shared" si="17"/>
        <v>89</v>
      </c>
      <c r="C214" s="18"/>
      <c r="D214" s="18"/>
      <c r="E214" s="18"/>
      <c r="F214" s="152"/>
      <c r="G214" s="153">
        <v>635</v>
      </c>
      <c r="H214" s="18" t="s">
        <v>143</v>
      </c>
      <c r="I214" s="19">
        <v>280000</v>
      </c>
      <c r="J214" s="19">
        <v>289340</v>
      </c>
      <c r="K214" s="19">
        <v>264340</v>
      </c>
      <c r="L214" s="20">
        <v>180247</v>
      </c>
      <c r="M214" s="20">
        <v>147951</v>
      </c>
      <c r="N214" s="164"/>
      <c r="O214" s="19"/>
      <c r="P214" s="19"/>
      <c r="Q214" s="19"/>
      <c r="R214" s="20"/>
      <c r="S214" s="20"/>
      <c r="T214" s="164"/>
      <c r="U214" s="154">
        <f t="shared" si="16"/>
        <v>280000</v>
      </c>
    </row>
    <row r="215" spans="2:21" x14ac:dyDescent="0.2">
      <c r="B215" s="8">
        <f t="shared" si="17"/>
        <v>90</v>
      </c>
      <c r="C215" s="18"/>
      <c r="D215" s="18"/>
      <c r="E215" s="18"/>
      <c r="F215" s="152"/>
      <c r="G215" s="153">
        <v>636</v>
      </c>
      <c r="H215" s="18" t="s">
        <v>136</v>
      </c>
      <c r="I215" s="19">
        <v>34500</v>
      </c>
      <c r="J215" s="19">
        <v>34500</v>
      </c>
      <c r="K215" s="19">
        <v>34500</v>
      </c>
      <c r="L215" s="20">
        <v>31421</v>
      </c>
      <c r="M215" s="20">
        <v>27936</v>
      </c>
      <c r="N215" s="164"/>
      <c r="O215" s="19"/>
      <c r="P215" s="19"/>
      <c r="Q215" s="19"/>
      <c r="R215" s="20"/>
      <c r="S215" s="20"/>
      <c r="T215" s="164"/>
      <c r="U215" s="154">
        <f t="shared" si="16"/>
        <v>34500</v>
      </c>
    </row>
    <row r="216" spans="2:21" x14ac:dyDescent="0.2">
      <c r="B216" s="8">
        <f t="shared" si="17"/>
        <v>91</v>
      </c>
      <c r="C216" s="18"/>
      <c r="D216" s="18"/>
      <c r="E216" s="18"/>
      <c r="F216" s="152"/>
      <c r="G216" s="153">
        <v>637</v>
      </c>
      <c r="H216" s="18" t="s">
        <v>132</v>
      </c>
      <c r="I216" s="19">
        <v>20000</v>
      </c>
      <c r="J216" s="19">
        <v>20500</v>
      </c>
      <c r="K216" s="19">
        <v>20500</v>
      </c>
      <c r="L216" s="20">
        <v>15798</v>
      </c>
      <c r="M216" s="20">
        <v>29402</v>
      </c>
      <c r="N216" s="164"/>
      <c r="O216" s="19"/>
      <c r="P216" s="19"/>
      <c r="Q216" s="19"/>
      <c r="R216" s="20"/>
      <c r="S216" s="20"/>
      <c r="T216" s="164"/>
      <c r="U216" s="154">
        <f t="shared" si="16"/>
        <v>20000</v>
      </c>
    </row>
    <row r="217" spans="2:21" s="13" customFormat="1" ht="24" x14ac:dyDescent="0.2">
      <c r="B217" s="8">
        <f t="shared" si="17"/>
        <v>92</v>
      </c>
      <c r="C217" s="186"/>
      <c r="D217" s="186"/>
      <c r="E217" s="186"/>
      <c r="F217" s="187"/>
      <c r="G217" s="188">
        <v>637</v>
      </c>
      <c r="H217" s="50" t="s">
        <v>871</v>
      </c>
      <c r="I217" s="157"/>
      <c r="J217" s="122">
        <v>111272</v>
      </c>
      <c r="K217" s="122">
        <v>111272</v>
      </c>
      <c r="L217" s="123"/>
      <c r="M217" s="123"/>
      <c r="N217" s="524"/>
      <c r="O217" s="122"/>
      <c r="P217" s="122"/>
      <c r="Q217" s="122"/>
      <c r="R217" s="123"/>
      <c r="S217" s="123"/>
      <c r="T217" s="524"/>
      <c r="U217" s="189">
        <f t="shared" si="16"/>
        <v>0</v>
      </c>
    </row>
    <row r="218" spans="2:21" s="13" customFormat="1" x14ac:dyDescent="0.2">
      <c r="B218" s="8">
        <f t="shared" si="17"/>
        <v>93</v>
      </c>
      <c r="C218" s="186"/>
      <c r="D218" s="186"/>
      <c r="E218" s="186"/>
      <c r="F218" s="187"/>
      <c r="G218" s="188">
        <v>637</v>
      </c>
      <c r="H218" s="369" t="s">
        <v>888</v>
      </c>
      <c r="I218" s="157"/>
      <c r="J218" s="122">
        <v>55394</v>
      </c>
      <c r="K218" s="122">
        <v>0</v>
      </c>
      <c r="L218" s="123"/>
      <c r="M218" s="123"/>
      <c r="N218" s="524"/>
      <c r="O218" s="122"/>
      <c r="P218" s="122"/>
      <c r="Q218" s="122"/>
      <c r="R218" s="123"/>
      <c r="S218" s="123"/>
      <c r="T218" s="524"/>
      <c r="U218" s="189">
        <f t="shared" si="16"/>
        <v>0</v>
      </c>
    </row>
    <row r="219" spans="2:21" x14ac:dyDescent="0.2">
      <c r="B219" s="8">
        <f t="shared" si="17"/>
        <v>94</v>
      </c>
      <c r="C219" s="24"/>
      <c r="D219" s="24"/>
      <c r="E219" s="24"/>
      <c r="F219" s="149" t="s">
        <v>79</v>
      </c>
      <c r="G219" s="150">
        <v>710</v>
      </c>
      <c r="H219" s="24" t="s">
        <v>185</v>
      </c>
      <c r="I219" s="157"/>
      <c r="J219" s="25"/>
      <c r="K219" s="25"/>
      <c r="L219" s="26"/>
      <c r="M219" s="26"/>
      <c r="N219" s="501"/>
      <c r="O219" s="25">
        <f>O220+O224+O227+O229</f>
        <v>130000</v>
      </c>
      <c r="P219" s="25">
        <f>P220+P224+P227</f>
        <v>491778</v>
      </c>
      <c r="Q219" s="25">
        <f>Q220+Q224+Q227+Q229</f>
        <v>229453</v>
      </c>
      <c r="R219" s="26">
        <f>R220+R224+R227+R229</f>
        <v>70155</v>
      </c>
      <c r="S219" s="26">
        <f>S220+S224+S227</f>
        <v>24891</v>
      </c>
      <c r="T219" s="501"/>
      <c r="U219" s="151">
        <f t="shared" si="16"/>
        <v>130000</v>
      </c>
    </row>
    <row r="220" spans="2:21" x14ac:dyDescent="0.2">
      <c r="B220" s="8">
        <f t="shared" si="17"/>
        <v>95</v>
      </c>
      <c r="C220" s="18"/>
      <c r="D220" s="18"/>
      <c r="E220" s="18"/>
      <c r="F220" s="152"/>
      <c r="G220" s="153">
        <v>711</v>
      </c>
      <c r="H220" s="18" t="s">
        <v>219</v>
      </c>
      <c r="I220" s="157"/>
      <c r="J220" s="19"/>
      <c r="K220" s="19"/>
      <c r="L220" s="20"/>
      <c r="M220" s="20"/>
      <c r="N220" s="164"/>
      <c r="O220" s="19">
        <f>SUM(O221:O223)</f>
        <v>10000</v>
      </c>
      <c r="P220" s="19">
        <f>SUM(P221:P223)</f>
        <v>446234</v>
      </c>
      <c r="Q220" s="19">
        <f>SUM(Q221:Q223)</f>
        <v>183909</v>
      </c>
      <c r="R220" s="20">
        <f>R221</f>
        <v>29736</v>
      </c>
      <c r="S220" s="20">
        <f>S221</f>
        <v>3392</v>
      </c>
      <c r="T220" s="164"/>
      <c r="U220" s="154">
        <f t="shared" si="16"/>
        <v>10000</v>
      </c>
    </row>
    <row r="221" spans="2:21" x14ac:dyDescent="0.2">
      <c r="B221" s="8">
        <f t="shared" si="17"/>
        <v>96</v>
      </c>
      <c r="C221" s="120"/>
      <c r="D221" s="120"/>
      <c r="E221" s="156"/>
      <c r="F221" s="155"/>
      <c r="G221" s="155"/>
      <c r="H221" s="156" t="s">
        <v>488</v>
      </c>
      <c r="I221" s="157"/>
      <c r="J221" s="157"/>
      <c r="K221" s="157"/>
      <c r="L221" s="158"/>
      <c r="M221" s="158"/>
      <c r="N221" s="535"/>
      <c r="O221" s="157">
        <v>10000</v>
      </c>
      <c r="P221" s="157">
        <v>10000</v>
      </c>
      <c r="Q221" s="157">
        <v>10000</v>
      </c>
      <c r="R221" s="158">
        <v>29736</v>
      </c>
      <c r="S221" s="158">
        <v>3392</v>
      </c>
      <c r="T221" s="535"/>
      <c r="U221" s="159">
        <f t="shared" si="16"/>
        <v>10000</v>
      </c>
    </row>
    <row r="222" spans="2:21" s="13" customFormat="1" ht="24" x14ac:dyDescent="0.2">
      <c r="B222" s="8">
        <f t="shared" si="17"/>
        <v>97</v>
      </c>
      <c r="C222" s="166"/>
      <c r="D222" s="166"/>
      <c r="E222" s="190"/>
      <c r="F222" s="167"/>
      <c r="G222" s="167"/>
      <c r="H222" s="191" t="s">
        <v>871</v>
      </c>
      <c r="I222" s="157"/>
      <c r="J222" s="169"/>
      <c r="K222" s="169"/>
      <c r="L222" s="170"/>
      <c r="M222" s="170"/>
      <c r="N222" s="536"/>
      <c r="O222" s="169"/>
      <c r="P222" s="169">
        <v>173909</v>
      </c>
      <c r="Q222" s="169">
        <v>173909</v>
      </c>
      <c r="R222" s="170"/>
      <c r="S222" s="170"/>
      <c r="T222" s="536"/>
      <c r="U222" s="171">
        <f t="shared" si="16"/>
        <v>0</v>
      </c>
    </row>
    <row r="223" spans="2:21" s="13" customFormat="1" x14ac:dyDescent="0.2">
      <c r="B223" s="8">
        <f t="shared" si="17"/>
        <v>98</v>
      </c>
      <c r="C223" s="166"/>
      <c r="D223" s="166"/>
      <c r="E223" s="190"/>
      <c r="F223" s="167"/>
      <c r="G223" s="167"/>
      <c r="H223" s="370" t="s">
        <v>888</v>
      </c>
      <c r="I223" s="157"/>
      <c r="J223" s="169"/>
      <c r="K223" s="169"/>
      <c r="L223" s="170"/>
      <c r="M223" s="170"/>
      <c r="N223" s="536"/>
      <c r="O223" s="169"/>
      <c r="P223" s="169">
        <v>262325</v>
      </c>
      <c r="Q223" s="169">
        <v>0</v>
      </c>
      <c r="R223" s="170"/>
      <c r="S223" s="170"/>
      <c r="T223" s="536"/>
      <c r="U223" s="171">
        <f t="shared" si="16"/>
        <v>0</v>
      </c>
    </row>
    <row r="224" spans="2:21" x14ac:dyDescent="0.2">
      <c r="B224" s="8">
        <f t="shared" si="17"/>
        <v>99</v>
      </c>
      <c r="C224" s="18"/>
      <c r="D224" s="18"/>
      <c r="E224" s="18"/>
      <c r="F224" s="152"/>
      <c r="G224" s="153">
        <v>713</v>
      </c>
      <c r="H224" s="18" t="s">
        <v>230</v>
      </c>
      <c r="I224" s="157"/>
      <c r="J224" s="19"/>
      <c r="K224" s="19"/>
      <c r="L224" s="20"/>
      <c r="M224" s="20"/>
      <c r="N224" s="164"/>
      <c r="O224" s="19">
        <f>SUM(O225:O226)</f>
        <v>120000</v>
      </c>
      <c r="P224" s="19">
        <f>P225+P226</f>
        <v>45544</v>
      </c>
      <c r="Q224" s="19">
        <f>SUM(Q225:Q226)</f>
        <v>45544</v>
      </c>
      <c r="R224" s="20">
        <f>R225</f>
        <v>18051</v>
      </c>
      <c r="S224" s="20">
        <f>S225</f>
        <v>6698</v>
      </c>
      <c r="T224" s="164"/>
      <c r="U224" s="154">
        <f t="shared" ref="U224:U237" si="18">I224+O224</f>
        <v>120000</v>
      </c>
    </row>
    <row r="225" spans="2:21" x14ac:dyDescent="0.2">
      <c r="B225" s="8">
        <f t="shared" si="17"/>
        <v>100</v>
      </c>
      <c r="C225" s="120"/>
      <c r="D225" s="120"/>
      <c r="E225" s="156"/>
      <c r="F225" s="155"/>
      <c r="G225" s="155"/>
      <c r="H225" s="156" t="s">
        <v>1051</v>
      </c>
      <c r="I225" s="157"/>
      <c r="J225" s="157"/>
      <c r="K225" s="157"/>
      <c r="L225" s="158"/>
      <c r="M225" s="158"/>
      <c r="N225" s="535"/>
      <c r="O225" s="157">
        <v>120000</v>
      </c>
      <c r="P225" s="157">
        <v>25000</v>
      </c>
      <c r="Q225" s="157">
        <v>25000</v>
      </c>
      <c r="R225" s="158">
        <v>18051</v>
      </c>
      <c r="S225" s="158">
        <v>6698</v>
      </c>
      <c r="T225" s="535"/>
      <c r="U225" s="159">
        <f t="shared" si="18"/>
        <v>120000</v>
      </c>
    </row>
    <row r="226" spans="2:21" ht="24" x14ac:dyDescent="0.2">
      <c r="B226" s="8">
        <f t="shared" si="17"/>
        <v>101</v>
      </c>
      <c r="C226" s="120"/>
      <c r="D226" s="120"/>
      <c r="E226" s="156"/>
      <c r="F226" s="155"/>
      <c r="G226" s="155"/>
      <c r="H226" s="191" t="s">
        <v>818</v>
      </c>
      <c r="I226" s="157"/>
      <c r="J226" s="157"/>
      <c r="K226" s="157"/>
      <c r="L226" s="158"/>
      <c r="M226" s="158"/>
      <c r="N226" s="535"/>
      <c r="O226" s="157"/>
      <c r="P226" s="157">
        <v>20544</v>
      </c>
      <c r="Q226" s="157">
        <v>20544</v>
      </c>
      <c r="R226" s="158"/>
      <c r="S226" s="158"/>
      <c r="T226" s="535"/>
      <c r="U226" s="159">
        <f t="shared" si="18"/>
        <v>0</v>
      </c>
    </row>
    <row r="227" spans="2:21" x14ac:dyDescent="0.2">
      <c r="B227" s="8">
        <f t="shared" si="17"/>
        <v>102</v>
      </c>
      <c r="C227" s="120"/>
      <c r="D227" s="120"/>
      <c r="E227" s="156"/>
      <c r="F227" s="152"/>
      <c r="G227" s="153">
        <v>717</v>
      </c>
      <c r="H227" s="18" t="s">
        <v>192</v>
      </c>
      <c r="I227" s="157"/>
      <c r="J227" s="157"/>
      <c r="K227" s="157"/>
      <c r="L227" s="158"/>
      <c r="M227" s="158"/>
      <c r="N227" s="535"/>
      <c r="O227" s="157"/>
      <c r="P227" s="157"/>
      <c r="Q227" s="157"/>
      <c r="R227" s="20"/>
      <c r="S227" s="20">
        <f>S228</f>
        <v>14801</v>
      </c>
      <c r="T227" s="535"/>
      <c r="U227" s="159">
        <f t="shared" si="18"/>
        <v>0</v>
      </c>
    </row>
    <row r="228" spans="2:21" x14ac:dyDescent="0.2">
      <c r="B228" s="8">
        <f t="shared" ref="B228:B233" si="19">B227+1</f>
        <v>103</v>
      </c>
      <c r="C228" s="120"/>
      <c r="D228" s="120"/>
      <c r="E228" s="156"/>
      <c r="F228" s="155"/>
      <c r="G228" s="155"/>
      <c r="H228" s="156" t="s">
        <v>526</v>
      </c>
      <c r="I228" s="157"/>
      <c r="J228" s="157"/>
      <c r="K228" s="157"/>
      <c r="L228" s="158"/>
      <c r="M228" s="158"/>
      <c r="N228" s="535"/>
      <c r="O228" s="157"/>
      <c r="P228" s="157"/>
      <c r="Q228" s="157"/>
      <c r="R228" s="158"/>
      <c r="S228" s="158">
        <v>14801</v>
      </c>
      <c r="T228" s="535"/>
      <c r="U228" s="159">
        <f t="shared" si="18"/>
        <v>0</v>
      </c>
    </row>
    <row r="229" spans="2:21" x14ac:dyDescent="0.2">
      <c r="B229" s="8">
        <f t="shared" si="19"/>
        <v>104</v>
      </c>
      <c r="C229" s="120"/>
      <c r="D229" s="120"/>
      <c r="E229" s="156"/>
      <c r="F229" s="152"/>
      <c r="G229" s="153">
        <v>718</v>
      </c>
      <c r="H229" s="18" t="s">
        <v>86</v>
      </c>
      <c r="I229" s="157"/>
      <c r="J229" s="157"/>
      <c r="K229" s="157"/>
      <c r="L229" s="158"/>
      <c r="M229" s="158"/>
      <c r="N229" s="535"/>
      <c r="O229" s="157">
        <f>O230</f>
        <v>0</v>
      </c>
      <c r="P229" s="157"/>
      <c r="Q229" s="157"/>
      <c r="R229" s="20">
        <f>R230</f>
        <v>22368</v>
      </c>
      <c r="S229" s="20">
        <f>S230</f>
        <v>14801</v>
      </c>
      <c r="T229" s="535"/>
      <c r="U229" s="159">
        <f t="shared" si="18"/>
        <v>0</v>
      </c>
    </row>
    <row r="230" spans="2:21" x14ac:dyDescent="0.2">
      <c r="B230" s="8">
        <f t="shared" si="19"/>
        <v>105</v>
      </c>
      <c r="C230" s="120"/>
      <c r="D230" s="120"/>
      <c r="E230" s="156"/>
      <c r="F230" s="155"/>
      <c r="G230" s="155"/>
      <c r="H230" s="156" t="s">
        <v>756</v>
      </c>
      <c r="I230" s="157"/>
      <c r="J230" s="157"/>
      <c r="K230" s="157"/>
      <c r="L230" s="158"/>
      <c r="M230" s="158"/>
      <c r="N230" s="535"/>
      <c r="O230" s="157"/>
      <c r="P230" s="157"/>
      <c r="Q230" s="157"/>
      <c r="R230" s="158">
        <v>22368</v>
      </c>
      <c r="S230" s="158">
        <v>14801</v>
      </c>
      <c r="T230" s="535"/>
      <c r="U230" s="159">
        <f t="shared" si="18"/>
        <v>0</v>
      </c>
    </row>
    <row r="231" spans="2:21" ht="15.75" x14ac:dyDescent="0.25">
      <c r="B231" s="8">
        <f t="shared" si="19"/>
        <v>106</v>
      </c>
      <c r="C231" s="141">
        <v>8</v>
      </c>
      <c r="D231" s="677" t="s">
        <v>260</v>
      </c>
      <c r="E231" s="678"/>
      <c r="F231" s="678"/>
      <c r="G231" s="678"/>
      <c r="H231" s="678"/>
      <c r="I231" s="142">
        <f>I232</f>
        <v>54325</v>
      </c>
      <c r="J231" s="142">
        <f>J232</f>
        <v>50000</v>
      </c>
      <c r="K231" s="142">
        <f>K232</f>
        <v>50000</v>
      </c>
      <c r="L231" s="143">
        <f>L232</f>
        <v>39706</v>
      </c>
      <c r="M231" s="143">
        <f>M232</f>
        <v>34820</v>
      </c>
      <c r="N231" s="533"/>
      <c r="O231" s="142"/>
      <c r="P231" s="142">
        <f>P235</f>
        <v>40000</v>
      </c>
      <c r="Q231" s="142">
        <f>Q235</f>
        <v>40000</v>
      </c>
      <c r="R231" s="143"/>
      <c r="S231" s="143">
        <f>S235</f>
        <v>40978</v>
      </c>
      <c r="T231" s="533"/>
      <c r="U231" s="144">
        <f t="shared" si="18"/>
        <v>54325</v>
      </c>
    </row>
    <row r="232" spans="2:21" x14ac:dyDescent="0.2">
      <c r="B232" s="8">
        <f t="shared" si="19"/>
        <v>107</v>
      </c>
      <c r="C232" s="24"/>
      <c r="D232" s="24"/>
      <c r="E232" s="24"/>
      <c r="F232" s="149" t="s">
        <v>79</v>
      </c>
      <c r="G232" s="150">
        <v>630</v>
      </c>
      <c r="H232" s="24" t="s">
        <v>131</v>
      </c>
      <c r="I232" s="25">
        <f>I234+I233</f>
        <v>54325</v>
      </c>
      <c r="J232" s="25">
        <f>J234+J233</f>
        <v>50000</v>
      </c>
      <c r="K232" s="25">
        <f>K234+K233</f>
        <v>50000</v>
      </c>
      <c r="L232" s="26">
        <f>L234+L233</f>
        <v>39706</v>
      </c>
      <c r="M232" s="26">
        <f>M234+M233</f>
        <v>34820</v>
      </c>
      <c r="N232" s="501"/>
      <c r="O232" s="25"/>
      <c r="P232" s="25"/>
      <c r="Q232" s="25"/>
      <c r="R232" s="26"/>
      <c r="S232" s="26"/>
      <c r="T232" s="501"/>
      <c r="U232" s="151">
        <f t="shared" si="18"/>
        <v>54325</v>
      </c>
    </row>
    <row r="233" spans="2:21" x14ac:dyDescent="0.2">
      <c r="B233" s="8">
        <f t="shared" si="19"/>
        <v>108</v>
      </c>
      <c r="C233" s="18"/>
      <c r="D233" s="18"/>
      <c r="E233" s="18"/>
      <c r="F233" s="152"/>
      <c r="G233" s="153">
        <v>634</v>
      </c>
      <c r="H233" s="18" t="s">
        <v>142</v>
      </c>
      <c r="I233" s="19">
        <f>51500+500+600+870</f>
        <v>53470</v>
      </c>
      <c r="J233" s="19">
        <v>49200</v>
      </c>
      <c r="K233" s="19">
        <v>49200</v>
      </c>
      <c r="L233" s="20">
        <v>38957</v>
      </c>
      <c r="M233" s="20">
        <v>34125</v>
      </c>
      <c r="N233" s="164"/>
      <c r="O233" s="19"/>
      <c r="P233" s="19"/>
      <c r="Q233" s="19"/>
      <c r="R233" s="20"/>
      <c r="S233" s="20"/>
      <c r="T233" s="164"/>
      <c r="U233" s="154">
        <f t="shared" si="18"/>
        <v>53470</v>
      </c>
    </row>
    <row r="234" spans="2:21" x14ac:dyDescent="0.2">
      <c r="B234" s="8">
        <f>B233+1</f>
        <v>109</v>
      </c>
      <c r="C234" s="18"/>
      <c r="D234" s="18"/>
      <c r="E234" s="18"/>
      <c r="F234" s="152"/>
      <c r="G234" s="153">
        <v>637</v>
      </c>
      <c r="H234" s="18" t="s">
        <v>132</v>
      </c>
      <c r="I234" s="19">
        <f>800+55</f>
        <v>855</v>
      </c>
      <c r="J234" s="19">
        <v>800</v>
      </c>
      <c r="K234" s="19">
        <v>800</v>
      </c>
      <c r="L234" s="20">
        <v>749</v>
      </c>
      <c r="M234" s="20">
        <v>695</v>
      </c>
      <c r="N234" s="164"/>
      <c r="O234" s="19"/>
      <c r="P234" s="19"/>
      <c r="Q234" s="19"/>
      <c r="R234" s="20"/>
      <c r="S234" s="20"/>
      <c r="T234" s="164"/>
      <c r="U234" s="154">
        <f t="shared" si="18"/>
        <v>855</v>
      </c>
    </row>
    <row r="235" spans="2:21" x14ac:dyDescent="0.2">
      <c r="B235" s="8">
        <f>B234+1</f>
        <v>110</v>
      </c>
      <c r="C235" s="24"/>
      <c r="D235" s="24"/>
      <c r="E235" s="24"/>
      <c r="F235" s="149" t="s">
        <v>79</v>
      </c>
      <c r="G235" s="150">
        <v>710</v>
      </c>
      <c r="H235" s="24" t="s">
        <v>185</v>
      </c>
      <c r="I235" s="25"/>
      <c r="J235" s="25"/>
      <c r="K235" s="25"/>
      <c r="L235" s="26"/>
      <c r="M235" s="26"/>
      <c r="N235" s="501"/>
      <c r="O235" s="25"/>
      <c r="P235" s="25">
        <f>P236</f>
        <v>40000</v>
      </c>
      <c r="Q235" s="25">
        <f t="shared" ref="Q235:S236" si="20">Q236</f>
        <v>40000</v>
      </c>
      <c r="R235" s="26"/>
      <c r="S235" s="26">
        <f t="shared" si="20"/>
        <v>40978</v>
      </c>
      <c r="T235" s="501"/>
      <c r="U235" s="151">
        <f t="shared" si="18"/>
        <v>0</v>
      </c>
    </row>
    <row r="236" spans="2:21" x14ac:dyDescent="0.2">
      <c r="B236" s="8">
        <f>B235+1</f>
        <v>111</v>
      </c>
      <c r="C236" s="18"/>
      <c r="D236" s="18"/>
      <c r="E236" s="18"/>
      <c r="F236" s="152"/>
      <c r="G236" s="153">
        <v>714</v>
      </c>
      <c r="H236" s="18" t="s">
        <v>186</v>
      </c>
      <c r="I236" s="19"/>
      <c r="J236" s="19"/>
      <c r="K236" s="19"/>
      <c r="L236" s="20"/>
      <c r="M236" s="20"/>
      <c r="N236" s="164"/>
      <c r="O236" s="19"/>
      <c r="P236" s="19">
        <f>P237</f>
        <v>40000</v>
      </c>
      <c r="Q236" s="19">
        <f t="shared" si="20"/>
        <v>40000</v>
      </c>
      <c r="R236" s="20"/>
      <c r="S236" s="20">
        <f t="shared" si="20"/>
        <v>40978</v>
      </c>
      <c r="T236" s="164"/>
      <c r="U236" s="154">
        <f t="shared" si="18"/>
        <v>0</v>
      </c>
    </row>
    <row r="237" spans="2:21" x14ac:dyDescent="0.2">
      <c r="B237" s="175">
        <f>B236+1</f>
        <v>112</v>
      </c>
      <c r="C237" s="182"/>
      <c r="D237" s="182"/>
      <c r="E237" s="192"/>
      <c r="F237" s="193"/>
      <c r="G237" s="193"/>
      <c r="H237" s="192" t="s">
        <v>490</v>
      </c>
      <c r="I237" s="194"/>
      <c r="J237" s="194"/>
      <c r="K237" s="194"/>
      <c r="L237" s="184"/>
      <c r="M237" s="184"/>
      <c r="N237" s="543"/>
      <c r="O237" s="194"/>
      <c r="P237" s="194">
        <v>40000</v>
      </c>
      <c r="Q237" s="194">
        <v>40000</v>
      </c>
      <c r="R237" s="184"/>
      <c r="S237" s="184">
        <v>40978</v>
      </c>
      <c r="T237" s="543"/>
      <c r="U237" s="195">
        <f t="shared" si="18"/>
        <v>0</v>
      </c>
    </row>
    <row r="241" spans="2:21" ht="27" x14ac:dyDescent="0.35">
      <c r="B241" s="712" t="s">
        <v>20</v>
      </c>
      <c r="C241" s="713"/>
      <c r="D241" s="713"/>
      <c r="E241" s="713"/>
      <c r="F241" s="713"/>
      <c r="G241" s="713"/>
      <c r="H241" s="713"/>
      <c r="I241" s="713"/>
      <c r="J241" s="713"/>
      <c r="K241" s="713"/>
      <c r="L241" s="713"/>
      <c r="M241" s="713"/>
      <c r="N241" s="713"/>
      <c r="O241" s="713"/>
      <c r="P241" s="713"/>
      <c r="Q241" s="713"/>
      <c r="R241" s="713"/>
      <c r="S241" s="713"/>
      <c r="T241" s="713"/>
      <c r="U241" s="714"/>
    </row>
    <row r="242" spans="2:21" ht="13.5" customHeight="1" x14ac:dyDescent="0.2">
      <c r="B242" s="684" t="s">
        <v>842</v>
      </c>
      <c r="C242" s="685"/>
      <c r="D242" s="685"/>
      <c r="E242" s="685"/>
      <c r="F242" s="685"/>
      <c r="G242" s="685"/>
      <c r="H242" s="685"/>
      <c r="I242" s="685"/>
      <c r="J242" s="685"/>
      <c r="K242" s="685"/>
      <c r="L242" s="685"/>
      <c r="M242" s="685"/>
      <c r="N242" s="685"/>
      <c r="O242" s="685"/>
      <c r="P242" s="685"/>
      <c r="Q242" s="685"/>
      <c r="R242" s="685"/>
      <c r="S242" s="685"/>
      <c r="T242" s="567"/>
      <c r="U242" s="682" t="s">
        <v>1207</v>
      </c>
    </row>
    <row r="243" spans="2:21" ht="12.75" customHeight="1" x14ac:dyDescent="0.2">
      <c r="B243" s="681"/>
      <c r="C243" s="681" t="s">
        <v>122</v>
      </c>
      <c r="D243" s="681" t="s">
        <v>123</v>
      </c>
      <c r="E243" s="681"/>
      <c r="F243" s="681" t="s">
        <v>124</v>
      </c>
      <c r="G243" s="689" t="s">
        <v>125</v>
      </c>
      <c r="H243" s="686" t="s">
        <v>126</v>
      </c>
      <c r="I243" s="673" t="s">
        <v>1205</v>
      </c>
      <c r="J243" s="674" t="s">
        <v>837</v>
      </c>
      <c r="K243" s="674" t="s">
        <v>838</v>
      </c>
      <c r="L243" s="672" t="s">
        <v>839</v>
      </c>
      <c r="M243" s="672" t="s">
        <v>643</v>
      </c>
      <c r="N243" s="493"/>
      <c r="O243" s="673" t="s">
        <v>1206</v>
      </c>
      <c r="P243" s="674" t="s">
        <v>840</v>
      </c>
      <c r="Q243" s="674" t="s">
        <v>841</v>
      </c>
      <c r="R243" s="672" t="s">
        <v>839</v>
      </c>
      <c r="S243" s="672" t="s">
        <v>643</v>
      </c>
      <c r="T243" s="493"/>
      <c r="U243" s="683"/>
    </row>
    <row r="244" spans="2:21" x14ac:dyDescent="0.2">
      <c r="B244" s="681"/>
      <c r="C244" s="681"/>
      <c r="D244" s="681"/>
      <c r="E244" s="681"/>
      <c r="F244" s="681"/>
      <c r="G244" s="689"/>
      <c r="H244" s="686"/>
      <c r="I244" s="673"/>
      <c r="J244" s="674"/>
      <c r="K244" s="674"/>
      <c r="L244" s="672"/>
      <c r="M244" s="672"/>
      <c r="N244" s="493"/>
      <c r="O244" s="673"/>
      <c r="P244" s="674"/>
      <c r="Q244" s="674"/>
      <c r="R244" s="672"/>
      <c r="S244" s="672"/>
      <c r="T244" s="493"/>
      <c r="U244" s="683"/>
    </row>
    <row r="245" spans="2:21" x14ac:dyDescent="0.2">
      <c r="B245" s="681"/>
      <c r="C245" s="681"/>
      <c r="D245" s="681"/>
      <c r="E245" s="681"/>
      <c r="F245" s="681"/>
      <c r="G245" s="689"/>
      <c r="H245" s="686"/>
      <c r="I245" s="673"/>
      <c r="J245" s="674"/>
      <c r="K245" s="674"/>
      <c r="L245" s="672"/>
      <c r="M245" s="672"/>
      <c r="N245" s="493"/>
      <c r="O245" s="673"/>
      <c r="P245" s="674"/>
      <c r="Q245" s="674"/>
      <c r="R245" s="672"/>
      <c r="S245" s="672"/>
      <c r="T245" s="493"/>
      <c r="U245" s="683"/>
    </row>
    <row r="246" spans="2:21" x14ac:dyDescent="0.2">
      <c r="B246" s="681"/>
      <c r="C246" s="681"/>
      <c r="D246" s="681"/>
      <c r="E246" s="681"/>
      <c r="F246" s="681"/>
      <c r="G246" s="689"/>
      <c r="H246" s="686"/>
      <c r="I246" s="673"/>
      <c r="J246" s="674"/>
      <c r="K246" s="674"/>
      <c r="L246" s="672"/>
      <c r="M246" s="672"/>
      <c r="N246" s="493"/>
      <c r="O246" s="673"/>
      <c r="P246" s="674"/>
      <c r="Q246" s="674"/>
      <c r="R246" s="672"/>
      <c r="S246" s="672"/>
      <c r="T246" s="493"/>
      <c r="U246" s="683"/>
    </row>
    <row r="247" spans="2:21" ht="15.75" x14ac:dyDescent="0.2">
      <c r="B247" s="196">
        <v>1</v>
      </c>
      <c r="C247" s="696" t="s">
        <v>20</v>
      </c>
      <c r="D247" s="697"/>
      <c r="E247" s="697"/>
      <c r="F247" s="697"/>
      <c r="G247" s="697"/>
      <c r="H247" s="697"/>
      <c r="I247" s="197">
        <f>I325+I303+I292+I277+I265+I254+I248</f>
        <v>955055</v>
      </c>
      <c r="J247" s="197">
        <f>J325+J303+J292+J277+J265+J254+J248</f>
        <v>889505</v>
      </c>
      <c r="K247" s="197">
        <f>K325+K303+K292+K277+K265+K254+K248</f>
        <v>941242</v>
      </c>
      <c r="L247" s="198">
        <f>L325+L303+L292+L277+L265+L254+L248</f>
        <v>830906</v>
      </c>
      <c r="M247" s="198">
        <f>M325+M303+M292+M277+M265+M254+M248</f>
        <v>757494</v>
      </c>
      <c r="N247" s="544"/>
      <c r="O247" s="197">
        <f>O325+O303+O292+O277+O265+O254+O248</f>
        <v>310560</v>
      </c>
      <c r="P247" s="197">
        <f>P325+P303+P292+P277+P265+P254+P248</f>
        <v>253000</v>
      </c>
      <c r="Q247" s="197">
        <f>Q325+Q303+Q292+Q277+Q265+Q254+Q248</f>
        <v>263020</v>
      </c>
      <c r="R247" s="198">
        <f>R325+R303+R292+R277+R265+R254+R248</f>
        <v>87432</v>
      </c>
      <c r="S247" s="198">
        <f>S325+S303+S292+S277+S265+S254+S248</f>
        <v>16200</v>
      </c>
      <c r="T247" s="544"/>
      <c r="U247" s="199">
        <f t="shared" ref="U247:U278" si="21">I247+O247</f>
        <v>1265615</v>
      </c>
    </row>
    <row r="248" spans="2:21" ht="15.75" x14ac:dyDescent="0.25">
      <c r="B248" s="196">
        <f>B247+1</f>
        <v>2</v>
      </c>
      <c r="C248" s="200">
        <v>1</v>
      </c>
      <c r="D248" s="694" t="s">
        <v>190</v>
      </c>
      <c r="E248" s="695"/>
      <c r="F248" s="695"/>
      <c r="G248" s="695"/>
      <c r="H248" s="695"/>
      <c r="I248" s="201">
        <f>I249+I250+I251</f>
        <v>46970</v>
      </c>
      <c r="J248" s="201">
        <f>J249+J250+J251</f>
        <v>43960</v>
      </c>
      <c r="K248" s="201">
        <f>K249+K250+K251</f>
        <v>43960</v>
      </c>
      <c r="L248" s="202">
        <f>L250+L251</f>
        <v>42474</v>
      </c>
      <c r="M248" s="202">
        <f>M250+M251</f>
        <v>28459</v>
      </c>
      <c r="N248" s="545"/>
      <c r="O248" s="201"/>
      <c r="P248" s="201"/>
      <c r="Q248" s="201"/>
      <c r="R248" s="202"/>
      <c r="S248" s="202"/>
      <c r="T248" s="545"/>
      <c r="U248" s="203">
        <f t="shared" si="21"/>
        <v>46970</v>
      </c>
    </row>
    <row r="249" spans="2:21" x14ac:dyDescent="0.2">
      <c r="B249" s="196">
        <f>B248+1</f>
        <v>3</v>
      </c>
      <c r="C249" s="204"/>
      <c r="D249" s="204"/>
      <c r="E249" s="204"/>
      <c r="F249" s="205" t="s">
        <v>80</v>
      </c>
      <c r="G249" s="206">
        <v>610</v>
      </c>
      <c r="H249" s="204" t="s">
        <v>141</v>
      </c>
      <c r="I249" s="207">
        <v>1000</v>
      </c>
      <c r="J249" s="207">
        <v>1000</v>
      </c>
      <c r="K249" s="207">
        <v>1000</v>
      </c>
      <c r="L249" s="208"/>
      <c r="M249" s="208"/>
      <c r="N249" s="546"/>
      <c r="O249" s="207"/>
      <c r="P249" s="207"/>
      <c r="Q249" s="207"/>
      <c r="R249" s="208"/>
      <c r="S249" s="208"/>
      <c r="T249" s="546"/>
      <c r="U249" s="209">
        <f t="shared" si="21"/>
        <v>1000</v>
      </c>
    </row>
    <row r="250" spans="2:21" x14ac:dyDescent="0.2">
      <c r="B250" s="196">
        <f t="shared" ref="B250:B313" si="22">B249+1</f>
        <v>4</v>
      </c>
      <c r="C250" s="204"/>
      <c r="D250" s="204"/>
      <c r="E250" s="204"/>
      <c r="F250" s="205" t="s">
        <v>80</v>
      </c>
      <c r="G250" s="206">
        <v>620</v>
      </c>
      <c r="H250" s="204" t="s">
        <v>134</v>
      </c>
      <c r="I250" s="207">
        <v>7970</v>
      </c>
      <c r="J250" s="207">
        <v>7430</v>
      </c>
      <c r="K250" s="207">
        <v>7430</v>
      </c>
      <c r="L250" s="208">
        <v>8194</v>
      </c>
      <c r="M250" s="208">
        <v>5514</v>
      </c>
      <c r="N250" s="546"/>
      <c r="O250" s="207"/>
      <c r="P250" s="207"/>
      <c r="Q250" s="207"/>
      <c r="R250" s="208"/>
      <c r="S250" s="208"/>
      <c r="T250" s="546"/>
      <c r="U250" s="209">
        <f t="shared" si="21"/>
        <v>7970</v>
      </c>
    </row>
    <row r="251" spans="2:21" x14ac:dyDescent="0.2">
      <c r="B251" s="196">
        <f t="shared" si="22"/>
        <v>5</v>
      </c>
      <c r="C251" s="204"/>
      <c r="D251" s="204"/>
      <c r="E251" s="204"/>
      <c r="F251" s="205" t="s">
        <v>80</v>
      </c>
      <c r="G251" s="206">
        <v>630</v>
      </c>
      <c r="H251" s="204" t="s">
        <v>131</v>
      </c>
      <c r="I251" s="207">
        <f>I252+I253</f>
        <v>38000</v>
      </c>
      <c r="J251" s="207">
        <f>J253+J252</f>
        <v>35530</v>
      </c>
      <c r="K251" s="207">
        <f>K253+K252</f>
        <v>35530</v>
      </c>
      <c r="L251" s="208">
        <f>SUM(L252:L253)</f>
        <v>34280</v>
      </c>
      <c r="M251" s="208">
        <f>SUM(M252:M253)</f>
        <v>22945</v>
      </c>
      <c r="N251" s="546"/>
      <c r="O251" s="207"/>
      <c r="P251" s="207"/>
      <c r="Q251" s="207"/>
      <c r="R251" s="208"/>
      <c r="S251" s="208"/>
      <c r="T251" s="546"/>
      <c r="U251" s="209">
        <f t="shared" si="21"/>
        <v>38000</v>
      </c>
    </row>
    <row r="252" spans="2:21" x14ac:dyDescent="0.2">
      <c r="B252" s="196">
        <f t="shared" si="22"/>
        <v>6</v>
      </c>
      <c r="C252" s="210"/>
      <c r="D252" s="210"/>
      <c r="E252" s="210"/>
      <c r="F252" s="211"/>
      <c r="G252" s="212">
        <v>633</v>
      </c>
      <c r="H252" s="210" t="s">
        <v>135</v>
      </c>
      <c r="I252" s="213">
        <v>5500</v>
      </c>
      <c r="J252" s="213">
        <v>5100</v>
      </c>
      <c r="K252" s="213">
        <v>5100</v>
      </c>
      <c r="L252" s="214">
        <v>4434</v>
      </c>
      <c r="M252" s="214">
        <v>3552</v>
      </c>
      <c r="N252" s="547"/>
      <c r="O252" s="213"/>
      <c r="P252" s="213"/>
      <c r="Q252" s="213"/>
      <c r="R252" s="214"/>
      <c r="S252" s="214"/>
      <c r="T252" s="547"/>
      <c r="U252" s="215">
        <f t="shared" si="21"/>
        <v>5500</v>
      </c>
    </row>
    <row r="253" spans="2:21" x14ac:dyDescent="0.2">
      <c r="B253" s="196">
        <f t="shared" si="22"/>
        <v>7</v>
      </c>
      <c r="C253" s="210"/>
      <c r="D253" s="210"/>
      <c r="E253" s="210"/>
      <c r="F253" s="211"/>
      <c r="G253" s="212">
        <v>637</v>
      </c>
      <c r="H253" s="210" t="s">
        <v>132</v>
      </c>
      <c r="I253" s="213">
        <v>32500</v>
      </c>
      <c r="J253" s="213">
        <v>30430</v>
      </c>
      <c r="K253" s="213">
        <v>30430</v>
      </c>
      <c r="L253" s="214">
        <v>29846</v>
      </c>
      <c r="M253" s="214">
        <v>19393</v>
      </c>
      <c r="N253" s="547"/>
      <c r="O253" s="213"/>
      <c r="P253" s="213"/>
      <c r="Q253" s="213"/>
      <c r="R253" s="214"/>
      <c r="S253" s="214"/>
      <c r="T253" s="547"/>
      <c r="U253" s="215">
        <f t="shared" si="21"/>
        <v>32500</v>
      </c>
    </row>
    <row r="254" spans="2:21" ht="15.75" x14ac:dyDescent="0.25">
      <c r="B254" s="196">
        <f t="shared" si="22"/>
        <v>8</v>
      </c>
      <c r="C254" s="200">
        <v>2</v>
      </c>
      <c r="D254" s="694" t="s">
        <v>194</v>
      </c>
      <c r="E254" s="695"/>
      <c r="F254" s="695"/>
      <c r="G254" s="695"/>
      <c r="H254" s="695"/>
      <c r="I254" s="201">
        <f>I255+I256+I257+I263</f>
        <v>157075</v>
      </c>
      <c r="J254" s="201">
        <f>J255+J256+J257+J263</f>
        <v>156000</v>
      </c>
      <c r="K254" s="201">
        <f>K255+K256+K257+K263+K264</f>
        <v>185537</v>
      </c>
      <c r="L254" s="202">
        <f>L255+L256+L257+L263+L264</f>
        <v>176361</v>
      </c>
      <c r="M254" s="202">
        <f>M255+M256+M257+M263</f>
        <v>152029</v>
      </c>
      <c r="N254" s="545"/>
      <c r="O254" s="201"/>
      <c r="P254" s="201"/>
      <c r="Q254" s="201"/>
      <c r="R254" s="202"/>
      <c r="S254" s="202"/>
      <c r="T254" s="545"/>
      <c r="U254" s="203">
        <f t="shared" si="21"/>
        <v>157075</v>
      </c>
    </row>
    <row r="255" spans="2:21" x14ac:dyDescent="0.2">
      <c r="B255" s="196">
        <f t="shared" si="22"/>
        <v>9</v>
      </c>
      <c r="C255" s="204"/>
      <c r="D255" s="204"/>
      <c r="E255" s="204"/>
      <c r="F255" s="205" t="s">
        <v>193</v>
      </c>
      <c r="G255" s="206">
        <v>610</v>
      </c>
      <c r="H255" s="204" t="s">
        <v>141</v>
      </c>
      <c r="I255" s="207">
        <f>64400+11000+15000</f>
        <v>90400</v>
      </c>
      <c r="J255" s="207">
        <v>89000</v>
      </c>
      <c r="K255" s="207">
        <v>93182</v>
      </c>
      <c r="L255" s="208">
        <v>84192</v>
      </c>
      <c r="M255" s="208">
        <v>73619</v>
      </c>
      <c r="N255" s="546"/>
      <c r="O255" s="207"/>
      <c r="P255" s="207"/>
      <c r="Q255" s="207"/>
      <c r="R255" s="208"/>
      <c r="S255" s="208"/>
      <c r="T255" s="546"/>
      <c r="U255" s="209">
        <f t="shared" si="21"/>
        <v>90400</v>
      </c>
    </row>
    <row r="256" spans="2:21" x14ac:dyDescent="0.2">
      <c r="B256" s="196">
        <f t="shared" si="22"/>
        <v>10</v>
      </c>
      <c r="C256" s="204"/>
      <c r="D256" s="204"/>
      <c r="E256" s="204"/>
      <c r="F256" s="205" t="s">
        <v>193</v>
      </c>
      <c r="G256" s="206">
        <v>620</v>
      </c>
      <c r="H256" s="204" t="s">
        <v>134</v>
      </c>
      <c r="I256" s="207">
        <f>9000+2500+2500+9900+1000+2600+2000+4400+2500</f>
        <v>36400</v>
      </c>
      <c r="J256" s="207">
        <v>34140</v>
      </c>
      <c r="K256" s="207">
        <v>38140</v>
      </c>
      <c r="L256" s="208">
        <v>34538</v>
      </c>
      <c r="M256" s="208">
        <v>28743</v>
      </c>
      <c r="N256" s="546"/>
      <c r="O256" s="207"/>
      <c r="P256" s="207"/>
      <c r="Q256" s="207"/>
      <c r="R256" s="208"/>
      <c r="S256" s="208"/>
      <c r="T256" s="546"/>
      <c r="U256" s="209">
        <f t="shared" si="21"/>
        <v>36400</v>
      </c>
    </row>
    <row r="257" spans="2:21" x14ac:dyDescent="0.2">
      <c r="B257" s="196">
        <f t="shared" si="22"/>
        <v>11</v>
      </c>
      <c r="C257" s="204"/>
      <c r="D257" s="204"/>
      <c r="E257" s="204"/>
      <c r="F257" s="205" t="s">
        <v>193</v>
      </c>
      <c r="G257" s="206">
        <v>630</v>
      </c>
      <c r="H257" s="204" t="s">
        <v>131</v>
      </c>
      <c r="I257" s="207">
        <f>I262+I261+I260+I259+I258</f>
        <v>24575</v>
      </c>
      <c r="J257" s="207">
        <f>J262+J261+J260+J259+J258</f>
        <v>28460</v>
      </c>
      <c r="K257" s="207">
        <f>K262+K261+K260+K259+K258</f>
        <v>34460</v>
      </c>
      <c r="L257" s="208">
        <f>L262+L261+L260+L259+L258</f>
        <v>20734</v>
      </c>
      <c r="M257" s="208">
        <f>M262+M261+M260+M259+M258</f>
        <v>49613</v>
      </c>
      <c r="N257" s="546"/>
      <c r="O257" s="207"/>
      <c r="P257" s="207"/>
      <c r="Q257" s="207"/>
      <c r="R257" s="208"/>
      <c r="S257" s="208"/>
      <c r="T257" s="546"/>
      <c r="U257" s="209">
        <f t="shared" si="21"/>
        <v>24575</v>
      </c>
    </row>
    <row r="258" spans="2:21" x14ac:dyDescent="0.2">
      <c r="B258" s="196">
        <f t="shared" si="22"/>
        <v>12</v>
      </c>
      <c r="C258" s="210"/>
      <c r="D258" s="210"/>
      <c r="E258" s="210"/>
      <c r="F258" s="211"/>
      <c r="G258" s="212">
        <v>631</v>
      </c>
      <c r="H258" s="210" t="s">
        <v>137</v>
      </c>
      <c r="I258" s="213">
        <f>300</f>
        <v>300</v>
      </c>
      <c r="J258" s="213">
        <v>200</v>
      </c>
      <c r="K258" s="213">
        <v>200</v>
      </c>
      <c r="L258" s="214">
        <v>193</v>
      </c>
      <c r="M258" s="214">
        <v>0</v>
      </c>
      <c r="N258" s="547"/>
      <c r="O258" s="213"/>
      <c r="P258" s="213"/>
      <c r="Q258" s="213"/>
      <c r="R258" s="214"/>
      <c r="S258" s="214"/>
      <c r="T258" s="547"/>
      <c r="U258" s="215">
        <f t="shared" si="21"/>
        <v>300</v>
      </c>
    </row>
    <row r="259" spans="2:21" x14ac:dyDescent="0.2">
      <c r="B259" s="196">
        <f t="shared" si="22"/>
        <v>13</v>
      </c>
      <c r="C259" s="210"/>
      <c r="D259" s="210"/>
      <c r="E259" s="210"/>
      <c r="F259" s="211"/>
      <c r="G259" s="212">
        <v>632</v>
      </c>
      <c r="H259" s="210" t="s">
        <v>144</v>
      </c>
      <c r="I259" s="213">
        <v>4000</v>
      </c>
      <c r="J259" s="213">
        <v>8000</v>
      </c>
      <c r="K259" s="213">
        <v>9000</v>
      </c>
      <c r="L259" s="214">
        <v>3253</v>
      </c>
      <c r="M259" s="214">
        <v>2818</v>
      </c>
      <c r="N259" s="547"/>
      <c r="O259" s="213"/>
      <c r="P259" s="213"/>
      <c r="Q259" s="213"/>
      <c r="R259" s="214"/>
      <c r="S259" s="214"/>
      <c r="T259" s="547"/>
      <c r="U259" s="215">
        <f t="shared" si="21"/>
        <v>4000</v>
      </c>
    </row>
    <row r="260" spans="2:21" x14ac:dyDescent="0.2">
      <c r="B260" s="196">
        <f t="shared" si="22"/>
        <v>14</v>
      </c>
      <c r="C260" s="210"/>
      <c r="D260" s="210"/>
      <c r="E260" s="210"/>
      <c r="F260" s="211"/>
      <c r="G260" s="212">
        <v>633</v>
      </c>
      <c r="H260" s="210" t="s">
        <v>135</v>
      </c>
      <c r="I260" s="213">
        <v>7000</v>
      </c>
      <c r="J260" s="213">
        <v>9285</v>
      </c>
      <c r="K260" s="213">
        <v>12285</v>
      </c>
      <c r="L260" s="214">
        <v>7655</v>
      </c>
      <c r="M260" s="214">
        <v>7934</v>
      </c>
      <c r="N260" s="547"/>
      <c r="O260" s="213"/>
      <c r="P260" s="213"/>
      <c r="Q260" s="213"/>
      <c r="R260" s="214"/>
      <c r="S260" s="214"/>
      <c r="T260" s="547"/>
      <c r="U260" s="215">
        <f t="shared" si="21"/>
        <v>7000</v>
      </c>
    </row>
    <row r="261" spans="2:21" x14ac:dyDescent="0.2">
      <c r="B261" s="196">
        <f t="shared" si="22"/>
        <v>15</v>
      </c>
      <c r="C261" s="210"/>
      <c r="D261" s="210"/>
      <c r="E261" s="210"/>
      <c r="F261" s="211"/>
      <c r="G261" s="212">
        <v>635</v>
      </c>
      <c r="H261" s="210" t="s">
        <v>143</v>
      </c>
      <c r="I261" s="213">
        <v>300</v>
      </c>
      <c r="J261" s="213">
        <v>200</v>
      </c>
      <c r="K261" s="213">
        <v>200</v>
      </c>
      <c r="L261" s="214">
        <v>0</v>
      </c>
      <c r="M261" s="214">
        <v>0</v>
      </c>
      <c r="N261" s="547"/>
      <c r="O261" s="213"/>
      <c r="P261" s="213"/>
      <c r="Q261" s="213"/>
      <c r="R261" s="214"/>
      <c r="S261" s="214"/>
      <c r="T261" s="547"/>
      <c r="U261" s="215">
        <f t="shared" si="21"/>
        <v>300</v>
      </c>
    </row>
    <row r="262" spans="2:21" x14ac:dyDescent="0.2">
      <c r="B262" s="196">
        <f t="shared" si="22"/>
        <v>16</v>
      </c>
      <c r="C262" s="210"/>
      <c r="D262" s="210"/>
      <c r="E262" s="210"/>
      <c r="F262" s="211"/>
      <c r="G262" s="212">
        <v>637</v>
      </c>
      <c r="H262" s="210" t="s">
        <v>132</v>
      </c>
      <c r="I262" s="213">
        <f>2000+1000+1375+3000+1600+4000</f>
        <v>12975</v>
      </c>
      <c r="J262" s="213">
        <v>10775</v>
      </c>
      <c r="K262" s="213">
        <v>12775</v>
      </c>
      <c r="L262" s="214">
        <v>9633</v>
      </c>
      <c r="M262" s="214">
        <f>6944+465+31452</f>
        <v>38861</v>
      </c>
      <c r="N262" s="547"/>
      <c r="O262" s="213"/>
      <c r="P262" s="213"/>
      <c r="Q262" s="213"/>
      <c r="R262" s="214"/>
      <c r="S262" s="214"/>
      <c r="T262" s="547"/>
      <c r="U262" s="215">
        <f t="shared" si="21"/>
        <v>12975</v>
      </c>
    </row>
    <row r="263" spans="2:21" x14ac:dyDescent="0.2">
      <c r="B263" s="196">
        <f t="shared" si="22"/>
        <v>17</v>
      </c>
      <c r="C263" s="204"/>
      <c r="D263" s="204"/>
      <c r="E263" s="204"/>
      <c r="F263" s="205" t="s">
        <v>193</v>
      </c>
      <c r="G263" s="206">
        <v>640</v>
      </c>
      <c r="H263" s="204" t="s">
        <v>139</v>
      </c>
      <c r="I263" s="207">
        <v>5700</v>
      </c>
      <c r="J263" s="207">
        <v>4400</v>
      </c>
      <c r="K263" s="207">
        <v>7400</v>
      </c>
      <c r="L263" s="208">
        <v>4566</v>
      </c>
      <c r="M263" s="208">
        <v>54</v>
      </c>
      <c r="N263" s="546"/>
      <c r="O263" s="207"/>
      <c r="P263" s="207"/>
      <c r="Q263" s="207"/>
      <c r="R263" s="208"/>
      <c r="S263" s="208"/>
      <c r="T263" s="546"/>
      <c r="U263" s="209">
        <f t="shared" si="21"/>
        <v>5700</v>
      </c>
    </row>
    <row r="264" spans="2:21" x14ac:dyDescent="0.2">
      <c r="B264" s="196">
        <f t="shared" si="22"/>
        <v>18</v>
      </c>
      <c r="C264" s="204"/>
      <c r="D264" s="204"/>
      <c r="E264" s="204"/>
      <c r="F264" s="205" t="s">
        <v>193</v>
      </c>
      <c r="G264" s="206">
        <v>630</v>
      </c>
      <c r="H264" s="204" t="s">
        <v>757</v>
      </c>
      <c r="I264" s="207"/>
      <c r="J264" s="207"/>
      <c r="K264" s="207">
        <v>12355</v>
      </c>
      <c r="L264" s="208">
        <v>32331</v>
      </c>
      <c r="M264" s="208"/>
      <c r="N264" s="546"/>
      <c r="O264" s="207"/>
      <c r="P264" s="207"/>
      <c r="Q264" s="207"/>
      <c r="R264" s="208"/>
      <c r="S264" s="208"/>
      <c r="T264" s="546"/>
      <c r="U264" s="209">
        <f t="shared" si="21"/>
        <v>0</v>
      </c>
    </row>
    <row r="265" spans="2:21" ht="15.75" x14ac:dyDescent="0.25">
      <c r="B265" s="196">
        <f t="shared" si="22"/>
        <v>19</v>
      </c>
      <c r="C265" s="200">
        <v>3</v>
      </c>
      <c r="D265" s="694" t="s">
        <v>180</v>
      </c>
      <c r="E265" s="695"/>
      <c r="F265" s="695"/>
      <c r="G265" s="695"/>
      <c r="H265" s="695"/>
      <c r="I265" s="201">
        <f>I266+I267+I268+I273+I275</f>
        <v>330000</v>
      </c>
      <c r="J265" s="201">
        <f>J266+J267+J268+J273+J275</f>
        <v>325125</v>
      </c>
      <c r="K265" s="201">
        <f>K266+K267+K268+K273+K275</f>
        <v>325125</v>
      </c>
      <c r="L265" s="202">
        <f>L266+L267+L268+L273+L275+L276</f>
        <v>311620</v>
      </c>
      <c r="M265" s="202">
        <f>M266+M267+M268+M273+M275</f>
        <v>357160</v>
      </c>
      <c r="N265" s="545"/>
      <c r="O265" s="201"/>
      <c r="P265" s="201"/>
      <c r="Q265" s="201"/>
      <c r="R265" s="202"/>
      <c r="S265" s="202"/>
      <c r="T265" s="545"/>
      <c r="U265" s="203">
        <f t="shared" si="21"/>
        <v>330000</v>
      </c>
    </row>
    <row r="266" spans="2:21" x14ac:dyDescent="0.2">
      <c r="B266" s="196">
        <f t="shared" si="22"/>
        <v>20</v>
      </c>
      <c r="C266" s="204"/>
      <c r="D266" s="204"/>
      <c r="E266" s="204"/>
      <c r="F266" s="205" t="s">
        <v>79</v>
      </c>
      <c r="G266" s="206">
        <v>610</v>
      </c>
      <c r="H266" s="204" t="s">
        <v>141</v>
      </c>
      <c r="I266" s="207">
        <v>222000</v>
      </c>
      <c r="J266" s="207">
        <v>218130</v>
      </c>
      <c r="K266" s="207">
        <v>218130</v>
      </c>
      <c r="L266" s="208">
        <v>183617</v>
      </c>
      <c r="M266" s="208">
        <v>163115</v>
      </c>
      <c r="N266" s="546"/>
      <c r="O266" s="207"/>
      <c r="P266" s="207"/>
      <c r="Q266" s="207"/>
      <c r="R266" s="208"/>
      <c r="S266" s="208"/>
      <c r="T266" s="546"/>
      <c r="U266" s="209">
        <f t="shared" si="21"/>
        <v>222000</v>
      </c>
    </row>
    <row r="267" spans="2:21" x14ac:dyDescent="0.2">
      <c r="B267" s="196">
        <f t="shared" si="22"/>
        <v>21</v>
      </c>
      <c r="C267" s="204"/>
      <c r="D267" s="204"/>
      <c r="E267" s="204"/>
      <c r="F267" s="205" t="s">
        <v>79</v>
      </c>
      <c r="G267" s="206">
        <v>620</v>
      </c>
      <c r="H267" s="204" t="s">
        <v>134</v>
      </c>
      <c r="I267" s="207">
        <v>83000</v>
      </c>
      <c r="J267" s="207">
        <v>82500</v>
      </c>
      <c r="K267" s="207">
        <v>82500</v>
      </c>
      <c r="L267" s="208">
        <v>70206</v>
      </c>
      <c r="M267" s="208">
        <v>62751</v>
      </c>
      <c r="N267" s="546"/>
      <c r="O267" s="207"/>
      <c r="P267" s="207"/>
      <c r="Q267" s="207"/>
      <c r="R267" s="208"/>
      <c r="S267" s="208"/>
      <c r="T267" s="546"/>
      <c r="U267" s="209">
        <f t="shared" si="21"/>
        <v>83000</v>
      </c>
    </row>
    <row r="268" spans="2:21" x14ac:dyDescent="0.2">
      <c r="B268" s="196">
        <f t="shared" si="22"/>
        <v>22</v>
      </c>
      <c r="C268" s="204"/>
      <c r="D268" s="204"/>
      <c r="E268" s="204"/>
      <c r="F268" s="205" t="s">
        <v>79</v>
      </c>
      <c r="G268" s="206">
        <v>630</v>
      </c>
      <c r="H268" s="204" t="s">
        <v>131</v>
      </c>
      <c r="I268" s="207">
        <f>I272+I271+I270+I269</f>
        <v>14600</v>
      </c>
      <c r="J268" s="207">
        <f>J272+J271+J270+J269</f>
        <v>14295</v>
      </c>
      <c r="K268" s="207">
        <f>K272+K271+K270+K269</f>
        <v>14295</v>
      </c>
      <c r="L268" s="208">
        <f>L272+L271+L270+L269</f>
        <v>12537</v>
      </c>
      <c r="M268" s="208">
        <f>M272+M271+M270+M269</f>
        <v>14488</v>
      </c>
      <c r="N268" s="546"/>
      <c r="O268" s="207"/>
      <c r="P268" s="207"/>
      <c r="Q268" s="207"/>
      <c r="R268" s="208"/>
      <c r="S268" s="208"/>
      <c r="T268" s="546"/>
      <c r="U268" s="209">
        <f t="shared" si="21"/>
        <v>14600</v>
      </c>
    </row>
    <row r="269" spans="2:21" x14ac:dyDescent="0.2">
      <c r="B269" s="196">
        <f t="shared" si="22"/>
        <v>23</v>
      </c>
      <c r="C269" s="210"/>
      <c r="D269" s="210"/>
      <c r="E269" s="210"/>
      <c r="F269" s="211"/>
      <c r="G269" s="212">
        <v>631</v>
      </c>
      <c r="H269" s="210" t="s">
        <v>137</v>
      </c>
      <c r="I269" s="213">
        <v>100</v>
      </c>
      <c r="J269" s="213">
        <v>100</v>
      </c>
      <c r="K269" s="213">
        <v>100</v>
      </c>
      <c r="L269" s="214">
        <v>0</v>
      </c>
      <c r="M269" s="214">
        <v>0</v>
      </c>
      <c r="N269" s="547"/>
      <c r="O269" s="213"/>
      <c r="P269" s="213"/>
      <c r="Q269" s="213"/>
      <c r="R269" s="214"/>
      <c r="S269" s="214"/>
      <c r="T269" s="547"/>
      <c r="U269" s="215">
        <f t="shared" si="21"/>
        <v>100</v>
      </c>
    </row>
    <row r="270" spans="2:21" x14ac:dyDescent="0.2">
      <c r="B270" s="196">
        <f t="shared" si="22"/>
        <v>24</v>
      </c>
      <c r="C270" s="210"/>
      <c r="D270" s="210"/>
      <c r="E270" s="210"/>
      <c r="F270" s="211"/>
      <c r="G270" s="212">
        <v>632</v>
      </c>
      <c r="H270" s="210" t="s">
        <v>144</v>
      </c>
      <c r="I270" s="213">
        <v>2500</v>
      </c>
      <c r="J270" s="213">
        <v>3000</v>
      </c>
      <c r="K270" s="213">
        <v>3000</v>
      </c>
      <c r="L270" s="214">
        <v>1666</v>
      </c>
      <c r="M270" s="214">
        <v>1520</v>
      </c>
      <c r="N270" s="547"/>
      <c r="O270" s="213"/>
      <c r="P270" s="213"/>
      <c r="Q270" s="213"/>
      <c r="R270" s="214"/>
      <c r="S270" s="214"/>
      <c r="T270" s="547"/>
      <c r="U270" s="215">
        <f t="shared" si="21"/>
        <v>2500</v>
      </c>
    </row>
    <row r="271" spans="2:21" x14ac:dyDescent="0.2">
      <c r="B271" s="196">
        <f t="shared" si="22"/>
        <v>25</v>
      </c>
      <c r="C271" s="210"/>
      <c r="D271" s="210"/>
      <c r="E271" s="210"/>
      <c r="F271" s="211"/>
      <c r="G271" s="212">
        <v>633</v>
      </c>
      <c r="H271" s="210" t="s">
        <v>135</v>
      </c>
      <c r="I271" s="213">
        <v>2500</v>
      </c>
      <c r="J271" s="213">
        <v>2000</v>
      </c>
      <c r="K271" s="213">
        <v>2000</v>
      </c>
      <c r="L271" s="214">
        <v>1305</v>
      </c>
      <c r="M271" s="214">
        <v>1388</v>
      </c>
      <c r="N271" s="547"/>
      <c r="O271" s="213"/>
      <c r="P271" s="213"/>
      <c r="Q271" s="213"/>
      <c r="R271" s="214"/>
      <c r="S271" s="214"/>
      <c r="T271" s="547"/>
      <c r="U271" s="215">
        <f t="shared" si="21"/>
        <v>2500</v>
      </c>
    </row>
    <row r="272" spans="2:21" x14ac:dyDescent="0.2">
      <c r="B272" s="196">
        <f t="shared" si="22"/>
        <v>26</v>
      </c>
      <c r="C272" s="210"/>
      <c r="D272" s="210"/>
      <c r="E272" s="210"/>
      <c r="F272" s="211"/>
      <c r="G272" s="212">
        <v>637</v>
      </c>
      <c r="H272" s="210" t="s">
        <v>132</v>
      </c>
      <c r="I272" s="213">
        <v>9500</v>
      </c>
      <c r="J272" s="213">
        <v>9195</v>
      </c>
      <c r="K272" s="213">
        <v>9195</v>
      </c>
      <c r="L272" s="214">
        <v>9566</v>
      </c>
      <c r="M272" s="214">
        <f>10836+744</f>
        <v>11580</v>
      </c>
      <c r="N272" s="547"/>
      <c r="O272" s="213"/>
      <c r="P272" s="213"/>
      <c r="Q272" s="213"/>
      <c r="R272" s="214"/>
      <c r="S272" s="214"/>
      <c r="T272" s="547"/>
      <c r="U272" s="215">
        <f t="shared" si="21"/>
        <v>9500</v>
      </c>
    </row>
    <row r="273" spans="2:21" x14ac:dyDescent="0.2">
      <c r="B273" s="196">
        <f t="shared" si="22"/>
        <v>27</v>
      </c>
      <c r="C273" s="204"/>
      <c r="D273" s="204"/>
      <c r="E273" s="204"/>
      <c r="F273" s="205" t="s">
        <v>79</v>
      </c>
      <c r="G273" s="206">
        <v>640</v>
      </c>
      <c r="H273" s="204" t="s">
        <v>139</v>
      </c>
      <c r="I273" s="207">
        <v>10400</v>
      </c>
      <c r="J273" s="207">
        <v>10200</v>
      </c>
      <c r="K273" s="207">
        <v>10200</v>
      </c>
      <c r="L273" s="208">
        <v>4385</v>
      </c>
      <c r="M273" s="208">
        <v>498</v>
      </c>
      <c r="N273" s="546"/>
      <c r="O273" s="207"/>
      <c r="P273" s="207"/>
      <c r="Q273" s="207"/>
      <c r="R273" s="208"/>
      <c r="S273" s="208"/>
      <c r="T273" s="546"/>
      <c r="U273" s="209">
        <f t="shared" si="21"/>
        <v>10400</v>
      </c>
    </row>
    <row r="274" spans="2:21" x14ac:dyDescent="0.2">
      <c r="B274" s="196">
        <f t="shared" si="22"/>
        <v>28</v>
      </c>
      <c r="C274" s="204"/>
      <c r="D274" s="204"/>
      <c r="E274" s="204"/>
      <c r="F274" s="205"/>
      <c r="G274" s="206"/>
      <c r="H274" s="204"/>
      <c r="I274" s="207">
        <v>0</v>
      </c>
      <c r="J274" s="207"/>
      <c r="K274" s="207"/>
      <c r="L274" s="208"/>
      <c r="M274" s="208"/>
      <c r="N274" s="546"/>
      <c r="O274" s="207"/>
      <c r="P274" s="207"/>
      <c r="Q274" s="207"/>
      <c r="R274" s="208"/>
      <c r="S274" s="208"/>
      <c r="T274" s="546"/>
      <c r="U274" s="209">
        <f t="shared" si="21"/>
        <v>0</v>
      </c>
    </row>
    <row r="275" spans="2:21" s="180" customFormat="1" x14ac:dyDescent="0.2">
      <c r="B275" s="196">
        <f t="shared" si="22"/>
        <v>29</v>
      </c>
      <c r="C275" s="204"/>
      <c r="D275" s="204"/>
      <c r="E275" s="204"/>
      <c r="F275" s="205" t="s">
        <v>545</v>
      </c>
      <c r="G275" s="206">
        <v>600</v>
      </c>
      <c r="H275" s="204" t="s">
        <v>580</v>
      </c>
      <c r="I275" s="207">
        <v>0</v>
      </c>
      <c r="J275" s="207"/>
      <c r="K275" s="207"/>
      <c r="L275" s="208"/>
      <c r="M275" s="208">
        <f>20729+95579</f>
        <v>116308</v>
      </c>
      <c r="N275" s="546"/>
      <c r="O275" s="207"/>
      <c r="P275" s="207"/>
      <c r="Q275" s="207"/>
      <c r="R275" s="208"/>
      <c r="S275" s="208"/>
      <c r="T275" s="546"/>
      <c r="U275" s="209">
        <f t="shared" si="21"/>
        <v>0</v>
      </c>
    </row>
    <row r="276" spans="2:21" s="180" customFormat="1" x14ac:dyDescent="0.2">
      <c r="B276" s="196">
        <f t="shared" si="22"/>
        <v>30</v>
      </c>
      <c r="C276" s="204"/>
      <c r="D276" s="204"/>
      <c r="E276" s="204"/>
      <c r="F276" s="205" t="s">
        <v>79</v>
      </c>
      <c r="G276" s="206">
        <v>630</v>
      </c>
      <c r="H276" s="204" t="s">
        <v>757</v>
      </c>
      <c r="I276" s="207">
        <v>0</v>
      </c>
      <c r="J276" s="207"/>
      <c r="K276" s="207"/>
      <c r="L276" s="208">
        <v>40875</v>
      </c>
      <c r="M276" s="208"/>
      <c r="N276" s="546"/>
      <c r="O276" s="207"/>
      <c r="P276" s="207"/>
      <c r="Q276" s="207"/>
      <c r="R276" s="208"/>
      <c r="S276" s="208"/>
      <c r="T276" s="546"/>
      <c r="U276" s="209">
        <f t="shared" si="21"/>
        <v>0</v>
      </c>
    </row>
    <row r="277" spans="2:21" ht="15.75" x14ac:dyDescent="0.25">
      <c r="B277" s="196">
        <f t="shared" si="22"/>
        <v>31</v>
      </c>
      <c r="C277" s="200">
        <v>4</v>
      </c>
      <c r="D277" s="694" t="s">
        <v>48</v>
      </c>
      <c r="E277" s="695"/>
      <c r="F277" s="695"/>
      <c r="G277" s="695"/>
      <c r="H277" s="695"/>
      <c r="I277" s="201">
        <f>I278</f>
        <v>88925</v>
      </c>
      <c r="J277" s="201">
        <f>J278</f>
        <v>75890</v>
      </c>
      <c r="K277" s="201">
        <f>K278</f>
        <v>78890</v>
      </c>
      <c r="L277" s="202">
        <f>L278</f>
        <v>66797</v>
      </c>
      <c r="M277" s="202">
        <f>M278</f>
        <v>59793</v>
      </c>
      <c r="N277" s="545"/>
      <c r="O277" s="201">
        <f>O278</f>
        <v>5000</v>
      </c>
      <c r="P277" s="201">
        <f>P278</f>
        <v>17000</v>
      </c>
      <c r="Q277" s="201">
        <f>Q278</f>
        <v>0</v>
      </c>
      <c r="R277" s="202"/>
      <c r="S277" s="202"/>
      <c r="T277" s="545"/>
      <c r="U277" s="203">
        <f t="shared" si="21"/>
        <v>93925</v>
      </c>
    </row>
    <row r="278" spans="2:21" ht="14.25" x14ac:dyDescent="0.2">
      <c r="B278" s="196">
        <f t="shared" si="22"/>
        <v>32</v>
      </c>
      <c r="C278" s="216"/>
      <c r="D278" s="216"/>
      <c r="E278" s="216">
        <v>2</v>
      </c>
      <c r="F278" s="217"/>
      <c r="G278" s="217"/>
      <c r="H278" s="216" t="s">
        <v>13</v>
      </c>
      <c r="I278" s="218">
        <f>I279+I280+I281+I286</f>
        <v>88925</v>
      </c>
      <c r="J278" s="218">
        <f>J279+J280+J281+J286</f>
        <v>75890</v>
      </c>
      <c r="K278" s="218">
        <f>K279+K280+K281+K286</f>
        <v>78890</v>
      </c>
      <c r="L278" s="219">
        <f>L279+L280+L281+L286</f>
        <v>66797</v>
      </c>
      <c r="M278" s="219">
        <f>M279+M280+M281+M286</f>
        <v>59793</v>
      </c>
      <c r="N278" s="548"/>
      <c r="O278" s="218">
        <f>O287</f>
        <v>5000</v>
      </c>
      <c r="P278" s="218">
        <f>P287</f>
        <v>17000</v>
      </c>
      <c r="Q278" s="218">
        <f>Q287</f>
        <v>0</v>
      </c>
      <c r="R278" s="219"/>
      <c r="S278" s="219"/>
      <c r="T278" s="548"/>
      <c r="U278" s="220">
        <f t="shared" si="21"/>
        <v>93925</v>
      </c>
    </row>
    <row r="279" spans="2:21" x14ac:dyDescent="0.2">
      <c r="B279" s="196">
        <f t="shared" si="22"/>
        <v>33</v>
      </c>
      <c r="C279" s="204"/>
      <c r="D279" s="204"/>
      <c r="E279" s="204"/>
      <c r="F279" s="205" t="s">
        <v>163</v>
      </c>
      <c r="G279" s="206">
        <v>610</v>
      </c>
      <c r="H279" s="204" t="s">
        <v>141</v>
      </c>
      <c r="I279" s="207">
        <v>41100</v>
      </c>
      <c r="J279" s="207">
        <v>35280</v>
      </c>
      <c r="K279" s="207">
        <v>35280</v>
      </c>
      <c r="L279" s="208">
        <v>33317</v>
      </c>
      <c r="M279" s="208">
        <v>31210</v>
      </c>
      <c r="N279" s="546"/>
      <c r="O279" s="207"/>
      <c r="P279" s="207"/>
      <c r="Q279" s="207"/>
      <c r="R279" s="208"/>
      <c r="S279" s="208"/>
      <c r="T279" s="546"/>
      <c r="U279" s="209">
        <f t="shared" ref="U279:U304" si="23">I279+O279</f>
        <v>41100</v>
      </c>
    </row>
    <row r="280" spans="2:21" x14ac:dyDescent="0.2">
      <c r="B280" s="196">
        <f t="shared" si="22"/>
        <v>34</v>
      </c>
      <c r="C280" s="204"/>
      <c r="D280" s="204"/>
      <c r="E280" s="204"/>
      <c r="F280" s="205" t="s">
        <v>163</v>
      </c>
      <c r="G280" s="206">
        <v>620</v>
      </c>
      <c r="H280" s="204" t="s">
        <v>134</v>
      </c>
      <c r="I280" s="207">
        <v>15225</v>
      </c>
      <c r="J280" s="207">
        <v>12970</v>
      </c>
      <c r="K280" s="207">
        <v>12970</v>
      </c>
      <c r="L280" s="208">
        <v>11714</v>
      </c>
      <c r="M280" s="208">
        <v>11120</v>
      </c>
      <c r="N280" s="546"/>
      <c r="O280" s="207"/>
      <c r="P280" s="207"/>
      <c r="Q280" s="207"/>
      <c r="R280" s="208"/>
      <c r="S280" s="208"/>
      <c r="T280" s="546"/>
      <c r="U280" s="209">
        <f t="shared" si="23"/>
        <v>15225</v>
      </c>
    </row>
    <row r="281" spans="2:21" x14ac:dyDescent="0.2">
      <c r="B281" s="196">
        <f t="shared" si="22"/>
        <v>35</v>
      </c>
      <c r="C281" s="204"/>
      <c r="D281" s="204"/>
      <c r="E281" s="204"/>
      <c r="F281" s="205" t="s">
        <v>163</v>
      </c>
      <c r="G281" s="206">
        <v>630</v>
      </c>
      <c r="H281" s="204" t="s">
        <v>131</v>
      </c>
      <c r="I281" s="207">
        <f>I285+I284+I283+I282</f>
        <v>29800</v>
      </c>
      <c r="J281" s="207">
        <f>J285+J284+J283+J282</f>
        <v>24840</v>
      </c>
      <c r="K281" s="207">
        <f>K285+K284+K283+K282</f>
        <v>27840</v>
      </c>
      <c r="L281" s="208">
        <f>L285+L284+L283+L282</f>
        <v>19628</v>
      </c>
      <c r="M281" s="208">
        <f>M285+M284+M283+M282</f>
        <v>17204</v>
      </c>
      <c r="N281" s="546"/>
      <c r="O281" s="207"/>
      <c r="P281" s="207"/>
      <c r="Q281" s="207"/>
      <c r="R281" s="208"/>
      <c r="S281" s="208"/>
      <c r="T281" s="546"/>
      <c r="U281" s="209">
        <f t="shared" si="23"/>
        <v>29800</v>
      </c>
    </row>
    <row r="282" spans="2:21" x14ac:dyDescent="0.2">
      <c r="B282" s="196">
        <f t="shared" si="22"/>
        <v>36</v>
      </c>
      <c r="C282" s="210"/>
      <c r="D282" s="210"/>
      <c r="E282" s="210"/>
      <c r="F282" s="211"/>
      <c r="G282" s="212">
        <v>632</v>
      </c>
      <c r="H282" s="210" t="s">
        <v>144</v>
      </c>
      <c r="I282" s="213">
        <f>11500+2500</f>
        <v>14000</v>
      </c>
      <c r="J282" s="213">
        <v>14150</v>
      </c>
      <c r="K282" s="213">
        <v>14150</v>
      </c>
      <c r="L282" s="214">
        <v>5603</v>
      </c>
      <c r="M282" s="214">
        <v>5457</v>
      </c>
      <c r="N282" s="547"/>
      <c r="O282" s="213"/>
      <c r="P282" s="213"/>
      <c r="Q282" s="213"/>
      <c r="R282" s="214"/>
      <c r="S282" s="214"/>
      <c r="T282" s="547"/>
      <c r="U282" s="215">
        <f t="shared" si="23"/>
        <v>14000</v>
      </c>
    </row>
    <row r="283" spans="2:21" x14ac:dyDescent="0.2">
      <c r="B283" s="196">
        <f t="shared" si="22"/>
        <v>37</v>
      </c>
      <c r="C283" s="210"/>
      <c r="D283" s="210"/>
      <c r="E283" s="210"/>
      <c r="F283" s="211"/>
      <c r="G283" s="212">
        <v>633</v>
      </c>
      <c r="H283" s="210" t="s">
        <v>135</v>
      </c>
      <c r="I283" s="213">
        <f>1000+2500+300</f>
        <v>3800</v>
      </c>
      <c r="J283" s="213">
        <v>3570</v>
      </c>
      <c r="K283" s="213">
        <v>3570</v>
      </c>
      <c r="L283" s="214">
        <v>2920</v>
      </c>
      <c r="M283" s="214">
        <v>2623</v>
      </c>
      <c r="N283" s="547"/>
      <c r="O283" s="213"/>
      <c r="P283" s="213"/>
      <c r="Q283" s="213"/>
      <c r="R283" s="214"/>
      <c r="S283" s="214"/>
      <c r="T283" s="547"/>
      <c r="U283" s="215">
        <f t="shared" si="23"/>
        <v>3800</v>
      </c>
    </row>
    <row r="284" spans="2:21" x14ac:dyDescent="0.2">
      <c r="B284" s="196">
        <f t="shared" si="22"/>
        <v>38</v>
      </c>
      <c r="C284" s="210"/>
      <c r="D284" s="210"/>
      <c r="E284" s="210"/>
      <c r="F284" s="211"/>
      <c r="G284" s="212">
        <v>635</v>
      </c>
      <c r="H284" s="210" t="s">
        <v>143</v>
      </c>
      <c r="I284" s="213">
        <v>9500</v>
      </c>
      <c r="J284" s="213">
        <v>4800</v>
      </c>
      <c r="K284" s="213">
        <v>7800</v>
      </c>
      <c r="L284" s="214">
        <v>9175</v>
      </c>
      <c r="M284" s="214">
        <v>6476</v>
      </c>
      <c r="N284" s="547"/>
      <c r="O284" s="213"/>
      <c r="P284" s="213"/>
      <c r="Q284" s="213"/>
      <c r="R284" s="214"/>
      <c r="S284" s="214"/>
      <c r="T284" s="547"/>
      <c r="U284" s="215">
        <f t="shared" si="23"/>
        <v>9500</v>
      </c>
    </row>
    <row r="285" spans="2:21" x14ac:dyDescent="0.2">
      <c r="B285" s="196">
        <f t="shared" si="22"/>
        <v>39</v>
      </c>
      <c r="C285" s="210"/>
      <c r="D285" s="210"/>
      <c r="E285" s="210"/>
      <c r="F285" s="211"/>
      <c r="G285" s="212">
        <v>637</v>
      </c>
      <c r="H285" s="210" t="s">
        <v>132</v>
      </c>
      <c r="I285" s="213">
        <v>2500</v>
      </c>
      <c r="J285" s="213">
        <v>2320</v>
      </c>
      <c r="K285" s="213">
        <v>2320</v>
      </c>
      <c r="L285" s="214">
        <v>1930</v>
      </c>
      <c r="M285" s="214">
        <v>2648</v>
      </c>
      <c r="N285" s="547"/>
      <c r="O285" s="213"/>
      <c r="P285" s="213"/>
      <c r="Q285" s="213"/>
      <c r="R285" s="214"/>
      <c r="S285" s="214"/>
      <c r="T285" s="547"/>
      <c r="U285" s="215">
        <f t="shared" si="23"/>
        <v>2500</v>
      </c>
    </row>
    <row r="286" spans="2:21" x14ac:dyDescent="0.2">
      <c r="B286" s="196">
        <f t="shared" si="22"/>
        <v>40</v>
      </c>
      <c r="C286" s="204"/>
      <c r="D286" s="204"/>
      <c r="E286" s="204"/>
      <c r="F286" s="205" t="s">
        <v>163</v>
      </c>
      <c r="G286" s="206">
        <v>640</v>
      </c>
      <c r="H286" s="204" t="s">
        <v>139</v>
      </c>
      <c r="I286" s="207">
        <f>2100+700</f>
        <v>2800</v>
      </c>
      <c r="J286" s="207">
        <v>2800</v>
      </c>
      <c r="K286" s="207">
        <v>2800</v>
      </c>
      <c r="L286" s="208">
        <v>2138</v>
      </c>
      <c r="M286" s="208">
        <v>259</v>
      </c>
      <c r="N286" s="546"/>
      <c r="O286" s="207"/>
      <c r="P286" s="207"/>
      <c r="Q286" s="207"/>
      <c r="R286" s="208"/>
      <c r="S286" s="208"/>
      <c r="T286" s="546"/>
      <c r="U286" s="209">
        <f t="shared" si="23"/>
        <v>2800</v>
      </c>
    </row>
    <row r="287" spans="2:21" x14ac:dyDescent="0.2">
      <c r="B287" s="196">
        <f t="shared" si="22"/>
        <v>41</v>
      </c>
      <c r="C287" s="204"/>
      <c r="D287" s="204"/>
      <c r="E287" s="204"/>
      <c r="F287" s="205" t="s">
        <v>163</v>
      </c>
      <c r="G287" s="206">
        <v>710</v>
      </c>
      <c r="H287" s="204" t="s">
        <v>185</v>
      </c>
      <c r="I287" s="207"/>
      <c r="J287" s="207"/>
      <c r="K287" s="207"/>
      <c r="L287" s="208"/>
      <c r="M287" s="208"/>
      <c r="N287" s="546"/>
      <c r="O287" s="207">
        <f>O288</f>
        <v>5000</v>
      </c>
      <c r="P287" s="207">
        <f>P290</f>
        <v>17000</v>
      </c>
      <c r="Q287" s="207">
        <f>Q290</f>
        <v>0</v>
      </c>
      <c r="R287" s="208"/>
      <c r="S287" s="208"/>
      <c r="T287" s="546"/>
      <c r="U287" s="209">
        <f t="shared" si="23"/>
        <v>5000</v>
      </c>
    </row>
    <row r="288" spans="2:21" s="165" customFormat="1" x14ac:dyDescent="0.2">
      <c r="B288" s="196">
        <f t="shared" si="22"/>
        <v>42</v>
      </c>
      <c r="C288" s="221"/>
      <c r="D288" s="221"/>
      <c r="E288" s="221"/>
      <c r="F288" s="222"/>
      <c r="G288" s="212">
        <v>716</v>
      </c>
      <c r="H288" s="210" t="s">
        <v>226</v>
      </c>
      <c r="I288" s="213"/>
      <c r="J288" s="213"/>
      <c r="K288" s="213"/>
      <c r="L288" s="214"/>
      <c r="M288" s="214"/>
      <c r="N288" s="547"/>
      <c r="O288" s="213">
        <f>O289</f>
        <v>5000</v>
      </c>
      <c r="P288" s="213">
        <f>P289</f>
        <v>17000</v>
      </c>
      <c r="Q288" s="213">
        <f>Q289</f>
        <v>0</v>
      </c>
      <c r="R288" s="214"/>
      <c r="S288" s="214"/>
      <c r="T288" s="547"/>
      <c r="U288" s="215">
        <f t="shared" si="23"/>
        <v>5000</v>
      </c>
    </row>
    <row r="289" spans="2:21" s="165" customFormat="1" x14ac:dyDescent="0.2">
      <c r="B289" s="196">
        <f t="shared" si="22"/>
        <v>43</v>
      </c>
      <c r="C289" s="221"/>
      <c r="D289" s="221"/>
      <c r="E289" s="221"/>
      <c r="F289" s="222"/>
      <c r="G289" s="223"/>
      <c r="H289" s="221" t="s">
        <v>1086</v>
      </c>
      <c r="I289" s="224"/>
      <c r="J289" s="224"/>
      <c r="K289" s="224"/>
      <c r="L289" s="225"/>
      <c r="M289" s="225"/>
      <c r="N289" s="549"/>
      <c r="O289" s="224">
        <v>5000</v>
      </c>
      <c r="P289" s="224">
        <v>17000</v>
      </c>
      <c r="Q289" s="224">
        <v>0</v>
      </c>
      <c r="R289" s="225"/>
      <c r="S289" s="225"/>
      <c r="T289" s="549"/>
      <c r="U289" s="226">
        <f t="shared" si="23"/>
        <v>5000</v>
      </c>
    </row>
    <row r="290" spans="2:21" x14ac:dyDescent="0.2">
      <c r="B290" s="196">
        <f t="shared" si="22"/>
        <v>44</v>
      </c>
      <c r="C290" s="210"/>
      <c r="D290" s="210"/>
      <c r="E290" s="210"/>
      <c r="F290" s="211"/>
      <c r="G290" s="212">
        <v>717</v>
      </c>
      <c r="H290" s="210" t="s">
        <v>192</v>
      </c>
      <c r="I290" s="213"/>
      <c r="J290" s="213"/>
      <c r="K290" s="213"/>
      <c r="L290" s="214"/>
      <c r="M290" s="214"/>
      <c r="N290" s="547"/>
      <c r="O290" s="213"/>
      <c r="P290" s="213">
        <f>P291</f>
        <v>17000</v>
      </c>
      <c r="Q290" s="213">
        <f>Q291</f>
        <v>0</v>
      </c>
      <c r="R290" s="214"/>
      <c r="S290" s="214"/>
      <c r="T290" s="547"/>
      <c r="U290" s="215">
        <f t="shared" si="23"/>
        <v>0</v>
      </c>
    </row>
    <row r="291" spans="2:21" s="165" customFormat="1" x14ac:dyDescent="0.2">
      <c r="B291" s="196">
        <f t="shared" si="22"/>
        <v>45</v>
      </c>
      <c r="C291" s="221"/>
      <c r="D291" s="221"/>
      <c r="E291" s="221"/>
      <c r="F291" s="222"/>
      <c r="G291" s="223"/>
      <c r="H291" s="221" t="s">
        <v>889</v>
      </c>
      <c r="I291" s="224"/>
      <c r="J291" s="224"/>
      <c r="K291" s="224"/>
      <c r="L291" s="225"/>
      <c r="M291" s="225"/>
      <c r="N291" s="549"/>
      <c r="O291" s="224"/>
      <c r="P291" s="224">
        <v>17000</v>
      </c>
      <c r="Q291" s="224">
        <v>0</v>
      </c>
      <c r="R291" s="225"/>
      <c r="S291" s="225"/>
      <c r="T291" s="549"/>
      <c r="U291" s="226">
        <f t="shared" si="23"/>
        <v>0</v>
      </c>
    </row>
    <row r="292" spans="2:21" ht="15.75" x14ac:dyDescent="0.25">
      <c r="B292" s="196">
        <f t="shared" si="22"/>
        <v>46</v>
      </c>
      <c r="C292" s="200">
        <v>5</v>
      </c>
      <c r="D292" s="694" t="s">
        <v>227</v>
      </c>
      <c r="E292" s="695"/>
      <c r="F292" s="695"/>
      <c r="G292" s="695"/>
      <c r="H292" s="695"/>
      <c r="I292" s="201">
        <f>I293</f>
        <v>108000</v>
      </c>
      <c r="J292" s="201">
        <f>J293</f>
        <v>91050</v>
      </c>
      <c r="K292" s="201">
        <f>K293</f>
        <v>94050</v>
      </c>
      <c r="L292" s="202">
        <f>L293</f>
        <v>63448</v>
      </c>
      <c r="M292" s="202">
        <f>M293</f>
        <v>42544</v>
      </c>
      <c r="N292" s="545"/>
      <c r="O292" s="201"/>
      <c r="P292" s="201"/>
      <c r="Q292" s="201"/>
      <c r="R292" s="202"/>
      <c r="S292" s="202"/>
      <c r="T292" s="545"/>
      <c r="U292" s="203">
        <f t="shared" si="23"/>
        <v>108000</v>
      </c>
    </row>
    <row r="293" spans="2:21" ht="14.25" x14ac:dyDescent="0.2">
      <c r="B293" s="196">
        <f t="shared" si="22"/>
        <v>47</v>
      </c>
      <c r="C293" s="227"/>
      <c r="D293" s="227"/>
      <c r="E293" s="227">
        <v>2</v>
      </c>
      <c r="F293" s="228"/>
      <c r="G293" s="228"/>
      <c r="H293" s="216" t="s">
        <v>13</v>
      </c>
      <c r="I293" s="229">
        <f>I294+I295+I296+I302</f>
        <v>108000</v>
      </c>
      <c r="J293" s="229">
        <f>J294+J295+J296+J302</f>
        <v>91050</v>
      </c>
      <c r="K293" s="229">
        <f>K294+K295+K296+K302</f>
        <v>94050</v>
      </c>
      <c r="L293" s="230">
        <f>L294+L295+L296+L302</f>
        <v>63448</v>
      </c>
      <c r="M293" s="230">
        <f>M294+M295+M296+M302</f>
        <v>42544</v>
      </c>
      <c r="N293" s="548"/>
      <c r="O293" s="229"/>
      <c r="P293" s="229"/>
      <c r="Q293" s="229"/>
      <c r="R293" s="230"/>
      <c r="S293" s="230"/>
      <c r="T293" s="548"/>
      <c r="U293" s="231">
        <f t="shared" si="23"/>
        <v>108000</v>
      </c>
    </row>
    <row r="294" spans="2:21" x14ac:dyDescent="0.2">
      <c r="B294" s="196">
        <f t="shared" si="22"/>
        <v>48</v>
      </c>
      <c r="C294" s="204"/>
      <c r="D294" s="204"/>
      <c r="E294" s="204"/>
      <c r="F294" s="205" t="s">
        <v>193</v>
      </c>
      <c r="G294" s="206">
        <v>610</v>
      </c>
      <c r="H294" s="204" t="s">
        <v>141</v>
      </c>
      <c r="I294" s="207">
        <v>29100</v>
      </c>
      <c r="J294" s="207">
        <v>25090</v>
      </c>
      <c r="K294" s="207">
        <v>25090</v>
      </c>
      <c r="L294" s="208">
        <v>24558</v>
      </c>
      <c r="M294" s="208">
        <v>21588</v>
      </c>
      <c r="N294" s="546"/>
      <c r="O294" s="207"/>
      <c r="P294" s="207"/>
      <c r="Q294" s="207"/>
      <c r="R294" s="208"/>
      <c r="S294" s="208"/>
      <c r="T294" s="546"/>
      <c r="U294" s="209">
        <f t="shared" si="23"/>
        <v>29100</v>
      </c>
    </row>
    <row r="295" spans="2:21" x14ac:dyDescent="0.2">
      <c r="B295" s="196">
        <f t="shared" si="22"/>
        <v>49</v>
      </c>
      <c r="C295" s="204"/>
      <c r="D295" s="204"/>
      <c r="E295" s="204"/>
      <c r="F295" s="205" t="s">
        <v>193</v>
      </c>
      <c r="G295" s="206">
        <v>620</v>
      </c>
      <c r="H295" s="204" t="s">
        <v>134</v>
      </c>
      <c r="I295" s="207">
        <v>12795</v>
      </c>
      <c r="J295" s="207">
        <v>11300</v>
      </c>
      <c r="K295" s="207">
        <v>11300</v>
      </c>
      <c r="L295" s="208">
        <v>8630</v>
      </c>
      <c r="M295" s="208">
        <v>7569</v>
      </c>
      <c r="N295" s="546"/>
      <c r="O295" s="207"/>
      <c r="P295" s="207"/>
      <c r="Q295" s="207"/>
      <c r="R295" s="208"/>
      <c r="S295" s="208"/>
      <c r="T295" s="546"/>
      <c r="U295" s="209">
        <f t="shared" si="23"/>
        <v>12795</v>
      </c>
    </row>
    <row r="296" spans="2:21" x14ac:dyDescent="0.2">
      <c r="B296" s="196">
        <f t="shared" si="22"/>
        <v>50</v>
      </c>
      <c r="C296" s="204"/>
      <c r="D296" s="204"/>
      <c r="E296" s="204"/>
      <c r="F296" s="205" t="s">
        <v>193</v>
      </c>
      <c r="G296" s="206">
        <v>630</v>
      </c>
      <c r="H296" s="204" t="s">
        <v>131</v>
      </c>
      <c r="I296" s="207">
        <f>I301+I300+I299+I298+I297</f>
        <v>64205</v>
      </c>
      <c r="J296" s="207">
        <f>J301+J300+J299+J298+J297</f>
        <v>52760</v>
      </c>
      <c r="K296" s="207">
        <f>K301+K300+K299+K298+K297</f>
        <v>55760</v>
      </c>
      <c r="L296" s="208">
        <f>L301+L300+L299+L298+L297</f>
        <v>28838</v>
      </c>
      <c r="M296" s="208">
        <f>M301+M300+M299+M298+M297</f>
        <v>13189</v>
      </c>
      <c r="N296" s="546"/>
      <c r="O296" s="207"/>
      <c r="P296" s="207"/>
      <c r="Q296" s="207"/>
      <c r="R296" s="208"/>
      <c r="S296" s="208"/>
      <c r="T296" s="546"/>
      <c r="U296" s="209">
        <f t="shared" si="23"/>
        <v>64205</v>
      </c>
    </row>
    <row r="297" spans="2:21" x14ac:dyDescent="0.2">
      <c r="B297" s="196">
        <f t="shared" si="22"/>
        <v>51</v>
      </c>
      <c r="C297" s="210"/>
      <c r="D297" s="210"/>
      <c r="E297" s="210"/>
      <c r="F297" s="211"/>
      <c r="G297" s="212">
        <v>632</v>
      </c>
      <c r="H297" s="210" t="s">
        <v>144</v>
      </c>
      <c r="I297" s="213">
        <v>8905</v>
      </c>
      <c r="J297" s="213">
        <v>10640</v>
      </c>
      <c r="K297" s="213">
        <v>10640</v>
      </c>
      <c r="L297" s="214">
        <v>2717</v>
      </c>
      <c r="M297" s="214">
        <v>3484</v>
      </c>
      <c r="N297" s="547"/>
      <c r="O297" s="213"/>
      <c r="P297" s="213"/>
      <c r="Q297" s="213"/>
      <c r="R297" s="214"/>
      <c r="S297" s="214"/>
      <c r="T297" s="547"/>
      <c r="U297" s="215">
        <f t="shared" si="23"/>
        <v>8905</v>
      </c>
    </row>
    <row r="298" spans="2:21" x14ac:dyDescent="0.2">
      <c r="B298" s="196">
        <f t="shared" si="22"/>
        <v>52</v>
      </c>
      <c r="C298" s="210"/>
      <c r="D298" s="210"/>
      <c r="E298" s="210"/>
      <c r="F298" s="211"/>
      <c r="G298" s="212">
        <v>633</v>
      </c>
      <c r="H298" s="210" t="s">
        <v>135</v>
      </c>
      <c r="I298" s="213">
        <f>1800+21000</f>
        <v>22800</v>
      </c>
      <c r="J298" s="213">
        <v>18500</v>
      </c>
      <c r="K298" s="213">
        <v>25000</v>
      </c>
      <c r="L298" s="214">
        <v>11972</v>
      </c>
      <c r="M298" s="214">
        <v>2324</v>
      </c>
      <c r="N298" s="547"/>
      <c r="O298" s="213"/>
      <c r="P298" s="213"/>
      <c r="Q298" s="213"/>
      <c r="R298" s="214"/>
      <c r="S298" s="214"/>
      <c r="T298" s="547"/>
      <c r="U298" s="215">
        <f t="shared" si="23"/>
        <v>22800</v>
      </c>
    </row>
    <row r="299" spans="2:21" x14ac:dyDescent="0.2">
      <c r="B299" s="196">
        <f t="shared" si="22"/>
        <v>53</v>
      </c>
      <c r="C299" s="210"/>
      <c r="D299" s="210"/>
      <c r="E299" s="210"/>
      <c r="F299" s="211"/>
      <c r="G299" s="212">
        <v>635</v>
      </c>
      <c r="H299" s="210" t="s">
        <v>143</v>
      </c>
      <c r="I299" s="213">
        <f>200+200</f>
        <v>400</v>
      </c>
      <c r="J299" s="213">
        <v>400</v>
      </c>
      <c r="K299" s="213">
        <v>400</v>
      </c>
      <c r="L299" s="214">
        <v>42</v>
      </c>
      <c r="M299" s="214">
        <v>42</v>
      </c>
      <c r="N299" s="547"/>
      <c r="O299" s="213"/>
      <c r="P299" s="213"/>
      <c r="Q299" s="213"/>
      <c r="R299" s="214"/>
      <c r="S299" s="214"/>
      <c r="T299" s="547"/>
      <c r="U299" s="215">
        <f t="shared" si="23"/>
        <v>400</v>
      </c>
    </row>
    <row r="300" spans="2:21" x14ac:dyDescent="0.2">
      <c r="B300" s="196">
        <f t="shared" si="22"/>
        <v>54</v>
      </c>
      <c r="C300" s="210"/>
      <c r="D300" s="210"/>
      <c r="E300" s="210"/>
      <c r="F300" s="211"/>
      <c r="G300" s="212">
        <v>636</v>
      </c>
      <c r="H300" s="210" t="s">
        <v>136</v>
      </c>
      <c r="I300" s="213">
        <f>2000+2700</f>
        <v>4700</v>
      </c>
      <c r="J300" s="213">
        <v>2000</v>
      </c>
      <c r="K300" s="213">
        <v>4700</v>
      </c>
      <c r="L300" s="214">
        <v>3795</v>
      </c>
      <c r="M300" s="214">
        <v>1580</v>
      </c>
      <c r="N300" s="547"/>
      <c r="O300" s="213"/>
      <c r="P300" s="213"/>
      <c r="Q300" s="213"/>
      <c r="R300" s="214"/>
      <c r="S300" s="214"/>
      <c r="T300" s="547"/>
      <c r="U300" s="215">
        <f t="shared" si="23"/>
        <v>4700</v>
      </c>
    </row>
    <row r="301" spans="2:21" x14ac:dyDescent="0.2">
      <c r="B301" s="196">
        <f t="shared" si="22"/>
        <v>55</v>
      </c>
      <c r="C301" s="210"/>
      <c r="D301" s="210"/>
      <c r="E301" s="210"/>
      <c r="F301" s="211"/>
      <c r="G301" s="212">
        <v>637</v>
      </c>
      <c r="H301" s="210" t="s">
        <v>132</v>
      </c>
      <c r="I301" s="213">
        <v>27400</v>
      </c>
      <c r="J301" s="213">
        <v>21220</v>
      </c>
      <c r="K301" s="213">
        <v>15020</v>
      </c>
      <c r="L301" s="214">
        <v>10312</v>
      </c>
      <c r="M301" s="214">
        <v>5759</v>
      </c>
      <c r="N301" s="547"/>
      <c r="O301" s="213"/>
      <c r="P301" s="213"/>
      <c r="Q301" s="213"/>
      <c r="R301" s="214"/>
      <c r="S301" s="214"/>
      <c r="T301" s="547"/>
      <c r="U301" s="215">
        <f t="shared" si="23"/>
        <v>27400</v>
      </c>
    </row>
    <row r="302" spans="2:21" x14ac:dyDescent="0.2">
      <c r="B302" s="196">
        <f t="shared" si="22"/>
        <v>56</v>
      </c>
      <c r="C302" s="204"/>
      <c r="D302" s="204"/>
      <c r="E302" s="204"/>
      <c r="F302" s="205" t="s">
        <v>193</v>
      </c>
      <c r="G302" s="206">
        <v>640</v>
      </c>
      <c r="H302" s="204" t="s">
        <v>139</v>
      </c>
      <c r="I302" s="207">
        <f>1400+500</f>
        <v>1900</v>
      </c>
      <c r="J302" s="207">
        <v>1900</v>
      </c>
      <c r="K302" s="207">
        <v>1900</v>
      </c>
      <c r="L302" s="208">
        <v>1422</v>
      </c>
      <c r="M302" s="208">
        <v>198</v>
      </c>
      <c r="N302" s="546"/>
      <c r="O302" s="207"/>
      <c r="P302" s="207"/>
      <c r="Q302" s="207"/>
      <c r="R302" s="208"/>
      <c r="S302" s="208"/>
      <c r="T302" s="546"/>
      <c r="U302" s="209">
        <f t="shared" si="23"/>
        <v>1900</v>
      </c>
    </row>
    <row r="303" spans="2:21" ht="15.75" x14ac:dyDescent="0.25">
      <c r="B303" s="196">
        <f t="shared" si="22"/>
        <v>57</v>
      </c>
      <c r="C303" s="200">
        <v>6</v>
      </c>
      <c r="D303" s="694" t="s">
        <v>155</v>
      </c>
      <c r="E303" s="695"/>
      <c r="F303" s="695"/>
      <c r="G303" s="695"/>
      <c r="H303" s="695"/>
      <c r="I303" s="201">
        <f>I304</f>
        <v>222000</v>
      </c>
      <c r="J303" s="201">
        <f>J304</f>
        <v>195295</v>
      </c>
      <c r="K303" s="201">
        <f>K304</f>
        <v>211495</v>
      </c>
      <c r="L303" s="202">
        <f>L304</f>
        <v>170003</v>
      </c>
      <c r="M303" s="202">
        <f>M304</f>
        <v>117288</v>
      </c>
      <c r="N303" s="545"/>
      <c r="O303" s="201">
        <f>O309</f>
        <v>305560</v>
      </c>
      <c r="P303" s="201">
        <f>P309+P323</f>
        <v>236000</v>
      </c>
      <c r="Q303" s="201">
        <f>Q309+Q323</f>
        <v>263020</v>
      </c>
      <c r="R303" s="202">
        <f>R309+R323</f>
        <v>87432</v>
      </c>
      <c r="S303" s="202">
        <f>S309+S323</f>
        <v>16200</v>
      </c>
      <c r="T303" s="545"/>
      <c r="U303" s="203">
        <f t="shared" si="23"/>
        <v>527560</v>
      </c>
    </row>
    <row r="304" spans="2:21" x14ac:dyDescent="0.2">
      <c r="B304" s="196">
        <f t="shared" si="22"/>
        <v>58</v>
      </c>
      <c r="C304" s="204"/>
      <c r="D304" s="204"/>
      <c r="E304" s="204"/>
      <c r="F304" s="205" t="s">
        <v>154</v>
      </c>
      <c r="G304" s="206">
        <v>630</v>
      </c>
      <c r="H304" s="204" t="s">
        <v>131</v>
      </c>
      <c r="I304" s="207">
        <f>I308+I307+I306+I305</f>
        <v>222000</v>
      </c>
      <c r="J304" s="207">
        <f>J308+J307+J306+J305</f>
        <v>195295</v>
      </c>
      <c r="K304" s="207">
        <f>K308+K307+K306+K305</f>
        <v>211495</v>
      </c>
      <c r="L304" s="208">
        <f>L308+L307+L306+L305</f>
        <v>170003</v>
      </c>
      <c r="M304" s="208">
        <f>M308+M307+M306+M305</f>
        <v>117288</v>
      </c>
      <c r="N304" s="546"/>
      <c r="O304" s="207"/>
      <c r="P304" s="207"/>
      <c r="Q304" s="207"/>
      <c r="R304" s="208"/>
      <c r="S304" s="208"/>
      <c r="T304" s="546"/>
      <c r="U304" s="209">
        <f t="shared" si="23"/>
        <v>222000</v>
      </c>
    </row>
    <row r="305" spans="2:21" x14ac:dyDescent="0.2">
      <c r="B305" s="196">
        <f t="shared" si="22"/>
        <v>59</v>
      </c>
      <c r="C305" s="210"/>
      <c r="D305" s="210"/>
      <c r="E305" s="210"/>
      <c r="F305" s="211"/>
      <c r="G305" s="212">
        <v>632</v>
      </c>
      <c r="H305" s="210" t="s">
        <v>144</v>
      </c>
      <c r="I305" s="213">
        <v>57000</v>
      </c>
      <c r="J305" s="213">
        <v>55845</v>
      </c>
      <c r="K305" s="213">
        <v>55845</v>
      </c>
      <c r="L305" s="214">
        <v>55067</v>
      </c>
      <c r="M305" s="214">
        <v>14792</v>
      </c>
      <c r="N305" s="547"/>
      <c r="O305" s="213"/>
      <c r="P305" s="213"/>
      <c r="Q305" s="213"/>
      <c r="R305" s="214"/>
      <c r="S305" s="214"/>
      <c r="T305" s="547"/>
      <c r="U305" s="215">
        <f t="shared" ref="U305:U331" si="24">I305+O305</f>
        <v>57000</v>
      </c>
    </row>
    <row r="306" spans="2:21" x14ac:dyDescent="0.2">
      <c r="B306" s="196">
        <f t="shared" si="22"/>
        <v>60</v>
      </c>
      <c r="C306" s="210"/>
      <c r="D306" s="210"/>
      <c r="E306" s="210"/>
      <c r="F306" s="211"/>
      <c r="G306" s="212">
        <v>633</v>
      </c>
      <c r="H306" s="210" t="s">
        <v>135</v>
      </c>
      <c r="I306" s="213">
        <v>2000</v>
      </c>
      <c r="J306" s="213">
        <v>1000</v>
      </c>
      <c r="K306" s="213">
        <v>1000</v>
      </c>
      <c r="L306" s="214">
        <v>0</v>
      </c>
      <c r="M306" s="214">
        <v>1412</v>
      </c>
      <c r="N306" s="547"/>
      <c r="O306" s="213"/>
      <c r="P306" s="213"/>
      <c r="Q306" s="213"/>
      <c r="R306" s="214"/>
      <c r="S306" s="214"/>
      <c r="T306" s="547"/>
      <c r="U306" s="215">
        <f t="shared" si="24"/>
        <v>2000</v>
      </c>
    </row>
    <row r="307" spans="2:21" x14ac:dyDescent="0.2">
      <c r="B307" s="196">
        <f t="shared" si="22"/>
        <v>61</v>
      </c>
      <c r="C307" s="210"/>
      <c r="D307" s="210"/>
      <c r="E307" s="210"/>
      <c r="F307" s="211"/>
      <c r="G307" s="212">
        <v>635</v>
      </c>
      <c r="H307" s="210" t="s">
        <v>143</v>
      </c>
      <c r="I307" s="213">
        <v>20000</v>
      </c>
      <c r="J307" s="213">
        <v>25000</v>
      </c>
      <c r="K307" s="213">
        <v>25000</v>
      </c>
      <c r="L307" s="214">
        <v>19618</v>
      </c>
      <c r="M307" s="214">
        <v>6369</v>
      </c>
      <c r="N307" s="547"/>
      <c r="O307" s="213"/>
      <c r="P307" s="213"/>
      <c r="Q307" s="213"/>
      <c r="R307" s="214"/>
      <c r="S307" s="214"/>
      <c r="T307" s="547"/>
      <c r="U307" s="215">
        <f t="shared" si="24"/>
        <v>20000</v>
      </c>
    </row>
    <row r="308" spans="2:21" x14ac:dyDescent="0.2">
      <c r="B308" s="196">
        <f t="shared" si="22"/>
        <v>62</v>
      </c>
      <c r="C308" s="210"/>
      <c r="D308" s="210"/>
      <c r="E308" s="210"/>
      <c r="F308" s="211"/>
      <c r="G308" s="212">
        <v>637</v>
      </c>
      <c r="H308" s="210" t="s">
        <v>132</v>
      </c>
      <c r="I308" s="213">
        <v>143000</v>
      </c>
      <c r="J308" s="213">
        <v>113450</v>
      </c>
      <c r="K308" s="213">
        <v>129650</v>
      </c>
      <c r="L308" s="214">
        <v>95318</v>
      </c>
      <c r="M308" s="214">
        <v>94715</v>
      </c>
      <c r="N308" s="547"/>
      <c r="O308" s="213"/>
      <c r="P308" s="213"/>
      <c r="Q308" s="213"/>
      <c r="R308" s="214"/>
      <c r="S308" s="214"/>
      <c r="T308" s="547"/>
      <c r="U308" s="215">
        <f t="shared" si="24"/>
        <v>143000</v>
      </c>
    </row>
    <row r="309" spans="2:21" x14ac:dyDescent="0.2">
      <c r="B309" s="196">
        <f t="shared" si="22"/>
        <v>63</v>
      </c>
      <c r="C309" s="204"/>
      <c r="D309" s="204"/>
      <c r="E309" s="204"/>
      <c r="F309" s="205" t="s">
        <v>154</v>
      </c>
      <c r="G309" s="206">
        <v>710</v>
      </c>
      <c r="H309" s="204" t="s">
        <v>185</v>
      </c>
      <c r="I309" s="207"/>
      <c r="J309" s="207"/>
      <c r="K309" s="207"/>
      <c r="L309" s="208"/>
      <c r="M309" s="208"/>
      <c r="N309" s="546"/>
      <c r="O309" s="207">
        <f>O310+O316</f>
        <v>305560</v>
      </c>
      <c r="P309" s="207">
        <f>P310+P316</f>
        <v>236000</v>
      </c>
      <c r="Q309" s="207">
        <f>Q310+Q316</f>
        <v>263020</v>
      </c>
      <c r="R309" s="208">
        <f>R310+R316</f>
        <v>87432</v>
      </c>
      <c r="S309" s="208">
        <f>S310+S316</f>
        <v>1800</v>
      </c>
      <c r="T309" s="546"/>
      <c r="U309" s="209">
        <f t="shared" si="24"/>
        <v>305560</v>
      </c>
    </row>
    <row r="310" spans="2:21" x14ac:dyDescent="0.2">
      <c r="B310" s="196">
        <f t="shared" si="22"/>
        <v>64</v>
      </c>
      <c r="C310" s="210"/>
      <c r="D310" s="210"/>
      <c r="E310" s="210"/>
      <c r="F310" s="211"/>
      <c r="G310" s="212">
        <v>716</v>
      </c>
      <c r="H310" s="210" t="s">
        <v>226</v>
      </c>
      <c r="I310" s="213"/>
      <c r="J310" s="213"/>
      <c r="K310" s="213"/>
      <c r="L310" s="214"/>
      <c r="M310" s="214"/>
      <c r="N310" s="547"/>
      <c r="O310" s="213">
        <f>SUM(O311:O315)</f>
        <v>138060</v>
      </c>
      <c r="P310" s="213">
        <f>SUM(P311:P315)</f>
        <v>236000</v>
      </c>
      <c r="Q310" s="213">
        <f>SUM(Q311:Q315)</f>
        <v>236000</v>
      </c>
      <c r="R310" s="214">
        <f>SUM(R311:R315)</f>
        <v>68559</v>
      </c>
      <c r="S310" s="214">
        <f>SUM(S311:S314)</f>
        <v>1800</v>
      </c>
      <c r="T310" s="547"/>
      <c r="U310" s="215">
        <f t="shared" si="24"/>
        <v>138060</v>
      </c>
    </row>
    <row r="311" spans="2:21" x14ac:dyDescent="0.2">
      <c r="B311" s="196">
        <f t="shared" si="22"/>
        <v>65</v>
      </c>
      <c r="C311" s="221"/>
      <c r="D311" s="221"/>
      <c r="E311" s="221"/>
      <c r="F311" s="223"/>
      <c r="G311" s="223"/>
      <c r="H311" s="221" t="s">
        <v>380</v>
      </c>
      <c r="I311" s="224"/>
      <c r="J311" s="224"/>
      <c r="K311" s="224"/>
      <c r="L311" s="225"/>
      <c r="M311" s="225"/>
      <c r="N311" s="549"/>
      <c r="O311" s="224"/>
      <c r="P311" s="224"/>
      <c r="Q311" s="224"/>
      <c r="R311" s="225">
        <v>9200</v>
      </c>
      <c r="S311" s="225"/>
      <c r="T311" s="549"/>
      <c r="U311" s="226">
        <f t="shared" si="24"/>
        <v>0</v>
      </c>
    </row>
    <row r="312" spans="2:21" x14ac:dyDescent="0.2">
      <c r="B312" s="196">
        <f t="shared" si="22"/>
        <v>66</v>
      </c>
      <c r="C312" s="221"/>
      <c r="D312" s="221"/>
      <c r="E312" s="221"/>
      <c r="F312" s="223"/>
      <c r="G312" s="223"/>
      <c r="H312" s="221" t="s">
        <v>527</v>
      </c>
      <c r="I312" s="224"/>
      <c r="J312" s="224"/>
      <c r="K312" s="224"/>
      <c r="L312" s="225"/>
      <c r="M312" s="225"/>
      <c r="N312" s="549"/>
      <c r="O312" s="224"/>
      <c r="P312" s="224"/>
      <c r="Q312" s="224"/>
      <c r="R312" s="225"/>
      <c r="S312" s="225">
        <v>1800</v>
      </c>
      <c r="T312" s="549"/>
      <c r="U312" s="226">
        <f t="shared" si="24"/>
        <v>0</v>
      </c>
    </row>
    <row r="313" spans="2:21" x14ac:dyDescent="0.2">
      <c r="B313" s="196">
        <f t="shared" si="22"/>
        <v>67</v>
      </c>
      <c r="C313" s="221"/>
      <c r="D313" s="221"/>
      <c r="E313" s="221"/>
      <c r="F313" s="223"/>
      <c r="G313" s="223"/>
      <c r="H313" s="221" t="s">
        <v>890</v>
      </c>
      <c r="I313" s="224"/>
      <c r="J313" s="224"/>
      <c r="K313" s="224"/>
      <c r="L313" s="225"/>
      <c r="M313" s="225"/>
      <c r="N313" s="549"/>
      <c r="O313" s="224"/>
      <c r="P313" s="224">
        <v>20000</v>
      </c>
      <c r="Q313" s="224">
        <v>20000</v>
      </c>
      <c r="R313" s="225"/>
      <c r="S313" s="225"/>
      <c r="T313" s="549"/>
      <c r="U313" s="226">
        <f t="shared" si="24"/>
        <v>0</v>
      </c>
    </row>
    <row r="314" spans="2:21" x14ac:dyDescent="0.2">
      <c r="B314" s="196">
        <f>B313+1</f>
        <v>68</v>
      </c>
      <c r="C314" s="221"/>
      <c r="D314" s="221"/>
      <c r="E314" s="221"/>
      <c r="F314" s="223"/>
      <c r="G314" s="223"/>
      <c r="H314" s="221" t="s">
        <v>555</v>
      </c>
      <c r="I314" s="224"/>
      <c r="J314" s="224"/>
      <c r="K314" s="224"/>
      <c r="L314" s="225"/>
      <c r="M314" s="225"/>
      <c r="N314" s="549"/>
      <c r="O314" s="224"/>
      <c r="P314" s="224"/>
      <c r="Q314" s="224"/>
      <c r="R314" s="225"/>
      <c r="S314" s="225"/>
      <c r="T314" s="549"/>
      <c r="U314" s="226">
        <f t="shared" si="24"/>
        <v>0</v>
      </c>
    </row>
    <row r="315" spans="2:21" x14ac:dyDescent="0.2">
      <c r="B315" s="196">
        <f>B314+1</f>
        <v>69</v>
      </c>
      <c r="C315" s="221"/>
      <c r="D315" s="221"/>
      <c r="E315" s="221"/>
      <c r="F315" s="223"/>
      <c r="G315" s="223"/>
      <c r="H315" s="221" t="s">
        <v>686</v>
      </c>
      <c r="I315" s="224"/>
      <c r="J315" s="224"/>
      <c r="K315" s="224"/>
      <c r="L315" s="225"/>
      <c r="M315" s="225"/>
      <c r="N315" s="549"/>
      <c r="O315" s="224">
        <v>138060</v>
      </c>
      <c r="P315" s="224">
        <v>216000</v>
      </c>
      <c r="Q315" s="224">
        <v>216000</v>
      </c>
      <c r="R315" s="225">
        <v>59359</v>
      </c>
      <c r="S315" s="225"/>
      <c r="T315" s="549"/>
      <c r="U315" s="226">
        <f t="shared" si="24"/>
        <v>138060</v>
      </c>
    </row>
    <row r="316" spans="2:21" x14ac:dyDescent="0.2">
      <c r="B316" s="196">
        <f>B315+1</f>
        <v>70</v>
      </c>
      <c r="C316" s="210"/>
      <c r="D316" s="210"/>
      <c r="E316" s="210"/>
      <c r="F316" s="211"/>
      <c r="G316" s="212">
        <v>717</v>
      </c>
      <c r="H316" s="210" t="s">
        <v>192</v>
      </c>
      <c r="I316" s="213"/>
      <c r="J316" s="213"/>
      <c r="K316" s="213"/>
      <c r="L316" s="214"/>
      <c r="M316" s="214"/>
      <c r="N316" s="547"/>
      <c r="O316" s="213">
        <f>SUM(O317:O322)</f>
        <v>167500</v>
      </c>
      <c r="P316" s="213"/>
      <c r="Q316" s="213">
        <f>SUM(Q317:Q322)</f>
        <v>27020</v>
      </c>
      <c r="R316" s="214">
        <f>SUM(R317:R321)</f>
        <v>18873</v>
      </c>
      <c r="S316" s="214"/>
      <c r="T316" s="547"/>
      <c r="U316" s="215">
        <f t="shared" si="24"/>
        <v>167500</v>
      </c>
    </row>
    <row r="317" spans="2:21" x14ac:dyDescent="0.2">
      <c r="B317" s="196">
        <f t="shared" ref="B317:B323" si="25">B316+1</f>
        <v>71</v>
      </c>
      <c r="C317" s="221"/>
      <c r="D317" s="221"/>
      <c r="E317" s="221"/>
      <c r="F317" s="223"/>
      <c r="G317" s="223"/>
      <c r="H317" s="221" t="s">
        <v>986</v>
      </c>
      <c r="I317" s="224"/>
      <c r="J317" s="224"/>
      <c r="K317" s="224"/>
      <c r="L317" s="225"/>
      <c r="M317" s="225"/>
      <c r="N317" s="549"/>
      <c r="O317" s="224"/>
      <c r="P317" s="224"/>
      <c r="Q317" s="224">
        <v>5600</v>
      </c>
      <c r="R317" s="225"/>
      <c r="S317" s="225"/>
      <c r="T317" s="549"/>
      <c r="U317" s="226">
        <f t="shared" si="24"/>
        <v>0</v>
      </c>
    </row>
    <row r="318" spans="2:21" x14ac:dyDescent="0.2">
      <c r="B318" s="196">
        <f t="shared" si="25"/>
        <v>72</v>
      </c>
      <c r="C318" s="221"/>
      <c r="D318" s="221"/>
      <c r="E318" s="221"/>
      <c r="F318" s="223"/>
      <c r="G318" s="223"/>
      <c r="H318" s="221" t="s">
        <v>759</v>
      </c>
      <c r="I318" s="224"/>
      <c r="J318" s="224"/>
      <c r="K318" s="224"/>
      <c r="L318" s="225"/>
      <c r="M318" s="225"/>
      <c r="N318" s="549"/>
      <c r="O318" s="224"/>
      <c r="P318" s="224"/>
      <c r="Q318" s="224"/>
      <c r="R318" s="225">
        <v>12795</v>
      </c>
      <c r="S318" s="225"/>
      <c r="T318" s="549"/>
      <c r="U318" s="226">
        <f t="shared" si="24"/>
        <v>0</v>
      </c>
    </row>
    <row r="319" spans="2:21" x14ac:dyDescent="0.2">
      <c r="B319" s="196">
        <f t="shared" si="25"/>
        <v>73</v>
      </c>
      <c r="C319" s="221"/>
      <c r="D319" s="221"/>
      <c r="E319" s="221"/>
      <c r="F319" s="223"/>
      <c r="G319" s="223"/>
      <c r="H319" s="221" t="s">
        <v>985</v>
      </c>
      <c r="I319" s="224"/>
      <c r="J319" s="224"/>
      <c r="K319" s="224"/>
      <c r="L319" s="225"/>
      <c r="M319" s="225"/>
      <c r="N319" s="549"/>
      <c r="O319" s="224"/>
      <c r="P319" s="224"/>
      <c r="Q319" s="224">
        <v>21420</v>
      </c>
      <c r="R319" s="225"/>
      <c r="S319" s="225"/>
      <c r="T319" s="549"/>
      <c r="U319" s="226">
        <f t="shared" si="24"/>
        <v>0</v>
      </c>
    </row>
    <row r="320" spans="2:21" x14ac:dyDescent="0.2">
      <c r="B320" s="196">
        <f t="shared" si="25"/>
        <v>74</v>
      </c>
      <c r="C320" s="221"/>
      <c r="D320" s="221"/>
      <c r="E320" s="221"/>
      <c r="F320" s="223"/>
      <c r="G320" s="223"/>
      <c r="H320" s="221" t="s">
        <v>1175</v>
      </c>
      <c r="I320" s="224"/>
      <c r="J320" s="224"/>
      <c r="K320" s="224"/>
      <c r="L320" s="225"/>
      <c r="M320" s="225"/>
      <c r="N320" s="549"/>
      <c r="O320" s="224">
        <v>112500</v>
      </c>
      <c r="P320" s="224"/>
      <c r="Q320" s="224"/>
      <c r="R320" s="225"/>
      <c r="S320" s="225"/>
      <c r="T320" s="549"/>
      <c r="U320" s="226">
        <f t="shared" si="24"/>
        <v>112500</v>
      </c>
    </row>
    <row r="321" spans="2:21" x14ac:dyDescent="0.2">
      <c r="B321" s="196">
        <f t="shared" si="25"/>
        <v>75</v>
      </c>
      <c r="C321" s="221"/>
      <c r="D321" s="221"/>
      <c r="E321" s="221"/>
      <c r="F321" s="223"/>
      <c r="G321" s="223"/>
      <c r="H321" s="221" t="s">
        <v>528</v>
      </c>
      <c r="I321" s="224"/>
      <c r="J321" s="224"/>
      <c r="K321" s="224"/>
      <c r="L321" s="225"/>
      <c r="M321" s="225"/>
      <c r="N321" s="549"/>
      <c r="O321" s="224"/>
      <c r="P321" s="224"/>
      <c r="Q321" s="224"/>
      <c r="R321" s="225">
        <v>6078</v>
      </c>
      <c r="S321" s="225"/>
      <c r="T321" s="549"/>
      <c r="U321" s="226">
        <f t="shared" si="24"/>
        <v>0</v>
      </c>
    </row>
    <row r="322" spans="2:21" x14ac:dyDescent="0.2">
      <c r="B322" s="196">
        <f t="shared" si="25"/>
        <v>76</v>
      </c>
      <c r="C322" s="221"/>
      <c r="D322" s="221"/>
      <c r="E322" s="221"/>
      <c r="F322" s="223"/>
      <c r="G322" s="223"/>
      <c r="H322" s="221" t="s">
        <v>758</v>
      </c>
      <c r="I322" s="224"/>
      <c r="J322" s="224"/>
      <c r="K322" s="224"/>
      <c r="L322" s="225"/>
      <c r="M322" s="225"/>
      <c r="N322" s="549"/>
      <c r="O322" s="224">
        <v>55000</v>
      </c>
      <c r="P322" s="224"/>
      <c r="Q322" s="224"/>
      <c r="R322" s="225"/>
      <c r="S322" s="225"/>
      <c r="T322" s="549"/>
      <c r="U322" s="226">
        <f t="shared" si="24"/>
        <v>55000</v>
      </c>
    </row>
    <row r="323" spans="2:21" x14ac:dyDescent="0.2">
      <c r="B323" s="196">
        <f t="shared" si="25"/>
        <v>77</v>
      </c>
      <c r="C323" s="204"/>
      <c r="D323" s="204"/>
      <c r="E323" s="204"/>
      <c r="F323" s="205" t="s">
        <v>154</v>
      </c>
      <c r="G323" s="206">
        <v>720</v>
      </c>
      <c r="H323" s="204" t="s">
        <v>4</v>
      </c>
      <c r="I323" s="207"/>
      <c r="J323" s="207"/>
      <c r="K323" s="207"/>
      <c r="L323" s="208"/>
      <c r="M323" s="208"/>
      <c r="N323" s="546"/>
      <c r="O323" s="207"/>
      <c r="P323" s="207"/>
      <c r="Q323" s="207"/>
      <c r="R323" s="208"/>
      <c r="S323" s="208">
        <f>S324</f>
        <v>14400</v>
      </c>
      <c r="T323" s="546"/>
      <c r="U323" s="209">
        <f t="shared" si="24"/>
        <v>0</v>
      </c>
    </row>
    <row r="324" spans="2:21" s="13" customFormat="1" ht="24" x14ac:dyDescent="0.2">
      <c r="B324" s="196">
        <f t="shared" ref="B324:B326" si="26">B323+1</f>
        <v>78</v>
      </c>
      <c r="C324" s="232"/>
      <c r="D324" s="232"/>
      <c r="E324" s="232"/>
      <c r="F324" s="233"/>
      <c r="G324" s="233"/>
      <c r="H324" s="234" t="s">
        <v>392</v>
      </c>
      <c r="I324" s="235"/>
      <c r="J324" s="235"/>
      <c r="K324" s="235"/>
      <c r="L324" s="236"/>
      <c r="M324" s="236"/>
      <c r="N324" s="550"/>
      <c r="O324" s="235"/>
      <c r="P324" s="235"/>
      <c r="Q324" s="235"/>
      <c r="R324" s="236"/>
      <c r="S324" s="236">
        <v>14400</v>
      </c>
      <c r="T324" s="550"/>
      <c r="U324" s="237">
        <f t="shared" si="24"/>
        <v>0</v>
      </c>
    </row>
    <row r="325" spans="2:21" ht="15.75" x14ac:dyDescent="0.25">
      <c r="B325" s="196">
        <f t="shared" si="26"/>
        <v>79</v>
      </c>
      <c r="C325" s="200">
        <v>7</v>
      </c>
      <c r="D325" s="694" t="s">
        <v>46</v>
      </c>
      <c r="E325" s="695"/>
      <c r="F325" s="695"/>
      <c r="G325" s="695"/>
      <c r="H325" s="695"/>
      <c r="I325" s="201">
        <f t="shared" ref="I325:M326" si="27">I326</f>
        <v>2085</v>
      </c>
      <c r="J325" s="201">
        <f t="shared" si="27"/>
        <v>2185</v>
      </c>
      <c r="K325" s="201">
        <f t="shared" si="27"/>
        <v>2185</v>
      </c>
      <c r="L325" s="202">
        <f t="shared" si="27"/>
        <v>203</v>
      </c>
      <c r="M325" s="202">
        <f t="shared" si="27"/>
        <v>221</v>
      </c>
      <c r="N325" s="545"/>
      <c r="O325" s="201"/>
      <c r="P325" s="201"/>
      <c r="Q325" s="201"/>
      <c r="R325" s="202"/>
      <c r="S325" s="202"/>
      <c r="T325" s="545"/>
      <c r="U325" s="203">
        <f t="shared" si="24"/>
        <v>2085</v>
      </c>
    </row>
    <row r="326" spans="2:21" ht="14.25" x14ac:dyDescent="0.2">
      <c r="B326" s="196">
        <f t="shared" si="26"/>
        <v>80</v>
      </c>
      <c r="C326" s="227"/>
      <c r="D326" s="227"/>
      <c r="E326" s="227">
        <v>2</v>
      </c>
      <c r="F326" s="228"/>
      <c r="G326" s="228"/>
      <c r="H326" s="227" t="s">
        <v>13</v>
      </c>
      <c r="I326" s="229">
        <f t="shared" si="27"/>
        <v>2085</v>
      </c>
      <c r="J326" s="229">
        <f t="shared" si="27"/>
        <v>2185</v>
      </c>
      <c r="K326" s="229">
        <f t="shared" si="27"/>
        <v>2185</v>
      </c>
      <c r="L326" s="230">
        <f t="shared" si="27"/>
        <v>203</v>
      </c>
      <c r="M326" s="230">
        <f t="shared" si="27"/>
        <v>221</v>
      </c>
      <c r="N326" s="548"/>
      <c r="O326" s="229"/>
      <c r="P326" s="229"/>
      <c r="Q326" s="229"/>
      <c r="R326" s="230"/>
      <c r="S326" s="230"/>
      <c r="T326" s="548"/>
      <c r="U326" s="231">
        <f t="shared" si="24"/>
        <v>2085</v>
      </c>
    </row>
    <row r="327" spans="2:21" x14ac:dyDescent="0.2">
      <c r="B327" s="196">
        <f>B326+1</f>
        <v>81</v>
      </c>
      <c r="C327" s="204"/>
      <c r="D327" s="204"/>
      <c r="E327" s="204"/>
      <c r="F327" s="205" t="s">
        <v>229</v>
      </c>
      <c r="G327" s="206">
        <v>630</v>
      </c>
      <c r="H327" s="204" t="s">
        <v>131</v>
      </c>
      <c r="I327" s="207">
        <f>I331+I330+I329+I328</f>
        <v>2085</v>
      </c>
      <c r="J327" s="207">
        <f>J331+J330+J329+J328</f>
        <v>2185</v>
      </c>
      <c r="K327" s="207">
        <f>K331+K330+K329+K328</f>
        <v>2185</v>
      </c>
      <c r="L327" s="208">
        <f>L331+L330+L329+L328</f>
        <v>203</v>
      </c>
      <c r="M327" s="208">
        <f>M331+M330+M329+M328</f>
        <v>221</v>
      </c>
      <c r="N327" s="546"/>
      <c r="O327" s="207"/>
      <c r="P327" s="207"/>
      <c r="Q327" s="207"/>
      <c r="R327" s="208"/>
      <c r="S327" s="208"/>
      <c r="T327" s="546"/>
      <c r="U327" s="209">
        <f t="shared" si="24"/>
        <v>2085</v>
      </c>
    </row>
    <row r="328" spans="2:21" x14ac:dyDescent="0.2">
      <c r="B328" s="196">
        <f>B327+1</f>
        <v>82</v>
      </c>
      <c r="C328" s="210"/>
      <c r="D328" s="210"/>
      <c r="E328" s="210"/>
      <c r="F328" s="211"/>
      <c r="G328" s="212">
        <v>633</v>
      </c>
      <c r="H328" s="210" t="s">
        <v>135</v>
      </c>
      <c r="I328" s="213">
        <v>550</v>
      </c>
      <c r="J328" s="213">
        <v>600</v>
      </c>
      <c r="K328" s="213">
        <v>600</v>
      </c>
      <c r="L328" s="214"/>
      <c r="M328" s="214">
        <v>95</v>
      </c>
      <c r="N328" s="547"/>
      <c r="O328" s="213"/>
      <c r="P328" s="213"/>
      <c r="Q328" s="213"/>
      <c r="R328" s="214"/>
      <c r="S328" s="214"/>
      <c r="T328" s="547"/>
      <c r="U328" s="215">
        <f t="shared" si="24"/>
        <v>550</v>
      </c>
    </row>
    <row r="329" spans="2:21" x14ac:dyDescent="0.2">
      <c r="B329" s="196">
        <f>B328+1</f>
        <v>83</v>
      </c>
      <c r="C329" s="210"/>
      <c r="D329" s="210"/>
      <c r="E329" s="210"/>
      <c r="F329" s="211"/>
      <c r="G329" s="212">
        <v>634</v>
      </c>
      <c r="H329" s="210" t="s">
        <v>142</v>
      </c>
      <c r="I329" s="213">
        <v>350</v>
      </c>
      <c r="J329" s="213">
        <v>400</v>
      </c>
      <c r="K329" s="213">
        <v>400</v>
      </c>
      <c r="L329" s="214">
        <v>203</v>
      </c>
      <c r="M329" s="214">
        <v>126</v>
      </c>
      <c r="N329" s="547"/>
      <c r="O329" s="213"/>
      <c r="P329" s="213"/>
      <c r="Q329" s="213"/>
      <c r="R329" s="214"/>
      <c r="S329" s="214"/>
      <c r="T329" s="547"/>
      <c r="U329" s="215">
        <f t="shared" si="24"/>
        <v>350</v>
      </c>
    </row>
    <row r="330" spans="2:21" x14ac:dyDescent="0.2">
      <c r="B330" s="196">
        <f>B329+1</f>
        <v>84</v>
      </c>
      <c r="C330" s="210"/>
      <c r="D330" s="210"/>
      <c r="E330" s="210"/>
      <c r="F330" s="211"/>
      <c r="G330" s="212">
        <v>635</v>
      </c>
      <c r="H330" s="210" t="s">
        <v>143</v>
      </c>
      <c r="I330" s="213">
        <v>985</v>
      </c>
      <c r="J330" s="213">
        <v>985</v>
      </c>
      <c r="K330" s="213">
        <v>985</v>
      </c>
      <c r="L330" s="214"/>
      <c r="M330" s="214"/>
      <c r="N330" s="547"/>
      <c r="O330" s="213"/>
      <c r="P330" s="213"/>
      <c r="Q330" s="213"/>
      <c r="R330" s="214"/>
      <c r="S330" s="214"/>
      <c r="T330" s="547"/>
      <c r="U330" s="215">
        <f t="shared" si="24"/>
        <v>985</v>
      </c>
    </row>
    <row r="331" spans="2:21" x14ac:dyDescent="0.2">
      <c r="B331" s="238">
        <f>B330+1</f>
        <v>85</v>
      </c>
      <c r="C331" s="239"/>
      <c r="D331" s="239"/>
      <c r="E331" s="239"/>
      <c r="F331" s="240"/>
      <c r="G331" s="241">
        <v>637</v>
      </c>
      <c r="H331" s="239" t="s">
        <v>132</v>
      </c>
      <c r="I331" s="242">
        <v>200</v>
      </c>
      <c r="J331" s="242">
        <v>200</v>
      </c>
      <c r="K331" s="242">
        <v>200</v>
      </c>
      <c r="L331" s="243"/>
      <c r="M331" s="243"/>
      <c r="N331" s="551"/>
      <c r="O331" s="242"/>
      <c r="P331" s="242"/>
      <c r="Q331" s="242"/>
      <c r="R331" s="243"/>
      <c r="S331" s="243"/>
      <c r="T331" s="551"/>
      <c r="U331" s="244">
        <f t="shared" si="24"/>
        <v>200</v>
      </c>
    </row>
    <row r="336" spans="2:21" ht="27" x14ac:dyDescent="0.35">
      <c r="B336" s="712" t="s">
        <v>21</v>
      </c>
      <c r="C336" s="713"/>
      <c r="D336" s="713"/>
      <c r="E336" s="713"/>
      <c r="F336" s="713"/>
      <c r="G336" s="713"/>
      <c r="H336" s="713"/>
      <c r="I336" s="713"/>
      <c r="J336" s="713"/>
      <c r="K336" s="713"/>
      <c r="L336" s="713"/>
      <c r="M336" s="713"/>
      <c r="N336" s="713"/>
      <c r="O336" s="713"/>
      <c r="P336" s="713"/>
      <c r="Q336" s="713"/>
      <c r="R336" s="713"/>
      <c r="S336" s="713"/>
      <c r="T336" s="713"/>
      <c r="U336" s="714"/>
    </row>
    <row r="337" spans="2:21" ht="13.5" customHeight="1" x14ac:dyDescent="0.2">
      <c r="B337" s="684" t="s">
        <v>842</v>
      </c>
      <c r="C337" s="685"/>
      <c r="D337" s="685"/>
      <c r="E337" s="685"/>
      <c r="F337" s="685"/>
      <c r="G337" s="685"/>
      <c r="H337" s="685"/>
      <c r="I337" s="685"/>
      <c r="J337" s="685"/>
      <c r="K337" s="685"/>
      <c r="L337" s="685"/>
      <c r="M337" s="685"/>
      <c r="N337" s="685"/>
      <c r="O337" s="685"/>
      <c r="P337" s="685"/>
      <c r="Q337" s="685"/>
      <c r="R337" s="685"/>
      <c r="S337" s="685"/>
      <c r="T337" s="567"/>
      <c r="U337" s="682" t="s">
        <v>1207</v>
      </c>
    </row>
    <row r="338" spans="2:21" ht="12.75" customHeight="1" x14ac:dyDescent="0.2">
      <c r="B338" s="681"/>
      <c r="C338" s="681" t="s">
        <v>122</v>
      </c>
      <c r="D338" s="681" t="s">
        <v>123</v>
      </c>
      <c r="E338" s="681"/>
      <c r="F338" s="681" t="s">
        <v>124</v>
      </c>
      <c r="G338" s="689" t="s">
        <v>125</v>
      </c>
      <c r="H338" s="686" t="s">
        <v>126</v>
      </c>
      <c r="I338" s="673" t="s">
        <v>1205</v>
      </c>
      <c r="J338" s="674" t="s">
        <v>837</v>
      </c>
      <c r="K338" s="674" t="s">
        <v>838</v>
      </c>
      <c r="L338" s="672" t="s">
        <v>839</v>
      </c>
      <c r="M338" s="672" t="s">
        <v>643</v>
      </c>
      <c r="N338" s="493"/>
      <c r="O338" s="673" t="s">
        <v>1206</v>
      </c>
      <c r="P338" s="674" t="s">
        <v>840</v>
      </c>
      <c r="Q338" s="674" t="s">
        <v>841</v>
      </c>
      <c r="R338" s="672" t="s">
        <v>839</v>
      </c>
      <c r="S338" s="672" t="s">
        <v>643</v>
      </c>
      <c r="T338" s="493"/>
      <c r="U338" s="683"/>
    </row>
    <row r="339" spans="2:21" x14ac:dyDescent="0.2">
      <c r="B339" s="681"/>
      <c r="C339" s="681"/>
      <c r="D339" s="681"/>
      <c r="E339" s="681"/>
      <c r="F339" s="681"/>
      <c r="G339" s="689"/>
      <c r="H339" s="686"/>
      <c r="I339" s="673"/>
      <c r="J339" s="674"/>
      <c r="K339" s="674"/>
      <c r="L339" s="672"/>
      <c r="M339" s="672"/>
      <c r="N339" s="493"/>
      <c r="O339" s="673"/>
      <c r="P339" s="674"/>
      <c r="Q339" s="674"/>
      <c r="R339" s="672"/>
      <c r="S339" s="672"/>
      <c r="T339" s="493"/>
      <c r="U339" s="683"/>
    </row>
    <row r="340" spans="2:21" x14ac:dyDescent="0.2">
      <c r="B340" s="681"/>
      <c r="C340" s="681"/>
      <c r="D340" s="681"/>
      <c r="E340" s="681"/>
      <c r="F340" s="681"/>
      <c r="G340" s="689"/>
      <c r="H340" s="686"/>
      <c r="I340" s="673"/>
      <c r="J340" s="674"/>
      <c r="K340" s="674"/>
      <c r="L340" s="672"/>
      <c r="M340" s="672"/>
      <c r="N340" s="493"/>
      <c r="O340" s="673"/>
      <c r="P340" s="674"/>
      <c r="Q340" s="674"/>
      <c r="R340" s="672"/>
      <c r="S340" s="672"/>
      <c r="T340" s="493"/>
      <c r="U340" s="683"/>
    </row>
    <row r="341" spans="2:21" x14ac:dyDescent="0.2">
      <c r="B341" s="681"/>
      <c r="C341" s="681"/>
      <c r="D341" s="681"/>
      <c r="E341" s="681"/>
      <c r="F341" s="681"/>
      <c r="G341" s="689"/>
      <c r="H341" s="686"/>
      <c r="I341" s="673"/>
      <c r="J341" s="674"/>
      <c r="K341" s="674"/>
      <c r="L341" s="672"/>
      <c r="M341" s="672"/>
      <c r="N341" s="493"/>
      <c r="O341" s="673"/>
      <c r="P341" s="674"/>
      <c r="Q341" s="674"/>
      <c r="R341" s="672"/>
      <c r="S341" s="672"/>
      <c r="T341" s="493"/>
      <c r="U341" s="683"/>
    </row>
    <row r="342" spans="2:21" ht="15.75" x14ac:dyDescent="0.2">
      <c r="B342" s="196">
        <v>1</v>
      </c>
      <c r="C342" s="696" t="s">
        <v>21</v>
      </c>
      <c r="D342" s="697"/>
      <c r="E342" s="697"/>
      <c r="F342" s="697"/>
      <c r="G342" s="697"/>
      <c r="H342" s="697"/>
      <c r="I342" s="197">
        <f>I415+I408+I400+I362+I343</f>
        <v>2671049</v>
      </c>
      <c r="J342" s="197">
        <f>J415+J408+J400+J362+J343</f>
        <v>3162509</v>
      </c>
      <c r="K342" s="197">
        <f>K415+K408+K400+K362+K343</f>
        <v>3224437</v>
      </c>
      <c r="L342" s="198">
        <f>L415+L408+L400+L362+L343</f>
        <v>2111887</v>
      </c>
      <c r="M342" s="198">
        <f>M415+M408+M400+M362+M343</f>
        <v>1875256</v>
      </c>
      <c r="N342" s="544"/>
      <c r="O342" s="197">
        <f>O343+O362+O400+O408+O415</f>
        <v>15018400</v>
      </c>
      <c r="P342" s="197">
        <f>P343+P362+P400+P408+P415</f>
        <v>14990900</v>
      </c>
      <c r="Q342" s="197">
        <f>Q343+Q362+Q400+Q408+Q415</f>
        <v>15036000</v>
      </c>
      <c r="R342" s="198">
        <f>R343+R362+R400+R408+R415</f>
        <v>337974</v>
      </c>
      <c r="S342" s="198">
        <f>S343+S362+S400+S408+S415</f>
        <v>37723</v>
      </c>
      <c r="T342" s="544"/>
      <c r="U342" s="199">
        <f t="shared" ref="U342:U375" si="28">I342+O342</f>
        <v>17689449</v>
      </c>
    </row>
    <row r="343" spans="2:21" ht="15.75" x14ac:dyDescent="0.25">
      <c r="B343" s="196">
        <f>B342+1</f>
        <v>2</v>
      </c>
      <c r="C343" s="200">
        <v>1</v>
      </c>
      <c r="D343" s="694" t="s">
        <v>161</v>
      </c>
      <c r="E343" s="695"/>
      <c r="F343" s="695"/>
      <c r="G343" s="695"/>
      <c r="H343" s="695"/>
      <c r="I343" s="201">
        <f>I344+I345+I346+I354</f>
        <v>1584499</v>
      </c>
      <c r="J343" s="201">
        <f>J344+J345+J346+J354</f>
        <v>1454230</v>
      </c>
      <c r="K343" s="201">
        <f>K344+K345+K346+K354</f>
        <v>1561730</v>
      </c>
      <c r="L343" s="202">
        <f>L344+L345+L346+L354</f>
        <v>1304770</v>
      </c>
      <c r="M343" s="202">
        <f>M344+M345+M346+M354</f>
        <v>1241504</v>
      </c>
      <c r="N343" s="545"/>
      <c r="O343" s="201">
        <f>O355</f>
        <v>26700</v>
      </c>
      <c r="P343" s="201">
        <f>P355</f>
        <v>38200</v>
      </c>
      <c r="Q343" s="201">
        <f>Q355</f>
        <v>49900</v>
      </c>
      <c r="R343" s="202">
        <f>R355</f>
        <v>18588</v>
      </c>
      <c r="S343" s="202"/>
      <c r="T343" s="545"/>
      <c r="U343" s="203">
        <f t="shared" si="28"/>
        <v>1611199</v>
      </c>
    </row>
    <row r="344" spans="2:21" x14ac:dyDescent="0.2">
      <c r="B344" s="196">
        <f>B343+1</f>
        <v>3</v>
      </c>
      <c r="C344" s="204"/>
      <c r="D344" s="204"/>
      <c r="E344" s="204"/>
      <c r="F344" s="205" t="s">
        <v>160</v>
      </c>
      <c r="G344" s="206">
        <v>610</v>
      </c>
      <c r="H344" s="204" t="s">
        <v>141</v>
      </c>
      <c r="I344" s="207">
        <f>804000+180000+36000</f>
        <v>1020000</v>
      </c>
      <c r="J344" s="207">
        <v>930000</v>
      </c>
      <c r="K344" s="207">
        <v>1000000</v>
      </c>
      <c r="L344" s="208">
        <v>816448</v>
      </c>
      <c r="M344" s="208">
        <v>790846</v>
      </c>
      <c r="N344" s="546"/>
      <c r="O344" s="207"/>
      <c r="P344" s="207"/>
      <c r="Q344" s="207"/>
      <c r="R344" s="208"/>
      <c r="S344" s="208"/>
      <c r="T344" s="546"/>
      <c r="U344" s="209">
        <f t="shared" si="28"/>
        <v>1020000</v>
      </c>
    </row>
    <row r="345" spans="2:21" x14ac:dyDescent="0.2">
      <c r="B345" s="196">
        <f t="shared" ref="B345:B405" si="29">B344+1</f>
        <v>4</v>
      </c>
      <c r="C345" s="204"/>
      <c r="D345" s="204"/>
      <c r="E345" s="204"/>
      <c r="F345" s="205" t="s">
        <v>160</v>
      </c>
      <c r="G345" s="206">
        <v>620</v>
      </c>
      <c r="H345" s="204" t="s">
        <v>134</v>
      </c>
      <c r="I345" s="207">
        <f>102000+20000+9000+104000+7000+19000+7000+35000+21000</f>
        <v>324000</v>
      </c>
      <c r="J345" s="207">
        <v>320000</v>
      </c>
      <c r="K345" s="207">
        <v>320000</v>
      </c>
      <c r="L345" s="208">
        <v>298444</v>
      </c>
      <c r="M345" s="208">
        <v>291057</v>
      </c>
      <c r="N345" s="546"/>
      <c r="O345" s="207"/>
      <c r="P345" s="207"/>
      <c r="Q345" s="207"/>
      <c r="R345" s="208"/>
      <c r="S345" s="208"/>
      <c r="T345" s="546"/>
      <c r="U345" s="209">
        <f t="shared" si="28"/>
        <v>324000</v>
      </c>
    </row>
    <row r="346" spans="2:21" x14ac:dyDescent="0.2">
      <c r="B346" s="196">
        <f t="shared" si="29"/>
        <v>5</v>
      </c>
      <c r="C346" s="204"/>
      <c r="D346" s="204"/>
      <c r="E346" s="204"/>
      <c r="F346" s="205" t="s">
        <v>160</v>
      </c>
      <c r="G346" s="206">
        <v>630</v>
      </c>
      <c r="H346" s="204" t="s">
        <v>131</v>
      </c>
      <c r="I346" s="207">
        <f>I353+I352+I351+I350+I349+I348+I347</f>
        <v>200339</v>
      </c>
      <c r="J346" s="207">
        <f>J353+J352+J351+J350+J349+J348+J347</f>
        <v>194230</v>
      </c>
      <c r="K346" s="207">
        <f>K353+K352+K351+K350+K349+K348+K347</f>
        <v>201730</v>
      </c>
      <c r="L346" s="208">
        <f>L353+L352+L351+L350+L349+L348+L347</f>
        <v>175905</v>
      </c>
      <c r="M346" s="208">
        <f>M353+M352+M351+M350+M349+M348+M347</f>
        <v>151895</v>
      </c>
      <c r="N346" s="546"/>
      <c r="O346" s="207"/>
      <c r="P346" s="207"/>
      <c r="Q346" s="207"/>
      <c r="R346" s="208"/>
      <c r="S346" s="208"/>
      <c r="T346" s="546"/>
      <c r="U346" s="209">
        <f t="shared" si="28"/>
        <v>200339</v>
      </c>
    </row>
    <row r="347" spans="2:21" x14ac:dyDescent="0.2">
      <c r="B347" s="196">
        <f t="shared" si="29"/>
        <v>6</v>
      </c>
      <c r="C347" s="210"/>
      <c r="D347" s="210"/>
      <c r="E347" s="210"/>
      <c r="F347" s="211"/>
      <c r="G347" s="212">
        <v>631</v>
      </c>
      <c r="H347" s="210" t="s">
        <v>137</v>
      </c>
      <c r="I347" s="213">
        <f>7830+170</f>
        <v>8000</v>
      </c>
      <c r="J347" s="213">
        <v>500</v>
      </c>
      <c r="K347" s="213">
        <v>8500</v>
      </c>
      <c r="L347" s="214">
        <v>3447</v>
      </c>
      <c r="M347" s="214">
        <v>3832</v>
      </c>
      <c r="N347" s="547"/>
      <c r="O347" s="213"/>
      <c r="P347" s="213"/>
      <c r="Q347" s="213"/>
      <c r="R347" s="214"/>
      <c r="S347" s="214"/>
      <c r="T347" s="547"/>
      <c r="U347" s="215">
        <f t="shared" si="28"/>
        <v>8000</v>
      </c>
    </row>
    <row r="348" spans="2:21" x14ac:dyDescent="0.2">
      <c r="B348" s="196">
        <f t="shared" si="29"/>
        <v>7</v>
      </c>
      <c r="C348" s="210"/>
      <c r="D348" s="210"/>
      <c r="E348" s="210"/>
      <c r="F348" s="211"/>
      <c r="G348" s="212">
        <v>632</v>
      </c>
      <c r="H348" s="210" t="s">
        <v>144</v>
      </c>
      <c r="I348" s="213">
        <v>43000</v>
      </c>
      <c r="J348" s="213">
        <v>46470</v>
      </c>
      <c r="K348" s="213">
        <v>46470</v>
      </c>
      <c r="L348" s="214">
        <v>37017</v>
      </c>
      <c r="M348" s="214">
        <v>18962</v>
      </c>
      <c r="N348" s="547"/>
      <c r="O348" s="213"/>
      <c r="P348" s="213"/>
      <c r="Q348" s="213"/>
      <c r="R348" s="214"/>
      <c r="S348" s="214"/>
      <c r="T348" s="547"/>
      <c r="U348" s="215">
        <f t="shared" si="28"/>
        <v>43000</v>
      </c>
    </row>
    <row r="349" spans="2:21" x14ac:dyDescent="0.2">
      <c r="B349" s="196">
        <f t="shared" si="29"/>
        <v>8</v>
      </c>
      <c r="C349" s="210"/>
      <c r="D349" s="210"/>
      <c r="E349" s="210"/>
      <c r="F349" s="211"/>
      <c r="G349" s="212">
        <v>633</v>
      </c>
      <c r="H349" s="210" t="s">
        <v>135</v>
      </c>
      <c r="I349" s="213">
        <v>63500</v>
      </c>
      <c r="J349" s="213">
        <v>25750</v>
      </c>
      <c r="K349" s="213">
        <v>55750</v>
      </c>
      <c r="L349" s="214">
        <v>45840</v>
      </c>
      <c r="M349" s="214">
        <v>39410</v>
      </c>
      <c r="N349" s="547"/>
      <c r="O349" s="213"/>
      <c r="P349" s="213"/>
      <c r="Q349" s="213"/>
      <c r="R349" s="214"/>
      <c r="S349" s="214"/>
      <c r="T349" s="547"/>
      <c r="U349" s="215">
        <f t="shared" si="28"/>
        <v>63500</v>
      </c>
    </row>
    <row r="350" spans="2:21" x14ac:dyDescent="0.2">
      <c r="B350" s="196">
        <f t="shared" si="29"/>
        <v>9</v>
      </c>
      <c r="C350" s="210"/>
      <c r="D350" s="210"/>
      <c r="E350" s="210"/>
      <c r="F350" s="211"/>
      <c r="G350" s="212">
        <v>634</v>
      </c>
      <c r="H350" s="210" t="s">
        <v>142</v>
      </c>
      <c r="I350" s="213">
        <f>26000+10000+5400+180-500-600-870</f>
        <v>39610</v>
      </c>
      <c r="J350" s="213">
        <v>41580</v>
      </c>
      <c r="K350" s="213">
        <v>41580</v>
      </c>
      <c r="L350" s="214">
        <v>35415</v>
      </c>
      <c r="M350" s="214">
        <v>31318</v>
      </c>
      <c r="N350" s="547"/>
      <c r="O350" s="213"/>
      <c r="P350" s="213"/>
      <c r="Q350" s="213"/>
      <c r="R350" s="214"/>
      <c r="S350" s="214"/>
      <c r="T350" s="547"/>
      <c r="U350" s="215">
        <f t="shared" si="28"/>
        <v>39610</v>
      </c>
    </row>
    <row r="351" spans="2:21" x14ac:dyDescent="0.2">
      <c r="B351" s="196">
        <f t="shared" si="29"/>
        <v>10</v>
      </c>
      <c r="C351" s="210"/>
      <c r="D351" s="210"/>
      <c r="E351" s="210"/>
      <c r="F351" s="211"/>
      <c r="G351" s="212">
        <v>635</v>
      </c>
      <c r="H351" s="210" t="s">
        <v>143</v>
      </c>
      <c r="I351" s="213">
        <f>200+500+200+200+2000+600+10000-7416</f>
        <v>6284</v>
      </c>
      <c r="J351" s="213">
        <v>13700</v>
      </c>
      <c r="K351" s="213">
        <v>13700</v>
      </c>
      <c r="L351" s="214">
        <v>8783</v>
      </c>
      <c r="M351" s="214">
        <v>13875</v>
      </c>
      <c r="N351" s="547"/>
      <c r="O351" s="213"/>
      <c r="P351" s="213"/>
      <c r="Q351" s="213"/>
      <c r="R351" s="214"/>
      <c r="S351" s="214"/>
      <c r="T351" s="547"/>
      <c r="U351" s="215">
        <f t="shared" si="28"/>
        <v>6284</v>
      </c>
    </row>
    <row r="352" spans="2:21" x14ac:dyDescent="0.2">
      <c r="B352" s="196">
        <f t="shared" si="29"/>
        <v>11</v>
      </c>
      <c r="C352" s="210"/>
      <c r="D352" s="210"/>
      <c r="E352" s="210"/>
      <c r="F352" s="211"/>
      <c r="G352" s="212">
        <v>636</v>
      </c>
      <c r="H352" s="210" t="s">
        <v>136</v>
      </c>
      <c r="I352" s="213">
        <v>2000</v>
      </c>
      <c r="J352" s="213">
        <v>2000</v>
      </c>
      <c r="K352" s="213">
        <v>2000</v>
      </c>
      <c r="L352" s="214">
        <v>296</v>
      </c>
      <c r="M352" s="214">
        <v>112</v>
      </c>
      <c r="N352" s="547"/>
      <c r="O352" s="213"/>
      <c r="P352" s="213"/>
      <c r="Q352" s="213"/>
      <c r="R352" s="214"/>
      <c r="S352" s="214"/>
      <c r="T352" s="547"/>
      <c r="U352" s="215">
        <f t="shared" si="28"/>
        <v>2000</v>
      </c>
    </row>
    <row r="353" spans="2:21" x14ac:dyDescent="0.2">
      <c r="B353" s="196">
        <f t="shared" si="29"/>
        <v>12</v>
      </c>
      <c r="C353" s="210"/>
      <c r="D353" s="210"/>
      <c r="E353" s="210"/>
      <c r="F353" s="211"/>
      <c r="G353" s="212">
        <v>637</v>
      </c>
      <c r="H353" s="210" t="s">
        <v>132</v>
      </c>
      <c r="I353" s="213">
        <f>38000-55</f>
        <v>37945</v>
      </c>
      <c r="J353" s="213">
        <v>64230</v>
      </c>
      <c r="K353" s="213">
        <v>33730</v>
      </c>
      <c r="L353" s="214">
        <v>45107</v>
      </c>
      <c r="M353" s="214">
        <f>41977+2119+290</f>
        <v>44386</v>
      </c>
      <c r="N353" s="547"/>
      <c r="O353" s="213"/>
      <c r="P353" s="213"/>
      <c r="Q353" s="213"/>
      <c r="R353" s="214"/>
      <c r="S353" s="214"/>
      <c r="T353" s="547"/>
      <c r="U353" s="215">
        <f t="shared" si="28"/>
        <v>37945</v>
      </c>
    </row>
    <row r="354" spans="2:21" x14ac:dyDescent="0.2">
      <c r="B354" s="196">
        <f t="shared" si="29"/>
        <v>13</v>
      </c>
      <c r="C354" s="204"/>
      <c r="D354" s="204"/>
      <c r="E354" s="204"/>
      <c r="F354" s="205" t="s">
        <v>160</v>
      </c>
      <c r="G354" s="206">
        <v>640</v>
      </c>
      <c r="H354" s="204" t="s">
        <v>139</v>
      </c>
      <c r="I354" s="207">
        <f>160+1000+1000+30000+8000</f>
        <v>40160</v>
      </c>
      <c r="J354" s="207">
        <v>10000</v>
      </c>
      <c r="K354" s="207">
        <v>40000</v>
      </c>
      <c r="L354" s="208">
        <v>13973</v>
      </c>
      <c r="M354" s="208">
        <v>7706</v>
      </c>
      <c r="N354" s="546"/>
      <c r="O354" s="207"/>
      <c r="P354" s="207"/>
      <c r="Q354" s="207"/>
      <c r="R354" s="208"/>
      <c r="S354" s="208"/>
      <c r="T354" s="546"/>
      <c r="U354" s="209">
        <f t="shared" si="28"/>
        <v>40160</v>
      </c>
    </row>
    <row r="355" spans="2:21" x14ac:dyDescent="0.2">
      <c r="B355" s="196">
        <f t="shared" si="29"/>
        <v>14</v>
      </c>
      <c r="C355" s="204"/>
      <c r="D355" s="204"/>
      <c r="E355" s="204"/>
      <c r="F355" s="205" t="s">
        <v>160</v>
      </c>
      <c r="G355" s="206">
        <v>710</v>
      </c>
      <c r="H355" s="204" t="s">
        <v>185</v>
      </c>
      <c r="I355" s="207"/>
      <c r="J355" s="207"/>
      <c r="K355" s="207"/>
      <c r="L355" s="208"/>
      <c r="M355" s="208"/>
      <c r="N355" s="546"/>
      <c r="O355" s="207">
        <f>O360</f>
        <v>26700</v>
      </c>
      <c r="P355" s="207">
        <f>P356+P358+P360</f>
        <v>38200</v>
      </c>
      <c r="Q355" s="207">
        <f>Q356+Q358+Q360</f>
        <v>49900</v>
      </c>
      <c r="R355" s="208">
        <f>R356+R358</f>
        <v>18588</v>
      </c>
      <c r="S355" s="208"/>
      <c r="T355" s="546"/>
      <c r="U355" s="209">
        <f t="shared" si="28"/>
        <v>26700</v>
      </c>
    </row>
    <row r="356" spans="2:21" x14ac:dyDescent="0.2">
      <c r="B356" s="196">
        <f t="shared" si="29"/>
        <v>15</v>
      </c>
      <c r="C356" s="210"/>
      <c r="D356" s="210"/>
      <c r="E356" s="210"/>
      <c r="F356" s="211"/>
      <c r="G356" s="212">
        <v>713</v>
      </c>
      <c r="H356" s="210" t="s">
        <v>230</v>
      </c>
      <c r="I356" s="213"/>
      <c r="J356" s="213"/>
      <c r="K356" s="213"/>
      <c r="L356" s="214"/>
      <c r="M356" s="214"/>
      <c r="N356" s="547"/>
      <c r="O356" s="213"/>
      <c r="P356" s="213">
        <f>P357</f>
        <v>3200</v>
      </c>
      <c r="Q356" s="213">
        <f>Q357</f>
        <v>3200</v>
      </c>
      <c r="R356" s="214">
        <f>R357</f>
        <v>2688</v>
      </c>
      <c r="S356" s="214"/>
      <c r="T356" s="547"/>
      <c r="U356" s="215">
        <f t="shared" si="28"/>
        <v>0</v>
      </c>
    </row>
    <row r="357" spans="2:21" x14ac:dyDescent="0.2">
      <c r="B357" s="196">
        <f t="shared" si="29"/>
        <v>16</v>
      </c>
      <c r="C357" s="221"/>
      <c r="D357" s="221"/>
      <c r="E357" s="221"/>
      <c r="F357" s="223"/>
      <c r="G357" s="223"/>
      <c r="H357" s="221" t="s">
        <v>489</v>
      </c>
      <c r="I357" s="224"/>
      <c r="J357" s="224"/>
      <c r="K357" s="224"/>
      <c r="L357" s="225"/>
      <c r="M357" s="225"/>
      <c r="N357" s="549"/>
      <c r="O357" s="224"/>
      <c r="P357" s="224">
        <v>3200</v>
      </c>
      <c r="Q357" s="224">
        <v>3200</v>
      </c>
      <c r="R357" s="225">
        <v>2688</v>
      </c>
      <c r="S357" s="225"/>
      <c r="T357" s="549"/>
      <c r="U357" s="226">
        <f t="shared" si="28"/>
        <v>0</v>
      </c>
    </row>
    <row r="358" spans="2:21" x14ac:dyDescent="0.2">
      <c r="B358" s="196">
        <f t="shared" si="29"/>
        <v>17</v>
      </c>
      <c r="C358" s="210"/>
      <c r="D358" s="210"/>
      <c r="E358" s="210"/>
      <c r="F358" s="211"/>
      <c r="G358" s="212">
        <v>714</v>
      </c>
      <c r="H358" s="210" t="s">
        <v>186</v>
      </c>
      <c r="I358" s="213"/>
      <c r="J358" s="213"/>
      <c r="K358" s="213"/>
      <c r="L358" s="214"/>
      <c r="M358" s="214"/>
      <c r="N358" s="547"/>
      <c r="O358" s="213"/>
      <c r="P358" s="213">
        <f>P359</f>
        <v>20000</v>
      </c>
      <c r="Q358" s="213">
        <f>Q359</f>
        <v>20000</v>
      </c>
      <c r="R358" s="214">
        <f>R359</f>
        <v>15900</v>
      </c>
      <c r="S358" s="214"/>
      <c r="T358" s="547"/>
      <c r="U358" s="215">
        <f t="shared" si="28"/>
        <v>0</v>
      </c>
    </row>
    <row r="359" spans="2:21" x14ac:dyDescent="0.2">
      <c r="B359" s="196">
        <f t="shared" si="29"/>
        <v>18</v>
      </c>
      <c r="C359" s="221"/>
      <c r="D359" s="221"/>
      <c r="E359" s="221"/>
      <c r="F359" s="223"/>
      <c r="G359" s="223"/>
      <c r="H359" s="221" t="s">
        <v>490</v>
      </c>
      <c r="I359" s="224"/>
      <c r="J359" s="224"/>
      <c r="K359" s="224"/>
      <c r="L359" s="225"/>
      <c r="M359" s="225"/>
      <c r="N359" s="549"/>
      <c r="O359" s="224"/>
      <c r="P359" s="224">
        <v>20000</v>
      </c>
      <c r="Q359" s="224">
        <v>20000</v>
      </c>
      <c r="R359" s="225">
        <v>15900</v>
      </c>
      <c r="S359" s="225"/>
      <c r="T359" s="549"/>
      <c r="U359" s="226">
        <f t="shared" si="28"/>
        <v>0</v>
      </c>
    </row>
    <row r="360" spans="2:21" x14ac:dyDescent="0.2">
      <c r="B360" s="196">
        <f t="shared" si="29"/>
        <v>19</v>
      </c>
      <c r="C360" s="210"/>
      <c r="D360" s="210"/>
      <c r="E360" s="210"/>
      <c r="F360" s="205" t="s">
        <v>160</v>
      </c>
      <c r="G360" s="212">
        <v>717</v>
      </c>
      <c r="H360" s="210" t="s">
        <v>556</v>
      </c>
      <c r="I360" s="213"/>
      <c r="J360" s="213"/>
      <c r="K360" s="213"/>
      <c r="L360" s="214"/>
      <c r="M360" s="214"/>
      <c r="N360" s="547"/>
      <c r="O360" s="213">
        <f>O361</f>
        <v>26700</v>
      </c>
      <c r="P360" s="213">
        <f>P361</f>
        <v>15000</v>
      </c>
      <c r="Q360" s="213">
        <f>Q361</f>
        <v>26700</v>
      </c>
      <c r="R360" s="214"/>
      <c r="S360" s="214"/>
      <c r="T360" s="547"/>
      <c r="U360" s="215">
        <f t="shared" si="28"/>
        <v>26700</v>
      </c>
    </row>
    <row r="361" spans="2:21" x14ac:dyDescent="0.2">
      <c r="B361" s="196">
        <f t="shared" si="29"/>
        <v>20</v>
      </c>
      <c r="C361" s="221"/>
      <c r="D361" s="221"/>
      <c r="E361" s="221"/>
      <c r="F361" s="223"/>
      <c r="G361" s="223"/>
      <c r="H361" s="221" t="s">
        <v>891</v>
      </c>
      <c r="I361" s="224"/>
      <c r="J361" s="224"/>
      <c r="K361" s="224"/>
      <c r="L361" s="225"/>
      <c r="M361" s="225"/>
      <c r="N361" s="549"/>
      <c r="O361" s="224">
        <v>26700</v>
      </c>
      <c r="P361" s="224">
        <v>15000</v>
      </c>
      <c r="Q361" s="224">
        <v>26700</v>
      </c>
      <c r="R361" s="225"/>
      <c r="S361" s="225"/>
      <c r="T361" s="549"/>
      <c r="U361" s="226">
        <f t="shared" si="28"/>
        <v>26700</v>
      </c>
    </row>
    <row r="362" spans="2:21" ht="15.75" x14ac:dyDescent="0.25">
      <c r="B362" s="196">
        <f t="shared" si="29"/>
        <v>21</v>
      </c>
      <c r="C362" s="200">
        <v>2</v>
      </c>
      <c r="D362" s="694" t="s">
        <v>216</v>
      </c>
      <c r="E362" s="695"/>
      <c r="F362" s="695"/>
      <c r="G362" s="695"/>
      <c r="H362" s="695"/>
      <c r="I362" s="201">
        <f>I363+I386</f>
        <v>987000</v>
      </c>
      <c r="J362" s="201">
        <f>J363+J386</f>
        <v>1614615</v>
      </c>
      <c r="K362" s="201">
        <f>K363+K386</f>
        <v>1567815</v>
      </c>
      <c r="L362" s="202">
        <f>L363+L386</f>
        <v>656230</v>
      </c>
      <c r="M362" s="202">
        <f>M363+M386</f>
        <v>558478</v>
      </c>
      <c r="N362" s="545"/>
      <c r="O362" s="201">
        <f>O365+O386</f>
        <v>14961700</v>
      </c>
      <c r="P362" s="201">
        <f>P365</f>
        <v>14952700</v>
      </c>
      <c r="Q362" s="201">
        <f>Q365</f>
        <v>14961100</v>
      </c>
      <c r="R362" s="202">
        <f>R365+R386</f>
        <v>294949</v>
      </c>
      <c r="S362" s="202">
        <f>S365+S386</f>
        <v>17192</v>
      </c>
      <c r="T362" s="545"/>
      <c r="U362" s="203">
        <f t="shared" si="28"/>
        <v>15948700</v>
      </c>
    </row>
    <row r="363" spans="2:21" x14ac:dyDescent="0.2">
      <c r="B363" s="196">
        <f t="shared" si="29"/>
        <v>22</v>
      </c>
      <c r="C363" s="204"/>
      <c r="D363" s="204"/>
      <c r="E363" s="204"/>
      <c r="F363" s="205" t="s">
        <v>215</v>
      </c>
      <c r="G363" s="206">
        <v>630</v>
      </c>
      <c r="H363" s="204" t="s">
        <v>131</v>
      </c>
      <c r="I363" s="207"/>
      <c r="J363" s="207"/>
      <c r="K363" s="208">
        <v>0</v>
      </c>
      <c r="L363" s="208">
        <f>SUM(L364:L364)</f>
        <v>0</v>
      </c>
      <c r="M363" s="208">
        <f>SUM(M364:M364)</f>
        <v>29640</v>
      </c>
      <c r="N363" s="546"/>
      <c r="O363" s="207"/>
      <c r="P363" s="207"/>
      <c r="Q363" s="207"/>
      <c r="R363" s="208"/>
      <c r="S363" s="208"/>
      <c r="T363" s="546"/>
      <c r="U363" s="209">
        <f t="shared" si="28"/>
        <v>0</v>
      </c>
    </row>
    <row r="364" spans="2:21" x14ac:dyDescent="0.2">
      <c r="B364" s="196">
        <f t="shared" si="29"/>
        <v>23</v>
      </c>
      <c r="C364" s="210"/>
      <c r="D364" s="210"/>
      <c r="E364" s="210"/>
      <c r="F364" s="211"/>
      <c r="G364" s="212">
        <v>637</v>
      </c>
      <c r="H364" s="210" t="s">
        <v>667</v>
      </c>
      <c r="I364" s="213"/>
      <c r="J364" s="213"/>
      <c r="K364" s="214"/>
      <c r="L364" s="214"/>
      <c r="M364" s="214">
        <v>29640</v>
      </c>
      <c r="N364" s="547"/>
      <c r="O364" s="213"/>
      <c r="P364" s="213"/>
      <c r="Q364" s="213"/>
      <c r="R364" s="214"/>
      <c r="S364" s="214"/>
      <c r="T364" s="547"/>
      <c r="U364" s="215">
        <f t="shared" si="28"/>
        <v>0</v>
      </c>
    </row>
    <row r="365" spans="2:21" x14ac:dyDescent="0.2">
      <c r="B365" s="196">
        <f t="shared" si="29"/>
        <v>24</v>
      </c>
      <c r="C365" s="204"/>
      <c r="D365" s="204"/>
      <c r="E365" s="204"/>
      <c r="F365" s="205" t="s">
        <v>215</v>
      </c>
      <c r="G365" s="206">
        <v>710</v>
      </c>
      <c r="H365" s="204" t="s">
        <v>185</v>
      </c>
      <c r="I365" s="207"/>
      <c r="J365" s="207"/>
      <c r="K365" s="208"/>
      <c r="L365" s="208"/>
      <c r="M365" s="208"/>
      <c r="N365" s="546"/>
      <c r="O365" s="207">
        <f>O366+O377</f>
        <v>14959700</v>
      </c>
      <c r="P365" s="207">
        <f>P366+P377</f>
        <v>14952700</v>
      </c>
      <c r="Q365" s="207">
        <f>Q377+Q366</f>
        <v>14961100</v>
      </c>
      <c r="R365" s="208">
        <f>R366+R377</f>
        <v>294949</v>
      </c>
      <c r="S365" s="208">
        <f>S366+S377</f>
        <v>11324</v>
      </c>
      <c r="T365" s="546"/>
      <c r="U365" s="209">
        <f t="shared" si="28"/>
        <v>14959700</v>
      </c>
    </row>
    <row r="366" spans="2:21" x14ac:dyDescent="0.2">
      <c r="B366" s="196">
        <f t="shared" si="29"/>
        <v>25</v>
      </c>
      <c r="C366" s="210"/>
      <c r="D366" s="210"/>
      <c r="E366" s="210"/>
      <c r="F366" s="211"/>
      <c r="G366" s="212">
        <v>716</v>
      </c>
      <c r="H366" s="210" t="s">
        <v>226</v>
      </c>
      <c r="I366" s="213"/>
      <c r="J366" s="213"/>
      <c r="K366" s="214"/>
      <c r="L366" s="214"/>
      <c r="M366" s="214"/>
      <c r="N366" s="547"/>
      <c r="O366" s="213">
        <f>SUM(O367:O376)</f>
        <v>157700</v>
      </c>
      <c r="P366" s="213">
        <f>SUM(P367:P376)</f>
        <v>252700</v>
      </c>
      <c r="Q366" s="213">
        <f>SUM(Q374:Q376)</f>
        <v>261100</v>
      </c>
      <c r="R366" s="214">
        <f>SUM(R367:R374)</f>
        <v>4900</v>
      </c>
      <c r="S366" s="214">
        <f>SUM(S367:S374)</f>
        <v>8304</v>
      </c>
      <c r="T366" s="547"/>
      <c r="U366" s="215">
        <f t="shared" si="28"/>
        <v>157700</v>
      </c>
    </row>
    <row r="367" spans="2:21" x14ac:dyDescent="0.2">
      <c r="B367" s="196">
        <f t="shared" si="29"/>
        <v>26</v>
      </c>
      <c r="C367" s="210"/>
      <c r="D367" s="210"/>
      <c r="E367" s="210"/>
      <c r="F367" s="211"/>
      <c r="G367" s="212"/>
      <c r="H367" s="221" t="s">
        <v>350</v>
      </c>
      <c r="I367" s="213"/>
      <c r="J367" s="213"/>
      <c r="K367" s="214"/>
      <c r="L367" s="214"/>
      <c r="M367" s="214"/>
      <c r="N367" s="547"/>
      <c r="O367" s="213"/>
      <c r="P367" s="213"/>
      <c r="Q367" s="213"/>
      <c r="R367" s="214"/>
      <c r="S367" s="214">
        <v>1500</v>
      </c>
      <c r="T367" s="547"/>
      <c r="U367" s="226">
        <f t="shared" si="28"/>
        <v>0</v>
      </c>
    </row>
    <row r="368" spans="2:21" x14ac:dyDescent="0.2">
      <c r="B368" s="196">
        <f t="shared" si="29"/>
        <v>27</v>
      </c>
      <c r="C368" s="210"/>
      <c r="D368" s="210"/>
      <c r="E368" s="210"/>
      <c r="F368" s="211"/>
      <c r="G368" s="212"/>
      <c r="H368" s="221" t="s">
        <v>1192</v>
      </c>
      <c r="I368" s="213"/>
      <c r="J368" s="213"/>
      <c r="K368" s="214"/>
      <c r="L368" s="214"/>
      <c r="M368" s="214"/>
      <c r="N368" s="547"/>
      <c r="O368" s="224">
        <v>3500</v>
      </c>
      <c r="P368" s="213"/>
      <c r="Q368" s="213"/>
      <c r="R368" s="214"/>
      <c r="S368" s="214"/>
      <c r="T368" s="547"/>
      <c r="U368" s="226">
        <f t="shared" si="28"/>
        <v>3500</v>
      </c>
    </row>
    <row r="369" spans="2:21" x14ac:dyDescent="0.2">
      <c r="B369" s="196">
        <f t="shared" si="29"/>
        <v>28</v>
      </c>
      <c r="C369" s="210"/>
      <c r="D369" s="210"/>
      <c r="E369" s="210"/>
      <c r="F369" s="211"/>
      <c r="G369" s="212"/>
      <c r="H369" s="221" t="s">
        <v>1193</v>
      </c>
      <c r="I369" s="213"/>
      <c r="J369" s="213"/>
      <c r="K369" s="214"/>
      <c r="L369" s="214"/>
      <c r="M369" s="214"/>
      <c r="N369" s="547"/>
      <c r="O369" s="224">
        <v>3500</v>
      </c>
      <c r="P369" s="213"/>
      <c r="Q369" s="213"/>
      <c r="R369" s="214"/>
      <c r="S369" s="214"/>
      <c r="T369" s="547"/>
      <c r="U369" s="226">
        <f t="shared" si="28"/>
        <v>3500</v>
      </c>
    </row>
    <row r="370" spans="2:21" x14ac:dyDescent="0.2">
      <c r="B370" s="196">
        <f t="shared" si="29"/>
        <v>29</v>
      </c>
      <c r="C370" s="210"/>
      <c r="D370" s="210"/>
      <c r="E370" s="210"/>
      <c r="F370" s="211"/>
      <c r="G370" s="212"/>
      <c r="H370" s="221" t="s">
        <v>760</v>
      </c>
      <c r="I370" s="213"/>
      <c r="J370" s="213"/>
      <c r="K370" s="214"/>
      <c r="L370" s="214"/>
      <c r="M370" s="214"/>
      <c r="N370" s="547"/>
      <c r="O370" s="213"/>
      <c r="P370" s="213"/>
      <c r="Q370" s="213"/>
      <c r="R370" s="214">
        <v>4900</v>
      </c>
      <c r="S370" s="214"/>
      <c r="T370" s="547"/>
      <c r="U370" s="226">
        <f t="shared" si="28"/>
        <v>0</v>
      </c>
    </row>
    <row r="371" spans="2:21" ht="24" x14ac:dyDescent="0.2">
      <c r="B371" s="196">
        <f t="shared" si="29"/>
        <v>30</v>
      </c>
      <c r="C371" s="210"/>
      <c r="D371" s="210"/>
      <c r="E371" s="210"/>
      <c r="F371" s="211"/>
      <c r="G371" s="212"/>
      <c r="H371" s="245" t="s">
        <v>529</v>
      </c>
      <c r="I371" s="213"/>
      <c r="J371" s="213"/>
      <c r="K371" s="214"/>
      <c r="L371" s="214"/>
      <c r="M371" s="214"/>
      <c r="N371" s="547"/>
      <c r="O371" s="213"/>
      <c r="P371" s="213"/>
      <c r="Q371" s="213"/>
      <c r="R371" s="214"/>
      <c r="S371" s="214">
        <v>900</v>
      </c>
      <c r="T371" s="547"/>
      <c r="U371" s="226">
        <f t="shared" si="28"/>
        <v>0</v>
      </c>
    </row>
    <row r="372" spans="2:21" x14ac:dyDescent="0.2">
      <c r="B372" s="196">
        <f t="shared" si="29"/>
        <v>31</v>
      </c>
      <c r="C372" s="221"/>
      <c r="D372" s="221"/>
      <c r="E372" s="221"/>
      <c r="F372" s="223"/>
      <c r="G372" s="223"/>
      <c r="H372" s="221" t="s">
        <v>346</v>
      </c>
      <c r="I372" s="224"/>
      <c r="J372" s="224"/>
      <c r="K372" s="225"/>
      <c r="L372" s="225"/>
      <c r="M372" s="225"/>
      <c r="N372" s="549"/>
      <c r="O372" s="224"/>
      <c r="P372" s="224"/>
      <c r="Q372" s="224"/>
      <c r="R372" s="225"/>
      <c r="S372" s="225">
        <v>3600</v>
      </c>
      <c r="T372" s="549"/>
      <c r="U372" s="226">
        <f t="shared" si="28"/>
        <v>0</v>
      </c>
    </row>
    <row r="373" spans="2:21" x14ac:dyDescent="0.2">
      <c r="B373" s="196">
        <f t="shared" si="29"/>
        <v>32</v>
      </c>
      <c r="C373" s="221"/>
      <c r="D373" s="221"/>
      <c r="E373" s="221"/>
      <c r="F373" s="223"/>
      <c r="G373" s="223"/>
      <c r="H373" s="221" t="s">
        <v>348</v>
      </c>
      <c r="I373" s="224"/>
      <c r="J373" s="224"/>
      <c r="K373" s="225"/>
      <c r="L373" s="225"/>
      <c r="M373" s="225"/>
      <c r="N373" s="549"/>
      <c r="O373" s="224"/>
      <c r="P373" s="224"/>
      <c r="Q373" s="224"/>
      <c r="R373" s="225"/>
      <c r="S373" s="225">
        <v>1284</v>
      </c>
      <c r="T373" s="549"/>
      <c r="U373" s="226">
        <f t="shared" si="28"/>
        <v>0</v>
      </c>
    </row>
    <row r="374" spans="2:21" x14ac:dyDescent="0.2">
      <c r="B374" s="196">
        <f t="shared" si="29"/>
        <v>33</v>
      </c>
      <c r="C374" s="221"/>
      <c r="D374" s="221"/>
      <c r="E374" s="221"/>
      <c r="F374" s="223"/>
      <c r="G374" s="223"/>
      <c r="H374" s="221" t="s">
        <v>668</v>
      </c>
      <c r="I374" s="224"/>
      <c r="J374" s="224"/>
      <c r="K374" s="225"/>
      <c r="L374" s="225"/>
      <c r="M374" s="225"/>
      <c r="N374" s="549"/>
      <c r="O374" s="224"/>
      <c r="P374" s="224"/>
      <c r="Q374" s="224"/>
      <c r="R374" s="225"/>
      <c r="S374" s="225">
        <v>1020</v>
      </c>
      <c r="T374" s="549"/>
      <c r="U374" s="226">
        <f t="shared" si="28"/>
        <v>0</v>
      </c>
    </row>
    <row r="375" spans="2:21" x14ac:dyDescent="0.2">
      <c r="B375" s="196">
        <f t="shared" si="29"/>
        <v>34</v>
      </c>
      <c r="C375" s="221"/>
      <c r="D375" s="221"/>
      <c r="E375" s="221"/>
      <c r="F375" s="223"/>
      <c r="G375" s="223"/>
      <c r="H375" s="221" t="s">
        <v>892</v>
      </c>
      <c r="I375" s="224"/>
      <c r="J375" s="224"/>
      <c r="K375" s="225"/>
      <c r="L375" s="225"/>
      <c r="M375" s="225"/>
      <c r="N375" s="549"/>
      <c r="O375" s="224">
        <v>2700</v>
      </c>
      <c r="P375" s="224">
        <v>2700</v>
      </c>
      <c r="Q375" s="224">
        <v>2700</v>
      </c>
      <c r="R375" s="225"/>
      <c r="S375" s="225"/>
      <c r="T375" s="549"/>
      <c r="U375" s="226">
        <f t="shared" si="28"/>
        <v>2700</v>
      </c>
    </row>
    <row r="376" spans="2:21" x14ac:dyDescent="0.2">
      <c r="B376" s="196">
        <f t="shared" si="29"/>
        <v>35</v>
      </c>
      <c r="C376" s="221"/>
      <c r="D376" s="221"/>
      <c r="E376" s="221"/>
      <c r="F376" s="223"/>
      <c r="G376" s="223"/>
      <c r="H376" s="221" t="s">
        <v>893</v>
      </c>
      <c r="I376" s="224"/>
      <c r="J376" s="224"/>
      <c r="K376" s="225"/>
      <c r="L376" s="225"/>
      <c r="M376" s="225"/>
      <c r="N376" s="549"/>
      <c r="O376" s="224">
        <v>148000</v>
      </c>
      <c r="P376" s="224">
        <v>250000</v>
      </c>
      <c r="Q376" s="224">
        <v>258400</v>
      </c>
      <c r="R376" s="225"/>
      <c r="S376" s="225"/>
      <c r="T376" s="549"/>
      <c r="U376" s="226">
        <f t="shared" ref="U376:U402" si="30">I376+O376</f>
        <v>148000</v>
      </c>
    </row>
    <row r="377" spans="2:21" x14ac:dyDescent="0.2">
      <c r="B377" s="196">
        <f t="shared" si="29"/>
        <v>36</v>
      </c>
      <c r="C377" s="210"/>
      <c r="D377" s="210"/>
      <c r="E377" s="210"/>
      <c r="F377" s="211"/>
      <c r="G377" s="212">
        <v>717</v>
      </c>
      <c r="H377" s="210" t="s">
        <v>192</v>
      </c>
      <c r="I377" s="213"/>
      <c r="J377" s="213"/>
      <c r="K377" s="214"/>
      <c r="L377" s="214"/>
      <c r="M377" s="214"/>
      <c r="N377" s="547"/>
      <c r="O377" s="213">
        <f>SUM(O379:O383)</f>
        <v>14802000</v>
      </c>
      <c r="P377" s="213">
        <f>SUM(P378:P385)</f>
        <v>14700000</v>
      </c>
      <c r="Q377" s="213">
        <f>SUM(Q381:Q383)</f>
        <v>14700000</v>
      </c>
      <c r="R377" s="214">
        <f>SUM(R378:R385)</f>
        <v>290049</v>
      </c>
      <c r="S377" s="214">
        <f>SUM(S378:S385)</f>
        <v>3020</v>
      </c>
      <c r="T377" s="547"/>
      <c r="U377" s="215">
        <f t="shared" si="30"/>
        <v>14802000</v>
      </c>
    </row>
    <row r="378" spans="2:21" x14ac:dyDescent="0.2">
      <c r="B378" s="196">
        <f t="shared" si="29"/>
        <v>37</v>
      </c>
      <c r="C378" s="221"/>
      <c r="D378" s="221"/>
      <c r="E378" s="221"/>
      <c r="F378" s="223"/>
      <c r="G378" s="223"/>
      <c r="H378" s="221" t="s">
        <v>346</v>
      </c>
      <c r="I378" s="224"/>
      <c r="J378" s="224"/>
      <c r="K378" s="225"/>
      <c r="L378" s="225"/>
      <c r="M378" s="225"/>
      <c r="N378" s="549"/>
      <c r="O378" s="224"/>
      <c r="P378" s="224"/>
      <c r="Q378" s="224"/>
      <c r="R378" s="225">
        <v>200209</v>
      </c>
      <c r="S378" s="225"/>
      <c r="T378" s="549"/>
      <c r="U378" s="226">
        <f t="shared" si="30"/>
        <v>0</v>
      </c>
    </row>
    <row r="379" spans="2:21" x14ac:dyDescent="0.2">
      <c r="B379" s="196">
        <f t="shared" si="29"/>
        <v>38</v>
      </c>
      <c r="C379" s="221"/>
      <c r="D379" s="221"/>
      <c r="E379" s="221"/>
      <c r="F379" s="223"/>
      <c r="G379" s="223"/>
      <c r="H379" s="221" t="s">
        <v>347</v>
      </c>
      <c r="I379" s="224"/>
      <c r="J379" s="224"/>
      <c r="K379" s="225"/>
      <c r="L379" s="225"/>
      <c r="M379" s="225"/>
      <c r="N379" s="549"/>
      <c r="O379" s="224"/>
      <c r="P379" s="224"/>
      <c r="Q379" s="224"/>
      <c r="R379" s="225">
        <v>6497</v>
      </c>
      <c r="S379" s="225">
        <v>73</v>
      </c>
      <c r="T379" s="549"/>
      <c r="U379" s="226">
        <f t="shared" si="30"/>
        <v>0</v>
      </c>
    </row>
    <row r="380" spans="2:21" x14ac:dyDescent="0.2">
      <c r="B380" s="196">
        <f t="shared" si="29"/>
        <v>39</v>
      </c>
      <c r="C380" s="221"/>
      <c r="D380" s="221"/>
      <c r="E380" s="221"/>
      <c r="F380" s="223"/>
      <c r="G380" s="223"/>
      <c r="H380" s="221" t="s">
        <v>348</v>
      </c>
      <c r="I380" s="224"/>
      <c r="J380" s="224"/>
      <c r="K380" s="225"/>
      <c r="L380" s="225"/>
      <c r="M380" s="225"/>
      <c r="N380" s="549"/>
      <c r="O380" s="224"/>
      <c r="P380" s="224"/>
      <c r="Q380" s="224"/>
      <c r="R380" s="225">
        <v>11489</v>
      </c>
      <c r="S380" s="225">
        <v>83</v>
      </c>
      <c r="T380" s="549"/>
      <c r="U380" s="226">
        <f t="shared" si="30"/>
        <v>0</v>
      </c>
    </row>
    <row r="381" spans="2:21" x14ac:dyDescent="0.2">
      <c r="B381" s="196">
        <f t="shared" si="29"/>
        <v>40</v>
      </c>
      <c r="C381" s="221"/>
      <c r="D381" s="221"/>
      <c r="E381" s="221"/>
      <c r="F381" s="223"/>
      <c r="G381" s="223"/>
      <c r="H381" s="221" t="s">
        <v>349</v>
      </c>
      <c r="I381" s="224"/>
      <c r="J381" s="224"/>
      <c r="K381" s="225"/>
      <c r="L381" s="225"/>
      <c r="M381" s="225"/>
      <c r="N381" s="549"/>
      <c r="O381" s="224"/>
      <c r="P381" s="224"/>
      <c r="Q381" s="224"/>
      <c r="R381" s="225">
        <v>15509</v>
      </c>
      <c r="S381" s="225"/>
      <c r="T381" s="549"/>
      <c r="U381" s="226">
        <f t="shared" si="30"/>
        <v>0</v>
      </c>
    </row>
    <row r="382" spans="2:21" x14ac:dyDescent="0.2">
      <c r="B382" s="196">
        <f t="shared" si="29"/>
        <v>41</v>
      </c>
      <c r="C382" s="221"/>
      <c r="D382" s="221"/>
      <c r="E382" s="221"/>
      <c r="F382" s="223"/>
      <c r="G382" s="223"/>
      <c r="H382" s="221" t="s">
        <v>893</v>
      </c>
      <c r="I382" s="224"/>
      <c r="J382" s="224"/>
      <c r="K382" s="225"/>
      <c r="L382" s="225"/>
      <c r="M382" s="225"/>
      <c r="N382" s="549"/>
      <c r="O382" s="224">
        <f>6440000+8362000</f>
        <v>14802000</v>
      </c>
      <c r="P382" s="224">
        <v>14700000</v>
      </c>
      <c r="Q382" s="224">
        <v>14700000</v>
      </c>
      <c r="R382" s="225"/>
      <c r="S382" s="225"/>
      <c r="T382" s="549"/>
      <c r="U382" s="226">
        <f t="shared" si="30"/>
        <v>14802000</v>
      </c>
    </row>
    <row r="383" spans="2:21" x14ac:dyDescent="0.2">
      <c r="B383" s="196">
        <f t="shared" si="29"/>
        <v>42</v>
      </c>
      <c r="C383" s="221"/>
      <c r="D383" s="221"/>
      <c r="E383" s="221"/>
      <c r="F383" s="223"/>
      <c r="G383" s="223"/>
      <c r="H383" s="221" t="s">
        <v>687</v>
      </c>
      <c r="I383" s="224"/>
      <c r="J383" s="224"/>
      <c r="K383" s="225"/>
      <c r="L383" s="225"/>
      <c r="M383" s="225"/>
      <c r="N383" s="549"/>
      <c r="O383" s="224"/>
      <c r="P383" s="224"/>
      <c r="Q383" s="224"/>
      <c r="R383" s="225">
        <v>56200</v>
      </c>
      <c r="S383" s="225"/>
      <c r="T383" s="549"/>
      <c r="U383" s="226">
        <f t="shared" si="30"/>
        <v>0</v>
      </c>
    </row>
    <row r="384" spans="2:21" x14ac:dyDescent="0.2">
      <c r="B384" s="196">
        <f t="shared" si="29"/>
        <v>43</v>
      </c>
      <c r="C384" s="221"/>
      <c r="D384" s="221"/>
      <c r="E384" s="221"/>
      <c r="F384" s="223"/>
      <c r="G384" s="223"/>
      <c r="H384" s="221" t="s">
        <v>530</v>
      </c>
      <c r="I384" s="224"/>
      <c r="J384" s="224"/>
      <c r="K384" s="225"/>
      <c r="L384" s="225"/>
      <c r="M384" s="225"/>
      <c r="N384" s="549"/>
      <c r="O384" s="224"/>
      <c r="P384" s="224"/>
      <c r="Q384" s="224"/>
      <c r="R384" s="225"/>
      <c r="S384" s="225">
        <v>2337</v>
      </c>
      <c r="T384" s="549"/>
      <c r="U384" s="226">
        <f t="shared" si="30"/>
        <v>0</v>
      </c>
    </row>
    <row r="385" spans="2:21" x14ac:dyDescent="0.2">
      <c r="B385" s="196">
        <f t="shared" si="29"/>
        <v>44</v>
      </c>
      <c r="C385" s="221"/>
      <c r="D385" s="221"/>
      <c r="E385" s="221"/>
      <c r="F385" s="223"/>
      <c r="G385" s="223"/>
      <c r="H385" s="221" t="s">
        <v>350</v>
      </c>
      <c r="I385" s="224"/>
      <c r="J385" s="224"/>
      <c r="K385" s="224"/>
      <c r="L385" s="225"/>
      <c r="M385" s="225"/>
      <c r="N385" s="549"/>
      <c r="O385" s="224"/>
      <c r="P385" s="224"/>
      <c r="Q385" s="224"/>
      <c r="R385" s="225">
        <v>145</v>
      </c>
      <c r="S385" s="225">
        <v>527</v>
      </c>
      <c r="T385" s="549"/>
      <c r="U385" s="226">
        <f t="shared" si="30"/>
        <v>0</v>
      </c>
    </row>
    <row r="386" spans="2:21" ht="14.25" x14ac:dyDescent="0.2">
      <c r="B386" s="196">
        <f t="shared" si="29"/>
        <v>45</v>
      </c>
      <c r="C386" s="227"/>
      <c r="D386" s="227"/>
      <c r="E386" s="227">
        <v>2</v>
      </c>
      <c r="F386" s="228"/>
      <c r="G386" s="228"/>
      <c r="H386" s="227" t="s">
        <v>13</v>
      </c>
      <c r="I386" s="229">
        <f>I387+I388+I389+I395</f>
        <v>987000</v>
      </c>
      <c r="J386" s="229">
        <f>J387+J388+J389+J395</f>
        <v>1614615</v>
      </c>
      <c r="K386" s="229">
        <f>K387+K388+K389+K395</f>
        <v>1567815</v>
      </c>
      <c r="L386" s="230">
        <f>L387+L388+L389+L395</f>
        <v>656230</v>
      </c>
      <c r="M386" s="230">
        <f>M387+M388+M389+M395</f>
        <v>528838</v>
      </c>
      <c r="N386" s="548"/>
      <c r="O386" s="229">
        <f>O396</f>
        <v>2000</v>
      </c>
      <c r="P386" s="229"/>
      <c r="Q386" s="229"/>
      <c r="R386" s="230"/>
      <c r="S386" s="230">
        <f>S396</f>
        <v>5868</v>
      </c>
      <c r="T386" s="548"/>
      <c r="U386" s="231">
        <f t="shared" si="30"/>
        <v>989000</v>
      </c>
    </row>
    <row r="387" spans="2:21" x14ac:dyDescent="0.2">
      <c r="B387" s="196">
        <f t="shared" si="29"/>
        <v>46</v>
      </c>
      <c r="C387" s="204"/>
      <c r="D387" s="204"/>
      <c r="E387" s="204"/>
      <c r="F387" s="205" t="s">
        <v>215</v>
      </c>
      <c r="G387" s="206">
        <v>610</v>
      </c>
      <c r="H387" s="204" t="s">
        <v>141</v>
      </c>
      <c r="I387" s="207">
        <v>68250</v>
      </c>
      <c r="J387" s="207">
        <v>59140</v>
      </c>
      <c r="K387" s="207">
        <v>59140</v>
      </c>
      <c r="L387" s="208">
        <v>56102</v>
      </c>
      <c r="M387" s="208">
        <v>46102</v>
      </c>
      <c r="N387" s="546"/>
      <c r="O387" s="207"/>
      <c r="P387" s="207"/>
      <c r="Q387" s="207"/>
      <c r="R387" s="208"/>
      <c r="S387" s="208"/>
      <c r="T387" s="546"/>
      <c r="U387" s="209">
        <f t="shared" si="30"/>
        <v>68250</v>
      </c>
    </row>
    <row r="388" spans="2:21" x14ac:dyDescent="0.2">
      <c r="B388" s="196">
        <f t="shared" si="29"/>
        <v>47</v>
      </c>
      <c r="C388" s="204"/>
      <c r="D388" s="204"/>
      <c r="E388" s="204"/>
      <c r="F388" s="205" t="s">
        <v>215</v>
      </c>
      <c r="G388" s="206">
        <v>620</v>
      </c>
      <c r="H388" s="204" t="s">
        <v>134</v>
      </c>
      <c r="I388" s="207">
        <v>28450</v>
      </c>
      <c r="J388" s="207">
        <v>25310</v>
      </c>
      <c r="K388" s="207">
        <v>25310</v>
      </c>
      <c r="L388" s="208">
        <v>22504</v>
      </c>
      <c r="M388" s="208">
        <v>18608</v>
      </c>
      <c r="N388" s="546"/>
      <c r="O388" s="207"/>
      <c r="P388" s="207"/>
      <c r="Q388" s="207"/>
      <c r="R388" s="208"/>
      <c r="S388" s="208"/>
      <c r="T388" s="546"/>
      <c r="U388" s="209">
        <f t="shared" si="30"/>
        <v>28450</v>
      </c>
    </row>
    <row r="389" spans="2:21" x14ac:dyDescent="0.2">
      <c r="B389" s="196">
        <f t="shared" si="29"/>
        <v>48</v>
      </c>
      <c r="C389" s="204"/>
      <c r="D389" s="204"/>
      <c r="E389" s="204"/>
      <c r="F389" s="205" t="s">
        <v>215</v>
      </c>
      <c r="G389" s="206">
        <v>630</v>
      </c>
      <c r="H389" s="204" t="s">
        <v>131</v>
      </c>
      <c r="I389" s="207">
        <f>I394+I393+I392+I391+I390</f>
        <v>887000</v>
      </c>
      <c r="J389" s="207">
        <f>J394+J393+J392+J391+J390</f>
        <v>1526865</v>
      </c>
      <c r="K389" s="207">
        <f>K394+K393+K392+K391+K390</f>
        <v>1480065</v>
      </c>
      <c r="L389" s="208">
        <f>L394+L393+L392+L391+L390</f>
        <v>573713</v>
      </c>
      <c r="M389" s="208">
        <f>M394+M393+M392+M391+M390</f>
        <v>463928</v>
      </c>
      <c r="N389" s="546"/>
      <c r="O389" s="207"/>
      <c r="P389" s="207"/>
      <c r="Q389" s="207"/>
      <c r="R389" s="208"/>
      <c r="S389" s="208"/>
      <c r="T389" s="546"/>
      <c r="U389" s="209">
        <f t="shared" si="30"/>
        <v>887000</v>
      </c>
    </row>
    <row r="390" spans="2:21" x14ac:dyDescent="0.2">
      <c r="B390" s="196">
        <f t="shared" si="29"/>
        <v>49</v>
      </c>
      <c r="C390" s="210"/>
      <c r="D390" s="210"/>
      <c r="E390" s="210"/>
      <c r="F390" s="211"/>
      <c r="G390" s="212">
        <v>632</v>
      </c>
      <c r="H390" s="210" t="s">
        <v>144</v>
      </c>
      <c r="I390" s="213">
        <v>780000</v>
      </c>
      <c r="J390" s="213">
        <v>1386280</v>
      </c>
      <c r="K390" s="213">
        <v>1375280</v>
      </c>
      <c r="L390" s="214">
        <v>456768</v>
      </c>
      <c r="M390" s="214">
        <v>387419</v>
      </c>
      <c r="N390" s="547"/>
      <c r="O390" s="213"/>
      <c r="P390" s="213"/>
      <c r="Q390" s="213"/>
      <c r="R390" s="214"/>
      <c r="S390" s="214"/>
      <c r="T390" s="547"/>
      <c r="U390" s="215">
        <f t="shared" si="30"/>
        <v>780000</v>
      </c>
    </row>
    <row r="391" spans="2:21" x14ac:dyDescent="0.2">
      <c r="B391" s="196">
        <f t="shared" si="29"/>
        <v>50</v>
      </c>
      <c r="C391" s="210"/>
      <c r="D391" s="210"/>
      <c r="E391" s="210"/>
      <c r="F391" s="211"/>
      <c r="G391" s="212">
        <v>633</v>
      </c>
      <c r="H391" s="210" t="s">
        <v>135</v>
      </c>
      <c r="I391" s="213">
        <v>38000</v>
      </c>
      <c r="J391" s="213">
        <v>40000</v>
      </c>
      <c r="K391" s="213">
        <v>40000</v>
      </c>
      <c r="L391" s="214">
        <v>56005</v>
      </c>
      <c r="M391" s="214">
        <v>30716</v>
      </c>
      <c r="N391" s="547"/>
      <c r="O391" s="213"/>
      <c r="P391" s="213"/>
      <c r="Q391" s="213"/>
      <c r="R391" s="214"/>
      <c r="S391" s="214"/>
      <c r="T391" s="547"/>
      <c r="U391" s="215">
        <f t="shared" si="30"/>
        <v>38000</v>
      </c>
    </row>
    <row r="392" spans="2:21" x14ac:dyDescent="0.2">
      <c r="B392" s="196">
        <f t="shared" si="29"/>
        <v>51</v>
      </c>
      <c r="C392" s="210"/>
      <c r="D392" s="210"/>
      <c r="E392" s="210"/>
      <c r="F392" s="211"/>
      <c r="G392" s="212">
        <v>634</v>
      </c>
      <c r="H392" s="210" t="s">
        <v>142</v>
      </c>
      <c r="I392" s="213">
        <v>7000</v>
      </c>
      <c r="J392" s="213">
        <v>7110</v>
      </c>
      <c r="K392" s="213">
        <v>7110</v>
      </c>
      <c r="L392" s="214">
        <v>5413</v>
      </c>
      <c r="M392" s="214">
        <v>5596</v>
      </c>
      <c r="N392" s="547"/>
      <c r="O392" s="213"/>
      <c r="P392" s="213"/>
      <c r="Q392" s="213"/>
      <c r="R392" s="214"/>
      <c r="S392" s="214"/>
      <c r="T392" s="547"/>
      <c r="U392" s="215">
        <f t="shared" si="30"/>
        <v>7000</v>
      </c>
    </row>
    <row r="393" spans="2:21" x14ac:dyDescent="0.2">
      <c r="B393" s="196">
        <f t="shared" si="29"/>
        <v>52</v>
      </c>
      <c r="C393" s="210"/>
      <c r="D393" s="210"/>
      <c r="E393" s="210"/>
      <c r="F393" s="211"/>
      <c r="G393" s="212">
        <v>635</v>
      </c>
      <c r="H393" s="210" t="s">
        <v>143</v>
      </c>
      <c r="I393" s="213">
        <v>20000</v>
      </c>
      <c r="J393" s="213">
        <v>20500</v>
      </c>
      <c r="K393" s="213">
        <v>32500</v>
      </c>
      <c r="L393" s="214">
        <v>18197</v>
      </c>
      <c r="M393" s="214">
        <v>7624</v>
      </c>
      <c r="N393" s="547"/>
      <c r="O393" s="213"/>
      <c r="P393" s="213"/>
      <c r="Q393" s="213"/>
      <c r="R393" s="214"/>
      <c r="S393" s="214"/>
      <c r="T393" s="547"/>
      <c r="U393" s="215">
        <f t="shared" si="30"/>
        <v>20000</v>
      </c>
    </row>
    <row r="394" spans="2:21" x14ac:dyDescent="0.2">
      <c r="B394" s="196">
        <f t="shared" si="29"/>
        <v>53</v>
      </c>
      <c r="C394" s="210"/>
      <c r="D394" s="210"/>
      <c r="E394" s="210"/>
      <c r="F394" s="211"/>
      <c r="G394" s="212">
        <v>637</v>
      </c>
      <c r="H394" s="210" t="s">
        <v>132</v>
      </c>
      <c r="I394" s="213">
        <v>42000</v>
      </c>
      <c r="J394" s="213">
        <v>72975</v>
      </c>
      <c r="K394" s="213">
        <v>25175</v>
      </c>
      <c r="L394" s="214">
        <v>37330</v>
      </c>
      <c r="M394" s="214">
        <v>32573</v>
      </c>
      <c r="N394" s="547"/>
      <c r="O394" s="213"/>
      <c r="P394" s="213"/>
      <c r="Q394" s="213"/>
      <c r="R394" s="214"/>
      <c r="S394" s="214"/>
      <c r="T394" s="547"/>
      <c r="U394" s="215">
        <f t="shared" si="30"/>
        <v>42000</v>
      </c>
    </row>
    <row r="395" spans="2:21" x14ac:dyDescent="0.2">
      <c r="B395" s="196">
        <f t="shared" si="29"/>
        <v>54</v>
      </c>
      <c r="C395" s="204"/>
      <c r="D395" s="204"/>
      <c r="E395" s="204"/>
      <c r="F395" s="205" t="s">
        <v>215</v>
      </c>
      <c r="G395" s="206">
        <v>640</v>
      </c>
      <c r="H395" s="204" t="s">
        <v>139</v>
      </c>
      <c r="I395" s="207">
        <v>3300</v>
      </c>
      <c r="J395" s="207">
        <v>3300</v>
      </c>
      <c r="K395" s="207">
        <v>3300</v>
      </c>
      <c r="L395" s="208">
        <v>3911</v>
      </c>
      <c r="M395" s="208">
        <v>200</v>
      </c>
      <c r="N395" s="546"/>
      <c r="O395" s="207"/>
      <c r="P395" s="207"/>
      <c r="Q395" s="207"/>
      <c r="R395" s="208"/>
      <c r="S395" s="208"/>
      <c r="T395" s="546"/>
      <c r="U395" s="209">
        <f t="shared" si="30"/>
        <v>3300</v>
      </c>
    </row>
    <row r="396" spans="2:21" x14ac:dyDescent="0.2">
      <c r="B396" s="196">
        <f t="shared" si="29"/>
        <v>55</v>
      </c>
      <c r="C396" s="204"/>
      <c r="D396" s="204"/>
      <c r="E396" s="204"/>
      <c r="F396" s="205" t="s">
        <v>215</v>
      </c>
      <c r="G396" s="206">
        <v>710</v>
      </c>
      <c r="H396" s="204" t="s">
        <v>185</v>
      </c>
      <c r="I396" s="207"/>
      <c r="J396" s="207"/>
      <c r="K396" s="207"/>
      <c r="L396" s="208"/>
      <c r="M396" s="208"/>
      <c r="N396" s="546"/>
      <c r="O396" s="207">
        <f>O397</f>
        <v>2000</v>
      </c>
      <c r="P396" s="207"/>
      <c r="Q396" s="207"/>
      <c r="R396" s="208"/>
      <c r="S396" s="208">
        <f>S397</f>
        <v>5868</v>
      </c>
      <c r="T396" s="546"/>
      <c r="U396" s="209">
        <f t="shared" si="30"/>
        <v>2000</v>
      </c>
    </row>
    <row r="397" spans="2:21" x14ac:dyDescent="0.2">
      <c r="B397" s="196">
        <f t="shared" si="29"/>
        <v>56</v>
      </c>
      <c r="C397" s="204"/>
      <c r="D397" s="204"/>
      <c r="E397" s="204"/>
      <c r="F397" s="205"/>
      <c r="G397" s="212">
        <v>713</v>
      </c>
      <c r="H397" s="210" t="s">
        <v>230</v>
      </c>
      <c r="I397" s="207"/>
      <c r="J397" s="207"/>
      <c r="K397" s="207"/>
      <c r="L397" s="208"/>
      <c r="M397" s="208"/>
      <c r="N397" s="546"/>
      <c r="O397" s="213">
        <f>O398+O399</f>
        <v>2000</v>
      </c>
      <c r="P397" s="207"/>
      <c r="Q397" s="207"/>
      <c r="R397" s="214"/>
      <c r="S397" s="214">
        <f>S398</f>
        <v>5868</v>
      </c>
      <c r="T397" s="546"/>
      <c r="U397" s="215">
        <f t="shared" si="30"/>
        <v>2000</v>
      </c>
    </row>
    <row r="398" spans="2:21" x14ac:dyDescent="0.2">
      <c r="B398" s="196">
        <f t="shared" si="29"/>
        <v>57</v>
      </c>
      <c r="C398" s="204"/>
      <c r="D398" s="204"/>
      <c r="E398" s="204"/>
      <c r="F398" s="205"/>
      <c r="G398" s="223"/>
      <c r="H398" s="221" t="s">
        <v>669</v>
      </c>
      <c r="I398" s="224"/>
      <c r="J398" s="224"/>
      <c r="K398" s="224"/>
      <c r="L398" s="224"/>
      <c r="M398" s="224"/>
      <c r="N398" s="549"/>
      <c r="O398" s="224"/>
      <c r="P398" s="224"/>
      <c r="Q398" s="224"/>
      <c r="R398" s="224"/>
      <c r="S398" s="224">
        <v>5868</v>
      </c>
      <c r="T398" s="549"/>
      <c r="U398" s="226">
        <f t="shared" si="30"/>
        <v>0</v>
      </c>
    </row>
    <row r="399" spans="2:21" x14ac:dyDescent="0.2">
      <c r="B399" s="196">
        <f t="shared" si="29"/>
        <v>58</v>
      </c>
      <c r="C399" s="204"/>
      <c r="D399" s="204"/>
      <c r="E399" s="204"/>
      <c r="F399" s="205"/>
      <c r="G399" s="223"/>
      <c r="H399" s="221" t="s">
        <v>950</v>
      </c>
      <c r="I399" s="224"/>
      <c r="J399" s="224"/>
      <c r="K399" s="224"/>
      <c r="L399" s="224"/>
      <c r="M399" s="224"/>
      <c r="N399" s="549"/>
      <c r="O399" s="224">
        <v>2000</v>
      </c>
      <c r="P399" s="224"/>
      <c r="Q399" s="224"/>
      <c r="R399" s="224"/>
      <c r="S399" s="224"/>
      <c r="T399" s="549"/>
      <c r="U399" s="226">
        <f t="shared" si="30"/>
        <v>2000</v>
      </c>
    </row>
    <row r="400" spans="2:21" ht="15.75" x14ac:dyDescent="0.25">
      <c r="B400" s="196">
        <f t="shared" si="29"/>
        <v>59</v>
      </c>
      <c r="C400" s="200">
        <v>3</v>
      </c>
      <c r="D400" s="694" t="s">
        <v>242</v>
      </c>
      <c r="E400" s="695"/>
      <c r="F400" s="695"/>
      <c r="G400" s="695"/>
      <c r="H400" s="695"/>
      <c r="I400" s="201">
        <f>I401</f>
        <v>11750</v>
      </c>
      <c r="J400" s="201">
        <f t="shared" ref="J400:M401" si="31">J401</f>
        <v>7000</v>
      </c>
      <c r="K400" s="201">
        <f t="shared" si="31"/>
        <v>7000</v>
      </c>
      <c r="L400" s="202">
        <f t="shared" si="31"/>
        <v>6582</v>
      </c>
      <c r="M400" s="202">
        <f t="shared" si="31"/>
        <v>3425</v>
      </c>
      <c r="N400" s="545"/>
      <c r="O400" s="201">
        <f>O403</f>
        <v>30000</v>
      </c>
      <c r="P400" s="201"/>
      <c r="Q400" s="201">
        <f>Q403</f>
        <v>25000</v>
      </c>
      <c r="R400" s="202">
        <f>R403</f>
        <v>13037</v>
      </c>
      <c r="S400" s="202">
        <f>S403</f>
        <v>11531</v>
      </c>
      <c r="T400" s="545"/>
      <c r="U400" s="203">
        <f t="shared" si="30"/>
        <v>41750</v>
      </c>
    </row>
    <row r="401" spans="2:21" x14ac:dyDescent="0.2">
      <c r="B401" s="196">
        <f t="shared" si="29"/>
        <v>60</v>
      </c>
      <c r="C401" s="204"/>
      <c r="D401" s="204"/>
      <c r="E401" s="204"/>
      <c r="F401" s="205" t="s">
        <v>202</v>
      </c>
      <c r="G401" s="206">
        <v>630</v>
      </c>
      <c r="H401" s="204" t="s">
        <v>131</v>
      </c>
      <c r="I401" s="207">
        <f>I402</f>
        <v>11750</v>
      </c>
      <c r="J401" s="207">
        <f t="shared" si="31"/>
        <v>7000</v>
      </c>
      <c r="K401" s="207">
        <f t="shared" si="31"/>
        <v>7000</v>
      </c>
      <c r="L401" s="208">
        <f t="shared" si="31"/>
        <v>6582</v>
      </c>
      <c r="M401" s="208">
        <f t="shared" si="31"/>
        <v>3425</v>
      </c>
      <c r="N401" s="546"/>
      <c r="O401" s="207"/>
      <c r="P401" s="207"/>
      <c r="Q401" s="207"/>
      <c r="R401" s="208"/>
      <c r="S401" s="208"/>
      <c r="T401" s="546"/>
      <c r="U401" s="209">
        <f t="shared" si="30"/>
        <v>11750</v>
      </c>
    </row>
    <row r="402" spans="2:21" x14ac:dyDescent="0.2">
      <c r="B402" s="196">
        <f t="shared" si="29"/>
        <v>61</v>
      </c>
      <c r="C402" s="210"/>
      <c r="D402" s="210"/>
      <c r="E402" s="210"/>
      <c r="F402" s="211"/>
      <c r="G402" s="212">
        <v>635</v>
      </c>
      <c r="H402" s="210" t="s">
        <v>143</v>
      </c>
      <c r="I402" s="213">
        <v>11750</v>
      </c>
      <c r="J402" s="213">
        <v>7000</v>
      </c>
      <c r="K402" s="213">
        <v>7000</v>
      </c>
      <c r="L402" s="214">
        <v>6582</v>
      </c>
      <c r="M402" s="214">
        <v>3425</v>
      </c>
      <c r="N402" s="547"/>
      <c r="O402" s="213"/>
      <c r="P402" s="213"/>
      <c r="Q402" s="213"/>
      <c r="R402" s="214"/>
      <c r="S402" s="214"/>
      <c r="T402" s="547"/>
      <c r="U402" s="215">
        <f t="shared" si="30"/>
        <v>11750</v>
      </c>
    </row>
    <row r="403" spans="2:21" x14ac:dyDescent="0.2">
      <c r="B403" s="196">
        <f t="shared" si="29"/>
        <v>62</v>
      </c>
      <c r="C403" s="204"/>
      <c r="D403" s="204"/>
      <c r="E403" s="204"/>
      <c r="F403" s="205" t="s">
        <v>202</v>
      </c>
      <c r="G403" s="206">
        <v>710</v>
      </c>
      <c r="H403" s="204" t="s">
        <v>185</v>
      </c>
      <c r="I403" s="207"/>
      <c r="J403" s="207"/>
      <c r="K403" s="207"/>
      <c r="L403" s="208"/>
      <c r="M403" s="208"/>
      <c r="N403" s="546"/>
      <c r="O403" s="207">
        <f>O406+O404</f>
        <v>30000</v>
      </c>
      <c r="P403" s="207"/>
      <c r="Q403" s="207">
        <f>Q404</f>
        <v>25000</v>
      </c>
      <c r="R403" s="208">
        <f>R404+R406</f>
        <v>13037</v>
      </c>
      <c r="S403" s="208">
        <f>S404+S406</f>
        <v>11531</v>
      </c>
      <c r="T403" s="546"/>
      <c r="U403" s="209">
        <f t="shared" ref="U403:U432" si="32">I403+O403</f>
        <v>30000</v>
      </c>
    </row>
    <row r="404" spans="2:21" x14ac:dyDescent="0.2">
      <c r="B404" s="196">
        <f t="shared" si="29"/>
        <v>63</v>
      </c>
      <c r="C404" s="210"/>
      <c r="D404" s="210"/>
      <c r="E404" s="210"/>
      <c r="F404" s="211"/>
      <c r="G404" s="212">
        <v>713</v>
      </c>
      <c r="H404" s="210" t="s">
        <v>230</v>
      </c>
      <c r="I404" s="213"/>
      <c r="J404" s="213"/>
      <c r="K404" s="213"/>
      <c r="L404" s="214"/>
      <c r="M404" s="214"/>
      <c r="N404" s="547"/>
      <c r="O404" s="213">
        <f>O405</f>
        <v>30000</v>
      </c>
      <c r="P404" s="213"/>
      <c r="Q404" s="213">
        <f>Q405</f>
        <v>25000</v>
      </c>
      <c r="R404" s="214">
        <f>SUM(R405:R405)</f>
        <v>13037</v>
      </c>
      <c r="S404" s="214">
        <f>SUM(S405:S405)</f>
        <v>9890</v>
      </c>
      <c r="T404" s="547"/>
      <c r="U404" s="215">
        <f t="shared" si="32"/>
        <v>30000</v>
      </c>
    </row>
    <row r="405" spans="2:21" x14ac:dyDescent="0.2">
      <c r="B405" s="196">
        <f t="shared" si="29"/>
        <v>64</v>
      </c>
      <c r="C405" s="221"/>
      <c r="D405" s="221"/>
      <c r="E405" s="221"/>
      <c r="F405" s="223"/>
      <c r="G405" s="223"/>
      <c r="H405" s="221" t="s">
        <v>377</v>
      </c>
      <c r="I405" s="224"/>
      <c r="J405" s="224"/>
      <c r="K405" s="224"/>
      <c r="L405" s="225"/>
      <c r="M405" s="225"/>
      <c r="N405" s="549"/>
      <c r="O405" s="224">
        <v>30000</v>
      </c>
      <c r="P405" s="224"/>
      <c r="Q405" s="224">
        <v>25000</v>
      </c>
      <c r="R405" s="225">
        <v>13037</v>
      </c>
      <c r="S405" s="225">
        <v>9890</v>
      </c>
      <c r="T405" s="549"/>
      <c r="U405" s="226">
        <f t="shared" si="32"/>
        <v>30000</v>
      </c>
    </row>
    <row r="406" spans="2:21" x14ac:dyDescent="0.2">
      <c r="B406" s="196">
        <f t="shared" ref="B406:B411" si="33">B405+1</f>
        <v>65</v>
      </c>
      <c r="C406" s="210"/>
      <c r="D406" s="210"/>
      <c r="E406" s="210"/>
      <c r="F406" s="211"/>
      <c r="G406" s="212">
        <v>717</v>
      </c>
      <c r="H406" s="210" t="s">
        <v>192</v>
      </c>
      <c r="I406" s="213"/>
      <c r="J406" s="213"/>
      <c r="K406" s="213"/>
      <c r="L406" s="214"/>
      <c r="M406" s="214"/>
      <c r="N406" s="547"/>
      <c r="O406" s="213"/>
      <c r="P406" s="213"/>
      <c r="Q406" s="213"/>
      <c r="R406" s="214"/>
      <c r="S406" s="214">
        <f>S407</f>
        <v>1641</v>
      </c>
      <c r="T406" s="547"/>
      <c r="U406" s="215">
        <f t="shared" si="32"/>
        <v>0</v>
      </c>
    </row>
    <row r="407" spans="2:21" x14ac:dyDescent="0.2">
      <c r="B407" s="196">
        <f t="shared" si="33"/>
        <v>66</v>
      </c>
      <c r="C407" s="221"/>
      <c r="D407" s="221"/>
      <c r="E407" s="221"/>
      <c r="F407" s="223"/>
      <c r="G407" s="223"/>
      <c r="H407" s="221" t="s">
        <v>491</v>
      </c>
      <c r="I407" s="224"/>
      <c r="J407" s="224"/>
      <c r="K407" s="224"/>
      <c r="L407" s="225"/>
      <c r="M407" s="225"/>
      <c r="N407" s="549"/>
      <c r="O407" s="224"/>
      <c r="P407" s="224"/>
      <c r="Q407" s="224"/>
      <c r="R407" s="225"/>
      <c r="S407" s="225">
        <v>1641</v>
      </c>
      <c r="T407" s="549"/>
      <c r="U407" s="226">
        <f t="shared" si="32"/>
        <v>0</v>
      </c>
    </row>
    <row r="408" spans="2:21" ht="15.75" x14ac:dyDescent="0.25">
      <c r="B408" s="196">
        <f t="shared" si="33"/>
        <v>67</v>
      </c>
      <c r="C408" s="200">
        <v>4</v>
      </c>
      <c r="D408" s="694" t="s">
        <v>167</v>
      </c>
      <c r="E408" s="695"/>
      <c r="F408" s="695"/>
      <c r="G408" s="695"/>
      <c r="H408" s="695"/>
      <c r="I408" s="201">
        <f>I409+I410</f>
        <v>44000</v>
      </c>
      <c r="J408" s="201">
        <f>J409+J410</f>
        <v>45729</v>
      </c>
      <c r="K408" s="201">
        <f>K409+K410</f>
        <v>45729</v>
      </c>
      <c r="L408" s="202">
        <f>L409+L410</f>
        <v>109295</v>
      </c>
      <c r="M408" s="202">
        <f>M409+M410</f>
        <v>33194</v>
      </c>
      <c r="N408" s="545"/>
      <c r="O408" s="201"/>
      <c r="P408" s="201"/>
      <c r="Q408" s="201"/>
      <c r="R408" s="202"/>
      <c r="S408" s="202"/>
      <c r="T408" s="545"/>
      <c r="U408" s="203">
        <f t="shared" si="32"/>
        <v>44000</v>
      </c>
    </row>
    <row r="409" spans="2:21" x14ac:dyDescent="0.2">
      <c r="B409" s="196">
        <f t="shared" si="33"/>
        <v>68</v>
      </c>
      <c r="C409" s="204"/>
      <c r="D409" s="204"/>
      <c r="E409" s="204"/>
      <c r="F409" s="205" t="s">
        <v>166</v>
      </c>
      <c r="G409" s="206">
        <v>620</v>
      </c>
      <c r="H409" s="204" t="s">
        <v>134</v>
      </c>
      <c r="I409" s="207"/>
      <c r="J409" s="207">
        <v>629</v>
      </c>
      <c r="K409" s="207">
        <v>629</v>
      </c>
      <c r="L409" s="208">
        <v>27</v>
      </c>
      <c r="M409" s="208"/>
      <c r="N409" s="546"/>
      <c r="O409" s="207"/>
      <c r="P409" s="207"/>
      <c r="Q409" s="207"/>
      <c r="R409" s="208"/>
      <c r="S409" s="208"/>
      <c r="T409" s="546"/>
      <c r="U409" s="209">
        <f t="shared" si="32"/>
        <v>0</v>
      </c>
    </row>
    <row r="410" spans="2:21" x14ac:dyDescent="0.2">
      <c r="B410" s="196">
        <f t="shared" si="33"/>
        <v>69</v>
      </c>
      <c r="C410" s="204"/>
      <c r="D410" s="204"/>
      <c r="E410" s="204"/>
      <c r="F410" s="205" t="s">
        <v>166</v>
      </c>
      <c r="G410" s="206">
        <v>630</v>
      </c>
      <c r="H410" s="204" t="s">
        <v>131</v>
      </c>
      <c r="I410" s="207">
        <f>SUM(I411:I413)</f>
        <v>44000</v>
      </c>
      <c r="J410" s="207">
        <f>SUM(J411:J413)</f>
        <v>45100</v>
      </c>
      <c r="K410" s="207">
        <f>SUM(K411:K414)</f>
        <v>45100</v>
      </c>
      <c r="L410" s="208">
        <f>SUM(L411:L414)</f>
        <v>109268</v>
      </c>
      <c r="M410" s="208">
        <f>SUM(M411:M413)</f>
        <v>33194</v>
      </c>
      <c r="N410" s="546"/>
      <c r="O410" s="207"/>
      <c r="P410" s="207"/>
      <c r="Q410" s="207"/>
      <c r="R410" s="208"/>
      <c r="S410" s="208"/>
      <c r="T410" s="546"/>
      <c r="U410" s="209">
        <f t="shared" si="32"/>
        <v>44000</v>
      </c>
    </row>
    <row r="411" spans="2:21" x14ac:dyDescent="0.2">
      <c r="B411" s="196">
        <f t="shared" si="33"/>
        <v>70</v>
      </c>
      <c r="C411" s="210"/>
      <c r="D411" s="210"/>
      <c r="E411" s="210"/>
      <c r="F411" s="211"/>
      <c r="G411" s="212">
        <v>633</v>
      </c>
      <c r="H411" s="210" t="s">
        <v>135</v>
      </c>
      <c r="I411" s="213">
        <v>9000</v>
      </c>
      <c r="J411" s="213">
        <v>9400</v>
      </c>
      <c r="K411" s="213">
        <v>9400</v>
      </c>
      <c r="L411" s="214">
        <v>9378</v>
      </c>
      <c r="M411" s="214">
        <v>4231</v>
      </c>
      <c r="N411" s="547"/>
      <c r="O411" s="213"/>
      <c r="P411" s="213"/>
      <c r="Q411" s="213"/>
      <c r="R411" s="214"/>
      <c r="S411" s="214"/>
      <c r="T411" s="547"/>
      <c r="U411" s="215">
        <f t="shared" si="32"/>
        <v>9000</v>
      </c>
    </row>
    <row r="412" spans="2:21" x14ac:dyDescent="0.2">
      <c r="B412" s="196">
        <f t="shared" ref="B412:B432" si="34">B411+1</f>
        <v>71</v>
      </c>
      <c r="C412" s="210"/>
      <c r="D412" s="210"/>
      <c r="E412" s="210"/>
      <c r="F412" s="211"/>
      <c r="G412" s="212">
        <v>635</v>
      </c>
      <c r="H412" s="210" t="s">
        <v>143</v>
      </c>
      <c r="I412" s="213">
        <v>11700</v>
      </c>
      <c r="J412" s="213">
        <v>11800</v>
      </c>
      <c r="K412" s="213">
        <v>11800</v>
      </c>
      <c r="L412" s="214">
        <v>12610</v>
      </c>
      <c r="M412" s="214">
        <v>9905</v>
      </c>
      <c r="N412" s="547"/>
      <c r="O412" s="213"/>
      <c r="P412" s="213"/>
      <c r="Q412" s="213"/>
      <c r="R412" s="214"/>
      <c r="S412" s="214"/>
      <c r="T412" s="547"/>
      <c r="U412" s="215">
        <f t="shared" si="32"/>
        <v>11700</v>
      </c>
    </row>
    <row r="413" spans="2:21" x14ac:dyDescent="0.2">
      <c r="B413" s="196">
        <f t="shared" si="34"/>
        <v>72</v>
      </c>
      <c r="C413" s="210"/>
      <c r="D413" s="210"/>
      <c r="E413" s="210"/>
      <c r="F413" s="211"/>
      <c r="G413" s="212">
        <v>637</v>
      </c>
      <c r="H413" s="210" t="s">
        <v>132</v>
      </c>
      <c r="I413" s="213">
        <f>12000+9500+1800</f>
        <v>23300</v>
      </c>
      <c r="J413" s="213">
        <v>23900</v>
      </c>
      <c r="K413" s="213">
        <v>23900</v>
      </c>
      <c r="L413" s="214">
        <v>21391</v>
      </c>
      <c r="M413" s="214">
        <v>19058</v>
      </c>
      <c r="N413" s="547"/>
      <c r="O413" s="213"/>
      <c r="P413" s="213"/>
      <c r="Q413" s="213"/>
      <c r="R413" s="214"/>
      <c r="S413" s="214"/>
      <c r="T413" s="547"/>
      <c r="U413" s="215">
        <f t="shared" si="32"/>
        <v>23300</v>
      </c>
    </row>
    <row r="414" spans="2:21" x14ac:dyDescent="0.2">
      <c r="B414" s="196">
        <f t="shared" si="34"/>
        <v>73</v>
      </c>
      <c r="C414" s="210"/>
      <c r="D414" s="210"/>
      <c r="E414" s="210"/>
      <c r="F414" s="211"/>
      <c r="G414" s="212">
        <v>637</v>
      </c>
      <c r="H414" s="210" t="s">
        <v>761</v>
      </c>
      <c r="I414" s="213"/>
      <c r="J414" s="213"/>
      <c r="K414" s="213"/>
      <c r="L414" s="214">
        <v>65889</v>
      </c>
      <c r="M414" s="214"/>
      <c r="N414" s="547"/>
      <c r="O414" s="213"/>
      <c r="P414" s="213"/>
      <c r="Q414" s="213"/>
      <c r="R414" s="214"/>
      <c r="S414" s="214"/>
      <c r="T414" s="547"/>
      <c r="U414" s="215">
        <f t="shared" si="32"/>
        <v>0</v>
      </c>
    </row>
    <row r="415" spans="2:21" ht="15.75" x14ac:dyDescent="0.25">
      <c r="B415" s="196">
        <f t="shared" si="34"/>
        <v>74</v>
      </c>
      <c r="C415" s="200">
        <v>5</v>
      </c>
      <c r="D415" s="694" t="s">
        <v>157</v>
      </c>
      <c r="E415" s="695"/>
      <c r="F415" s="695"/>
      <c r="G415" s="695"/>
      <c r="H415" s="695"/>
      <c r="I415" s="201">
        <f>I417+I421+I416</f>
        <v>43800</v>
      </c>
      <c r="J415" s="201">
        <f>J417+J421</f>
        <v>40935</v>
      </c>
      <c r="K415" s="201">
        <f>K417+K421</f>
        <v>42163</v>
      </c>
      <c r="L415" s="202">
        <f>L417+L421</f>
        <v>35010</v>
      </c>
      <c r="M415" s="202">
        <f>M417+M421</f>
        <v>38655</v>
      </c>
      <c r="N415" s="545"/>
      <c r="O415" s="201"/>
      <c r="P415" s="201"/>
      <c r="Q415" s="201"/>
      <c r="R415" s="202">
        <f>R430</f>
        <v>11400</v>
      </c>
      <c r="S415" s="202">
        <f>S425</f>
        <v>9000</v>
      </c>
      <c r="T415" s="545"/>
      <c r="U415" s="203">
        <f t="shared" si="32"/>
        <v>43800</v>
      </c>
    </row>
    <row r="416" spans="2:21" x14ac:dyDescent="0.2">
      <c r="B416" s="196">
        <f t="shared" si="34"/>
        <v>75</v>
      </c>
      <c r="C416" s="204"/>
      <c r="D416" s="204"/>
      <c r="E416" s="204"/>
      <c r="F416" s="205" t="s">
        <v>156</v>
      </c>
      <c r="G416" s="206">
        <v>620</v>
      </c>
      <c r="H416" s="204" t="s">
        <v>134</v>
      </c>
      <c r="I416" s="207">
        <v>500</v>
      </c>
      <c r="J416" s="207">
        <v>629</v>
      </c>
      <c r="K416" s="207"/>
      <c r="L416" s="208"/>
      <c r="M416" s="208"/>
      <c r="N416" s="546"/>
      <c r="O416" s="207"/>
      <c r="P416" s="207"/>
      <c r="Q416" s="207"/>
      <c r="R416" s="208"/>
      <c r="S416" s="208"/>
      <c r="T416" s="546"/>
      <c r="U416" s="209">
        <f t="shared" si="32"/>
        <v>500</v>
      </c>
    </row>
    <row r="417" spans="2:21" x14ac:dyDescent="0.2">
      <c r="B417" s="196">
        <f>B415+1</f>
        <v>75</v>
      </c>
      <c r="C417" s="204"/>
      <c r="D417" s="204"/>
      <c r="E417" s="204"/>
      <c r="F417" s="205" t="s">
        <v>156</v>
      </c>
      <c r="G417" s="206">
        <v>630</v>
      </c>
      <c r="H417" s="204" t="s">
        <v>131</v>
      </c>
      <c r="I417" s="207">
        <f>I420+I419+I418</f>
        <v>34300</v>
      </c>
      <c r="J417" s="207">
        <f>J420+J419+J418</f>
        <v>33735</v>
      </c>
      <c r="K417" s="207">
        <f>K420+K419+K418</f>
        <v>33163</v>
      </c>
      <c r="L417" s="208">
        <f>L420+L419+L418</f>
        <v>22010</v>
      </c>
      <c r="M417" s="208">
        <f>M420+M419+M418</f>
        <v>29655</v>
      </c>
      <c r="N417" s="546"/>
      <c r="O417" s="207"/>
      <c r="P417" s="207"/>
      <c r="Q417" s="207"/>
      <c r="R417" s="208"/>
      <c r="S417" s="208"/>
      <c r="T417" s="546"/>
      <c r="U417" s="209">
        <f t="shared" si="32"/>
        <v>34300</v>
      </c>
    </row>
    <row r="418" spans="2:21" x14ac:dyDescent="0.2">
      <c r="B418" s="196">
        <f t="shared" si="34"/>
        <v>76</v>
      </c>
      <c r="C418" s="210"/>
      <c r="D418" s="210"/>
      <c r="E418" s="210"/>
      <c r="F418" s="211"/>
      <c r="G418" s="212">
        <v>633</v>
      </c>
      <c r="H418" s="210" t="s">
        <v>135</v>
      </c>
      <c r="I418" s="213">
        <v>9300</v>
      </c>
      <c r="J418" s="213">
        <v>9315</v>
      </c>
      <c r="K418" s="213">
        <v>8743</v>
      </c>
      <c r="L418" s="214">
        <v>6752</v>
      </c>
      <c r="M418" s="214">
        <f>5839+3160+1475</f>
        <v>10474</v>
      </c>
      <c r="N418" s="547"/>
      <c r="O418" s="213"/>
      <c r="P418" s="213"/>
      <c r="Q418" s="213"/>
      <c r="R418" s="214"/>
      <c r="S418" s="214"/>
      <c r="T418" s="547"/>
      <c r="U418" s="215">
        <f t="shared" si="32"/>
        <v>9300</v>
      </c>
    </row>
    <row r="419" spans="2:21" x14ac:dyDescent="0.2">
      <c r="B419" s="196">
        <f t="shared" si="34"/>
        <v>77</v>
      </c>
      <c r="C419" s="210"/>
      <c r="D419" s="210"/>
      <c r="E419" s="210"/>
      <c r="F419" s="211"/>
      <c r="G419" s="212">
        <v>634</v>
      </c>
      <c r="H419" s="210" t="s">
        <v>142</v>
      </c>
      <c r="I419" s="213">
        <v>4000</v>
      </c>
      <c r="J419" s="213">
        <v>3550</v>
      </c>
      <c r="K419" s="213">
        <v>3550</v>
      </c>
      <c r="L419" s="214">
        <v>3754</v>
      </c>
      <c r="M419" s="214">
        <v>2870</v>
      </c>
      <c r="N419" s="547"/>
      <c r="O419" s="213"/>
      <c r="P419" s="213"/>
      <c r="Q419" s="213"/>
      <c r="R419" s="214"/>
      <c r="S419" s="214"/>
      <c r="T419" s="547"/>
      <c r="U419" s="215">
        <f t="shared" si="32"/>
        <v>4000</v>
      </c>
    </row>
    <row r="420" spans="2:21" x14ac:dyDescent="0.2">
      <c r="B420" s="196">
        <f t="shared" si="34"/>
        <v>78</v>
      </c>
      <c r="C420" s="210"/>
      <c r="D420" s="210"/>
      <c r="E420" s="210"/>
      <c r="F420" s="211"/>
      <c r="G420" s="212">
        <v>637</v>
      </c>
      <c r="H420" s="210" t="s">
        <v>132</v>
      </c>
      <c r="I420" s="213">
        <v>21000</v>
      </c>
      <c r="J420" s="213">
        <v>20870</v>
      </c>
      <c r="K420" s="213">
        <v>20870</v>
      </c>
      <c r="L420" s="214">
        <v>11504</v>
      </c>
      <c r="M420" s="214">
        <v>16311</v>
      </c>
      <c r="N420" s="547"/>
      <c r="O420" s="213"/>
      <c r="P420" s="213"/>
      <c r="Q420" s="213"/>
      <c r="R420" s="214"/>
      <c r="S420" s="214"/>
      <c r="T420" s="547"/>
      <c r="U420" s="215">
        <f t="shared" si="32"/>
        <v>21000</v>
      </c>
    </row>
    <row r="421" spans="2:21" x14ac:dyDescent="0.2">
      <c r="B421" s="196">
        <f t="shared" si="34"/>
        <v>79</v>
      </c>
      <c r="C421" s="204"/>
      <c r="D421" s="204"/>
      <c r="E421" s="204"/>
      <c r="F421" s="205" t="s">
        <v>156</v>
      </c>
      <c r="G421" s="206">
        <v>640</v>
      </c>
      <c r="H421" s="204" t="s">
        <v>139</v>
      </c>
      <c r="I421" s="207">
        <f>I422+I423+I424</f>
        <v>9000</v>
      </c>
      <c r="J421" s="207">
        <f>J422+J423</f>
        <v>7200</v>
      </c>
      <c r="K421" s="207">
        <f>K422+K423+K424</f>
        <v>9000</v>
      </c>
      <c r="L421" s="208">
        <f>SUM(L422:L424)</f>
        <v>13000</v>
      </c>
      <c r="M421" s="208">
        <f>SUM(M422:M423)</f>
        <v>9000</v>
      </c>
      <c r="N421" s="546"/>
      <c r="O421" s="207"/>
      <c r="P421" s="207"/>
      <c r="Q421" s="207"/>
      <c r="R421" s="208"/>
      <c r="S421" s="208"/>
      <c r="T421" s="546"/>
      <c r="U421" s="209">
        <f t="shared" si="32"/>
        <v>9000</v>
      </c>
    </row>
    <row r="422" spans="2:21" x14ac:dyDescent="0.2">
      <c r="B422" s="196">
        <f t="shared" si="34"/>
        <v>80</v>
      </c>
      <c r="C422" s="247"/>
      <c r="D422" s="247"/>
      <c r="E422" s="221"/>
      <c r="F422" s="223"/>
      <c r="G422" s="223"/>
      <c r="H422" s="221" t="s">
        <v>11</v>
      </c>
      <c r="I422" s="224">
        <v>3000</v>
      </c>
      <c r="J422" s="224">
        <v>2400</v>
      </c>
      <c r="K422" s="224">
        <v>3000</v>
      </c>
      <c r="L422" s="225">
        <v>3000</v>
      </c>
      <c r="M422" s="225">
        <v>3000</v>
      </c>
      <c r="N422" s="549"/>
      <c r="O422" s="224"/>
      <c r="P422" s="224"/>
      <c r="Q422" s="224"/>
      <c r="R422" s="225"/>
      <c r="S422" s="225"/>
      <c r="T422" s="549"/>
      <c r="U422" s="226">
        <f t="shared" si="32"/>
        <v>3000</v>
      </c>
    </row>
    <row r="423" spans="2:21" x14ac:dyDescent="0.2">
      <c r="B423" s="196">
        <f t="shared" si="34"/>
        <v>81</v>
      </c>
      <c r="C423" s="247"/>
      <c r="D423" s="247"/>
      <c r="E423" s="221"/>
      <c r="F423" s="223"/>
      <c r="G423" s="223"/>
      <c r="H423" s="221" t="s">
        <v>12</v>
      </c>
      <c r="I423" s="224">
        <v>6000</v>
      </c>
      <c r="J423" s="224">
        <v>4800</v>
      </c>
      <c r="K423" s="224">
        <v>6000</v>
      </c>
      <c r="L423" s="225">
        <v>6000</v>
      </c>
      <c r="M423" s="225">
        <v>6000</v>
      </c>
      <c r="N423" s="549"/>
      <c r="O423" s="224"/>
      <c r="P423" s="224"/>
      <c r="Q423" s="224"/>
      <c r="R423" s="225"/>
      <c r="S423" s="225"/>
      <c r="T423" s="549"/>
      <c r="U423" s="226">
        <f t="shared" si="32"/>
        <v>6000</v>
      </c>
    </row>
    <row r="424" spans="2:21" x14ac:dyDescent="0.2">
      <c r="B424" s="196">
        <f t="shared" si="34"/>
        <v>82</v>
      </c>
      <c r="C424" s="247"/>
      <c r="D424" s="247"/>
      <c r="E424" s="221"/>
      <c r="F424" s="223"/>
      <c r="G424" s="223"/>
      <c r="H424" s="221" t="s">
        <v>762</v>
      </c>
      <c r="I424" s="224"/>
      <c r="J424" s="224"/>
      <c r="K424" s="224"/>
      <c r="L424" s="225">
        <v>4000</v>
      </c>
      <c r="M424" s="225"/>
      <c r="N424" s="549"/>
      <c r="O424" s="224"/>
      <c r="P424" s="224"/>
      <c r="Q424" s="224"/>
      <c r="R424" s="225"/>
      <c r="S424" s="225"/>
      <c r="T424" s="549"/>
      <c r="U424" s="226">
        <f t="shared" si="32"/>
        <v>0</v>
      </c>
    </row>
    <row r="425" spans="2:21" x14ac:dyDescent="0.2">
      <c r="B425" s="196">
        <f t="shared" si="34"/>
        <v>83</v>
      </c>
      <c r="C425" s="204"/>
      <c r="D425" s="204"/>
      <c r="E425" s="204"/>
      <c r="F425" s="205" t="s">
        <v>156</v>
      </c>
      <c r="G425" s="206">
        <v>710</v>
      </c>
      <c r="H425" s="204" t="s">
        <v>185</v>
      </c>
      <c r="I425" s="207"/>
      <c r="J425" s="207"/>
      <c r="K425" s="207"/>
      <c r="L425" s="208"/>
      <c r="M425" s="208"/>
      <c r="N425" s="546"/>
      <c r="O425" s="207"/>
      <c r="P425" s="207"/>
      <c r="Q425" s="207"/>
      <c r="R425" s="208"/>
      <c r="S425" s="208">
        <f>S426+S428</f>
        <v>9000</v>
      </c>
      <c r="T425" s="546"/>
      <c r="U425" s="209">
        <f t="shared" si="32"/>
        <v>0</v>
      </c>
    </row>
    <row r="426" spans="2:21" x14ac:dyDescent="0.2">
      <c r="B426" s="196">
        <f t="shared" si="34"/>
        <v>84</v>
      </c>
      <c r="C426" s="210"/>
      <c r="D426" s="210"/>
      <c r="E426" s="210"/>
      <c r="F426" s="211"/>
      <c r="G426" s="212">
        <v>713</v>
      </c>
      <c r="H426" s="210" t="s">
        <v>230</v>
      </c>
      <c r="I426" s="213"/>
      <c r="J426" s="213"/>
      <c r="K426" s="213"/>
      <c r="L426" s="214"/>
      <c r="M426" s="214"/>
      <c r="N426" s="547"/>
      <c r="O426" s="213"/>
      <c r="P426" s="213"/>
      <c r="Q426" s="213"/>
      <c r="R426" s="214"/>
      <c r="S426" s="214">
        <f>S427</f>
        <v>5000</v>
      </c>
      <c r="T426" s="547"/>
      <c r="U426" s="215">
        <f t="shared" si="32"/>
        <v>0</v>
      </c>
    </row>
    <row r="427" spans="2:21" x14ac:dyDescent="0.2">
      <c r="B427" s="196">
        <f t="shared" si="34"/>
        <v>85</v>
      </c>
      <c r="C427" s="247"/>
      <c r="D427" s="247"/>
      <c r="E427" s="221"/>
      <c r="F427" s="223"/>
      <c r="G427" s="223"/>
      <c r="H427" s="221" t="s">
        <v>351</v>
      </c>
      <c r="I427" s="224"/>
      <c r="J427" s="224"/>
      <c r="K427" s="224"/>
      <c r="L427" s="225"/>
      <c r="M427" s="225"/>
      <c r="N427" s="549"/>
      <c r="O427" s="224"/>
      <c r="P427" s="224"/>
      <c r="Q427" s="224"/>
      <c r="R427" s="225"/>
      <c r="S427" s="225">
        <v>5000</v>
      </c>
      <c r="T427" s="549"/>
      <c r="U427" s="226">
        <f t="shared" si="32"/>
        <v>0</v>
      </c>
    </row>
    <row r="428" spans="2:21" x14ac:dyDescent="0.2">
      <c r="B428" s="196">
        <f t="shared" si="34"/>
        <v>86</v>
      </c>
      <c r="C428" s="247"/>
      <c r="D428" s="247"/>
      <c r="E428" s="221"/>
      <c r="F428" s="223"/>
      <c r="G428" s="212">
        <v>714</v>
      </c>
      <c r="H428" s="210" t="s">
        <v>186</v>
      </c>
      <c r="I428" s="224"/>
      <c r="J428" s="224"/>
      <c r="K428" s="224"/>
      <c r="L428" s="225"/>
      <c r="M428" s="225"/>
      <c r="N428" s="549"/>
      <c r="O428" s="224"/>
      <c r="P428" s="224"/>
      <c r="Q428" s="224"/>
      <c r="R428" s="225"/>
      <c r="S428" s="225">
        <f>S429</f>
        <v>4000</v>
      </c>
      <c r="T428" s="549"/>
      <c r="U428" s="226">
        <f t="shared" si="32"/>
        <v>0</v>
      </c>
    </row>
    <row r="429" spans="2:21" x14ac:dyDescent="0.2">
      <c r="B429" s="196">
        <f t="shared" si="34"/>
        <v>87</v>
      </c>
      <c r="C429" s="248"/>
      <c r="D429" s="248"/>
      <c r="E429" s="249"/>
      <c r="F429" s="250"/>
      <c r="G429" s="251"/>
      <c r="H429" s="252" t="s">
        <v>670</v>
      </c>
      <c r="I429" s="253"/>
      <c r="J429" s="253"/>
      <c r="K429" s="253"/>
      <c r="L429" s="254"/>
      <c r="M429" s="254"/>
      <c r="N429" s="552"/>
      <c r="O429" s="253"/>
      <c r="P429" s="253"/>
      <c r="Q429" s="253"/>
      <c r="R429" s="254"/>
      <c r="S429" s="254">
        <v>4000</v>
      </c>
      <c r="T429" s="552"/>
      <c r="U429" s="255">
        <f t="shared" si="32"/>
        <v>0</v>
      </c>
    </row>
    <row r="430" spans="2:21" x14ac:dyDescent="0.2">
      <c r="B430" s="196">
        <f t="shared" si="34"/>
        <v>88</v>
      </c>
      <c r="C430" s="120"/>
      <c r="D430" s="120"/>
      <c r="E430" s="156"/>
      <c r="F430" s="205" t="s">
        <v>156</v>
      </c>
      <c r="G430" s="206">
        <v>720</v>
      </c>
      <c r="H430" s="24" t="s">
        <v>4</v>
      </c>
      <c r="I430" s="157"/>
      <c r="J430" s="157"/>
      <c r="K430" s="157"/>
      <c r="L430" s="158"/>
      <c r="M430" s="158"/>
      <c r="N430" s="535"/>
      <c r="O430" s="157"/>
      <c r="P430" s="25"/>
      <c r="Q430" s="286"/>
      <c r="R430" s="26">
        <f>R431+R432</f>
        <v>11400</v>
      </c>
      <c r="S430" s="158"/>
      <c r="T430" s="535"/>
      <c r="U430" s="256">
        <f t="shared" si="32"/>
        <v>0</v>
      </c>
    </row>
    <row r="431" spans="2:21" x14ac:dyDescent="0.2">
      <c r="B431" s="196">
        <f t="shared" si="34"/>
        <v>89</v>
      </c>
      <c r="C431" s="172"/>
      <c r="D431" s="172"/>
      <c r="E431" s="173"/>
      <c r="F431" s="257"/>
      <c r="G431" s="258"/>
      <c r="H431" s="389" t="s">
        <v>763</v>
      </c>
      <c r="I431" s="259"/>
      <c r="J431" s="259"/>
      <c r="K431" s="259"/>
      <c r="L431" s="259"/>
      <c r="M431" s="259"/>
      <c r="N431" s="553"/>
      <c r="O431" s="259"/>
      <c r="P431" s="404"/>
      <c r="Q431" s="259"/>
      <c r="R431" s="417">
        <v>6400</v>
      </c>
      <c r="S431" s="259"/>
      <c r="T431" s="553"/>
      <c r="U431" s="260">
        <f t="shared" si="32"/>
        <v>0</v>
      </c>
    </row>
    <row r="432" spans="2:21" x14ac:dyDescent="0.2">
      <c r="B432" s="196">
        <f t="shared" si="34"/>
        <v>90</v>
      </c>
      <c r="C432" s="261"/>
      <c r="D432" s="261"/>
      <c r="E432" s="262"/>
      <c r="F432" s="263"/>
      <c r="G432" s="264"/>
      <c r="H432" s="405" t="s">
        <v>688</v>
      </c>
      <c r="I432" s="265"/>
      <c r="J432" s="265"/>
      <c r="K432" s="265"/>
      <c r="L432" s="265"/>
      <c r="M432" s="265"/>
      <c r="N432" s="554"/>
      <c r="O432" s="265"/>
      <c r="P432" s="265"/>
      <c r="Q432" s="265"/>
      <c r="R432" s="418">
        <v>5000</v>
      </c>
      <c r="S432" s="265"/>
      <c r="T432" s="554"/>
      <c r="U432" s="266">
        <f t="shared" si="32"/>
        <v>0</v>
      </c>
    </row>
    <row r="437" spans="2:21" ht="27" x14ac:dyDescent="0.35">
      <c r="B437" s="679" t="s">
        <v>22</v>
      </c>
      <c r="C437" s="680"/>
      <c r="D437" s="680"/>
      <c r="E437" s="680"/>
      <c r="F437" s="680"/>
      <c r="G437" s="680"/>
      <c r="H437" s="680"/>
      <c r="I437" s="680"/>
      <c r="J437" s="680"/>
      <c r="K437" s="680"/>
      <c r="L437" s="680"/>
      <c r="M437" s="680"/>
      <c r="N437" s="680"/>
      <c r="O437" s="680"/>
      <c r="P437" s="680"/>
      <c r="Q437" s="680"/>
      <c r="R437" s="680"/>
      <c r="S437" s="680"/>
      <c r="T437" s="680"/>
      <c r="U437" s="680"/>
    </row>
    <row r="438" spans="2:21" ht="13.5" customHeight="1" x14ac:dyDescent="0.2">
      <c r="B438" s="684" t="s">
        <v>842</v>
      </c>
      <c r="C438" s="685"/>
      <c r="D438" s="685"/>
      <c r="E438" s="685"/>
      <c r="F438" s="685"/>
      <c r="G438" s="685"/>
      <c r="H438" s="685"/>
      <c r="I438" s="685"/>
      <c r="J438" s="685"/>
      <c r="K438" s="685"/>
      <c r="L438" s="685"/>
      <c r="M438" s="685"/>
      <c r="N438" s="685"/>
      <c r="O438" s="685"/>
      <c r="P438" s="685"/>
      <c r="Q438" s="685"/>
      <c r="R438" s="685"/>
      <c r="S438" s="685"/>
      <c r="T438" s="567"/>
      <c r="U438" s="682" t="s">
        <v>1207</v>
      </c>
    </row>
    <row r="439" spans="2:21" ht="12.75" customHeight="1" x14ac:dyDescent="0.2">
      <c r="B439" s="681"/>
      <c r="C439" s="681" t="s">
        <v>122</v>
      </c>
      <c r="D439" s="681" t="s">
        <v>123</v>
      </c>
      <c r="E439" s="681"/>
      <c r="F439" s="681" t="s">
        <v>124</v>
      </c>
      <c r="G439" s="689" t="s">
        <v>125</v>
      </c>
      <c r="H439" s="686" t="s">
        <v>126</v>
      </c>
      <c r="I439" s="673" t="s">
        <v>1205</v>
      </c>
      <c r="J439" s="674" t="s">
        <v>837</v>
      </c>
      <c r="K439" s="674" t="s">
        <v>838</v>
      </c>
      <c r="L439" s="672" t="s">
        <v>839</v>
      </c>
      <c r="M439" s="672" t="s">
        <v>643</v>
      </c>
      <c r="N439" s="493"/>
      <c r="O439" s="673" t="s">
        <v>1206</v>
      </c>
      <c r="P439" s="674" t="s">
        <v>840</v>
      </c>
      <c r="Q439" s="674" t="s">
        <v>841</v>
      </c>
      <c r="R439" s="672" t="s">
        <v>839</v>
      </c>
      <c r="S439" s="672" t="s">
        <v>643</v>
      </c>
      <c r="T439" s="493"/>
      <c r="U439" s="683"/>
    </row>
    <row r="440" spans="2:21" x14ac:dyDescent="0.2">
      <c r="B440" s="681"/>
      <c r="C440" s="681"/>
      <c r="D440" s="681"/>
      <c r="E440" s="681"/>
      <c r="F440" s="681"/>
      <c r="G440" s="689"/>
      <c r="H440" s="686"/>
      <c r="I440" s="673"/>
      <c r="J440" s="674"/>
      <c r="K440" s="674"/>
      <c r="L440" s="672"/>
      <c r="M440" s="672"/>
      <c r="N440" s="493"/>
      <c r="O440" s="673"/>
      <c r="P440" s="674"/>
      <c r="Q440" s="674"/>
      <c r="R440" s="672"/>
      <c r="S440" s="672"/>
      <c r="T440" s="493"/>
      <c r="U440" s="683"/>
    </row>
    <row r="441" spans="2:21" x14ac:dyDescent="0.2">
      <c r="B441" s="681"/>
      <c r="C441" s="681"/>
      <c r="D441" s="681"/>
      <c r="E441" s="681"/>
      <c r="F441" s="681"/>
      <c r="G441" s="689"/>
      <c r="H441" s="686"/>
      <c r="I441" s="673"/>
      <c r="J441" s="674"/>
      <c r="K441" s="674"/>
      <c r="L441" s="672"/>
      <c r="M441" s="672"/>
      <c r="N441" s="493"/>
      <c r="O441" s="673"/>
      <c r="P441" s="674"/>
      <c r="Q441" s="674"/>
      <c r="R441" s="672"/>
      <c r="S441" s="672"/>
      <c r="T441" s="493"/>
      <c r="U441" s="683"/>
    </row>
    <row r="442" spans="2:21" x14ac:dyDescent="0.2">
      <c r="B442" s="681"/>
      <c r="C442" s="681"/>
      <c r="D442" s="681"/>
      <c r="E442" s="681"/>
      <c r="F442" s="681"/>
      <c r="G442" s="689"/>
      <c r="H442" s="686"/>
      <c r="I442" s="673"/>
      <c r="J442" s="674"/>
      <c r="K442" s="674"/>
      <c r="L442" s="672"/>
      <c r="M442" s="672"/>
      <c r="N442" s="493"/>
      <c r="O442" s="673"/>
      <c r="P442" s="674"/>
      <c r="Q442" s="674"/>
      <c r="R442" s="672"/>
      <c r="S442" s="672"/>
      <c r="T442" s="493"/>
      <c r="U442" s="683"/>
    </row>
    <row r="443" spans="2:21" ht="15.75" x14ac:dyDescent="0.2">
      <c r="B443" s="8">
        <v>1</v>
      </c>
      <c r="C443" s="687" t="s">
        <v>22</v>
      </c>
      <c r="D443" s="688"/>
      <c r="E443" s="688"/>
      <c r="F443" s="688"/>
      <c r="G443" s="688"/>
      <c r="H443" s="688"/>
      <c r="I443" s="138">
        <f>I444+I456+I494</f>
        <v>7153756</v>
      </c>
      <c r="J443" s="138">
        <f>J494+J456+J444</f>
        <v>5788150</v>
      </c>
      <c r="K443" s="138">
        <f>K494+K456+K444</f>
        <v>5942921</v>
      </c>
      <c r="L443" s="139">
        <f>L444+L456+L494</f>
        <v>5716646</v>
      </c>
      <c r="M443" s="139">
        <f>M444+M456+M494</f>
        <v>4953213</v>
      </c>
      <c r="N443" s="532"/>
      <c r="O443" s="138">
        <f>O494+O456+O444</f>
        <v>2423347</v>
      </c>
      <c r="P443" s="138">
        <f>P494+P456+P444</f>
        <v>4541157</v>
      </c>
      <c r="Q443" s="138">
        <f>Q494+Q456+Q444</f>
        <v>4814153</v>
      </c>
      <c r="R443" s="139">
        <f>R444+R456+R494</f>
        <v>3769857</v>
      </c>
      <c r="S443" s="139">
        <f>S444+S456+S494</f>
        <v>2304486</v>
      </c>
      <c r="T443" s="532"/>
      <c r="U443" s="140">
        <f t="shared" ref="U443:U475" si="35">I443+O443</f>
        <v>9577103</v>
      </c>
    </row>
    <row r="444" spans="2:21" ht="15.75" x14ac:dyDescent="0.25">
      <c r="B444" s="8">
        <f>B443+1</f>
        <v>2</v>
      </c>
      <c r="C444" s="141">
        <v>1</v>
      </c>
      <c r="D444" s="677" t="s">
        <v>606</v>
      </c>
      <c r="E444" s="678"/>
      <c r="F444" s="678"/>
      <c r="G444" s="678"/>
      <c r="H444" s="678"/>
      <c r="I444" s="142">
        <f>I445</f>
        <v>4146277</v>
      </c>
      <c r="J444" s="142">
        <f>J445</f>
        <v>3949150</v>
      </c>
      <c r="K444" s="142">
        <f>K445</f>
        <v>4112921</v>
      </c>
      <c r="L444" s="143">
        <f>L445</f>
        <v>3701255</v>
      </c>
      <c r="M444" s="143">
        <f>M445</f>
        <v>3066096</v>
      </c>
      <c r="N444" s="533"/>
      <c r="O444" s="142">
        <f>O450</f>
        <v>14000</v>
      </c>
      <c r="P444" s="142">
        <f>P450</f>
        <v>14000</v>
      </c>
      <c r="Q444" s="142">
        <f>Q450</f>
        <v>14000</v>
      </c>
      <c r="R444" s="143">
        <f>R450</f>
        <v>27813</v>
      </c>
      <c r="S444" s="143">
        <f>S450</f>
        <v>1600</v>
      </c>
      <c r="T444" s="533"/>
      <c r="U444" s="144">
        <f t="shared" si="35"/>
        <v>4160277</v>
      </c>
    </row>
    <row r="445" spans="2:21" x14ac:dyDescent="0.2">
      <c r="B445" s="8">
        <f t="shared" ref="B445:B471" si="36">B444+1</f>
        <v>3</v>
      </c>
      <c r="C445" s="24"/>
      <c r="D445" s="24"/>
      <c r="E445" s="24"/>
      <c r="F445" s="149" t="s">
        <v>231</v>
      </c>
      <c r="G445" s="150">
        <v>640</v>
      </c>
      <c r="H445" s="24" t="s">
        <v>139</v>
      </c>
      <c r="I445" s="25">
        <f>SUM(I446:I449)</f>
        <v>4146277</v>
      </c>
      <c r="J445" s="25">
        <f>J446+J447+J449</f>
        <v>3949150</v>
      </c>
      <c r="K445" s="25">
        <f>K446+K447+K449</f>
        <v>4112921</v>
      </c>
      <c r="L445" s="26">
        <f>SUM(L446:L449)</f>
        <v>3701255</v>
      </c>
      <c r="M445" s="26">
        <f>SUM(M446:M449)</f>
        <v>3066096</v>
      </c>
      <c r="N445" s="501"/>
      <c r="O445" s="25"/>
      <c r="P445" s="25"/>
      <c r="Q445" s="25"/>
      <c r="R445" s="26"/>
      <c r="S445" s="26"/>
      <c r="T445" s="501"/>
      <c r="U445" s="151">
        <f t="shared" si="35"/>
        <v>4146277</v>
      </c>
    </row>
    <row r="446" spans="2:21" x14ac:dyDescent="0.2">
      <c r="B446" s="8">
        <f t="shared" si="36"/>
        <v>4</v>
      </c>
      <c r="C446" s="156"/>
      <c r="D446" s="156"/>
      <c r="E446" s="156"/>
      <c r="F446" s="155"/>
      <c r="G446" s="155">
        <v>644</v>
      </c>
      <c r="H446" s="156" t="s">
        <v>299</v>
      </c>
      <c r="I446" s="157">
        <v>4106677</v>
      </c>
      <c r="J446" s="157">
        <v>3871150</v>
      </c>
      <c r="K446" s="157">
        <v>4080000</v>
      </c>
      <c r="L446" s="158">
        <v>1992852</v>
      </c>
      <c r="M446" s="158">
        <v>2629044</v>
      </c>
      <c r="N446" s="535"/>
      <c r="O446" s="157"/>
      <c r="P446" s="157"/>
      <c r="Q446" s="157"/>
      <c r="R446" s="158"/>
      <c r="S446" s="158"/>
      <c r="T446" s="535"/>
      <c r="U446" s="159">
        <f t="shared" si="35"/>
        <v>4106677</v>
      </c>
    </row>
    <row r="447" spans="2:21" x14ac:dyDescent="0.2">
      <c r="B447" s="8">
        <f t="shared" si="36"/>
        <v>5</v>
      </c>
      <c r="C447" s="156"/>
      <c r="D447" s="156"/>
      <c r="E447" s="156"/>
      <c r="F447" s="155"/>
      <c r="G447" s="155">
        <v>644</v>
      </c>
      <c r="H447" s="156" t="s">
        <v>844</v>
      </c>
      <c r="I447" s="157">
        <v>0</v>
      </c>
      <c r="J447" s="157">
        <v>50000</v>
      </c>
      <c r="K447" s="157"/>
      <c r="L447" s="158">
        <v>395230</v>
      </c>
      <c r="M447" s="158">
        <v>432881</v>
      </c>
      <c r="N447" s="535"/>
      <c r="O447" s="157"/>
      <c r="P447" s="157"/>
      <c r="Q447" s="157"/>
      <c r="R447" s="158"/>
      <c r="S447" s="158"/>
      <c r="T447" s="535"/>
      <c r="U447" s="159">
        <f t="shared" si="35"/>
        <v>0</v>
      </c>
    </row>
    <row r="448" spans="2:21" x14ac:dyDescent="0.2">
      <c r="B448" s="8">
        <f t="shared" si="36"/>
        <v>6</v>
      </c>
      <c r="C448" s="156"/>
      <c r="D448" s="156"/>
      <c r="E448" s="156"/>
      <c r="F448" s="155"/>
      <c r="G448" s="155">
        <v>644</v>
      </c>
      <c r="H448" s="156" t="s">
        <v>962</v>
      </c>
      <c r="I448" s="157">
        <v>0</v>
      </c>
      <c r="J448" s="157"/>
      <c r="K448" s="157"/>
      <c r="L448" s="158">
        <v>1290260</v>
      </c>
      <c r="M448" s="158"/>
      <c r="N448" s="535"/>
      <c r="O448" s="157"/>
      <c r="P448" s="157"/>
      <c r="Q448" s="157"/>
      <c r="R448" s="158"/>
      <c r="S448" s="158"/>
      <c r="T448" s="535"/>
      <c r="U448" s="159">
        <f t="shared" si="35"/>
        <v>0</v>
      </c>
    </row>
    <row r="449" spans="2:21" x14ac:dyDescent="0.2">
      <c r="B449" s="8">
        <f t="shared" si="36"/>
        <v>7</v>
      </c>
      <c r="C449" s="156"/>
      <c r="D449" s="156"/>
      <c r="E449" s="156"/>
      <c r="F449" s="155"/>
      <c r="G449" s="155">
        <v>644</v>
      </c>
      <c r="H449" s="156" t="s">
        <v>845</v>
      </c>
      <c r="I449" s="157">
        <v>39600</v>
      </c>
      <c r="J449" s="157">
        <v>28000</v>
      </c>
      <c r="K449" s="157">
        <v>32921</v>
      </c>
      <c r="L449" s="158">
        <v>22913</v>
      </c>
      <c r="M449" s="158">
        <v>4171</v>
      </c>
      <c r="N449" s="535"/>
      <c r="O449" s="157"/>
      <c r="P449" s="157"/>
      <c r="Q449" s="157"/>
      <c r="R449" s="158"/>
      <c r="S449" s="158"/>
      <c r="T449" s="535"/>
      <c r="U449" s="159">
        <f t="shared" si="35"/>
        <v>39600</v>
      </c>
    </row>
    <row r="450" spans="2:21" x14ac:dyDescent="0.2">
      <c r="B450" s="8">
        <f t="shared" si="36"/>
        <v>8</v>
      </c>
      <c r="C450" s="24"/>
      <c r="D450" s="24"/>
      <c r="E450" s="24"/>
      <c r="F450" s="149" t="s">
        <v>231</v>
      </c>
      <c r="G450" s="150">
        <v>710</v>
      </c>
      <c r="H450" s="24" t="s">
        <v>185</v>
      </c>
      <c r="I450" s="25"/>
      <c r="J450" s="25"/>
      <c r="K450" s="25"/>
      <c r="L450" s="26"/>
      <c r="M450" s="26"/>
      <c r="N450" s="501"/>
      <c r="O450" s="25">
        <f>O453</f>
        <v>14000</v>
      </c>
      <c r="P450" s="25">
        <f>P451+P453</f>
        <v>14000</v>
      </c>
      <c r="Q450" s="25">
        <f>Q451+Q453</f>
        <v>14000</v>
      </c>
      <c r="R450" s="26">
        <f>R451+R453</f>
        <v>27813</v>
      </c>
      <c r="S450" s="26">
        <f>S453</f>
        <v>1600</v>
      </c>
      <c r="T450" s="501"/>
      <c r="U450" s="151">
        <f t="shared" si="35"/>
        <v>14000</v>
      </c>
    </row>
    <row r="451" spans="2:21" x14ac:dyDescent="0.2">
      <c r="B451" s="8">
        <f t="shared" si="36"/>
        <v>9</v>
      </c>
      <c r="C451" s="24"/>
      <c r="D451" s="24"/>
      <c r="E451" s="24"/>
      <c r="F451" s="152" t="s">
        <v>231</v>
      </c>
      <c r="G451" s="153">
        <v>714</v>
      </c>
      <c r="H451" s="210" t="s">
        <v>186</v>
      </c>
      <c r="I451" s="19"/>
      <c r="J451" s="19"/>
      <c r="K451" s="19"/>
      <c r="L451" s="20"/>
      <c r="M451" s="20"/>
      <c r="N451" s="164"/>
      <c r="O451" s="19"/>
      <c r="P451" s="19"/>
      <c r="Q451" s="19"/>
      <c r="R451" s="20">
        <f>R452</f>
        <v>27813</v>
      </c>
      <c r="S451" s="26"/>
      <c r="T451" s="501"/>
      <c r="U451" s="151">
        <f t="shared" si="35"/>
        <v>0</v>
      </c>
    </row>
    <row r="452" spans="2:21" x14ac:dyDescent="0.2">
      <c r="B452" s="8">
        <f t="shared" si="36"/>
        <v>10</v>
      </c>
      <c r="C452" s="24"/>
      <c r="D452" s="24"/>
      <c r="E452" s="24"/>
      <c r="F452" s="155"/>
      <c r="G452" s="155"/>
      <c r="H452" s="156" t="s">
        <v>826</v>
      </c>
      <c r="I452" s="157"/>
      <c r="J452" s="157"/>
      <c r="K452" s="157"/>
      <c r="L452" s="158"/>
      <c r="M452" s="158"/>
      <c r="N452" s="535"/>
      <c r="O452" s="157"/>
      <c r="P452" s="157"/>
      <c r="Q452" s="157"/>
      <c r="R452" s="158">
        <v>27813</v>
      </c>
      <c r="S452" s="26"/>
      <c r="T452" s="501"/>
      <c r="U452" s="151">
        <f t="shared" si="35"/>
        <v>0</v>
      </c>
    </row>
    <row r="453" spans="2:21" x14ac:dyDescent="0.2">
      <c r="B453" s="8">
        <f t="shared" si="36"/>
        <v>11</v>
      </c>
      <c r="C453" s="18"/>
      <c r="D453" s="18"/>
      <c r="E453" s="18"/>
      <c r="F453" s="152" t="s">
        <v>231</v>
      </c>
      <c r="G453" s="153">
        <v>716</v>
      </c>
      <c r="H453" s="18" t="s">
        <v>226</v>
      </c>
      <c r="I453" s="19"/>
      <c r="J453" s="19"/>
      <c r="K453" s="19"/>
      <c r="L453" s="20"/>
      <c r="M453" s="20"/>
      <c r="N453" s="164"/>
      <c r="O453" s="19">
        <f>O454+O455</f>
        <v>14000</v>
      </c>
      <c r="P453" s="19">
        <f>P454+P455</f>
        <v>14000</v>
      </c>
      <c r="Q453" s="19">
        <f>Q454+Q455</f>
        <v>14000</v>
      </c>
      <c r="R453" s="20"/>
      <c r="S453" s="20">
        <f>S454</f>
        <v>1600</v>
      </c>
      <c r="T453" s="164"/>
      <c r="U453" s="154">
        <f t="shared" si="35"/>
        <v>14000</v>
      </c>
    </row>
    <row r="454" spans="2:21" x14ac:dyDescent="0.2">
      <c r="B454" s="8">
        <f t="shared" si="36"/>
        <v>12</v>
      </c>
      <c r="C454" s="156"/>
      <c r="D454" s="156"/>
      <c r="E454" s="156"/>
      <c r="F454" s="155"/>
      <c r="G454" s="155"/>
      <c r="H454" s="156" t="s">
        <v>505</v>
      </c>
      <c r="I454" s="157"/>
      <c r="J454" s="157"/>
      <c r="K454" s="157"/>
      <c r="L454" s="158"/>
      <c r="M454" s="158"/>
      <c r="N454" s="535"/>
      <c r="O454" s="157">
        <v>10000</v>
      </c>
      <c r="P454" s="157">
        <v>10000</v>
      </c>
      <c r="Q454" s="157">
        <v>10000</v>
      </c>
      <c r="R454" s="158"/>
      <c r="S454" s="158">
        <v>1600</v>
      </c>
      <c r="T454" s="535"/>
      <c r="U454" s="159">
        <f t="shared" si="35"/>
        <v>10000</v>
      </c>
    </row>
    <row r="455" spans="2:21" x14ac:dyDescent="0.2">
      <c r="B455" s="8">
        <f t="shared" si="36"/>
        <v>13</v>
      </c>
      <c r="C455" s="156"/>
      <c r="D455" s="156"/>
      <c r="E455" s="156"/>
      <c r="F455" s="155"/>
      <c r="G455" s="155"/>
      <c r="H455" s="156" t="s">
        <v>531</v>
      </c>
      <c r="I455" s="157"/>
      <c r="J455" s="157"/>
      <c r="K455" s="157"/>
      <c r="L455" s="158"/>
      <c r="M455" s="158"/>
      <c r="N455" s="535"/>
      <c r="O455" s="157">
        <v>4000</v>
      </c>
      <c r="P455" s="157">
        <v>4000</v>
      </c>
      <c r="Q455" s="157">
        <v>4000</v>
      </c>
      <c r="R455" s="158"/>
      <c r="S455" s="158"/>
      <c r="T455" s="535"/>
      <c r="U455" s="159">
        <f t="shared" si="35"/>
        <v>4000</v>
      </c>
    </row>
    <row r="456" spans="2:21" ht="15.75" x14ac:dyDescent="0.25">
      <c r="B456" s="8">
        <f t="shared" si="36"/>
        <v>14</v>
      </c>
      <c r="C456" s="141">
        <v>2</v>
      </c>
      <c r="D456" s="677" t="s">
        <v>281</v>
      </c>
      <c r="E456" s="678"/>
      <c r="F456" s="678"/>
      <c r="G456" s="678"/>
      <c r="H456" s="678"/>
      <c r="I456" s="142">
        <f>I457+I480</f>
        <v>3007479</v>
      </c>
      <c r="J456" s="142">
        <f>J457+J480</f>
        <v>1839000</v>
      </c>
      <c r="K456" s="142">
        <f>K457+K480</f>
        <v>1830000</v>
      </c>
      <c r="L456" s="143">
        <f>L457+L480</f>
        <v>2015391</v>
      </c>
      <c r="M456" s="143">
        <f>M457+M480</f>
        <v>1887117</v>
      </c>
      <c r="N456" s="533"/>
      <c r="O456" s="142">
        <f>O457+O480</f>
        <v>49690</v>
      </c>
      <c r="P456" s="142">
        <f>P480+P457</f>
        <v>62000</v>
      </c>
      <c r="Q456" s="142">
        <f>Q480+Q457</f>
        <v>60800</v>
      </c>
      <c r="R456" s="143">
        <f>R457+R465+R480</f>
        <v>29295</v>
      </c>
      <c r="S456" s="143">
        <f>S457+S465</f>
        <v>9484</v>
      </c>
      <c r="T456" s="533"/>
      <c r="U456" s="144">
        <f t="shared" si="35"/>
        <v>3057169</v>
      </c>
    </row>
    <row r="457" spans="2:21" ht="14.25" x14ac:dyDescent="0.2">
      <c r="B457" s="8">
        <f t="shared" si="36"/>
        <v>15</v>
      </c>
      <c r="C457" s="160"/>
      <c r="D457" s="160">
        <v>1</v>
      </c>
      <c r="E457" s="675" t="s">
        <v>635</v>
      </c>
      <c r="F457" s="676"/>
      <c r="G457" s="676"/>
      <c r="H457" s="676"/>
      <c r="I457" s="161">
        <f>I458+I465</f>
        <v>2563880</v>
      </c>
      <c r="J457" s="161">
        <f>J458+J465</f>
        <v>1389500</v>
      </c>
      <c r="K457" s="161">
        <f>K458+K465</f>
        <v>1388500</v>
      </c>
      <c r="L457" s="162">
        <f>L458+L465</f>
        <v>1660013</v>
      </c>
      <c r="M457" s="162">
        <f>M458+M465</f>
        <v>1548260</v>
      </c>
      <c r="N457" s="534"/>
      <c r="O457" s="161">
        <f>O461</f>
        <v>39690</v>
      </c>
      <c r="P457" s="161">
        <f>P461+P465</f>
        <v>62000</v>
      </c>
      <c r="Q457" s="161">
        <f>Q461+Q465</f>
        <v>60800</v>
      </c>
      <c r="R457" s="162"/>
      <c r="S457" s="162">
        <f>S461</f>
        <v>9484</v>
      </c>
      <c r="T457" s="534"/>
      <c r="U457" s="163">
        <f t="shared" si="35"/>
        <v>2603570</v>
      </c>
    </row>
    <row r="458" spans="2:21" x14ac:dyDescent="0.2">
      <c r="B458" s="8">
        <f t="shared" si="36"/>
        <v>16</v>
      </c>
      <c r="C458" s="24"/>
      <c r="D458" s="24"/>
      <c r="E458" s="24"/>
      <c r="F458" s="149" t="s">
        <v>231</v>
      </c>
      <c r="G458" s="150">
        <v>630</v>
      </c>
      <c r="H458" s="24" t="s">
        <v>131</v>
      </c>
      <c r="I458" s="25">
        <f>SUM(I459:I460)</f>
        <v>30400</v>
      </c>
      <c r="J458" s="25">
        <f>J460</f>
        <v>32000</v>
      </c>
      <c r="K458" s="25">
        <f>K460</f>
        <v>32000</v>
      </c>
      <c r="L458" s="26">
        <f>SUM(L459:L460)</f>
        <v>515475</v>
      </c>
      <c r="M458" s="26">
        <f>SUM(M459:M460)</f>
        <v>964557</v>
      </c>
      <c r="N458" s="501"/>
      <c r="O458" s="25"/>
      <c r="P458" s="25"/>
      <c r="Q458" s="25"/>
      <c r="R458" s="26"/>
      <c r="S458" s="26"/>
      <c r="T458" s="501"/>
      <c r="U458" s="151">
        <f t="shared" si="35"/>
        <v>30400</v>
      </c>
    </row>
    <row r="459" spans="2:21" x14ac:dyDescent="0.2">
      <c r="B459" s="8">
        <f t="shared" si="36"/>
        <v>17</v>
      </c>
      <c r="C459" s="18"/>
      <c r="D459" s="18"/>
      <c r="E459" s="18"/>
      <c r="F459" s="152"/>
      <c r="G459" s="153">
        <v>635</v>
      </c>
      <c r="H459" s="18" t="s">
        <v>143</v>
      </c>
      <c r="I459" s="19">
        <v>0</v>
      </c>
      <c r="J459" s="19"/>
      <c r="K459" s="19"/>
      <c r="L459" s="20">
        <v>509566</v>
      </c>
      <c r="M459" s="20">
        <v>962503</v>
      </c>
      <c r="N459" s="164"/>
      <c r="O459" s="19"/>
      <c r="P459" s="19"/>
      <c r="Q459" s="19"/>
      <c r="R459" s="20"/>
      <c r="S459" s="20"/>
      <c r="T459" s="164"/>
      <c r="U459" s="154">
        <f t="shared" si="35"/>
        <v>0</v>
      </c>
    </row>
    <row r="460" spans="2:21" x14ac:dyDescent="0.2">
      <c r="B460" s="8">
        <f t="shared" si="36"/>
        <v>18</v>
      </c>
      <c r="C460" s="18"/>
      <c r="D460" s="18"/>
      <c r="E460" s="18"/>
      <c r="F460" s="152"/>
      <c r="G460" s="153">
        <v>637</v>
      </c>
      <c r="H460" s="18" t="s">
        <v>132</v>
      </c>
      <c r="I460" s="19">
        <v>30400</v>
      </c>
      <c r="J460" s="19">
        <v>32000</v>
      </c>
      <c r="K460" s="19">
        <v>32000</v>
      </c>
      <c r="L460" s="20">
        <v>5909</v>
      </c>
      <c r="M460" s="20">
        <v>2054</v>
      </c>
      <c r="N460" s="164"/>
      <c r="O460" s="19"/>
      <c r="P460" s="19"/>
      <c r="Q460" s="19"/>
      <c r="R460" s="20"/>
      <c r="S460" s="20"/>
      <c r="T460" s="164"/>
      <c r="U460" s="154">
        <f t="shared" si="35"/>
        <v>30400</v>
      </c>
    </row>
    <row r="461" spans="2:21" x14ac:dyDescent="0.2">
      <c r="B461" s="8">
        <f t="shared" si="36"/>
        <v>19</v>
      </c>
      <c r="C461" s="24"/>
      <c r="D461" s="24"/>
      <c r="E461" s="24"/>
      <c r="F461" s="149" t="s">
        <v>231</v>
      </c>
      <c r="G461" s="150">
        <v>710</v>
      </c>
      <c r="H461" s="24" t="s">
        <v>185</v>
      </c>
      <c r="I461" s="25"/>
      <c r="J461" s="25"/>
      <c r="K461" s="25"/>
      <c r="L461" s="26"/>
      <c r="M461" s="26"/>
      <c r="N461" s="501"/>
      <c r="O461" s="25">
        <f t="shared" ref="O461:Q462" si="37">O462</f>
        <v>39690</v>
      </c>
      <c r="P461" s="25">
        <f t="shared" si="37"/>
        <v>30000</v>
      </c>
      <c r="Q461" s="25">
        <f t="shared" si="37"/>
        <v>30000</v>
      </c>
      <c r="R461" s="26"/>
      <c r="S461" s="26">
        <f>S462</f>
        <v>9484</v>
      </c>
      <c r="T461" s="501"/>
      <c r="U461" s="151">
        <f t="shared" si="35"/>
        <v>39690</v>
      </c>
    </row>
    <row r="462" spans="2:21" x14ac:dyDescent="0.2">
      <c r="B462" s="8">
        <f t="shared" si="36"/>
        <v>20</v>
      </c>
      <c r="C462" s="18"/>
      <c r="D462" s="18"/>
      <c r="E462" s="18"/>
      <c r="F462" s="152"/>
      <c r="G462" s="153">
        <v>717</v>
      </c>
      <c r="H462" s="18" t="s">
        <v>192</v>
      </c>
      <c r="I462" s="19"/>
      <c r="J462" s="19"/>
      <c r="K462" s="19"/>
      <c r="L462" s="20"/>
      <c r="M462" s="20"/>
      <c r="N462" s="164"/>
      <c r="O462" s="19">
        <f>O463+O464</f>
        <v>39690</v>
      </c>
      <c r="P462" s="19">
        <f t="shared" si="37"/>
        <v>30000</v>
      </c>
      <c r="Q462" s="19">
        <f t="shared" si="37"/>
        <v>30000</v>
      </c>
      <c r="R462" s="20"/>
      <c r="S462" s="20">
        <f>S463</f>
        <v>9484</v>
      </c>
      <c r="T462" s="164"/>
      <c r="U462" s="154">
        <f t="shared" si="35"/>
        <v>39690</v>
      </c>
    </row>
    <row r="463" spans="2:21" x14ac:dyDescent="0.2">
      <c r="B463" s="8">
        <f t="shared" si="36"/>
        <v>21</v>
      </c>
      <c r="C463" s="120"/>
      <c r="D463" s="120"/>
      <c r="E463" s="156"/>
      <c r="F463" s="155"/>
      <c r="G463" s="155"/>
      <c r="H463" s="156" t="s">
        <v>325</v>
      </c>
      <c r="I463" s="157"/>
      <c r="J463" s="157"/>
      <c r="K463" s="157"/>
      <c r="L463" s="158"/>
      <c r="M463" s="158"/>
      <c r="N463" s="535"/>
      <c r="O463" s="157">
        <v>19690</v>
      </c>
      <c r="P463" s="157">
        <v>30000</v>
      </c>
      <c r="Q463" s="157">
        <v>30000</v>
      </c>
      <c r="R463" s="158"/>
      <c r="S463" s="158">
        <v>9484</v>
      </c>
      <c r="T463" s="535"/>
      <c r="U463" s="159">
        <f t="shared" si="35"/>
        <v>19690</v>
      </c>
    </row>
    <row r="464" spans="2:21" x14ac:dyDescent="0.2">
      <c r="B464" s="8">
        <f t="shared" si="36"/>
        <v>22</v>
      </c>
      <c r="C464" s="120"/>
      <c r="D464" s="120"/>
      <c r="E464" s="156"/>
      <c r="F464" s="155"/>
      <c r="G464" s="155"/>
      <c r="H464" s="156" t="s">
        <v>1194</v>
      </c>
      <c r="I464" s="157"/>
      <c r="J464" s="157"/>
      <c r="K464" s="157"/>
      <c r="L464" s="158"/>
      <c r="M464" s="158"/>
      <c r="N464" s="535"/>
      <c r="O464" s="157">
        <v>20000</v>
      </c>
      <c r="P464" s="157"/>
      <c r="Q464" s="157"/>
      <c r="R464" s="158"/>
      <c r="S464" s="158"/>
      <c r="T464" s="535"/>
      <c r="U464" s="159">
        <f t="shared" si="35"/>
        <v>20000</v>
      </c>
    </row>
    <row r="465" spans="2:21" ht="14.25" x14ac:dyDescent="0.2">
      <c r="B465" s="8">
        <f t="shared" si="36"/>
        <v>23</v>
      </c>
      <c r="C465" s="267"/>
      <c r="D465" s="267"/>
      <c r="E465" s="267">
        <v>2</v>
      </c>
      <c r="F465" s="268"/>
      <c r="G465" s="268"/>
      <c r="H465" s="267" t="s">
        <v>13</v>
      </c>
      <c r="I465" s="269">
        <f>I466+I467+I468+I475</f>
        <v>2533480</v>
      </c>
      <c r="J465" s="269">
        <f>J466+J467+J468+J475</f>
        <v>1357500</v>
      </c>
      <c r="K465" s="269">
        <f>K466+K467+K468+K475</f>
        <v>1356500</v>
      </c>
      <c r="L465" s="270">
        <f>L466+L467+L468+L475</f>
        <v>1144538</v>
      </c>
      <c r="M465" s="270">
        <f>M466+M467+M468+M475</f>
        <v>583703</v>
      </c>
      <c r="N465" s="534"/>
      <c r="O465" s="269"/>
      <c r="P465" s="269">
        <f>P476</f>
        <v>32000</v>
      </c>
      <c r="Q465" s="269">
        <f>Q476</f>
        <v>30800</v>
      </c>
      <c r="R465" s="270">
        <f>R476</f>
        <v>11999</v>
      </c>
      <c r="S465" s="270"/>
      <c r="T465" s="534"/>
      <c r="U465" s="271">
        <f t="shared" si="35"/>
        <v>2533480</v>
      </c>
    </row>
    <row r="466" spans="2:21" x14ac:dyDescent="0.2">
      <c r="B466" s="8">
        <f t="shared" si="36"/>
        <v>24</v>
      </c>
      <c r="C466" s="24"/>
      <c r="D466" s="24"/>
      <c r="E466" s="24"/>
      <c r="F466" s="149" t="s">
        <v>231</v>
      </c>
      <c r="G466" s="150">
        <v>610</v>
      </c>
      <c r="H466" s="24" t="s">
        <v>141</v>
      </c>
      <c r="I466" s="25">
        <v>107100</v>
      </c>
      <c r="J466" s="25">
        <v>93340</v>
      </c>
      <c r="K466" s="25">
        <v>93340</v>
      </c>
      <c r="L466" s="26">
        <v>87998</v>
      </c>
      <c r="M466" s="26">
        <v>86023</v>
      </c>
      <c r="N466" s="501"/>
      <c r="O466" s="25"/>
      <c r="P466" s="25"/>
      <c r="Q466" s="25"/>
      <c r="R466" s="26"/>
      <c r="S466" s="26"/>
      <c r="T466" s="501"/>
      <c r="U466" s="151">
        <f t="shared" si="35"/>
        <v>107100</v>
      </c>
    </row>
    <row r="467" spans="2:21" x14ac:dyDescent="0.2">
      <c r="B467" s="8">
        <f t="shared" si="36"/>
        <v>25</v>
      </c>
      <c r="C467" s="24"/>
      <c r="D467" s="24"/>
      <c r="E467" s="24"/>
      <c r="F467" s="149" t="s">
        <v>231</v>
      </c>
      <c r="G467" s="150">
        <v>620</v>
      </c>
      <c r="H467" s="24" t="s">
        <v>134</v>
      </c>
      <c r="I467" s="25">
        <v>41555</v>
      </c>
      <c r="J467" s="25">
        <v>35595</v>
      </c>
      <c r="K467" s="25">
        <v>39055</v>
      </c>
      <c r="L467" s="26">
        <v>32244</v>
      </c>
      <c r="M467" s="26">
        <v>30895</v>
      </c>
      <c r="N467" s="501"/>
      <c r="O467" s="25"/>
      <c r="P467" s="25"/>
      <c r="Q467" s="25"/>
      <c r="R467" s="26"/>
      <c r="S467" s="26"/>
      <c r="T467" s="501"/>
      <c r="U467" s="151">
        <f t="shared" si="35"/>
        <v>41555</v>
      </c>
    </row>
    <row r="468" spans="2:21" x14ac:dyDescent="0.2">
      <c r="B468" s="8">
        <f t="shared" si="36"/>
        <v>26</v>
      </c>
      <c r="C468" s="24"/>
      <c r="D468" s="24"/>
      <c r="E468" s="24"/>
      <c r="F468" s="149" t="s">
        <v>231</v>
      </c>
      <c r="G468" s="150">
        <v>630</v>
      </c>
      <c r="H468" s="24" t="s">
        <v>131</v>
      </c>
      <c r="I468" s="25">
        <f>I474+I473+I472+I471+I470+I469</f>
        <v>2377435</v>
      </c>
      <c r="J468" s="25">
        <f>J474+J473+J472+J471+J470+J469</f>
        <v>1221865</v>
      </c>
      <c r="K468" s="25">
        <f>K474+K473+K472+K471+K470+K469</f>
        <v>1216705</v>
      </c>
      <c r="L468" s="26">
        <f>SUM(L469:L474)</f>
        <v>1017303</v>
      </c>
      <c r="M468" s="26">
        <f>SUM(M470:M474)</f>
        <v>466369</v>
      </c>
      <c r="N468" s="501"/>
      <c r="O468" s="25"/>
      <c r="P468" s="25"/>
      <c r="Q468" s="25"/>
      <c r="R468" s="26"/>
      <c r="S468" s="26"/>
      <c r="T468" s="501"/>
      <c r="U468" s="151">
        <f t="shared" si="35"/>
        <v>2377435</v>
      </c>
    </row>
    <row r="469" spans="2:21" x14ac:dyDescent="0.2">
      <c r="B469" s="8">
        <f t="shared" si="36"/>
        <v>27</v>
      </c>
      <c r="C469" s="24"/>
      <c r="D469" s="24"/>
      <c r="E469" s="24"/>
      <c r="F469" s="149"/>
      <c r="G469" s="153">
        <v>632</v>
      </c>
      <c r="H469" s="18" t="s">
        <v>144</v>
      </c>
      <c r="I469" s="19">
        <v>1400</v>
      </c>
      <c r="J469" s="19">
        <v>1550</v>
      </c>
      <c r="K469" s="19">
        <v>1550</v>
      </c>
      <c r="L469" s="20">
        <v>371</v>
      </c>
      <c r="M469" s="26"/>
      <c r="N469" s="501"/>
      <c r="O469" s="25"/>
      <c r="P469" s="25"/>
      <c r="Q469" s="25"/>
      <c r="R469" s="26"/>
      <c r="S469" s="26"/>
      <c r="T469" s="501"/>
      <c r="U469" s="151">
        <f t="shared" si="35"/>
        <v>1400</v>
      </c>
    </row>
    <row r="470" spans="2:21" x14ac:dyDescent="0.2">
      <c r="B470" s="8">
        <f t="shared" si="36"/>
        <v>28</v>
      </c>
      <c r="C470" s="18"/>
      <c r="D470" s="18"/>
      <c r="E470" s="18"/>
      <c r="F470" s="152"/>
      <c r="G470" s="153">
        <v>633</v>
      </c>
      <c r="H470" s="18" t="s">
        <v>135</v>
      </c>
      <c r="I470" s="19">
        <f>1000+23000+1000+2000</f>
        <v>27000</v>
      </c>
      <c r="J470" s="19">
        <v>24500</v>
      </c>
      <c r="K470" s="19">
        <v>29780</v>
      </c>
      <c r="L470" s="20">
        <v>24319</v>
      </c>
      <c r="M470" s="20">
        <v>14864</v>
      </c>
      <c r="N470" s="164"/>
      <c r="O470" s="19"/>
      <c r="P470" s="19"/>
      <c r="Q470" s="19"/>
      <c r="R470" s="20"/>
      <c r="S470" s="20"/>
      <c r="T470" s="164"/>
      <c r="U470" s="154">
        <f t="shared" si="35"/>
        <v>27000</v>
      </c>
    </row>
    <row r="471" spans="2:21" x14ac:dyDescent="0.2">
      <c r="B471" s="8">
        <f t="shared" si="36"/>
        <v>29</v>
      </c>
      <c r="C471" s="18"/>
      <c r="D471" s="18"/>
      <c r="E471" s="18"/>
      <c r="F471" s="152"/>
      <c r="G471" s="153">
        <v>634</v>
      </c>
      <c r="H471" s="18" t="s">
        <v>142</v>
      </c>
      <c r="I471" s="19">
        <f>9600+7000+550+500</f>
        <v>17650</v>
      </c>
      <c r="J471" s="19">
        <v>17650</v>
      </c>
      <c r="K471" s="19">
        <v>19770</v>
      </c>
      <c r="L471" s="20">
        <v>17363</v>
      </c>
      <c r="M471" s="20">
        <v>14568</v>
      </c>
      <c r="N471" s="164"/>
      <c r="O471" s="19"/>
      <c r="P471" s="19"/>
      <c r="Q471" s="19"/>
      <c r="R471" s="20"/>
      <c r="S471" s="20"/>
      <c r="T471" s="164"/>
      <c r="U471" s="154">
        <f t="shared" si="35"/>
        <v>17650</v>
      </c>
    </row>
    <row r="472" spans="2:21" x14ac:dyDescent="0.2">
      <c r="B472" s="8">
        <f t="shared" ref="B472:B515" si="38">B471+1</f>
        <v>30</v>
      </c>
      <c r="C472" s="18"/>
      <c r="D472" s="18"/>
      <c r="E472" s="18"/>
      <c r="F472" s="152"/>
      <c r="G472" s="153">
        <v>635</v>
      </c>
      <c r="H472" s="18" t="s">
        <v>143</v>
      </c>
      <c r="I472" s="19">
        <f>3000+1550000+1000+756000</f>
        <v>2310000</v>
      </c>
      <c r="J472" s="19">
        <v>1157140</v>
      </c>
      <c r="K472" s="19">
        <v>1138475</v>
      </c>
      <c r="L472" s="20">
        <v>969657</v>
      </c>
      <c r="M472" s="20">
        <v>429626</v>
      </c>
      <c r="N472" s="164"/>
      <c r="O472" s="19"/>
      <c r="P472" s="19"/>
      <c r="Q472" s="19"/>
      <c r="R472" s="20"/>
      <c r="S472" s="20"/>
      <c r="T472" s="164"/>
      <c r="U472" s="154">
        <f t="shared" si="35"/>
        <v>2310000</v>
      </c>
    </row>
    <row r="473" spans="2:21" x14ac:dyDescent="0.2">
      <c r="B473" s="8">
        <f t="shared" si="38"/>
        <v>31</v>
      </c>
      <c r="C473" s="18"/>
      <c r="D473" s="18"/>
      <c r="E473" s="18"/>
      <c r="F473" s="152"/>
      <c r="G473" s="153">
        <v>636</v>
      </c>
      <c r="H473" s="18" t="s">
        <v>136</v>
      </c>
      <c r="I473" s="19">
        <v>500</v>
      </c>
      <c r="J473" s="19">
        <v>500</v>
      </c>
      <c r="K473" s="19">
        <v>2105</v>
      </c>
      <c r="L473" s="20">
        <v>0</v>
      </c>
      <c r="M473" s="20">
        <v>0</v>
      </c>
      <c r="N473" s="164"/>
      <c r="O473" s="19"/>
      <c r="P473" s="19"/>
      <c r="Q473" s="19"/>
      <c r="R473" s="20"/>
      <c r="S473" s="20"/>
      <c r="T473" s="164"/>
      <c r="U473" s="154">
        <f t="shared" si="35"/>
        <v>500</v>
      </c>
    </row>
    <row r="474" spans="2:21" x14ac:dyDescent="0.2">
      <c r="B474" s="8">
        <f t="shared" si="38"/>
        <v>32</v>
      </c>
      <c r="C474" s="18"/>
      <c r="D474" s="18"/>
      <c r="E474" s="18"/>
      <c r="F474" s="152"/>
      <c r="G474" s="153">
        <v>637</v>
      </c>
      <c r="H474" s="18" t="s">
        <v>132</v>
      </c>
      <c r="I474" s="19">
        <f>1000+10400+1500+1775+1000+1610+3600</f>
        <v>20885</v>
      </c>
      <c r="J474" s="19">
        <v>20525</v>
      </c>
      <c r="K474" s="19">
        <v>25025</v>
      </c>
      <c r="L474" s="20">
        <v>5593</v>
      </c>
      <c r="M474" s="20">
        <f>7076+235</f>
        <v>7311</v>
      </c>
      <c r="N474" s="164"/>
      <c r="O474" s="19"/>
      <c r="P474" s="19"/>
      <c r="Q474" s="19"/>
      <c r="R474" s="20"/>
      <c r="S474" s="20"/>
      <c r="T474" s="164"/>
      <c r="U474" s="154">
        <f t="shared" si="35"/>
        <v>20885</v>
      </c>
    </row>
    <row r="475" spans="2:21" x14ac:dyDescent="0.2">
      <c r="B475" s="8">
        <f t="shared" si="38"/>
        <v>33</v>
      </c>
      <c r="C475" s="24"/>
      <c r="D475" s="24"/>
      <c r="E475" s="24"/>
      <c r="F475" s="149" t="s">
        <v>231</v>
      </c>
      <c r="G475" s="150">
        <v>640</v>
      </c>
      <c r="H475" s="24" t="s">
        <v>139</v>
      </c>
      <c r="I475" s="25">
        <f>2190+4200+1000</f>
        <v>7390</v>
      </c>
      <c r="J475" s="25">
        <v>6700</v>
      </c>
      <c r="K475" s="25">
        <v>7400</v>
      </c>
      <c r="L475" s="26">
        <v>6993</v>
      </c>
      <c r="M475" s="26">
        <v>416</v>
      </c>
      <c r="N475" s="501"/>
      <c r="O475" s="25"/>
      <c r="P475" s="25"/>
      <c r="Q475" s="25"/>
      <c r="R475" s="26"/>
      <c r="S475" s="26"/>
      <c r="T475" s="501"/>
      <c r="U475" s="151">
        <f t="shared" si="35"/>
        <v>7390</v>
      </c>
    </row>
    <row r="476" spans="2:21" x14ac:dyDescent="0.2">
      <c r="B476" s="8">
        <f t="shared" si="38"/>
        <v>34</v>
      </c>
      <c r="C476" s="24"/>
      <c r="D476" s="24"/>
      <c r="E476" s="24"/>
      <c r="F476" s="149" t="s">
        <v>231</v>
      </c>
      <c r="G476" s="150">
        <v>710</v>
      </c>
      <c r="H476" s="24" t="s">
        <v>185</v>
      </c>
      <c r="I476" s="25"/>
      <c r="J476" s="25"/>
      <c r="K476" s="25"/>
      <c r="L476" s="26"/>
      <c r="M476" s="26"/>
      <c r="N476" s="501"/>
      <c r="O476" s="25"/>
      <c r="P476" s="25">
        <f>P477</f>
        <v>32000</v>
      </c>
      <c r="Q476" s="25">
        <f>Q477</f>
        <v>30800</v>
      </c>
      <c r="R476" s="26">
        <f>R477</f>
        <v>11999</v>
      </c>
      <c r="S476" s="26"/>
      <c r="T476" s="501"/>
      <c r="U476" s="151">
        <f t="shared" ref="U476:U500" si="39">I476+O476</f>
        <v>0</v>
      </c>
    </row>
    <row r="477" spans="2:21" x14ac:dyDescent="0.2">
      <c r="B477" s="8">
        <f t="shared" si="38"/>
        <v>35</v>
      </c>
      <c r="C477" s="18"/>
      <c r="D477" s="18"/>
      <c r="E477" s="18"/>
      <c r="F477" s="152"/>
      <c r="G477" s="153">
        <v>714</v>
      </c>
      <c r="H477" s="18" t="s">
        <v>186</v>
      </c>
      <c r="I477" s="19"/>
      <c r="J477" s="19"/>
      <c r="K477" s="19"/>
      <c r="L477" s="20"/>
      <c r="M477" s="20"/>
      <c r="N477" s="164"/>
      <c r="O477" s="19"/>
      <c r="P477" s="19">
        <f>P478</f>
        <v>32000</v>
      </c>
      <c r="Q477" s="19">
        <f>Q478</f>
        <v>30800</v>
      </c>
      <c r="R477" s="20">
        <f>R479</f>
        <v>11999</v>
      </c>
      <c r="S477" s="20"/>
      <c r="T477" s="164"/>
      <c r="U477" s="154">
        <f t="shared" si="39"/>
        <v>0</v>
      </c>
    </row>
    <row r="478" spans="2:21" s="165" customFormat="1" x14ac:dyDescent="0.2">
      <c r="B478" s="8">
        <f t="shared" si="38"/>
        <v>36</v>
      </c>
      <c r="C478" s="156"/>
      <c r="D478" s="156"/>
      <c r="E478" s="156"/>
      <c r="F478" s="272"/>
      <c r="G478" s="155"/>
      <c r="H478" s="156" t="s">
        <v>807</v>
      </c>
      <c r="I478" s="157"/>
      <c r="J478" s="157"/>
      <c r="K478" s="158"/>
      <c r="L478" s="158"/>
      <c r="M478" s="158"/>
      <c r="N478" s="535"/>
      <c r="O478" s="157"/>
      <c r="P478" s="157">
        <v>32000</v>
      </c>
      <c r="Q478" s="157">
        <v>30800</v>
      </c>
      <c r="R478" s="158"/>
      <c r="S478" s="158"/>
      <c r="T478" s="535"/>
      <c r="U478" s="159">
        <f t="shared" si="39"/>
        <v>0</v>
      </c>
    </row>
    <row r="479" spans="2:21" s="165" customFormat="1" x14ac:dyDescent="0.2">
      <c r="B479" s="8">
        <f t="shared" si="38"/>
        <v>37</v>
      </c>
      <c r="C479" s="156"/>
      <c r="D479" s="156"/>
      <c r="E479" s="156"/>
      <c r="F479" s="272"/>
      <c r="G479" s="155"/>
      <c r="H479" s="156" t="s">
        <v>490</v>
      </c>
      <c r="I479" s="157"/>
      <c r="J479" s="157"/>
      <c r="K479" s="158"/>
      <c r="L479" s="158"/>
      <c r="M479" s="158"/>
      <c r="N479" s="535"/>
      <c r="O479" s="157"/>
      <c r="P479" s="157"/>
      <c r="Q479" s="157"/>
      <c r="R479" s="158">
        <v>11999</v>
      </c>
      <c r="S479" s="158"/>
      <c r="T479" s="535"/>
      <c r="U479" s="159">
        <f t="shared" si="39"/>
        <v>0</v>
      </c>
    </row>
    <row r="480" spans="2:21" ht="14.25" x14ac:dyDescent="0.2">
      <c r="B480" s="8">
        <f t="shared" si="38"/>
        <v>38</v>
      </c>
      <c r="C480" s="160"/>
      <c r="D480" s="160">
        <v>2</v>
      </c>
      <c r="E480" s="675" t="s">
        <v>636</v>
      </c>
      <c r="F480" s="676"/>
      <c r="G480" s="676"/>
      <c r="H480" s="676"/>
      <c r="I480" s="161">
        <f>I481</f>
        <v>443599</v>
      </c>
      <c r="J480" s="161">
        <f>J481</f>
        <v>449500</v>
      </c>
      <c r="K480" s="161">
        <f>K481</f>
        <v>441500</v>
      </c>
      <c r="L480" s="162">
        <f>L481</f>
        <v>355378</v>
      </c>
      <c r="M480" s="162">
        <f>M481</f>
        <v>338857</v>
      </c>
      <c r="N480" s="534"/>
      <c r="O480" s="161">
        <f>O487</f>
        <v>10000</v>
      </c>
      <c r="P480" s="161"/>
      <c r="Q480" s="161"/>
      <c r="R480" s="162">
        <f>R487</f>
        <v>17296</v>
      </c>
      <c r="S480" s="162"/>
      <c r="T480" s="534"/>
      <c r="U480" s="163">
        <f t="shared" si="39"/>
        <v>453599</v>
      </c>
    </row>
    <row r="481" spans="2:21" x14ac:dyDescent="0.2">
      <c r="B481" s="8">
        <f t="shared" si="38"/>
        <v>39</v>
      </c>
      <c r="C481" s="24"/>
      <c r="D481" s="24"/>
      <c r="E481" s="24"/>
      <c r="F481" s="149" t="s">
        <v>231</v>
      </c>
      <c r="G481" s="150">
        <v>630</v>
      </c>
      <c r="H481" s="24" t="s">
        <v>131</v>
      </c>
      <c r="I481" s="25">
        <f>SUM(I482:I486)</f>
        <v>443599</v>
      </c>
      <c r="J481" s="25">
        <f>J486+J485+J484+J483+J482</f>
        <v>449500</v>
      </c>
      <c r="K481" s="25">
        <f>K486+K485+K484+K483+K482</f>
        <v>441500</v>
      </c>
      <c r="L481" s="26">
        <f>SUM(L482:L486)</f>
        <v>355378</v>
      </c>
      <c r="M481" s="26">
        <f>SUM(M482:M486)</f>
        <v>338857</v>
      </c>
      <c r="N481" s="501"/>
      <c r="O481" s="25"/>
      <c r="P481" s="25"/>
      <c r="Q481" s="25"/>
      <c r="R481" s="26"/>
      <c r="S481" s="26"/>
      <c r="T481" s="501"/>
      <c r="U481" s="151">
        <f t="shared" si="39"/>
        <v>443599</v>
      </c>
    </row>
    <row r="482" spans="2:21" x14ac:dyDescent="0.2">
      <c r="B482" s="8">
        <f t="shared" si="38"/>
        <v>40</v>
      </c>
      <c r="C482" s="18"/>
      <c r="D482" s="18"/>
      <c r="E482" s="18"/>
      <c r="F482" s="152"/>
      <c r="G482" s="153">
        <v>632</v>
      </c>
      <c r="H482" s="18" t="s">
        <v>144</v>
      </c>
      <c r="I482" s="19">
        <v>200000</v>
      </c>
      <c r="J482" s="19">
        <v>175000</v>
      </c>
      <c r="K482" s="19">
        <v>175000</v>
      </c>
      <c r="L482" s="20">
        <v>160547</v>
      </c>
      <c r="M482" s="20">
        <v>135252</v>
      </c>
      <c r="N482" s="164"/>
      <c r="O482" s="19"/>
      <c r="P482" s="19"/>
      <c r="Q482" s="19"/>
      <c r="R482" s="20"/>
      <c r="S482" s="20"/>
      <c r="T482" s="164"/>
      <c r="U482" s="154">
        <f t="shared" si="39"/>
        <v>200000</v>
      </c>
    </row>
    <row r="483" spans="2:21" x14ac:dyDescent="0.2">
      <c r="B483" s="8">
        <f t="shared" si="38"/>
        <v>41</v>
      </c>
      <c r="C483" s="18"/>
      <c r="D483" s="18"/>
      <c r="E483" s="18"/>
      <c r="F483" s="152"/>
      <c r="G483" s="153">
        <v>633</v>
      </c>
      <c r="H483" s="18" t="s">
        <v>135</v>
      </c>
      <c r="I483" s="19">
        <v>8000</v>
      </c>
      <c r="J483" s="19">
        <v>8000</v>
      </c>
      <c r="K483" s="19">
        <v>5000</v>
      </c>
      <c r="L483" s="20">
        <v>8202</v>
      </c>
      <c r="M483" s="20">
        <v>1808</v>
      </c>
      <c r="N483" s="164"/>
      <c r="O483" s="19"/>
      <c r="P483" s="19"/>
      <c r="Q483" s="19"/>
      <c r="R483" s="20"/>
      <c r="S483" s="20"/>
      <c r="T483" s="164"/>
      <c r="U483" s="154">
        <f t="shared" si="39"/>
        <v>8000</v>
      </c>
    </row>
    <row r="484" spans="2:21" x14ac:dyDescent="0.2">
      <c r="B484" s="8">
        <f t="shared" si="38"/>
        <v>42</v>
      </c>
      <c r="C484" s="18"/>
      <c r="D484" s="18"/>
      <c r="E484" s="18"/>
      <c r="F484" s="152"/>
      <c r="G484" s="153">
        <v>635</v>
      </c>
      <c r="H484" s="18" t="s">
        <v>143</v>
      </c>
      <c r="I484" s="19">
        <f>180183+7416</f>
        <v>187599</v>
      </c>
      <c r="J484" s="19">
        <v>200000</v>
      </c>
      <c r="K484" s="19">
        <v>200000</v>
      </c>
      <c r="L484" s="20">
        <v>155887</v>
      </c>
      <c r="M484" s="20">
        <v>139523</v>
      </c>
      <c r="N484" s="164"/>
      <c r="O484" s="19"/>
      <c r="P484" s="19"/>
      <c r="Q484" s="19"/>
      <c r="R484" s="20"/>
      <c r="S484" s="20"/>
      <c r="T484" s="164"/>
      <c r="U484" s="154">
        <f t="shared" si="39"/>
        <v>187599</v>
      </c>
    </row>
    <row r="485" spans="2:21" x14ac:dyDescent="0.2">
      <c r="B485" s="8">
        <f t="shared" si="38"/>
        <v>43</v>
      </c>
      <c r="C485" s="18"/>
      <c r="D485" s="18"/>
      <c r="E485" s="18"/>
      <c r="F485" s="152"/>
      <c r="G485" s="153">
        <v>636</v>
      </c>
      <c r="H485" s="18" t="s">
        <v>136</v>
      </c>
      <c r="I485" s="19">
        <v>0</v>
      </c>
      <c r="J485" s="19"/>
      <c r="K485" s="19"/>
      <c r="L485" s="20">
        <v>9244</v>
      </c>
      <c r="M485" s="20">
        <v>32136</v>
      </c>
      <c r="N485" s="164"/>
      <c r="O485" s="19"/>
      <c r="P485" s="19"/>
      <c r="Q485" s="19"/>
      <c r="R485" s="20"/>
      <c r="S485" s="20"/>
      <c r="T485" s="164"/>
      <c r="U485" s="154">
        <f t="shared" si="39"/>
        <v>0</v>
      </c>
    </row>
    <row r="486" spans="2:21" x14ac:dyDescent="0.2">
      <c r="B486" s="8">
        <f t="shared" si="38"/>
        <v>44</v>
      </c>
      <c r="C486" s="18"/>
      <c r="D486" s="18"/>
      <c r="E486" s="18"/>
      <c r="F486" s="152"/>
      <c r="G486" s="153">
        <v>637</v>
      </c>
      <c r="H486" s="18" t="s">
        <v>132</v>
      </c>
      <c r="I486" s="19">
        <v>48000</v>
      </c>
      <c r="J486" s="19">
        <v>66500</v>
      </c>
      <c r="K486" s="19">
        <v>61500</v>
      </c>
      <c r="L486" s="20">
        <v>21498</v>
      </c>
      <c r="M486" s="20">
        <v>30138</v>
      </c>
      <c r="N486" s="164"/>
      <c r="O486" s="19"/>
      <c r="P486" s="19"/>
      <c r="Q486" s="19"/>
      <c r="R486" s="20"/>
      <c r="S486" s="20"/>
      <c r="T486" s="164"/>
      <c r="U486" s="154">
        <f t="shared" si="39"/>
        <v>48000</v>
      </c>
    </row>
    <row r="487" spans="2:21" x14ac:dyDescent="0.2">
      <c r="B487" s="8">
        <f t="shared" si="38"/>
        <v>45</v>
      </c>
      <c r="C487" s="24"/>
      <c r="D487" s="24"/>
      <c r="E487" s="24"/>
      <c r="F487" s="149" t="s">
        <v>231</v>
      </c>
      <c r="G487" s="150">
        <v>710</v>
      </c>
      <c r="H487" s="24" t="s">
        <v>185</v>
      </c>
      <c r="I487" s="25"/>
      <c r="J487" s="25"/>
      <c r="K487" s="25"/>
      <c r="L487" s="26"/>
      <c r="M487" s="26"/>
      <c r="N487" s="501"/>
      <c r="O487" s="25">
        <f>O488+O490+O492</f>
        <v>10000</v>
      </c>
      <c r="P487" s="25"/>
      <c r="Q487" s="25"/>
      <c r="R487" s="26">
        <f>R488+R490+R492</f>
        <v>17296</v>
      </c>
      <c r="S487" s="26"/>
      <c r="T487" s="501"/>
      <c r="U487" s="151">
        <f t="shared" si="39"/>
        <v>10000</v>
      </c>
    </row>
    <row r="488" spans="2:21" x14ac:dyDescent="0.2">
      <c r="B488" s="8">
        <f t="shared" si="38"/>
        <v>46</v>
      </c>
      <c r="C488" s="18"/>
      <c r="D488" s="18"/>
      <c r="E488" s="18"/>
      <c r="F488" s="152"/>
      <c r="G488" s="153">
        <v>713</v>
      </c>
      <c r="H488" s="18" t="s">
        <v>230</v>
      </c>
      <c r="I488" s="19"/>
      <c r="J488" s="19"/>
      <c r="K488" s="19"/>
      <c r="L488" s="20"/>
      <c r="M488" s="20"/>
      <c r="N488" s="164"/>
      <c r="O488" s="19"/>
      <c r="P488" s="19"/>
      <c r="Q488" s="19"/>
      <c r="R488" s="20">
        <f>R489</f>
        <v>26</v>
      </c>
      <c r="S488" s="20"/>
      <c r="T488" s="164"/>
      <c r="U488" s="154">
        <f t="shared" si="39"/>
        <v>0</v>
      </c>
    </row>
    <row r="489" spans="2:21" x14ac:dyDescent="0.2">
      <c r="B489" s="8">
        <f t="shared" si="38"/>
        <v>47</v>
      </c>
      <c r="C489" s="120"/>
      <c r="D489" s="120"/>
      <c r="E489" s="120"/>
      <c r="F489" s="155"/>
      <c r="G489" s="155"/>
      <c r="H489" s="156" t="s">
        <v>764</v>
      </c>
      <c r="I489" s="157"/>
      <c r="J489" s="157"/>
      <c r="K489" s="157"/>
      <c r="L489" s="158"/>
      <c r="M489" s="158"/>
      <c r="N489" s="535"/>
      <c r="O489" s="157"/>
      <c r="P489" s="157"/>
      <c r="Q489" s="157"/>
      <c r="R489" s="158">
        <v>26</v>
      </c>
      <c r="S489" s="158"/>
      <c r="T489" s="535"/>
      <c r="U489" s="159">
        <f t="shared" si="39"/>
        <v>0</v>
      </c>
    </row>
    <row r="490" spans="2:21" x14ac:dyDescent="0.2">
      <c r="B490" s="8">
        <f t="shared" si="38"/>
        <v>48</v>
      </c>
      <c r="C490" s="18"/>
      <c r="D490" s="18"/>
      <c r="E490" s="18"/>
      <c r="F490" s="152"/>
      <c r="G490" s="153">
        <v>716</v>
      </c>
      <c r="H490" s="18" t="s">
        <v>226</v>
      </c>
      <c r="I490" s="19"/>
      <c r="J490" s="19"/>
      <c r="K490" s="19"/>
      <c r="L490" s="20"/>
      <c r="M490" s="20"/>
      <c r="N490" s="164"/>
      <c r="O490" s="19">
        <f>O491</f>
        <v>10000</v>
      </c>
      <c r="P490" s="19"/>
      <c r="Q490" s="19"/>
      <c r="R490" s="20"/>
      <c r="S490" s="20"/>
      <c r="T490" s="164"/>
      <c r="U490" s="154">
        <f t="shared" si="39"/>
        <v>10000</v>
      </c>
    </row>
    <row r="491" spans="2:21" x14ac:dyDescent="0.2">
      <c r="B491" s="8">
        <f t="shared" si="38"/>
        <v>49</v>
      </c>
      <c r="C491" s="120"/>
      <c r="D491" s="120"/>
      <c r="E491" s="120"/>
      <c r="F491" s="155"/>
      <c r="G491" s="155"/>
      <c r="H491" s="156" t="s">
        <v>1087</v>
      </c>
      <c r="I491" s="157"/>
      <c r="J491" s="157"/>
      <c r="K491" s="157"/>
      <c r="L491" s="158"/>
      <c r="M491" s="158"/>
      <c r="N491" s="535"/>
      <c r="O491" s="157">
        <v>10000</v>
      </c>
      <c r="P491" s="157"/>
      <c r="Q491" s="157"/>
      <c r="R491" s="158"/>
      <c r="S491" s="158"/>
      <c r="T491" s="535"/>
      <c r="U491" s="159">
        <f t="shared" si="39"/>
        <v>10000</v>
      </c>
    </row>
    <row r="492" spans="2:21" x14ac:dyDescent="0.2">
      <c r="B492" s="8">
        <f t="shared" si="38"/>
        <v>50</v>
      </c>
      <c r="C492" s="120"/>
      <c r="D492" s="120"/>
      <c r="E492" s="120"/>
      <c r="F492" s="155"/>
      <c r="G492" s="155">
        <v>717</v>
      </c>
      <c r="H492" s="156" t="s">
        <v>192</v>
      </c>
      <c r="I492" s="157"/>
      <c r="J492" s="25"/>
      <c r="K492" s="26"/>
      <c r="L492" s="158"/>
      <c r="M492" s="158"/>
      <c r="N492" s="535"/>
      <c r="O492" s="157"/>
      <c r="P492" s="157"/>
      <c r="Q492" s="157"/>
      <c r="R492" s="158">
        <f>R493</f>
        <v>17270</v>
      </c>
      <c r="S492" s="158"/>
      <c r="T492" s="535"/>
      <c r="U492" s="159">
        <f t="shared" si="39"/>
        <v>0</v>
      </c>
    </row>
    <row r="493" spans="2:21" x14ac:dyDescent="0.2">
      <c r="B493" s="8">
        <f t="shared" si="38"/>
        <v>51</v>
      </c>
      <c r="C493" s="120"/>
      <c r="D493" s="120"/>
      <c r="E493" s="120"/>
      <c r="F493" s="155"/>
      <c r="G493" s="155"/>
      <c r="H493" s="156" t="s">
        <v>765</v>
      </c>
      <c r="I493" s="157"/>
      <c r="J493" s="157"/>
      <c r="K493" s="157"/>
      <c r="L493" s="158"/>
      <c r="M493" s="158"/>
      <c r="N493" s="535"/>
      <c r="O493" s="157"/>
      <c r="P493" s="157"/>
      <c r="Q493" s="157"/>
      <c r="R493" s="158">
        <v>17270</v>
      </c>
      <c r="S493" s="158"/>
      <c r="T493" s="535"/>
      <c r="U493" s="159">
        <f t="shared" si="39"/>
        <v>0</v>
      </c>
    </row>
    <row r="494" spans="2:21" ht="15.75" x14ac:dyDescent="0.25">
      <c r="B494" s="8">
        <f t="shared" si="38"/>
        <v>52</v>
      </c>
      <c r="C494" s="141">
        <v>3</v>
      </c>
      <c r="D494" s="677" t="s">
        <v>237</v>
      </c>
      <c r="E494" s="678"/>
      <c r="F494" s="678"/>
      <c r="G494" s="678"/>
      <c r="H494" s="678"/>
      <c r="I494" s="142"/>
      <c r="J494" s="142"/>
      <c r="K494" s="142"/>
      <c r="L494" s="143"/>
      <c r="M494" s="143"/>
      <c r="N494" s="533"/>
      <c r="O494" s="142">
        <f>O495</f>
        <v>2359657</v>
      </c>
      <c r="P494" s="142">
        <f>P495</f>
        <v>4465157</v>
      </c>
      <c r="Q494" s="142">
        <f>Q495</f>
        <v>4739353</v>
      </c>
      <c r="R494" s="143">
        <f>R495</f>
        <v>3712749</v>
      </c>
      <c r="S494" s="143">
        <f>S495</f>
        <v>2293402</v>
      </c>
      <c r="T494" s="533"/>
      <c r="U494" s="144">
        <f t="shared" si="39"/>
        <v>2359657</v>
      </c>
    </row>
    <row r="495" spans="2:21" x14ac:dyDescent="0.2">
      <c r="B495" s="8">
        <f t="shared" si="38"/>
        <v>53</v>
      </c>
      <c r="C495" s="24"/>
      <c r="D495" s="24"/>
      <c r="E495" s="24"/>
      <c r="F495" s="149" t="s">
        <v>231</v>
      </c>
      <c r="G495" s="150">
        <v>710</v>
      </c>
      <c r="H495" s="24" t="s">
        <v>185</v>
      </c>
      <c r="I495" s="25"/>
      <c r="L495" s="26"/>
      <c r="M495" s="26"/>
      <c r="N495" s="501"/>
      <c r="O495" s="25">
        <f>O498+O558</f>
        <v>2359657</v>
      </c>
      <c r="P495" s="25">
        <f>P496+P498+P558</f>
        <v>4465157</v>
      </c>
      <c r="Q495" s="25">
        <f>Q496+Q498+Q558</f>
        <v>4739353</v>
      </c>
      <c r="R495" s="26">
        <f>R496+R498+R558</f>
        <v>3712749</v>
      </c>
      <c r="S495" s="26">
        <f>S496+S498+S558</f>
        <v>2293402</v>
      </c>
      <c r="T495" s="501"/>
      <c r="U495" s="151">
        <f t="shared" si="39"/>
        <v>2359657</v>
      </c>
    </row>
    <row r="496" spans="2:21" x14ac:dyDescent="0.2">
      <c r="B496" s="8">
        <f t="shared" si="38"/>
        <v>54</v>
      </c>
      <c r="C496" s="273"/>
      <c r="D496" s="273"/>
      <c r="E496" s="273"/>
      <c r="F496" s="274"/>
      <c r="G496" s="275">
        <v>711</v>
      </c>
      <c r="H496" s="273" t="s">
        <v>219</v>
      </c>
      <c r="I496" s="276"/>
      <c r="J496" s="276"/>
      <c r="K496" s="277"/>
      <c r="L496" s="277"/>
      <c r="M496" s="277"/>
      <c r="N496" s="164"/>
      <c r="O496" s="276"/>
      <c r="P496" s="276"/>
      <c r="Q496" s="276"/>
      <c r="R496" s="277"/>
      <c r="S496" s="277">
        <f>S497</f>
        <v>50904</v>
      </c>
      <c r="T496" s="164"/>
      <c r="U496" s="278">
        <f t="shared" si="39"/>
        <v>0</v>
      </c>
    </row>
    <row r="497" spans="2:21" x14ac:dyDescent="0.2">
      <c r="B497" s="8">
        <f t="shared" si="38"/>
        <v>55</v>
      </c>
      <c r="C497" s="120"/>
      <c r="D497" s="120"/>
      <c r="E497" s="120"/>
      <c r="F497" s="155"/>
      <c r="G497" s="155"/>
      <c r="H497" s="156" t="s">
        <v>506</v>
      </c>
      <c r="I497" s="157"/>
      <c r="J497" s="157"/>
      <c r="K497" s="158"/>
      <c r="L497" s="158"/>
      <c r="M497" s="158"/>
      <c r="N497" s="535"/>
      <c r="O497" s="157"/>
      <c r="P497" s="157"/>
      <c r="Q497" s="157"/>
      <c r="R497" s="158"/>
      <c r="S497" s="158">
        <v>50904</v>
      </c>
      <c r="T497" s="535"/>
      <c r="U497" s="159">
        <f t="shared" si="39"/>
        <v>0</v>
      </c>
    </row>
    <row r="498" spans="2:21" x14ac:dyDescent="0.2">
      <c r="B498" s="8">
        <f t="shared" si="38"/>
        <v>56</v>
      </c>
      <c r="C498" s="273"/>
      <c r="D498" s="273"/>
      <c r="E498" s="273"/>
      <c r="F498" s="274"/>
      <c r="G498" s="275">
        <v>716</v>
      </c>
      <c r="H498" s="273" t="s">
        <v>226</v>
      </c>
      <c r="I498" s="276"/>
      <c r="J498" s="276"/>
      <c r="K498" s="277"/>
      <c r="L498" s="277"/>
      <c r="M498" s="277"/>
      <c r="N498" s="164"/>
      <c r="O498" s="276">
        <f>SUM(O499:O557)</f>
        <v>1016157</v>
      </c>
      <c r="P498" s="276">
        <f>SUM(P499:P557)</f>
        <v>1366890</v>
      </c>
      <c r="Q498" s="276">
        <f>SUM(Q499:Q557)</f>
        <v>1337190</v>
      </c>
      <c r="R498" s="277">
        <f>SUM(R499:R557)</f>
        <v>138763</v>
      </c>
      <c r="S498" s="277">
        <f>SUM(S499:S557)</f>
        <v>67466</v>
      </c>
      <c r="T498" s="164"/>
      <c r="U498" s="278">
        <f t="shared" si="39"/>
        <v>1016157</v>
      </c>
    </row>
    <row r="499" spans="2:21" x14ac:dyDescent="0.2">
      <c r="B499" s="8">
        <f t="shared" si="38"/>
        <v>57</v>
      </c>
      <c r="C499" s="120"/>
      <c r="D499" s="120"/>
      <c r="E499" s="120"/>
      <c r="F499" s="155"/>
      <c r="G499" s="155"/>
      <c r="H499" s="156" t="s">
        <v>415</v>
      </c>
      <c r="I499" s="157"/>
      <c r="J499" s="157"/>
      <c r="K499" s="158"/>
      <c r="L499" s="158"/>
      <c r="M499" s="158"/>
      <c r="N499" s="535"/>
      <c r="O499" s="157">
        <v>26961</v>
      </c>
      <c r="P499" s="157">
        <v>5000</v>
      </c>
      <c r="Q499" s="157">
        <v>5000</v>
      </c>
      <c r="R499" s="158">
        <v>3754</v>
      </c>
      <c r="S499" s="158">
        <v>870</v>
      </c>
      <c r="T499" s="535"/>
      <c r="U499" s="159">
        <f t="shared" si="39"/>
        <v>26961</v>
      </c>
    </row>
    <row r="500" spans="2:21" x14ac:dyDescent="0.2">
      <c r="B500" s="8">
        <f t="shared" si="38"/>
        <v>58</v>
      </c>
      <c r="C500" s="120"/>
      <c r="D500" s="120"/>
      <c r="E500" s="120"/>
      <c r="F500" s="155"/>
      <c r="G500" s="155"/>
      <c r="H500" s="156" t="s">
        <v>581</v>
      </c>
      <c r="I500" s="157"/>
      <c r="J500" s="157"/>
      <c r="K500" s="158"/>
      <c r="L500" s="158"/>
      <c r="M500" s="158"/>
      <c r="N500" s="535"/>
      <c r="O500" s="157">
        <f>40852+3500</f>
        <v>44352</v>
      </c>
      <c r="P500" s="157">
        <v>30000</v>
      </c>
      <c r="Q500" s="157">
        <v>27000</v>
      </c>
      <c r="R500" s="158">
        <v>22730</v>
      </c>
      <c r="S500" s="158">
        <v>11575</v>
      </c>
      <c r="T500" s="535"/>
      <c r="U500" s="159">
        <f t="shared" si="39"/>
        <v>44352</v>
      </c>
    </row>
    <row r="501" spans="2:21" x14ac:dyDescent="0.2">
      <c r="B501" s="8">
        <f t="shared" si="38"/>
        <v>59</v>
      </c>
      <c r="C501" s="120"/>
      <c r="D501" s="120"/>
      <c r="E501" s="120"/>
      <c r="F501" s="155"/>
      <c r="G501" s="155"/>
      <c r="H501" s="156" t="s">
        <v>1047</v>
      </c>
      <c r="I501" s="157"/>
      <c r="J501" s="157"/>
      <c r="K501" s="158"/>
      <c r="L501" s="158"/>
      <c r="M501" s="158"/>
      <c r="N501" s="535"/>
      <c r="O501" s="157">
        <v>15000</v>
      </c>
      <c r="P501" s="157"/>
      <c r="Q501" s="157"/>
      <c r="R501" s="158"/>
      <c r="S501" s="158"/>
      <c r="T501" s="535"/>
      <c r="U501" s="159"/>
    </row>
    <row r="502" spans="2:21" x14ac:dyDescent="0.2">
      <c r="B502" s="8">
        <f t="shared" si="38"/>
        <v>60</v>
      </c>
      <c r="C502" s="120"/>
      <c r="D502" s="120"/>
      <c r="E502" s="120"/>
      <c r="F502" s="155"/>
      <c r="G502" s="155"/>
      <c r="H502" s="156" t="s">
        <v>699</v>
      </c>
      <c r="I502" s="157"/>
      <c r="J502" s="157"/>
      <c r="K502" s="158"/>
      <c r="L502" s="158"/>
      <c r="M502" s="158"/>
      <c r="N502" s="535"/>
      <c r="O502" s="157"/>
      <c r="P502" s="157">
        <v>5500</v>
      </c>
      <c r="Q502" s="157"/>
      <c r="R502" s="158">
        <v>4450</v>
      </c>
      <c r="S502" s="158"/>
      <c r="T502" s="535"/>
      <c r="U502" s="159">
        <f t="shared" ref="U502:U540" si="40">I502+O502</f>
        <v>0</v>
      </c>
    </row>
    <row r="503" spans="2:21" x14ac:dyDescent="0.2">
      <c r="B503" s="8">
        <f t="shared" si="38"/>
        <v>61</v>
      </c>
      <c r="C503" s="120"/>
      <c r="D503" s="120"/>
      <c r="E503" s="120"/>
      <c r="F503" s="155"/>
      <c r="G503" s="155"/>
      <c r="H503" s="156" t="s">
        <v>894</v>
      </c>
      <c r="I503" s="157"/>
      <c r="J503" s="157"/>
      <c r="K503" s="158"/>
      <c r="L503" s="158"/>
      <c r="M503" s="158"/>
      <c r="N503" s="535"/>
      <c r="O503" s="157">
        <v>6000</v>
      </c>
      <c r="P503" s="157">
        <v>6000</v>
      </c>
      <c r="Q503" s="157">
        <v>6000</v>
      </c>
      <c r="R503" s="158"/>
      <c r="S503" s="158"/>
      <c r="T503" s="535"/>
      <c r="U503" s="159">
        <f t="shared" si="40"/>
        <v>6000</v>
      </c>
    </row>
    <row r="504" spans="2:21" x14ac:dyDescent="0.2">
      <c r="B504" s="8">
        <f t="shared" si="38"/>
        <v>62</v>
      </c>
      <c r="C504" s="120"/>
      <c r="D504" s="120"/>
      <c r="E504" s="120"/>
      <c r="F504" s="155"/>
      <c r="G504" s="155"/>
      <c r="H504" s="156" t="s">
        <v>406</v>
      </c>
      <c r="I504" s="157"/>
      <c r="J504" s="157"/>
      <c r="K504" s="158"/>
      <c r="L504" s="158"/>
      <c r="M504" s="158"/>
      <c r="N504" s="535"/>
      <c r="O504" s="157"/>
      <c r="P504" s="157"/>
      <c r="Q504" s="157"/>
      <c r="R504" s="158"/>
      <c r="S504" s="158">
        <v>2867</v>
      </c>
      <c r="T504" s="535"/>
      <c r="U504" s="159">
        <f t="shared" si="40"/>
        <v>0</v>
      </c>
    </row>
    <row r="505" spans="2:21" x14ac:dyDescent="0.2">
      <c r="B505" s="8">
        <f t="shared" si="38"/>
        <v>63</v>
      </c>
      <c r="C505" s="120"/>
      <c r="D505" s="120"/>
      <c r="E505" s="120"/>
      <c r="F505" s="155"/>
      <c r="G505" s="155"/>
      <c r="H505" s="156" t="s">
        <v>401</v>
      </c>
      <c r="I505" s="157"/>
      <c r="J505" s="157"/>
      <c r="K505" s="158"/>
      <c r="L505" s="158"/>
      <c r="M505" s="158"/>
      <c r="N505" s="535"/>
      <c r="O505" s="157"/>
      <c r="P505" s="157"/>
      <c r="Q505" s="157"/>
      <c r="R505" s="158"/>
      <c r="S505" s="158">
        <v>2300</v>
      </c>
      <c r="T505" s="535"/>
      <c r="U505" s="159">
        <f t="shared" si="40"/>
        <v>0</v>
      </c>
    </row>
    <row r="506" spans="2:21" x14ac:dyDescent="0.2">
      <c r="B506" s="8">
        <f t="shared" si="38"/>
        <v>64</v>
      </c>
      <c r="C506" s="120"/>
      <c r="D506" s="120"/>
      <c r="E506" s="120"/>
      <c r="F506" s="155"/>
      <c r="G506" s="155"/>
      <c r="H506" s="156" t="s">
        <v>402</v>
      </c>
      <c r="I506" s="157"/>
      <c r="J506" s="157"/>
      <c r="K506" s="158"/>
      <c r="L506" s="158"/>
      <c r="M506" s="158"/>
      <c r="N506" s="535"/>
      <c r="O506" s="157"/>
      <c r="P506" s="157"/>
      <c r="Q506" s="157"/>
      <c r="R506" s="158"/>
      <c r="S506" s="158">
        <v>2300</v>
      </c>
      <c r="T506" s="535"/>
      <c r="U506" s="159">
        <f t="shared" si="40"/>
        <v>0</v>
      </c>
    </row>
    <row r="507" spans="2:21" x14ac:dyDescent="0.2">
      <c r="B507" s="8">
        <f t="shared" si="38"/>
        <v>65</v>
      </c>
      <c r="C507" s="120"/>
      <c r="D507" s="120"/>
      <c r="E507" s="120"/>
      <c r="F507" s="155"/>
      <c r="G507" s="155"/>
      <c r="H507" s="156" t="s">
        <v>1185</v>
      </c>
      <c r="I507" s="157"/>
      <c r="J507" s="157"/>
      <c r="K507" s="158"/>
      <c r="L507" s="158"/>
      <c r="M507" s="158"/>
      <c r="N507" s="535"/>
      <c r="O507" s="157">
        <v>3000</v>
      </c>
      <c r="P507" s="157"/>
      <c r="Q507" s="157"/>
      <c r="R507" s="158"/>
      <c r="S507" s="158"/>
      <c r="T507" s="535"/>
      <c r="U507" s="159">
        <f t="shared" si="40"/>
        <v>3000</v>
      </c>
    </row>
    <row r="508" spans="2:21" x14ac:dyDescent="0.2">
      <c r="B508" s="8">
        <f t="shared" si="38"/>
        <v>66</v>
      </c>
      <c r="C508" s="120"/>
      <c r="D508" s="120"/>
      <c r="E508" s="120"/>
      <c r="F508" s="155"/>
      <c r="G508" s="155"/>
      <c r="H508" s="156" t="s">
        <v>689</v>
      </c>
      <c r="I508" s="157"/>
      <c r="J508" s="157"/>
      <c r="K508" s="158"/>
      <c r="L508" s="158"/>
      <c r="M508" s="158"/>
      <c r="N508" s="535"/>
      <c r="O508" s="157"/>
      <c r="P508" s="157"/>
      <c r="Q508" s="157"/>
      <c r="R508" s="158">
        <v>1111</v>
      </c>
      <c r="S508" s="158"/>
      <c r="T508" s="535"/>
      <c r="U508" s="159">
        <f t="shared" si="40"/>
        <v>0</v>
      </c>
    </row>
    <row r="509" spans="2:21" x14ac:dyDescent="0.2">
      <c r="B509" s="8">
        <f t="shared" si="38"/>
        <v>67</v>
      </c>
      <c r="C509" s="120"/>
      <c r="D509" s="120"/>
      <c r="E509" s="120"/>
      <c r="F509" s="155"/>
      <c r="G509" s="155"/>
      <c r="H509" s="156" t="s">
        <v>315</v>
      </c>
      <c r="I509" s="157"/>
      <c r="J509" s="157"/>
      <c r="K509" s="158"/>
      <c r="L509" s="158"/>
      <c r="M509" s="158"/>
      <c r="N509" s="535"/>
      <c r="O509" s="157"/>
      <c r="P509" s="157"/>
      <c r="Q509" s="157"/>
      <c r="R509" s="158"/>
      <c r="S509" s="158">
        <v>854</v>
      </c>
      <c r="T509" s="535"/>
      <c r="U509" s="159">
        <f t="shared" si="40"/>
        <v>0</v>
      </c>
    </row>
    <row r="510" spans="2:21" x14ac:dyDescent="0.2">
      <c r="B510" s="8">
        <f t="shared" si="38"/>
        <v>68</v>
      </c>
      <c r="C510" s="120"/>
      <c r="D510" s="120"/>
      <c r="E510" s="120"/>
      <c r="F510" s="155"/>
      <c r="G510" s="155"/>
      <c r="H510" s="156" t="s">
        <v>40</v>
      </c>
      <c r="I510" s="157"/>
      <c r="J510" s="157"/>
      <c r="K510" s="158"/>
      <c r="L510" s="158"/>
      <c r="M510" s="158"/>
      <c r="N510" s="535"/>
      <c r="O510" s="157"/>
      <c r="P510" s="157">
        <v>5000</v>
      </c>
      <c r="Q510" s="157">
        <v>5000</v>
      </c>
      <c r="R510" s="158">
        <v>49</v>
      </c>
      <c r="S510" s="158"/>
      <c r="T510" s="535"/>
      <c r="U510" s="159">
        <f t="shared" si="40"/>
        <v>0</v>
      </c>
    </row>
    <row r="511" spans="2:21" x14ac:dyDescent="0.2">
      <c r="B511" s="8">
        <f t="shared" si="38"/>
        <v>69</v>
      </c>
      <c r="C511" s="120"/>
      <c r="D511" s="120"/>
      <c r="E511" s="120"/>
      <c r="F511" s="155"/>
      <c r="G511" s="155"/>
      <c r="H511" s="156" t="s">
        <v>895</v>
      </c>
      <c r="I511" s="157"/>
      <c r="J511" s="157"/>
      <c r="K511" s="158"/>
      <c r="L511" s="158"/>
      <c r="M511" s="158"/>
      <c r="N511" s="535"/>
      <c r="O511" s="157">
        <v>100000</v>
      </c>
      <c r="P511" s="157">
        <v>100000</v>
      </c>
      <c r="Q511" s="157">
        <v>100000</v>
      </c>
      <c r="R511" s="158"/>
      <c r="S511" s="158"/>
      <c r="T511" s="535"/>
      <c r="U511" s="159">
        <f t="shared" si="40"/>
        <v>100000</v>
      </c>
    </row>
    <row r="512" spans="2:21" x14ac:dyDescent="0.2">
      <c r="B512" s="8">
        <f t="shared" si="38"/>
        <v>70</v>
      </c>
      <c r="C512" s="120"/>
      <c r="D512" s="120"/>
      <c r="E512" s="120"/>
      <c r="F512" s="155"/>
      <c r="G512" s="155"/>
      <c r="H512" s="156" t="s">
        <v>404</v>
      </c>
      <c r="I512" s="157"/>
      <c r="J512" s="157"/>
      <c r="K512" s="158"/>
      <c r="L512" s="158"/>
      <c r="M512" s="158"/>
      <c r="N512" s="535"/>
      <c r="O512" s="157">
        <v>70000</v>
      </c>
      <c r="P512" s="157">
        <v>62090</v>
      </c>
      <c r="Q512" s="157">
        <v>62090</v>
      </c>
      <c r="R512" s="158">
        <v>4910</v>
      </c>
      <c r="S512" s="158"/>
      <c r="T512" s="535"/>
      <c r="U512" s="159">
        <f t="shared" si="40"/>
        <v>70000</v>
      </c>
    </row>
    <row r="513" spans="2:21" x14ac:dyDescent="0.2">
      <c r="B513" s="8">
        <f t="shared" si="38"/>
        <v>71</v>
      </c>
      <c r="C513" s="120"/>
      <c r="D513" s="120"/>
      <c r="E513" s="120"/>
      <c r="F513" s="155"/>
      <c r="G513" s="155"/>
      <c r="H513" s="156" t="s">
        <v>1188</v>
      </c>
      <c r="I513" s="157"/>
      <c r="J513" s="157"/>
      <c r="K513" s="158"/>
      <c r="L513" s="158"/>
      <c r="M513" s="158"/>
      <c r="N513" s="535"/>
      <c r="O513" s="157">
        <v>32000</v>
      </c>
      <c r="P513" s="157"/>
      <c r="Q513" s="157"/>
      <c r="R513" s="158"/>
      <c r="S513" s="158"/>
      <c r="T513" s="535"/>
      <c r="U513" s="159">
        <f t="shared" si="40"/>
        <v>32000</v>
      </c>
    </row>
    <row r="514" spans="2:21" x14ac:dyDescent="0.2">
      <c r="B514" s="8">
        <f t="shared" si="38"/>
        <v>72</v>
      </c>
      <c r="C514" s="120"/>
      <c r="D514" s="120"/>
      <c r="E514" s="120"/>
      <c r="F514" s="155"/>
      <c r="G514" s="155"/>
      <c r="H514" s="156" t="s">
        <v>766</v>
      </c>
      <c r="I514" s="157"/>
      <c r="J514" s="157"/>
      <c r="K514" s="158"/>
      <c r="L514" s="158"/>
      <c r="M514" s="158"/>
      <c r="N514" s="535"/>
      <c r="O514" s="157"/>
      <c r="P514" s="157"/>
      <c r="Q514" s="157"/>
      <c r="R514" s="158">
        <v>3000</v>
      </c>
      <c r="S514" s="158"/>
      <c r="T514" s="535"/>
      <c r="U514" s="159">
        <f t="shared" si="40"/>
        <v>0</v>
      </c>
    </row>
    <row r="515" spans="2:21" x14ac:dyDescent="0.2">
      <c r="B515" s="8">
        <f t="shared" si="38"/>
        <v>73</v>
      </c>
      <c r="C515" s="120"/>
      <c r="D515" s="120"/>
      <c r="E515" s="120"/>
      <c r="F515" s="155"/>
      <c r="G515" s="155"/>
      <c r="H515" s="156" t="s">
        <v>396</v>
      </c>
      <c r="I515" s="157"/>
      <c r="J515" s="157"/>
      <c r="K515" s="158"/>
      <c r="L515" s="158"/>
      <c r="M515" s="158"/>
      <c r="N515" s="535"/>
      <c r="O515" s="157"/>
      <c r="P515" s="157">
        <v>29000</v>
      </c>
      <c r="Q515" s="157">
        <v>29000</v>
      </c>
      <c r="R515" s="158">
        <v>16057</v>
      </c>
      <c r="S515" s="158"/>
      <c r="T515" s="535"/>
      <c r="U515" s="159">
        <f t="shared" si="40"/>
        <v>0</v>
      </c>
    </row>
    <row r="516" spans="2:21" x14ac:dyDescent="0.2">
      <c r="B516" s="8">
        <f t="shared" ref="B516:B558" si="41">B515+1</f>
        <v>74</v>
      </c>
      <c r="C516" s="120"/>
      <c r="D516" s="120"/>
      <c r="E516" s="120"/>
      <c r="F516" s="155"/>
      <c r="G516" s="155"/>
      <c r="H516" s="156" t="s">
        <v>1144</v>
      </c>
      <c r="I516" s="157"/>
      <c r="J516" s="157"/>
      <c r="K516" s="158"/>
      <c r="L516" s="158"/>
      <c r="M516" s="158"/>
      <c r="N516" s="535"/>
      <c r="O516" s="157">
        <v>381000</v>
      </c>
      <c r="P516" s="157">
        <v>840000</v>
      </c>
      <c r="Q516" s="157">
        <v>840000</v>
      </c>
      <c r="R516" s="158"/>
      <c r="S516" s="158"/>
      <c r="T516" s="535"/>
      <c r="U516" s="159">
        <f t="shared" si="40"/>
        <v>381000</v>
      </c>
    </row>
    <row r="517" spans="2:21" x14ac:dyDescent="0.2">
      <c r="B517" s="8">
        <f t="shared" si="41"/>
        <v>75</v>
      </c>
      <c r="C517" s="120"/>
      <c r="D517" s="120"/>
      <c r="E517" s="120"/>
      <c r="F517" s="155"/>
      <c r="G517" s="155"/>
      <c r="H517" s="156" t="s">
        <v>896</v>
      </c>
      <c r="I517" s="157"/>
      <c r="J517" s="157"/>
      <c r="K517" s="158"/>
      <c r="L517" s="158"/>
      <c r="M517" s="158"/>
      <c r="N517" s="535"/>
      <c r="O517" s="157">
        <v>19000</v>
      </c>
      <c r="P517" s="157">
        <v>30000</v>
      </c>
      <c r="Q517" s="157">
        <v>19000</v>
      </c>
      <c r="R517" s="158"/>
      <c r="S517" s="158"/>
      <c r="T517" s="535"/>
      <c r="U517" s="159">
        <f t="shared" si="40"/>
        <v>19000</v>
      </c>
    </row>
    <row r="518" spans="2:21" x14ac:dyDescent="0.2">
      <c r="B518" s="8">
        <f t="shared" si="41"/>
        <v>76</v>
      </c>
      <c r="C518" s="120"/>
      <c r="D518" s="120"/>
      <c r="E518" s="120"/>
      <c r="F518" s="155"/>
      <c r="G518" s="155"/>
      <c r="H518" s="156" t="s">
        <v>690</v>
      </c>
      <c r="I518" s="157"/>
      <c r="J518" s="157"/>
      <c r="K518" s="158"/>
      <c r="L518" s="158"/>
      <c r="M518" s="158"/>
      <c r="N518" s="535"/>
      <c r="O518" s="157">
        <v>60200</v>
      </c>
      <c r="P518" s="157">
        <v>60200</v>
      </c>
      <c r="Q518" s="157">
        <v>60200</v>
      </c>
      <c r="R518" s="158">
        <v>19800</v>
      </c>
      <c r="S518" s="158"/>
      <c r="T518" s="535"/>
      <c r="U518" s="159">
        <f t="shared" si="40"/>
        <v>60200</v>
      </c>
    </row>
    <row r="519" spans="2:21" x14ac:dyDescent="0.2">
      <c r="B519" s="8">
        <f t="shared" si="41"/>
        <v>77</v>
      </c>
      <c r="C519" s="120"/>
      <c r="D519" s="120"/>
      <c r="E519" s="120"/>
      <c r="F519" s="155"/>
      <c r="G519" s="155"/>
      <c r="H519" s="156" t="s">
        <v>582</v>
      </c>
      <c r="I519" s="157"/>
      <c r="J519" s="157"/>
      <c r="K519" s="158"/>
      <c r="L519" s="158"/>
      <c r="M519" s="158"/>
      <c r="N519" s="535"/>
      <c r="O519" s="157">
        <f>25000+20180</f>
        <v>45180</v>
      </c>
      <c r="P519" s="157">
        <v>17700</v>
      </c>
      <c r="Q519" s="157">
        <v>26000</v>
      </c>
      <c r="R519" s="158">
        <v>2450</v>
      </c>
      <c r="S519" s="158">
        <v>13761</v>
      </c>
      <c r="T519" s="535"/>
      <c r="U519" s="159">
        <f t="shared" si="40"/>
        <v>45180</v>
      </c>
    </row>
    <row r="520" spans="2:21" x14ac:dyDescent="0.2">
      <c r="B520" s="8">
        <f t="shared" si="41"/>
        <v>78</v>
      </c>
      <c r="C520" s="120"/>
      <c r="D520" s="120"/>
      <c r="E520" s="120"/>
      <c r="F520" s="155"/>
      <c r="G520" s="155"/>
      <c r="H520" s="156" t="s">
        <v>1160</v>
      </c>
      <c r="I520" s="157"/>
      <c r="J520" s="157"/>
      <c r="K520" s="158"/>
      <c r="L520" s="158"/>
      <c r="M520" s="158"/>
      <c r="N520" s="535"/>
      <c r="O520" s="157">
        <v>15000</v>
      </c>
      <c r="P520" s="157"/>
      <c r="Q520" s="157"/>
      <c r="R520" s="158"/>
      <c r="S520" s="158"/>
      <c r="T520" s="535"/>
      <c r="U520" s="159">
        <f t="shared" si="40"/>
        <v>15000</v>
      </c>
    </row>
    <row r="521" spans="2:21" x14ac:dyDescent="0.2">
      <c r="B521" s="8">
        <f t="shared" si="41"/>
        <v>79</v>
      </c>
      <c r="C521" s="120"/>
      <c r="D521" s="120"/>
      <c r="E521" s="120"/>
      <c r="F521" s="155"/>
      <c r="G521" s="155"/>
      <c r="H521" s="156" t="s">
        <v>1161</v>
      </c>
      <c r="I521" s="157"/>
      <c r="J521" s="157"/>
      <c r="K521" s="158"/>
      <c r="L521" s="158"/>
      <c r="M521" s="158"/>
      <c r="N521" s="535"/>
      <c r="O521" s="157">
        <v>8000</v>
      </c>
      <c r="P521" s="157"/>
      <c r="Q521" s="157"/>
      <c r="R521" s="158"/>
      <c r="S521" s="158"/>
      <c r="T521" s="535"/>
      <c r="U521" s="159">
        <f t="shared" si="40"/>
        <v>8000</v>
      </c>
    </row>
    <row r="522" spans="2:21" x14ac:dyDescent="0.2">
      <c r="B522" s="8">
        <f t="shared" si="41"/>
        <v>80</v>
      </c>
      <c r="C522" s="120"/>
      <c r="D522" s="120"/>
      <c r="E522" s="120"/>
      <c r="F522" s="155"/>
      <c r="G522" s="155"/>
      <c r="H522" s="156" t="s">
        <v>1162</v>
      </c>
      <c r="I522" s="157"/>
      <c r="J522" s="157"/>
      <c r="K522" s="158"/>
      <c r="L522" s="158"/>
      <c r="M522" s="158"/>
      <c r="N522" s="535"/>
      <c r="O522" s="157">
        <v>10000</v>
      </c>
      <c r="P522" s="157"/>
      <c r="Q522" s="157"/>
      <c r="R522" s="158"/>
      <c r="S522" s="158"/>
      <c r="T522" s="535"/>
      <c r="U522" s="159">
        <f t="shared" si="40"/>
        <v>10000</v>
      </c>
    </row>
    <row r="523" spans="2:21" x14ac:dyDescent="0.2">
      <c r="B523" s="8">
        <f t="shared" si="41"/>
        <v>81</v>
      </c>
      <c r="C523" s="120"/>
      <c r="D523" s="120"/>
      <c r="E523" s="120"/>
      <c r="F523" s="155"/>
      <c r="G523" s="155"/>
      <c r="H523" s="156" t="s">
        <v>671</v>
      </c>
      <c r="I523" s="157"/>
      <c r="J523" s="157"/>
      <c r="K523" s="158"/>
      <c r="L523" s="158"/>
      <c r="M523" s="158"/>
      <c r="N523" s="535"/>
      <c r="O523" s="157"/>
      <c r="P523" s="157"/>
      <c r="Q523" s="157"/>
      <c r="R523" s="158"/>
      <c r="S523" s="158">
        <v>1140</v>
      </c>
      <c r="T523" s="535"/>
      <c r="U523" s="159">
        <f t="shared" si="40"/>
        <v>0</v>
      </c>
    </row>
    <row r="524" spans="2:21" x14ac:dyDescent="0.2">
      <c r="B524" s="8">
        <f t="shared" si="41"/>
        <v>82</v>
      </c>
      <c r="C524" s="120"/>
      <c r="D524" s="120"/>
      <c r="E524" s="120"/>
      <c r="F524" s="155"/>
      <c r="G524" s="155"/>
      <c r="H524" s="156" t="s">
        <v>405</v>
      </c>
      <c r="I524" s="157"/>
      <c r="J524" s="157"/>
      <c r="K524" s="158"/>
      <c r="L524" s="158"/>
      <c r="M524" s="158"/>
      <c r="N524" s="535"/>
      <c r="O524" s="157"/>
      <c r="P524" s="157"/>
      <c r="Q524" s="157"/>
      <c r="R524" s="158"/>
      <c r="S524" s="158">
        <v>2880</v>
      </c>
      <c r="T524" s="535"/>
      <c r="U524" s="159">
        <f t="shared" si="40"/>
        <v>0</v>
      </c>
    </row>
    <row r="525" spans="2:21" x14ac:dyDescent="0.2">
      <c r="B525" s="8">
        <f t="shared" si="41"/>
        <v>83</v>
      </c>
      <c r="C525" s="120"/>
      <c r="D525" s="120"/>
      <c r="E525" s="120"/>
      <c r="F525" s="155"/>
      <c r="G525" s="155"/>
      <c r="H525" s="156" t="s">
        <v>384</v>
      </c>
      <c r="I525" s="157"/>
      <c r="J525" s="157"/>
      <c r="K525" s="158"/>
      <c r="L525" s="158"/>
      <c r="M525" s="158"/>
      <c r="N525" s="535"/>
      <c r="O525" s="157"/>
      <c r="P525" s="157"/>
      <c r="Q525" s="157"/>
      <c r="R525" s="158">
        <v>9690</v>
      </c>
      <c r="S525" s="158"/>
      <c r="T525" s="535"/>
      <c r="U525" s="159">
        <f t="shared" si="40"/>
        <v>0</v>
      </c>
    </row>
    <row r="526" spans="2:21" x14ac:dyDescent="0.2">
      <c r="B526" s="8">
        <f t="shared" si="41"/>
        <v>84</v>
      </c>
      <c r="C526" s="120"/>
      <c r="D526" s="120"/>
      <c r="E526" s="120"/>
      <c r="F526" s="155"/>
      <c r="G526" s="155"/>
      <c r="H526" s="156" t="s">
        <v>1184</v>
      </c>
      <c r="I526" s="157"/>
      <c r="J526" s="157"/>
      <c r="K526" s="158"/>
      <c r="L526" s="158"/>
      <c r="M526" s="158"/>
      <c r="N526" s="535"/>
      <c r="O526" s="157">
        <v>10000</v>
      </c>
      <c r="P526" s="157"/>
      <c r="Q526" s="157"/>
      <c r="R526" s="158"/>
      <c r="S526" s="158"/>
      <c r="T526" s="535"/>
      <c r="U526" s="159">
        <f t="shared" si="40"/>
        <v>10000</v>
      </c>
    </row>
    <row r="527" spans="2:21" x14ac:dyDescent="0.2">
      <c r="B527" s="8">
        <f t="shared" si="41"/>
        <v>85</v>
      </c>
      <c r="C527" s="120"/>
      <c r="D527" s="120"/>
      <c r="E527" s="120"/>
      <c r="F527" s="155"/>
      <c r="G527" s="155"/>
      <c r="H527" s="156" t="s">
        <v>691</v>
      </c>
      <c r="I527" s="157"/>
      <c r="J527" s="157"/>
      <c r="K527" s="158"/>
      <c r="L527" s="158"/>
      <c r="M527" s="158"/>
      <c r="N527" s="535"/>
      <c r="O527" s="157"/>
      <c r="P527" s="157"/>
      <c r="Q527" s="157"/>
      <c r="R527" s="158">
        <v>700</v>
      </c>
      <c r="S527" s="158"/>
      <c r="T527" s="535"/>
      <c r="U527" s="159">
        <f t="shared" si="40"/>
        <v>0</v>
      </c>
    </row>
    <row r="528" spans="2:21" x14ac:dyDescent="0.2">
      <c r="B528" s="8">
        <f t="shared" si="41"/>
        <v>86</v>
      </c>
      <c r="C528" s="120"/>
      <c r="D528" s="120"/>
      <c r="E528" s="120"/>
      <c r="F528" s="155"/>
      <c r="G528" s="155"/>
      <c r="H528" s="156" t="s">
        <v>1195</v>
      </c>
      <c r="I528" s="157"/>
      <c r="J528" s="157"/>
      <c r="K528" s="158"/>
      <c r="L528" s="158"/>
      <c r="M528" s="158"/>
      <c r="N528" s="535"/>
      <c r="O528" s="157">
        <v>500</v>
      </c>
      <c r="P528" s="157"/>
      <c r="Q528" s="157"/>
      <c r="R528" s="158"/>
      <c r="S528" s="158"/>
      <c r="T528" s="535"/>
      <c r="U528" s="159">
        <f t="shared" si="40"/>
        <v>500</v>
      </c>
    </row>
    <row r="529" spans="2:21" x14ac:dyDescent="0.2">
      <c r="B529" s="8">
        <f t="shared" si="41"/>
        <v>87</v>
      </c>
      <c r="C529" s="120"/>
      <c r="D529" s="120"/>
      <c r="E529" s="120"/>
      <c r="F529" s="155"/>
      <c r="G529" s="155"/>
      <c r="H529" s="156" t="s">
        <v>420</v>
      </c>
      <c r="I529" s="157"/>
      <c r="J529" s="157"/>
      <c r="K529" s="158"/>
      <c r="L529" s="158"/>
      <c r="M529" s="158"/>
      <c r="N529" s="535"/>
      <c r="O529" s="157"/>
      <c r="P529" s="157"/>
      <c r="Q529" s="157"/>
      <c r="R529" s="158"/>
      <c r="S529" s="158">
        <v>1000</v>
      </c>
      <c r="T529" s="535"/>
      <c r="U529" s="159">
        <f t="shared" si="40"/>
        <v>0</v>
      </c>
    </row>
    <row r="530" spans="2:21" x14ac:dyDescent="0.2">
      <c r="B530" s="8">
        <f t="shared" si="41"/>
        <v>88</v>
      </c>
      <c r="C530" s="120"/>
      <c r="D530" s="120"/>
      <c r="E530" s="120"/>
      <c r="F530" s="155"/>
      <c r="G530" s="155"/>
      <c r="H530" s="156" t="s">
        <v>692</v>
      </c>
      <c r="I530" s="157"/>
      <c r="J530" s="157"/>
      <c r="K530" s="158"/>
      <c r="L530" s="158"/>
      <c r="M530" s="158"/>
      <c r="N530" s="535"/>
      <c r="O530" s="157"/>
      <c r="P530" s="157"/>
      <c r="Q530" s="157"/>
      <c r="R530" s="158">
        <v>970</v>
      </c>
      <c r="S530" s="158"/>
      <c r="T530" s="535"/>
      <c r="U530" s="159">
        <f t="shared" si="40"/>
        <v>0</v>
      </c>
    </row>
    <row r="531" spans="2:21" x14ac:dyDescent="0.2">
      <c r="B531" s="8">
        <f t="shared" si="41"/>
        <v>89</v>
      </c>
      <c r="C531" s="120"/>
      <c r="D531" s="120"/>
      <c r="E531" s="120"/>
      <c r="F531" s="155"/>
      <c r="G531" s="155"/>
      <c r="H531" s="156" t="s">
        <v>767</v>
      </c>
      <c r="I531" s="157"/>
      <c r="J531" s="157"/>
      <c r="K531" s="158"/>
      <c r="L531" s="158"/>
      <c r="M531" s="158"/>
      <c r="N531" s="535"/>
      <c r="O531" s="157"/>
      <c r="P531" s="157"/>
      <c r="Q531" s="157"/>
      <c r="R531" s="158">
        <v>1500</v>
      </c>
      <c r="S531" s="158"/>
      <c r="T531" s="535"/>
      <c r="U531" s="159">
        <f t="shared" si="40"/>
        <v>0</v>
      </c>
    </row>
    <row r="532" spans="2:21" x14ac:dyDescent="0.2">
      <c r="B532" s="8">
        <f t="shared" si="41"/>
        <v>90</v>
      </c>
      <c r="C532" s="120"/>
      <c r="D532" s="120"/>
      <c r="E532" s="120"/>
      <c r="F532" s="155"/>
      <c r="G532" s="155"/>
      <c r="H532" s="156" t="s">
        <v>358</v>
      </c>
      <c r="I532" s="157"/>
      <c r="J532" s="157"/>
      <c r="K532" s="158"/>
      <c r="L532" s="158"/>
      <c r="M532" s="158"/>
      <c r="N532" s="535"/>
      <c r="O532" s="157"/>
      <c r="P532" s="157"/>
      <c r="Q532" s="157"/>
      <c r="R532" s="158"/>
      <c r="S532" s="158">
        <v>4268</v>
      </c>
      <c r="T532" s="535"/>
      <c r="U532" s="159">
        <f t="shared" si="40"/>
        <v>0</v>
      </c>
    </row>
    <row r="533" spans="2:21" x14ac:dyDescent="0.2">
      <c r="B533" s="8">
        <f t="shared" si="41"/>
        <v>91</v>
      </c>
      <c r="C533" s="120"/>
      <c r="D533" s="120"/>
      <c r="E533" s="120"/>
      <c r="F533" s="155"/>
      <c r="G533" s="155"/>
      <c r="H533" s="156" t="s">
        <v>897</v>
      </c>
      <c r="I533" s="157"/>
      <c r="J533" s="157"/>
      <c r="K533" s="158"/>
      <c r="L533" s="158"/>
      <c r="M533" s="158"/>
      <c r="N533" s="535"/>
      <c r="O533" s="157">
        <v>5000</v>
      </c>
      <c r="P533" s="157">
        <v>5000</v>
      </c>
      <c r="Q533" s="157">
        <v>5000</v>
      </c>
      <c r="R533" s="158"/>
      <c r="S533" s="158"/>
      <c r="T533" s="535"/>
      <c r="U533" s="159">
        <f t="shared" si="40"/>
        <v>5000</v>
      </c>
    </row>
    <row r="534" spans="2:21" x14ac:dyDescent="0.2">
      <c r="B534" s="8">
        <f t="shared" si="41"/>
        <v>92</v>
      </c>
      <c r="C534" s="120"/>
      <c r="D534" s="120"/>
      <c r="E534" s="120"/>
      <c r="F534" s="155"/>
      <c r="G534" s="155"/>
      <c r="H534" s="156" t="s">
        <v>898</v>
      </c>
      <c r="I534" s="157"/>
      <c r="J534" s="157"/>
      <c r="K534" s="158"/>
      <c r="L534" s="158"/>
      <c r="M534" s="158"/>
      <c r="N534" s="535"/>
      <c r="O534" s="157">
        <v>5000</v>
      </c>
      <c r="P534" s="157">
        <v>5000</v>
      </c>
      <c r="Q534" s="157">
        <v>5000</v>
      </c>
      <c r="R534" s="158"/>
      <c r="S534" s="158"/>
      <c r="T534" s="535"/>
      <c r="U534" s="159">
        <f t="shared" si="40"/>
        <v>5000</v>
      </c>
    </row>
    <row r="535" spans="2:21" x14ac:dyDescent="0.2">
      <c r="B535" s="8">
        <f t="shared" si="41"/>
        <v>93</v>
      </c>
      <c r="C535" s="120"/>
      <c r="D535" s="120"/>
      <c r="E535" s="120"/>
      <c r="F535" s="155"/>
      <c r="G535" s="155"/>
      <c r="H535" s="156" t="s">
        <v>899</v>
      </c>
      <c r="I535" s="157"/>
      <c r="J535" s="157"/>
      <c r="K535" s="158"/>
      <c r="L535" s="158"/>
      <c r="M535" s="158"/>
      <c r="N535" s="535"/>
      <c r="O535" s="157">
        <v>5000</v>
      </c>
      <c r="P535" s="157">
        <v>5000</v>
      </c>
      <c r="Q535" s="157">
        <v>5000</v>
      </c>
      <c r="R535" s="158"/>
      <c r="S535" s="158"/>
      <c r="T535" s="535"/>
      <c r="U535" s="159">
        <f t="shared" si="40"/>
        <v>5000</v>
      </c>
    </row>
    <row r="536" spans="2:21" x14ac:dyDescent="0.2">
      <c r="B536" s="8">
        <f t="shared" si="41"/>
        <v>94</v>
      </c>
      <c r="C536" s="120"/>
      <c r="D536" s="120"/>
      <c r="E536" s="120"/>
      <c r="F536" s="155"/>
      <c r="G536" s="155"/>
      <c r="H536" s="156" t="s">
        <v>900</v>
      </c>
      <c r="I536" s="157"/>
      <c r="J536" s="157"/>
      <c r="K536" s="158"/>
      <c r="L536" s="158"/>
      <c r="M536" s="158"/>
      <c r="N536" s="535"/>
      <c r="O536" s="157">
        <v>5000</v>
      </c>
      <c r="P536" s="157">
        <v>5000</v>
      </c>
      <c r="Q536" s="157">
        <v>5000</v>
      </c>
      <c r="R536" s="158"/>
      <c r="S536" s="158"/>
      <c r="T536" s="535"/>
      <c r="U536" s="159">
        <f t="shared" si="40"/>
        <v>5000</v>
      </c>
    </row>
    <row r="537" spans="2:21" x14ac:dyDescent="0.2">
      <c r="B537" s="8">
        <f t="shared" si="41"/>
        <v>95</v>
      </c>
      <c r="C537" s="120"/>
      <c r="D537" s="120"/>
      <c r="E537" s="120"/>
      <c r="F537" s="155"/>
      <c r="G537" s="155"/>
      <c r="H537" s="156" t="s">
        <v>901</v>
      </c>
      <c r="I537" s="157"/>
      <c r="J537" s="157"/>
      <c r="K537" s="158"/>
      <c r="L537" s="158"/>
      <c r="M537" s="158"/>
      <c r="N537" s="535"/>
      <c r="O537" s="157"/>
      <c r="P537" s="157">
        <v>3000</v>
      </c>
      <c r="Q537" s="157">
        <v>3000</v>
      </c>
      <c r="R537" s="158"/>
      <c r="S537" s="158"/>
      <c r="T537" s="535"/>
      <c r="U537" s="159">
        <f t="shared" si="40"/>
        <v>0</v>
      </c>
    </row>
    <row r="538" spans="2:21" x14ac:dyDescent="0.2">
      <c r="B538" s="8">
        <f t="shared" si="41"/>
        <v>96</v>
      </c>
      <c r="C538" s="120"/>
      <c r="D538" s="120"/>
      <c r="E538" s="120"/>
      <c r="F538" s="155"/>
      <c r="G538" s="155"/>
      <c r="H538" s="156" t="s">
        <v>902</v>
      </c>
      <c r="I538" s="157"/>
      <c r="J538" s="157"/>
      <c r="K538" s="158"/>
      <c r="L538" s="158"/>
      <c r="M538" s="158"/>
      <c r="N538" s="535"/>
      <c r="O538" s="157"/>
      <c r="P538" s="157">
        <v>2500</v>
      </c>
      <c r="Q538" s="157">
        <v>2500</v>
      </c>
      <c r="R538" s="158"/>
      <c r="S538" s="158"/>
      <c r="T538" s="535"/>
      <c r="U538" s="159">
        <f t="shared" si="40"/>
        <v>0</v>
      </c>
    </row>
    <row r="539" spans="2:21" x14ac:dyDescent="0.2">
      <c r="B539" s="8">
        <f t="shared" si="41"/>
        <v>97</v>
      </c>
      <c r="C539" s="120"/>
      <c r="D539" s="120"/>
      <c r="E539" s="120"/>
      <c r="F539" s="155"/>
      <c r="G539" s="155"/>
      <c r="H539" s="156" t="s">
        <v>994</v>
      </c>
      <c r="I539" s="157"/>
      <c r="J539" s="157"/>
      <c r="K539" s="158"/>
      <c r="L539" s="158"/>
      <c r="M539" s="158"/>
      <c r="N539" s="535"/>
      <c r="O539" s="157"/>
      <c r="P539" s="157"/>
      <c r="Q539" s="157"/>
      <c r="R539" s="158"/>
      <c r="S539" s="158">
        <v>2602</v>
      </c>
      <c r="T539" s="535"/>
      <c r="U539" s="159">
        <f t="shared" si="40"/>
        <v>0</v>
      </c>
    </row>
    <row r="540" spans="2:21" x14ac:dyDescent="0.2">
      <c r="B540" s="8">
        <f t="shared" si="41"/>
        <v>98</v>
      </c>
      <c r="C540" s="120"/>
      <c r="D540" s="120"/>
      <c r="E540" s="120"/>
      <c r="F540" s="155"/>
      <c r="G540" s="155"/>
      <c r="H540" s="156" t="s">
        <v>397</v>
      </c>
      <c r="I540" s="157"/>
      <c r="J540" s="157"/>
      <c r="K540" s="158"/>
      <c r="L540" s="158"/>
      <c r="M540" s="158"/>
      <c r="N540" s="535"/>
      <c r="O540" s="157"/>
      <c r="P540" s="157"/>
      <c r="Q540" s="157"/>
      <c r="R540" s="158"/>
      <c r="S540" s="158">
        <v>1476</v>
      </c>
      <c r="T540" s="535"/>
      <c r="U540" s="159">
        <f t="shared" si="40"/>
        <v>0</v>
      </c>
    </row>
    <row r="541" spans="2:21" x14ac:dyDescent="0.2">
      <c r="B541" s="8">
        <f t="shared" si="41"/>
        <v>99</v>
      </c>
      <c r="C541" s="120"/>
      <c r="D541" s="120"/>
      <c r="E541" s="120"/>
      <c r="F541" s="155"/>
      <c r="G541" s="155"/>
      <c r="H541" s="156" t="s">
        <v>672</v>
      </c>
      <c r="I541" s="157"/>
      <c r="J541" s="157"/>
      <c r="K541" s="158"/>
      <c r="L541" s="158"/>
      <c r="M541" s="158"/>
      <c r="N541" s="535"/>
      <c r="O541" s="157">
        <v>5000</v>
      </c>
      <c r="P541" s="157">
        <v>4000</v>
      </c>
      <c r="Q541" s="157">
        <v>4000</v>
      </c>
      <c r="R541" s="158">
        <v>1945</v>
      </c>
      <c r="S541" s="158"/>
      <c r="T541" s="535"/>
      <c r="U541" s="159">
        <f t="shared" ref="U541:U573" si="42">I541+O541</f>
        <v>5000</v>
      </c>
    </row>
    <row r="542" spans="2:21" x14ac:dyDescent="0.2">
      <c r="B542" s="8">
        <f t="shared" si="41"/>
        <v>100</v>
      </c>
      <c r="C542" s="120"/>
      <c r="D542" s="120"/>
      <c r="E542" s="120"/>
      <c r="F542" s="155"/>
      <c r="G542" s="155"/>
      <c r="H542" s="156" t="s">
        <v>1045</v>
      </c>
      <c r="I542" s="157"/>
      <c r="J542" s="157"/>
      <c r="K542" s="158"/>
      <c r="L542" s="158"/>
      <c r="M542" s="158"/>
      <c r="N542" s="535"/>
      <c r="O542" s="157">
        <v>20000</v>
      </c>
      <c r="P542" s="157">
        <v>19000</v>
      </c>
      <c r="Q542" s="157">
        <v>10500</v>
      </c>
      <c r="R542" s="158">
        <v>7509</v>
      </c>
      <c r="S542" s="158"/>
      <c r="T542" s="535"/>
      <c r="U542" s="159">
        <f t="shared" si="42"/>
        <v>20000</v>
      </c>
    </row>
    <row r="543" spans="2:21" x14ac:dyDescent="0.2">
      <c r="B543" s="8">
        <f t="shared" si="41"/>
        <v>101</v>
      </c>
      <c r="C543" s="120"/>
      <c r="D543" s="120"/>
      <c r="E543" s="120"/>
      <c r="F543" s="155"/>
      <c r="G543" s="155"/>
      <c r="H543" s="156" t="s">
        <v>768</v>
      </c>
      <c r="I543" s="157"/>
      <c r="J543" s="157"/>
      <c r="K543" s="158"/>
      <c r="L543" s="158"/>
      <c r="M543" s="158"/>
      <c r="N543" s="535"/>
      <c r="O543" s="157"/>
      <c r="P543" s="157"/>
      <c r="Q543" s="157"/>
      <c r="R543" s="158">
        <v>1200</v>
      </c>
      <c r="S543" s="158"/>
      <c r="T543" s="535"/>
      <c r="U543" s="159">
        <f t="shared" si="42"/>
        <v>0</v>
      </c>
    </row>
    <row r="544" spans="2:21" x14ac:dyDescent="0.2">
      <c r="B544" s="8">
        <f t="shared" si="41"/>
        <v>102</v>
      </c>
      <c r="C544" s="120"/>
      <c r="D544" s="120"/>
      <c r="E544" s="120"/>
      <c r="F544" s="155"/>
      <c r="G544" s="155"/>
      <c r="H544" s="156" t="s">
        <v>769</v>
      </c>
      <c r="I544" s="157"/>
      <c r="J544" s="157"/>
      <c r="K544" s="158"/>
      <c r="L544" s="158"/>
      <c r="M544" s="158"/>
      <c r="N544" s="535"/>
      <c r="O544" s="157">
        <v>5000</v>
      </c>
      <c r="P544" s="157">
        <v>5000</v>
      </c>
      <c r="Q544" s="157">
        <v>5000</v>
      </c>
      <c r="R544" s="158">
        <v>700</v>
      </c>
      <c r="S544" s="158"/>
      <c r="T544" s="535"/>
      <c r="U544" s="159">
        <f t="shared" si="42"/>
        <v>5000</v>
      </c>
    </row>
    <row r="545" spans="2:24" x14ac:dyDescent="0.2">
      <c r="B545" s="8">
        <f t="shared" si="41"/>
        <v>103</v>
      </c>
      <c r="C545" s="120"/>
      <c r="D545" s="120"/>
      <c r="E545" s="120"/>
      <c r="F545" s="155"/>
      <c r="G545" s="155"/>
      <c r="H545" s="156" t="s">
        <v>903</v>
      </c>
      <c r="I545" s="157"/>
      <c r="J545" s="157"/>
      <c r="K545" s="158"/>
      <c r="L545" s="158"/>
      <c r="M545" s="158"/>
      <c r="N545" s="535"/>
      <c r="O545" s="157">
        <v>15000</v>
      </c>
      <c r="P545" s="157">
        <v>15000</v>
      </c>
      <c r="Q545" s="157">
        <v>15000</v>
      </c>
      <c r="R545" s="158"/>
      <c r="S545" s="158"/>
      <c r="T545" s="535"/>
      <c r="U545" s="159">
        <f t="shared" si="42"/>
        <v>15000</v>
      </c>
    </row>
    <row r="546" spans="2:24" x14ac:dyDescent="0.2">
      <c r="B546" s="8">
        <f t="shared" si="41"/>
        <v>104</v>
      </c>
      <c r="C546" s="120"/>
      <c r="D546" s="120"/>
      <c r="E546" s="120"/>
      <c r="F546" s="155"/>
      <c r="G546" s="155"/>
      <c r="H546" s="156" t="s">
        <v>318</v>
      </c>
      <c r="I546" s="157"/>
      <c r="J546" s="157"/>
      <c r="K546" s="158"/>
      <c r="L546" s="158"/>
      <c r="M546" s="158"/>
      <c r="N546" s="535"/>
      <c r="O546" s="157">
        <v>4600</v>
      </c>
      <c r="P546" s="157">
        <v>5000</v>
      </c>
      <c r="Q546" s="157">
        <v>5000</v>
      </c>
      <c r="R546" s="158"/>
      <c r="S546" s="158"/>
      <c r="T546" s="535"/>
      <c r="U546" s="159">
        <f t="shared" si="42"/>
        <v>4600</v>
      </c>
    </row>
    <row r="547" spans="2:24" x14ac:dyDescent="0.2">
      <c r="B547" s="8">
        <f t="shared" si="41"/>
        <v>105</v>
      </c>
      <c r="C547" s="120"/>
      <c r="D547" s="120"/>
      <c r="E547" s="120"/>
      <c r="F547" s="155"/>
      <c r="G547" s="155"/>
      <c r="H547" s="156" t="s">
        <v>319</v>
      </c>
      <c r="I547" s="157"/>
      <c r="J547" s="157"/>
      <c r="K547" s="158"/>
      <c r="L547" s="158"/>
      <c r="M547" s="158"/>
      <c r="N547" s="535"/>
      <c r="O547" s="157">
        <v>12500</v>
      </c>
      <c r="P547" s="157">
        <v>12500</v>
      </c>
      <c r="Q547" s="157">
        <v>12500</v>
      </c>
      <c r="R547" s="158"/>
      <c r="S547" s="158"/>
      <c r="T547" s="535"/>
      <c r="U547" s="159">
        <f t="shared" si="42"/>
        <v>12500</v>
      </c>
    </row>
    <row r="548" spans="2:24" x14ac:dyDescent="0.2">
      <c r="B548" s="8">
        <f t="shared" si="41"/>
        <v>106</v>
      </c>
      <c r="C548" s="120"/>
      <c r="D548" s="120"/>
      <c r="E548" s="120"/>
      <c r="F548" s="155"/>
      <c r="G548" s="155"/>
      <c r="H548" s="156" t="s">
        <v>904</v>
      </c>
      <c r="I548" s="157"/>
      <c r="J548" s="157"/>
      <c r="K548" s="158"/>
      <c r="L548" s="158"/>
      <c r="M548" s="158"/>
      <c r="N548" s="535"/>
      <c r="O548" s="157">
        <v>10900</v>
      </c>
      <c r="P548" s="157">
        <v>12000</v>
      </c>
      <c r="Q548" s="157">
        <v>12000</v>
      </c>
      <c r="R548" s="158"/>
      <c r="S548" s="158"/>
      <c r="T548" s="535"/>
      <c r="U548" s="159">
        <f t="shared" si="42"/>
        <v>10900</v>
      </c>
    </row>
    <row r="549" spans="2:24" x14ac:dyDescent="0.2">
      <c r="B549" s="8">
        <f t="shared" si="41"/>
        <v>107</v>
      </c>
      <c r="C549" s="120"/>
      <c r="D549" s="120"/>
      <c r="E549" s="120"/>
      <c r="F549" s="155"/>
      <c r="G549" s="155"/>
      <c r="H549" s="156" t="s">
        <v>403</v>
      </c>
      <c r="I549" s="157"/>
      <c r="J549" s="157"/>
      <c r="K549" s="158"/>
      <c r="L549" s="158"/>
      <c r="M549" s="158"/>
      <c r="N549" s="535"/>
      <c r="O549" s="157"/>
      <c r="P549" s="157"/>
      <c r="Q549" s="157"/>
      <c r="R549" s="158"/>
      <c r="S549" s="158">
        <v>11200</v>
      </c>
      <c r="T549" s="535"/>
      <c r="U549" s="159">
        <f t="shared" si="42"/>
        <v>0</v>
      </c>
    </row>
    <row r="550" spans="2:24" x14ac:dyDescent="0.2">
      <c r="B550" s="8">
        <f t="shared" si="41"/>
        <v>108</v>
      </c>
      <c r="C550" s="120"/>
      <c r="D550" s="120"/>
      <c r="E550" s="120"/>
      <c r="F550" s="155"/>
      <c r="G550" s="155"/>
      <c r="H550" s="156" t="s">
        <v>353</v>
      </c>
      <c r="I550" s="157"/>
      <c r="J550" s="157"/>
      <c r="K550" s="158"/>
      <c r="L550" s="158"/>
      <c r="M550" s="158"/>
      <c r="N550" s="535"/>
      <c r="O550" s="157"/>
      <c r="P550" s="157"/>
      <c r="Q550" s="157"/>
      <c r="R550" s="158">
        <v>12610</v>
      </c>
      <c r="S550" s="158">
        <v>2800</v>
      </c>
      <c r="T550" s="535"/>
      <c r="U550" s="159">
        <f t="shared" si="42"/>
        <v>0</v>
      </c>
    </row>
    <row r="551" spans="2:24" x14ac:dyDescent="0.2">
      <c r="B551" s="8">
        <f t="shared" si="41"/>
        <v>109</v>
      </c>
      <c r="C551" s="120"/>
      <c r="D551" s="120"/>
      <c r="E551" s="120"/>
      <c r="F551" s="155"/>
      <c r="G551" s="155"/>
      <c r="H551" s="156" t="s">
        <v>400</v>
      </c>
      <c r="I551" s="157"/>
      <c r="J551" s="157"/>
      <c r="K551" s="158"/>
      <c r="L551" s="158"/>
      <c r="M551" s="158"/>
      <c r="N551" s="535"/>
      <c r="O551" s="157">
        <v>8000</v>
      </c>
      <c r="P551" s="157">
        <v>5000</v>
      </c>
      <c r="Q551" s="157">
        <v>5000</v>
      </c>
      <c r="R551" s="158"/>
      <c r="S551" s="158"/>
      <c r="T551" s="535"/>
      <c r="U551" s="159">
        <f t="shared" si="42"/>
        <v>8000</v>
      </c>
    </row>
    <row r="552" spans="2:24" x14ac:dyDescent="0.2">
      <c r="B552" s="8">
        <f t="shared" si="41"/>
        <v>110</v>
      </c>
      <c r="C552" s="120"/>
      <c r="D552" s="120"/>
      <c r="E552" s="120"/>
      <c r="F552" s="155"/>
      <c r="G552" s="155"/>
      <c r="H552" s="156" t="s">
        <v>532</v>
      </c>
      <c r="I552" s="157"/>
      <c r="J552" s="157"/>
      <c r="K552" s="158"/>
      <c r="L552" s="158"/>
      <c r="M552" s="158"/>
      <c r="N552" s="535"/>
      <c r="O552" s="157"/>
      <c r="P552" s="157"/>
      <c r="Q552" s="157"/>
      <c r="R552" s="158">
        <v>1752</v>
      </c>
      <c r="S552" s="158">
        <v>5573</v>
      </c>
      <c r="T552" s="535"/>
      <c r="U552" s="159">
        <f t="shared" si="42"/>
        <v>0</v>
      </c>
    </row>
    <row r="553" spans="2:24" x14ac:dyDescent="0.2">
      <c r="B553" s="8">
        <f t="shared" si="41"/>
        <v>111</v>
      </c>
      <c r="C553" s="120"/>
      <c r="D553" s="120"/>
      <c r="E553" s="120"/>
      <c r="F553" s="155"/>
      <c r="G553" s="155"/>
      <c r="H553" s="156" t="s">
        <v>1088</v>
      </c>
      <c r="I553" s="157"/>
      <c r="J553" s="157"/>
      <c r="K553" s="158"/>
      <c r="L553" s="158"/>
      <c r="M553" s="158"/>
      <c r="N553" s="535"/>
      <c r="O553" s="157">
        <v>3000</v>
      </c>
      <c r="P553" s="157"/>
      <c r="Q553" s="157"/>
      <c r="R553" s="158"/>
      <c r="S553" s="158"/>
      <c r="T553" s="535"/>
      <c r="U553" s="159">
        <f t="shared" si="42"/>
        <v>3000</v>
      </c>
    </row>
    <row r="554" spans="2:24" x14ac:dyDescent="0.2">
      <c r="B554" s="8">
        <f t="shared" si="41"/>
        <v>112</v>
      </c>
      <c r="C554" s="120"/>
      <c r="D554" s="120"/>
      <c r="E554" s="120"/>
      <c r="F554" s="155"/>
      <c r="G554" s="155"/>
      <c r="H554" s="156" t="s">
        <v>693</v>
      </c>
      <c r="I554" s="157"/>
      <c r="J554" s="157"/>
      <c r="K554" s="158"/>
      <c r="L554" s="158"/>
      <c r="M554" s="158"/>
      <c r="N554" s="535"/>
      <c r="O554" s="157"/>
      <c r="P554" s="157">
        <v>3400</v>
      </c>
      <c r="Q554" s="157">
        <v>3400</v>
      </c>
      <c r="R554" s="158">
        <v>500</v>
      </c>
      <c r="S554" s="158"/>
      <c r="T554" s="535"/>
      <c r="U554" s="159">
        <f t="shared" si="42"/>
        <v>0</v>
      </c>
    </row>
    <row r="555" spans="2:24" x14ac:dyDescent="0.2">
      <c r="B555" s="8">
        <f t="shared" si="41"/>
        <v>113</v>
      </c>
      <c r="C555" s="120"/>
      <c r="D555" s="120"/>
      <c r="E555" s="120"/>
      <c r="F555" s="155"/>
      <c r="G555" s="155"/>
      <c r="H555" s="156" t="s">
        <v>694</v>
      </c>
      <c r="I555" s="157"/>
      <c r="J555" s="157"/>
      <c r="K555" s="158"/>
      <c r="L555" s="158"/>
      <c r="M555" s="158"/>
      <c r="N555" s="535"/>
      <c r="O555" s="157"/>
      <c r="P555" s="157">
        <v>4000</v>
      </c>
      <c r="Q555" s="157">
        <v>4000</v>
      </c>
      <c r="R555" s="158">
        <v>500</v>
      </c>
      <c r="S555" s="158"/>
      <c r="T555" s="535"/>
      <c r="U555" s="159">
        <f t="shared" si="42"/>
        <v>0</v>
      </c>
    </row>
    <row r="556" spans="2:24" x14ac:dyDescent="0.2">
      <c r="B556" s="8">
        <f t="shared" si="41"/>
        <v>114</v>
      </c>
      <c r="C556" s="120"/>
      <c r="D556" s="120"/>
      <c r="E556" s="120"/>
      <c r="F556" s="155"/>
      <c r="G556" s="155"/>
      <c r="H556" s="156" t="s">
        <v>398</v>
      </c>
      <c r="I556" s="157"/>
      <c r="J556" s="157"/>
      <c r="K556" s="158"/>
      <c r="L556" s="158"/>
      <c r="M556" s="158"/>
      <c r="N556" s="535"/>
      <c r="O556" s="157">
        <v>30000</v>
      </c>
      <c r="P556" s="157">
        <v>30000</v>
      </c>
      <c r="Q556" s="157">
        <v>20000</v>
      </c>
      <c r="R556" s="158">
        <v>10042</v>
      </c>
      <c r="S556" s="158"/>
      <c r="T556" s="535"/>
      <c r="U556" s="159">
        <f t="shared" si="42"/>
        <v>30000</v>
      </c>
    </row>
    <row r="557" spans="2:24" x14ac:dyDescent="0.2">
      <c r="B557" s="8">
        <f t="shared" si="41"/>
        <v>115</v>
      </c>
      <c r="C557" s="120"/>
      <c r="D557" s="120"/>
      <c r="E557" s="120"/>
      <c r="F557" s="155"/>
      <c r="G557" s="155"/>
      <c r="H557" s="156" t="s">
        <v>399</v>
      </c>
      <c r="I557" s="157"/>
      <c r="J557" s="157"/>
      <c r="K557" s="158"/>
      <c r="L557" s="158"/>
      <c r="M557" s="158"/>
      <c r="N557" s="535"/>
      <c r="O557" s="157">
        <v>35964</v>
      </c>
      <c r="P557" s="157">
        <v>36000</v>
      </c>
      <c r="Q557" s="157">
        <v>36000</v>
      </c>
      <c r="R557" s="158">
        <v>10834</v>
      </c>
      <c r="S557" s="158"/>
      <c r="T557" s="535"/>
      <c r="U557" s="159">
        <f t="shared" si="42"/>
        <v>35964</v>
      </c>
    </row>
    <row r="558" spans="2:24" x14ac:dyDescent="0.2">
      <c r="B558" s="8">
        <f t="shared" si="41"/>
        <v>116</v>
      </c>
      <c r="C558" s="273"/>
      <c r="D558" s="273"/>
      <c r="E558" s="273"/>
      <c r="F558" s="274"/>
      <c r="G558" s="275">
        <v>717</v>
      </c>
      <c r="H558" s="273" t="s">
        <v>192</v>
      </c>
      <c r="I558" s="276"/>
      <c r="J558" s="276">
        <f>SUM(J559:J668)</f>
        <v>0</v>
      </c>
      <c r="K558" s="277"/>
      <c r="L558" s="277"/>
      <c r="M558" s="277"/>
      <c r="N558" s="164"/>
      <c r="O558" s="276">
        <f>SUM(O570:O668)</f>
        <v>1343500</v>
      </c>
      <c r="P558" s="276">
        <f>SUM(P559:P668)</f>
        <v>3098267</v>
      </c>
      <c r="Q558" s="276">
        <f>SUM(Q559:Q670)</f>
        <v>3402163</v>
      </c>
      <c r="R558" s="277">
        <f>SUM(R559:R670)</f>
        <v>3573986</v>
      </c>
      <c r="S558" s="277">
        <f>SUM(S559:S668)</f>
        <v>2175032</v>
      </c>
      <c r="T558" s="164"/>
      <c r="U558" s="278">
        <f t="shared" si="42"/>
        <v>1343500</v>
      </c>
      <c r="X558" s="2"/>
    </row>
    <row r="559" spans="2:24" s="13" customFormat="1" x14ac:dyDescent="0.2">
      <c r="B559" s="8">
        <f t="shared" ref="B559:B623" si="43">B558+1</f>
        <v>117</v>
      </c>
      <c r="C559" s="166"/>
      <c r="D559" s="166"/>
      <c r="E559" s="166"/>
      <c r="F559" s="167"/>
      <c r="G559" s="167"/>
      <c r="H559" s="190" t="s">
        <v>583</v>
      </c>
      <c r="I559" s="169"/>
      <c r="J559" s="169"/>
      <c r="K559" s="170"/>
      <c r="L559" s="170"/>
      <c r="M559" s="170"/>
      <c r="N559" s="536"/>
      <c r="O559" s="169"/>
      <c r="P559" s="169"/>
      <c r="Q559" s="169"/>
      <c r="R559" s="170">
        <v>39419</v>
      </c>
      <c r="S559" s="170">
        <v>1380</v>
      </c>
      <c r="T559" s="536"/>
      <c r="U559" s="171">
        <f t="shared" si="42"/>
        <v>0</v>
      </c>
    </row>
    <row r="560" spans="2:24" s="13" customFormat="1" x14ac:dyDescent="0.2">
      <c r="B560" s="8">
        <f t="shared" si="43"/>
        <v>118</v>
      </c>
      <c r="C560" s="166"/>
      <c r="D560" s="166"/>
      <c r="E560" s="166"/>
      <c r="F560" s="167"/>
      <c r="G560" s="167"/>
      <c r="H560" s="190" t="s">
        <v>309</v>
      </c>
      <c r="I560" s="169"/>
      <c r="J560" s="169"/>
      <c r="K560" s="170"/>
      <c r="L560" s="170"/>
      <c r="M560" s="170"/>
      <c r="N560" s="536"/>
      <c r="O560" s="169"/>
      <c r="P560" s="169"/>
      <c r="Q560" s="169"/>
      <c r="R560" s="170"/>
      <c r="S560" s="170">
        <v>183161</v>
      </c>
      <c r="T560" s="536"/>
      <c r="U560" s="171">
        <f t="shared" si="42"/>
        <v>0</v>
      </c>
    </row>
    <row r="561" spans="2:21" s="13" customFormat="1" x14ac:dyDescent="0.2">
      <c r="B561" s="8">
        <f t="shared" si="43"/>
        <v>119</v>
      </c>
      <c r="C561" s="166"/>
      <c r="D561" s="166"/>
      <c r="E561" s="166"/>
      <c r="F561" s="167"/>
      <c r="G561" s="167"/>
      <c r="H561" s="190" t="s">
        <v>584</v>
      </c>
      <c r="I561" s="169"/>
      <c r="J561" s="169"/>
      <c r="K561" s="170"/>
      <c r="L561" s="170"/>
      <c r="M561" s="170"/>
      <c r="N561" s="536"/>
      <c r="O561" s="169"/>
      <c r="P561" s="169"/>
      <c r="Q561" s="169"/>
      <c r="R561" s="170"/>
      <c r="S561" s="170">
        <v>1024925</v>
      </c>
      <c r="T561" s="536"/>
      <c r="U561" s="171">
        <f t="shared" si="42"/>
        <v>0</v>
      </c>
    </row>
    <row r="562" spans="2:21" s="13" customFormat="1" x14ac:dyDescent="0.2">
      <c r="B562" s="8">
        <f t="shared" si="43"/>
        <v>120</v>
      </c>
      <c r="C562" s="166"/>
      <c r="D562" s="166"/>
      <c r="E562" s="166"/>
      <c r="F562" s="167"/>
      <c r="G562" s="167"/>
      <c r="H562" s="190" t="s">
        <v>585</v>
      </c>
      <c r="I562" s="169"/>
      <c r="J562" s="169"/>
      <c r="K562" s="170"/>
      <c r="L562" s="170"/>
      <c r="M562" s="170"/>
      <c r="N562" s="536"/>
      <c r="O562" s="169"/>
      <c r="P562" s="169">
        <v>210992</v>
      </c>
      <c r="Q562" s="169">
        <v>143992</v>
      </c>
      <c r="R562" s="170">
        <v>40005</v>
      </c>
      <c r="S562" s="170"/>
      <c r="T562" s="536"/>
      <c r="U562" s="171">
        <f t="shared" si="42"/>
        <v>0</v>
      </c>
    </row>
    <row r="563" spans="2:21" s="13" customFormat="1" x14ac:dyDescent="0.2">
      <c r="B563" s="8">
        <f t="shared" si="43"/>
        <v>121</v>
      </c>
      <c r="C563" s="166"/>
      <c r="D563" s="166"/>
      <c r="E563" s="166"/>
      <c r="F563" s="167"/>
      <c r="G563" s="167"/>
      <c r="H563" s="190" t="s">
        <v>345</v>
      </c>
      <c r="I563" s="169"/>
      <c r="J563" s="169"/>
      <c r="K563" s="170"/>
      <c r="L563" s="170"/>
      <c r="M563" s="170"/>
      <c r="N563" s="536"/>
      <c r="O563" s="169"/>
      <c r="P563" s="169"/>
      <c r="Q563" s="169"/>
      <c r="R563" s="170">
        <v>358462</v>
      </c>
      <c r="S563" s="170"/>
      <c r="T563" s="536"/>
      <c r="U563" s="171">
        <f t="shared" si="42"/>
        <v>0</v>
      </c>
    </row>
    <row r="564" spans="2:21" s="13" customFormat="1" x14ac:dyDescent="0.2">
      <c r="B564" s="8">
        <f t="shared" si="43"/>
        <v>122</v>
      </c>
      <c r="C564" s="166"/>
      <c r="D564" s="166"/>
      <c r="E564" s="166"/>
      <c r="F564" s="167"/>
      <c r="G564" s="167"/>
      <c r="H564" s="190" t="s">
        <v>352</v>
      </c>
      <c r="I564" s="169"/>
      <c r="J564" s="169"/>
      <c r="K564" s="170"/>
      <c r="L564" s="170"/>
      <c r="M564" s="170"/>
      <c r="N564" s="536"/>
      <c r="O564" s="169"/>
      <c r="P564" s="169"/>
      <c r="Q564" s="169"/>
      <c r="R564" s="170"/>
      <c r="S564" s="170">
        <v>88102</v>
      </c>
      <c r="T564" s="536"/>
      <c r="U564" s="171">
        <f t="shared" si="42"/>
        <v>0</v>
      </c>
    </row>
    <row r="565" spans="2:21" s="13" customFormat="1" x14ac:dyDescent="0.2">
      <c r="B565" s="8">
        <f t="shared" si="43"/>
        <v>123</v>
      </c>
      <c r="C565" s="166"/>
      <c r="D565" s="166"/>
      <c r="E565" s="166"/>
      <c r="F565" s="167"/>
      <c r="G565" s="167"/>
      <c r="H565" s="190" t="s">
        <v>695</v>
      </c>
      <c r="I565" s="169"/>
      <c r="J565" s="169"/>
      <c r="K565" s="170"/>
      <c r="L565" s="170"/>
      <c r="M565" s="170"/>
      <c r="N565" s="536"/>
      <c r="O565" s="169"/>
      <c r="P565" s="169">
        <v>231000</v>
      </c>
      <c r="Q565" s="169">
        <v>234000</v>
      </c>
      <c r="R565" s="170"/>
      <c r="S565" s="170"/>
      <c r="T565" s="536"/>
      <c r="U565" s="171">
        <f t="shared" si="42"/>
        <v>0</v>
      </c>
    </row>
    <row r="566" spans="2:21" s="13" customFormat="1" x14ac:dyDescent="0.2">
      <c r="B566" s="8">
        <f t="shared" si="43"/>
        <v>124</v>
      </c>
      <c r="C566" s="166"/>
      <c r="D566" s="166"/>
      <c r="E566" s="166"/>
      <c r="F566" s="167"/>
      <c r="G566" s="167"/>
      <c r="H566" s="190" t="s">
        <v>696</v>
      </c>
      <c r="I566" s="169"/>
      <c r="J566" s="169"/>
      <c r="K566" s="170"/>
      <c r="L566" s="170"/>
      <c r="M566" s="170"/>
      <c r="N566" s="536"/>
      <c r="O566" s="169"/>
      <c r="P566" s="169">
        <v>284975</v>
      </c>
      <c r="Q566" s="169">
        <v>81025</v>
      </c>
      <c r="R566" s="170">
        <v>203950</v>
      </c>
      <c r="S566" s="170"/>
      <c r="T566" s="536"/>
      <c r="U566" s="171">
        <f t="shared" si="42"/>
        <v>0</v>
      </c>
    </row>
    <row r="567" spans="2:21" s="13" customFormat="1" x14ac:dyDescent="0.2">
      <c r="B567" s="8">
        <f t="shared" si="43"/>
        <v>125</v>
      </c>
      <c r="C567" s="166"/>
      <c r="D567" s="166"/>
      <c r="E567" s="166"/>
      <c r="F567" s="167"/>
      <c r="G567" s="167"/>
      <c r="H567" s="190" t="s">
        <v>697</v>
      </c>
      <c r="I567" s="169"/>
      <c r="J567" s="169"/>
      <c r="K567" s="170"/>
      <c r="L567" s="170"/>
      <c r="M567" s="170"/>
      <c r="N567" s="536"/>
      <c r="O567" s="169"/>
      <c r="P567" s="169">
        <v>460000</v>
      </c>
      <c r="Q567" s="169">
        <v>460000</v>
      </c>
      <c r="R567" s="170"/>
      <c r="S567" s="170"/>
      <c r="T567" s="536"/>
      <c r="U567" s="171">
        <f t="shared" si="42"/>
        <v>0</v>
      </c>
    </row>
    <row r="568" spans="2:21" s="13" customFormat="1" x14ac:dyDescent="0.2">
      <c r="B568" s="8">
        <f t="shared" si="43"/>
        <v>126</v>
      </c>
      <c r="C568" s="166"/>
      <c r="D568" s="166"/>
      <c r="E568" s="166"/>
      <c r="F568" s="167"/>
      <c r="G568" s="167"/>
      <c r="H568" s="190"/>
      <c r="I568" s="169"/>
      <c r="J568" s="169"/>
      <c r="K568" s="170"/>
      <c r="L568" s="170"/>
      <c r="M568" s="170"/>
      <c r="N568" s="536"/>
      <c r="O568" s="169"/>
      <c r="P568" s="169"/>
      <c r="Q568" s="169"/>
      <c r="R568" s="170"/>
      <c r="S568" s="170"/>
      <c r="T568" s="536"/>
      <c r="U568" s="171">
        <f t="shared" si="42"/>
        <v>0</v>
      </c>
    </row>
    <row r="569" spans="2:21" s="13" customFormat="1" x14ac:dyDescent="0.2">
      <c r="B569" s="8">
        <f t="shared" si="43"/>
        <v>127</v>
      </c>
      <c r="C569" s="166"/>
      <c r="D569" s="166"/>
      <c r="E569" s="166"/>
      <c r="F569" s="167"/>
      <c r="G569" s="167"/>
      <c r="H569" s="190" t="s">
        <v>975</v>
      </c>
      <c r="I569" s="169"/>
      <c r="J569" s="169"/>
      <c r="K569" s="170"/>
      <c r="L569" s="170"/>
      <c r="M569" s="170"/>
      <c r="N569" s="536"/>
      <c r="O569" s="169"/>
      <c r="P569" s="169"/>
      <c r="Q569" s="169">
        <v>43000</v>
      </c>
      <c r="R569" s="170"/>
      <c r="S569" s="170"/>
      <c r="T569" s="536"/>
      <c r="U569" s="171">
        <f t="shared" si="42"/>
        <v>0</v>
      </c>
    </row>
    <row r="570" spans="2:21" x14ac:dyDescent="0.2">
      <c r="B570" s="8">
        <f t="shared" si="43"/>
        <v>128</v>
      </c>
      <c r="C570" s="120"/>
      <c r="D570" s="120"/>
      <c r="E570" s="120"/>
      <c r="F570" s="155"/>
      <c r="G570" s="155"/>
      <c r="H570" s="156" t="s">
        <v>359</v>
      </c>
      <c r="I570" s="157"/>
      <c r="J570" s="157"/>
      <c r="K570" s="158"/>
      <c r="L570" s="158"/>
      <c r="M570" s="158"/>
      <c r="N570" s="535"/>
      <c r="O570" s="157"/>
      <c r="P570" s="157"/>
      <c r="Q570" s="157"/>
      <c r="R570" s="158"/>
      <c r="S570" s="158">
        <v>219037</v>
      </c>
      <c r="T570" s="535"/>
      <c r="U570" s="159">
        <f t="shared" si="42"/>
        <v>0</v>
      </c>
    </row>
    <row r="571" spans="2:21" x14ac:dyDescent="0.2">
      <c r="B571" s="8">
        <f t="shared" si="43"/>
        <v>129</v>
      </c>
      <c r="C571" s="120"/>
      <c r="D571" s="120"/>
      <c r="E571" s="120"/>
      <c r="F571" s="155"/>
      <c r="G571" s="155"/>
      <c r="H571" s="156" t="s">
        <v>770</v>
      </c>
      <c r="I571" s="157"/>
      <c r="J571" s="157"/>
      <c r="K571" s="158"/>
      <c r="L571" s="158"/>
      <c r="M571" s="158"/>
      <c r="N571" s="535"/>
      <c r="O571" s="157"/>
      <c r="P571" s="157"/>
      <c r="Q571" s="157"/>
      <c r="R571" s="158">
        <v>96411</v>
      </c>
      <c r="S571" s="158"/>
      <c r="T571" s="535"/>
      <c r="U571" s="159">
        <f t="shared" si="42"/>
        <v>0</v>
      </c>
    </row>
    <row r="572" spans="2:21" x14ac:dyDescent="0.2">
      <c r="B572" s="8">
        <f t="shared" si="43"/>
        <v>130</v>
      </c>
      <c r="C572" s="120"/>
      <c r="D572" s="120"/>
      <c r="E572" s="120"/>
      <c r="F572" s="155"/>
      <c r="G572" s="155"/>
      <c r="H572" s="156" t="s">
        <v>314</v>
      </c>
      <c r="I572" s="157"/>
      <c r="J572" s="157"/>
      <c r="K572" s="158"/>
      <c r="L572" s="158"/>
      <c r="M572" s="158"/>
      <c r="N572" s="535"/>
      <c r="O572" s="157"/>
      <c r="P572" s="157"/>
      <c r="Q572" s="157"/>
      <c r="R572" s="158"/>
      <c r="S572" s="158">
        <v>34870</v>
      </c>
      <c r="T572" s="535"/>
      <c r="U572" s="159">
        <f t="shared" si="42"/>
        <v>0</v>
      </c>
    </row>
    <row r="573" spans="2:21" x14ac:dyDescent="0.2">
      <c r="B573" s="8">
        <f t="shared" si="43"/>
        <v>131</v>
      </c>
      <c r="C573" s="120"/>
      <c r="D573" s="120"/>
      <c r="E573" s="120"/>
      <c r="F573" s="155"/>
      <c r="G573" s="155"/>
      <c r="H573" s="156" t="s">
        <v>771</v>
      </c>
      <c r="I573" s="157"/>
      <c r="J573" s="157"/>
      <c r="K573" s="158"/>
      <c r="L573" s="158"/>
      <c r="M573" s="158"/>
      <c r="N573" s="535"/>
      <c r="O573" s="157"/>
      <c r="P573" s="157"/>
      <c r="Q573" s="157"/>
      <c r="R573" s="158">
        <v>8340</v>
      </c>
      <c r="S573" s="158"/>
      <c r="T573" s="535"/>
      <c r="U573" s="159">
        <f t="shared" si="42"/>
        <v>0</v>
      </c>
    </row>
    <row r="574" spans="2:21" x14ac:dyDescent="0.2">
      <c r="B574" s="8">
        <f t="shared" si="43"/>
        <v>132</v>
      </c>
      <c r="C574" s="120"/>
      <c r="D574" s="120"/>
      <c r="E574" s="120"/>
      <c r="F574" s="155"/>
      <c r="G574" s="155"/>
      <c r="H574" s="156" t="s">
        <v>419</v>
      </c>
      <c r="I574" s="157"/>
      <c r="J574" s="157"/>
      <c r="K574" s="158"/>
      <c r="L574" s="158"/>
      <c r="M574" s="158"/>
      <c r="N574" s="535"/>
      <c r="O574" s="157"/>
      <c r="P574" s="157"/>
      <c r="Q574" s="157"/>
      <c r="R574" s="158">
        <v>16815</v>
      </c>
      <c r="S574" s="158"/>
      <c r="T574" s="535"/>
      <c r="U574" s="159">
        <f t="shared" ref="U574:U610" si="44">I574+O574</f>
        <v>0</v>
      </c>
    </row>
    <row r="575" spans="2:21" x14ac:dyDescent="0.2">
      <c r="B575" s="8">
        <f t="shared" si="43"/>
        <v>133</v>
      </c>
      <c r="C575" s="120"/>
      <c r="D575" s="120"/>
      <c r="E575" s="120"/>
      <c r="F575" s="155"/>
      <c r="G575" s="155"/>
      <c r="H575" s="156" t="s">
        <v>357</v>
      </c>
      <c r="I575" s="157"/>
      <c r="J575" s="157"/>
      <c r="K575" s="158"/>
      <c r="L575" s="158"/>
      <c r="M575" s="158"/>
      <c r="N575" s="535"/>
      <c r="O575" s="157"/>
      <c r="P575" s="157"/>
      <c r="Q575" s="157"/>
      <c r="R575" s="158">
        <v>139427</v>
      </c>
      <c r="S575" s="158">
        <v>73</v>
      </c>
      <c r="T575" s="535"/>
      <c r="U575" s="159">
        <f t="shared" si="44"/>
        <v>0</v>
      </c>
    </row>
    <row r="576" spans="2:21" x14ac:dyDescent="0.2">
      <c r="B576" s="8">
        <f t="shared" si="43"/>
        <v>134</v>
      </c>
      <c r="C576" s="120"/>
      <c r="D576" s="120"/>
      <c r="E576" s="120"/>
      <c r="F576" s="155"/>
      <c r="G576" s="155"/>
      <c r="H576" s="156" t="s">
        <v>356</v>
      </c>
      <c r="I576" s="157"/>
      <c r="J576" s="157"/>
      <c r="K576" s="158"/>
      <c r="L576" s="158"/>
      <c r="M576" s="158"/>
      <c r="N576" s="535"/>
      <c r="O576" s="157"/>
      <c r="P576" s="157"/>
      <c r="Q576" s="157">
        <v>67000</v>
      </c>
      <c r="R576" s="158"/>
      <c r="S576" s="158"/>
      <c r="T576" s="535"/>
      <c r="U576" s="159">
        <f t="shared" si="44"/>
        <v>0</v>
      </c>
    </row>
    <row r="577" spans="2:21" x14ac:dyDescent="0.2">
      <c r="B577" s="8">
        <f t="shared" si="43"/>
        <v>135</v>
      </c>
      <c r="C577" s="120"/>
      <c r="D577" s="120"/>
      <c r="E577" s="120"/>
      <c r="F577" s="155"/>
      <c r="G577" s="155"/>
      <c r="H577" s="156" t="s">
        <v>416</v>
      </c>
      <c r="I577" s="157"/>
      <c r="J577" s="157"/>
      <c r="K577" s="158"/>
      <c r="L577" s="158"/>
      <c r="M577" s="158"/>
      <c r="N577" s="535"/>
      <c r="O577" s="157"/>
      <c r="P577" s="157"/>
      <c r="Q577" s="157"/>
      <c r="R577" s="158"/>
      <c r="S577" s="158">
        <v>22436</v>
      </c>
      <c r="T577" s="535"/>
      <c r="U577" s="159">
        <f t="shared" si="44"/>
        <v>0</v>
      </c>
    </row>
    <row r="578" spans="2:21" x14ac:dyDescent="0.2">
      <c r="B578" s="8">
        <f t="shared" si="43"/>
        <v>136</v>
      </c>
      <c r="C578" s="120"/>
      <c r="D578" s="120"/>
      <c r="E578" s="120"/>
      <c r="F578" s="155"/>
      <c r="G578" s="155"/>
      <c r="H578" s="156" t="s">
        <v>417</v>
      </c>
      <c r="I578" s="157"/>
      <c r="J578" s="157"/>
      <c r="K578" s="158"/>
      <c r="L578" s="158"/>
      <c r="M578" s="158"/>
      <c r="N578" s="535"/>
      <c r="O578" s="157"/>
      <c r="P578" s="157"/>
      <c r="Q578" s="157"/>
      <c r="R578" s="158">
        <v>37000</v>
      </c>
      <c r="S578" s="158"/>
      <c r="T578" s="535"/>
      <c r="U578" s="159">
        <f t="shared" si="44"/>
        <v>0</v>
      </c>
    </row>
    <row r="579" spans="2:21" x14ac:dyDescent="0.2">
      <c r="B579" s="8">
        <f t="shared" si="43"/>
        <v>137</v>
      </c>
      <c r="C579" s="120"/>
      <c r="D579" s="120"/>
      <c r="E579" s="120"/>
      <c r="F579" s="155"/>
      <c r="G579" s="155"/>
      <c r="H579" s="156" t="s">
        <v>772</v>
      </c>
      <c r="I579" s="157"/>
      <c r="J579" s="157"/>
      <c r="K579" s="158"/>
      <c r="L579" s="158"/>
      <c r="M579" s="158"/>
      <c r="N579" s="535"/>
      <c r="O579" s="157"/>
      <c r="P579" s="157"/>
      <c r="Q579" s="157"/>
      <c r="R579" s="158">
        <v>93700</v>
      </c>
      <c r="S579" s="158"/>
      <c r="T579" s="535"/>
      <c r="U579" s="159">
        <f t="shared" si="44"/>
        <v>0</v>
      </c>
    </row>
    <row r="580" spans="2:21" x14ac:dyDescent="0.2">
      <c r="B580" s="8">
        <f t="shared" si="43"/>
        <v>138</v>
      </c>
      <c r="C580" s="120"/>
      <c r="D580" s="120"/>
      <c r="E580" s="120"/>
      <c r="F580" s="155"/>
      <c r="G580" s="155"/>
      <c r="H580" s="156" t="s">
        <v>286</v>
      </c>
      <c r="I580" s="157"/>
      <c r="J580" s="157"/>
      <c r="K580" s="158"/>
      <c r="L580" s="158"/>
      <c r="M580" s="158"/>
      <c r="N580" s="535"/>
      <c r="O580" s="157"/>
      <c r="P580" s="157"/>
      <c r="Q580" s="157"/>
      <c r="R580" s="158"/>
      <c r="S580" s="158">
        <v>804</v>
      </c>
      <c r="T580" s="535"/>
      <c r="U580" s="159">
        <f t="shared" si="44"/>
        <v>0</v>
      </c>
    </row>
    <row r="581" spans="2:21" x14ac:dyDescent="0.2">
      <c r="B581" s="8">
        <f t="shared" si="43"/>
        <v>139</v>
      </c>
      <c r="C581" s="120"/>
      <c r="D581" s="120"/>
      <c r="E581" s="120"/>
      <c r="F581" s="155"/>
      <c r="G581" s="155"/>
      <c r="H581" s="156" t="s">
        <v>413</v>
      </c>
      <c r="I581" s="157"/>
      <c r="J581" s="157"/>
      <c r="K581" s="158"/>
      <c r="L581" s="158"/>
      <c r="M581" s="158"/>
      <c r="N581" s="535"/>
      <c r="O581" s="157">
        <v>29000</v>
      </c>
      <c r="P581" s="157"/>
      <c r="Q581" s="157"/>
      <c r="R581" s="158">
        <v>117900</v>
      </c>
      <c r="S581" s="158"/>
      <c r="T581" s="535"/>
      <c r="U581" s="159">
        <f t="shared" si="44"/>
        <v>29000</v>
      </c>
    </row>
    <row r="582" spans="2:21" x14ac:dyDescent="0.2">
      <c r="B582" s="8">
        <f t="shared" si="43"/>
        <v>140</v>
      </c>
      <c r="C582" s="120"/>
      <c r="D582" s="120"/>
      <c r="E582" s="120"/>
      <c r="F582" s="155"/>
      <c r="G582" s="155"/>
      <c r="H582" s="156" t="s">
        <v>698</v>
      </c>
      <c r="I582" s="157"/>
      <c r="J582" s="157"/>
      <c r="K582" s="158"/>
      <c r="L582" s="158"/>
      <c r="M582" s="158"/>
      <c r="N582" s="535"/>
      <c r="O582" s="157"/>
      <c r="P582" s="157"/>
      <c r="Q582" s="157"/>
      <c r="R582" s="158">
        <v>7415</v>
      </c>
      <c r="S582" s="158"/>
      <c r="T582" s="535"/>
      <c r="U582" s="159">
        <f t="shared" si="44"/>
        <v>0</v>
      </c>
    </row>
    <row r="583" spans="2:21" x14ac:dyDescent="0.2">
      <c r="B583" s="8">
        <f t="shared" si="43"/>
        <v>141</v>
      </c>
      <c r="C583" s="120"/>
      <c r="D583" s="120"/>
      <c r="E583" s="120"/>
      <c r="F583" s="155"/>
      <c r="G583" s="155"/>
      <c r="H583" s="156" t="s">
        <v>700</v>
      </c>
      <c r="I583" s="157"/>
      <c r="J583" s="157"/>
      <c r="K583" s="158"/>
      <c r="L583" s="158"/>
      <c r="M583" s="158"/>
      <c r="N583" s="535"/>
      <c r="O583" s="157"/>
      <c r="P583" s="157"/>
      <c r="Q583" s="157"/>
      <c r="R583" s="158">
        <v>31807</v>
      </c>
      <c r="S583" s="158"/>
      <c r="T583" s="535"/>
      <c r="U583" s="159">
        <f t="shared" si="44"/>
        <v>0</v>
      </c>
    </row>
    <row r="584" spans="2:21" x14ac:dyDescent="0.2">
      <c r="B584" s="8">
        <f t="shared" si="43"/>
        <v>142</v>
      </c>
      <c r="C584" s="120"/>
      <c r="D584" s="120"/>
      <c r="E584" s="120"/>
      <c r="F584" s="155"/>
      <c r="G584" s="155"/>
      <c r="H584" s="156" t="s">
        <v>905</v>
      </c>
      <c r="I584" s="157"/>
      <c r="J584" s="157"/>
      <c r="K584" s="158"/>
      <c r="L584" s="158"/>
      <c r="M584" s="158"/>
      <c r="N584" s="535"/>
      <c r="O584" s="157"/>
      <c r="P584" s="157">
        <v>48000</v>
      </c>
      <c r="Q584" s="157">
        <v>89000</v>
      </c>
      <c r="R584" s="158"/>
      <c r="S584" s="158"/>
      <c r="T584" s="535"/>
      <c r="U584" s="159">
        <f t="shared" si="44"/>
        <v>0</v>
      </c>
    </row>
    <row r="585" spans="2:21" x14ac:dyDescent="0.2">
      <c r="B585" s="8">
        <f t="shared" si="43"/>
        <v>143</v>
      </c>
      <c r="C585" s="120"/>
      <c r="D585" s="120"/>
      <c r="E585" s="120"/>
      <c r="F585" s="155"/>
      <c r="G585" s="155"/>
      <c r="H585" s="156" t="s">
        <v>906</v>
      </c>
      <c r="I585" s="157"/>
      <c r="J585" s="157"/>
      <c r="K585" s="158"/>
      <c r="L585" s="158"/>
      <c r="M585" s="158"/>
      <c r="N585" s="535"/>
      <c r="O585" s="157"/>
      <c r="P585" s="157">
        <v>60000</v>
      </c>
      <c r="Q585" s="157">
        <v>70000</v>
      </c>
      <c r="R585" s="158"/>
      <c r="S585" s="158"/>
      <c r="T585" s="535"/>
      <c r="U585" s="159">
        <f t="shared" si="44"/>
        <v>0</v>
      </c>
    </row>
    <row r="586" spans="2:21" x14ac:dyDescent="0.2">
      <c r="B586" s="8">
        <f t="shared" si="43"/>
        <v>144</v>
      </c>
      <c r="C586" s="120"/>
      <c r="D586" s="120"/>
      <c r="E586" s="120"/>
      <c r="F586" s="155"/>
      <c r="G586" s="155"/>
      <c r="H586" s="156" t="s">
        <v>907</v>
      </c>
      <c r="I586" s="157"/>
      <c r="J586" s="157"/>
      <c r="K586" s="158"/>
      <c r="L586" s="158"/>
      <c r="M586" s="158"/>
      <c r="N586" s="535"/>
      <c r="O586" s="157"/>
      <c r="P586" s="157">
        <v>120000</v>
      </c>
      <c r="Q586" s="157">
        <v>89300</v>
      </c>
      <c r="R586" s="158"/>
      <c r="S586" s="158"/>
      <c r="T586" s="535"/>
      <c r="U586" s="159">
        <f t="shared" si="44"/>
        <v>0</v>
      </c>
    </row>
    <row r="587" spans="2:21" x14ac:dyDescent="0.2">
      <c r="B587" s="8">
        <f t="shared" si="43"/>
        <v>145</v>
      </c>
      <c r="C587" s="120"/>
      <c r="D587" s="120"/>
      <c r="E587" s="120"/>
      <c r="F587" s="155"/>
      <c r="G587" s="155"/>
      <c r="H587" s="156" t="s">
        <v>1187</v>
      </c>
      <c r="I587" s="157"/>
      <c r="J587" s="157"/>
      <c r="K587" s="158"/>
      <c r="L587" s="158"/>
      <c r="M587" s="158"/>
      <c r="N587" s="535"/>
      <c r="O587" s="157">
        <f>265000+285000</f>
        <v>550000</v>
      </c>
      <c r="P587" s="157">
        <v>265000</v>
      </c>
      <c r="Q587" s="157">
        <v>265000</v>
      </c>
      <c r="R587" s="158"/>
      <c r="S587" s="158"/>
      <c r="T587" s="535"/>
      <c r="U587" s="159">
        <f t="shared" si="44"/>
        <v>550000</v>
      </c>
    </row>
    <row r="588" spans="2:21" x14ac:dyDescent="0.2">
      <c r="B588" s="8">
        <f t="shared" si="43"/>
        <v>146</v>
      </c>
      <c r="C588" s="120"/>
      <c r="D588" s="120"/>
      <c r="E588" s="120"/>
      <c r="F588" s="155"/>
      <c r="G588" s="155"/>
      <c r="H588" s="156" t="s">
        <v>987</v>
      </c>
      <c r="I588" s="157"/>
      <c r="J588" s="157"/>
      <c r="K588" s="158"/>
      <c r="L588" s="158"/>
      <c r="M588" s="158"/>
      <c r="N588" s="535"/>
      <c r="O588" s="157"/>
      <c r="P588" s="157"/>
      <c r="Q588" s="157">
        <v>0</v>
      </c>
      <c r="R588" s="158"/>
      <c r="S588" s="158"/>
      <c r="T588" s="535"/>
      <c r="U588" s="159">
        <f t="shared" si="44"/>
        <v>0</v>
      </c>
    </row>
    <row r="589" spans="2:21" x14ac:dyDescent="0.2">
      <c r="B589" s="8">
        <f t="shared" si="43"/>
        <v>147</v>
      </c>
      <c r="C589" s="120"/>
      <c r="D589" s="120"/>
      <c r="E589" s="120"/>
      <c r="F589" s="155"/>
      <c r="G589" s="155"/>
      <c r="H589" s="156" t="s">
        <v>988</v>
      </c>
      <c r="I589" s="157"/>
      <c r="J589" s="157"/>
      <c r="K589" s="158"/>
      <c r="L589" s="158"/>
      <c r="M589" s="158"/>
      <c r="N589" s="535"/>
      <c r="O589" s="157"/>
      <c r="P589" s="157"/>
      <c r="Q589" s="157">
        <v>29000</v>
      </c>
      <c r="R589" s="158"/>
      <c r="S589" s="158"/>
      <c r="T589" s="535"/>
      <c r="U589" s="159">
        <f t="shared" si="44"/>
        <v>0</v>
      </c>
    </row>
    <row r="590" spans="2:21" x14ac:dyDescent="0.2">
      <c r="B590" s="8">
        <f t="shared" si="43"/>
        <v>148</v>
      </c>
      <c r="C590" s="120"/>
      <c r="D590" s="120"/>
      <c r="E590" s="120"/>
      <c r="F590" s="155"/>
      <c r="G590" s="155"/>
      <c r="H590" s="156" t="s">
        <v>989</v>
      </c>
      <c r="I590" s="157"/>
      <c r="J590" s="157"/>
      <c r="K590" s="158"/>
      <c r="L590" s="158"/>
      <c r="M590" s="158"/>
      <c r="N590" s="535"/>
      <c r="O590" s="157"/>
      <c r="P590" s="157"/>
      <c r="Q590" s="157">
        <v>34000</v>
      </c>
      <c r="R590" s="158"/>
      <c r="S590" s="158"/>
      <c r="T590" s="535"/>
      <c r="U590" s="159">
        <f t="shared" si="44"/>
        <v>0</v>
      </c>
    </row>
    <row r="591" spans="2:21" x14ac:dyDescent="0.2">
      <c r="B591" s="8">
        <f t="shared" si="43"/>
        <v>149</v>
      </c>
      <c r="C591" s="120"/>
      <c r="D591" s="120"/>
      <c r="E591" s="120"/>
      <c r="F591" s="155"/>
      <c r="G591" s="155"/>
      <c r="H591" s="156" t="s">
        <v>422</v>
      </c>
      <c r="I591" s="157"/>
      <c r="J591" s="157"/>
      <c r="K591" s="158"/>
      <c r="L591" s="158"/>
      <c r="M591" s="158"/>
      <c r="N591" s="535"/>
      <c r="O591" s="157"/>
      <c r="P591" s="157"/>
      <c r="Q591" s="157"/>
      <c r="R591" s="158"/>
      <c r="S591" s="158">
        <v>30909</v>
      </c>
      <c r="T591" s="535"/>
      <c r="U591" s="159">
        <f t="shared" si="44"/>
        <v>0</v>
      </c>
    </row>
    <row r="592" spans="2:21" x14ac:dyDescent="0.2">
      <c r="B592" s="8">
        <f t="shared" si="43"/>
        <v>150</v>
      </c>
      <c r="C592" s="120"/>
      <c r="D592" s="120"/>
      <c r="E592" s="120"/>
      <c r="F592" s="155"/>
      <c r="G592" s="155"/>
      <c r="H592" s="156" t="s">
        <v>421</v>
      </c>
      <c r="I592" s="157"/>
      <c r="J592" s="157"/>
      <c r="K592" s="158"/>
      <c r="L592" s="158"/>
      <c r="M592" s="158"/>
      <c r="N592" s="535"/>
      <c r="O592" s="157"/>
      <c r="P592" s="157"/>
      <c r="Q592" s="157"/>
      <c r="R592" s="158"/>
      <c r="S592" s="158">
        <v>48865</v>
      </c>
      <c r="T592" s="535"/>
      <c r="U592" s="159">
        <f t="shared" si="44"/>
        <v>0</v>
      </c>
    </row>
    <row r="593" spans="2:21" x14ac:dyDescent="0.2">
      <c r="B593" s="8">
        <f t="shared" si="43"/>
        <v>151</v>
      </c>
      <c r="C593" s="120"/>
      <c r="D593" s="120"/>
      <c r="E593" s="120"/>
      <c r="F593" s="155"/>
      <c r="G593" s="155"/>
      <c r="H593" s="156" t="s">
        <v>773</v>
      </c>
      <c r="I593" s="157"/>
      <c r="J593" s="157"/>
      <c r="K593" s="158"/>
      <c r="L593" s="158"/>
      <c r="M593" s="158"/>
      <c r="N593" s="535"/>
      <c r="O593" s="157"/>
      <c r="P593" s="157"/>
      <c r="Q593" s="157"/>
      <c r="R593" s="158">
        <v>53222</v>
      </c>
      <c r="S593" s="158"/>
      <c r="T593" s="535"/>
      <c r="U593" s="159">
        <f t="shared" si="44"/>
        <v>0</v>
      </c>
    </row>
    <row r="594" spans="2:21" ht="15" customHeight="1" x14ac:dyDescent="0.2">
      <c r="B594" s="8">
        <f t="shared" si="43"/>
        <v>152</v>
      </c>
      <c r="C594" s="120"/>
      <c r="D594" s="120"/>
      <c r="E594" s="120"/>
      <c r="F594" s="155"/>
      <c r="G594" s="155"/>
      <c r="H594" s="156" t="s">
        <v>774</v>
      </c>
      <c r="I594" s="157"/>
      <c r="J594" s="157"/>
      <c r="K594" s="158"/>
      <c r="L594" s="158"/>
      <c r="M594" s="158"/>
      <c r="N594" s="535"/>
      <c r="O594" s="157"/>
      <c r="P594" s="157"/>
      <c r="Q594" s="157"/>
      <c r="R594" s="158">
        <v>25350</v>
      </c>
      <c r="S594" s="158"/>
      <c r="T594" s="535"/>
      <c r="U594" s="159">
        <f t="shared" si="44"/>
        <v>0</v>
      </c>
    </row>
    <row r="595" spans="2:21" x14ac:dyDescent="0.2">
      <c r="B595" s="8">
        <f t="shared" si="43"/>
        <v>153</v>
      </c>
      <c r="C595" s="120"/>
      <c r="D595" s="120"/>
      <c r="E595" s="120"/>
      <c r="F595" s="155"/>
      <c r="G595" s="155"/>
      <c r="H595" s="156" t="s">
        <v>775</v>
      </c>
      <c r="I595" s="157"/>
      <c r="J595" s="157"/>
      <c r="K595" s="158"/>
      <c r="L595" s="158"/>
      <c r="M595" s="158"/>
      <c r="N595" s="535"/>
      <c r="O595" s="157"/>
      <c r="P595" s="157"/>
      <c r="Q595" s="157"/>
      <c r="R595" s="158">
        <v>18361</v>
      </c>
      <c r="S595" s="158"/>
      <c r="T595" s="535"/>
      <c r="U595" s="159">
        <f t="shared" si="44"/>
        <v>0</v>
      </c>
    </row>
    <row r="596" spans="2:21" x14ac:dyDescent="0.2">
      <c r="B596" s="8">
        <f t="shared" si="43"/>
        <v>154</v>
      </c>
      <c r="C596" s="120"/>
      <c r="D596" s="120"/>
      <c r="E596" s="120"/>
      <c r="F596" s="155"/>
      <c r="G596" s="155"/>
      <c r="H596" s="156" t="s">
        <v>533</v>
      </c>
      <c r="I596" s="157"/>
      <c r="J596" s="157"/>
      <c r="K596" s="158"/>
      <c r="L596" s="158"/>
      <c r="M596" s="158"/>
      <c r="N596" s="535"/>
      <c r="O596" s="157"/>
      <c r="P596" s="157"/>
      <c r="Q596" s="157"/>
      <c r="R596" s="158">
        <v>40426</v>
      </c>
      <c r="S596" s="158"/>
      <c r="T596" s="535"/>
      <c r="U596" s="159">
        <f t="shared" si="44"/>
        <v>0</v>
      </c>
    </row>
    <row r="597" spans="2:21" x14ac:dyDescent="0.2">
      <c r="B597" s="8">
        <f t="shared" si="43"/>
        <v>155</v>
      </c>
      <c r="C597" s="120"/>
      <c r="D597" s="120"/>
      <c r="E597" s="120"/>
      <c r="F597" s="155"/>
      <c r="G597" s="155"/>
      <c r="H597" s="156" t="s">
        <v>373</v>
      </c>
      <c r="I597" s="157"/>
      <c r="J597" s="157"/>
      <c r="K597" s="158"/>
      <c r="L597" s="158"/>
      <c r="M597" s="158"/>
      <c r="N597" s="535"/>
      <c r="O597" s="157"/>
      <c r="P597" s="157"/>
      <c r="Q597" s="157"/>
      <c r="R597" s="158"/>
      <c r="S597" s="158">
        <v>17592</v>
      </c>
      <c r="T597" s="535"/>
      <c r="U597" s="159">
        <f t="shared" si="44"/>
        <v>0</v>
      </c>
    </row>
    <row r="598" spans="2:21" x14ac:dyDescent="0.2">
      <c r="B598" s="8">
        <f t="shared" si="43"/>
        <v>156</v>
      </c>
      <c r="C598" s="120"/>
      <c r="D598" s="120"/>
      <c r="E598" s="120"/>
      <c r="F598" s="155"/>
      <c r="G598" s="155"/>
      <c r="H598" s="156" t="s">
        <v>1163</v>
      </c>
      <c r="I598" s="157"/>
      <c r="J598" s="157"/>
      <c r="K598" s="158"/>
      <c r="L598" s="158"/>
      <c r="M598" s="158"/>
      <c r="N598" s="535"/>
      <c r="O598" s="157">
        <v>8000</v>
      </c>
      <c r="P598" s="157"/>
      <c r="Q598" s="157"/>
      <c r="R598" s="158"/>
      <c r="S598" s="158"/>
      <c r="T598" s="535"/>
      <c r="U598" s="159">
        <f t="shared" si="44"/>
        <v>8000</v>
      </c>
    </row>
    <row r="599" spans="2:21" x14ac:dyDescent="0.2">
      <c r="B599" s="8">
        <f t="shared" si="43"/>
        <v>157</v>
      </c>
      <c r="C599" s="120"/>
      <c r="D599" s="120"/>
      <c r="E599" s="120"/>
      <c r="F599" s="155"/>
      <c r="G599" s="155"/>
      <c r="H599" s="156" t="s">
        <v>1164</v>
      </c>
      <c r="I599" s="157"/>
      <c r="J599" s="157"/>
      <c r="K599" s="158"/>
      <c r="L599" s="158"/>
      <c r="M599" s="158"/>
      <c r="N599" s="535"/>
      <c r="O599" s="157">
        <v>25000</v>
      </c>
      <c r="P599" s="157"/>
      <c r="Q599" s="157"/>
      <c r="R599" s="158"/>
      <c r="S599" s="158"/>
      <c r="T599" s="535"/>
      <c r="U599" s="159">
        <f t="shared" si="44"/>
        <v>25000</v>
      </c>
    </row>
    <row r="600" spans="2:21" x14ac:dyDescent="0.2">
      <c r="B600" s="8">
        <f t="shared" si="43"/>
        <v>158</v>
      </c>
      <c r="C600" s="120"/>
      <c r="D600" s="120"/>
      <c r="E600" s="120"/>
      <c r="F600" s="155"/>
      <c r="G600" s="155"/>
      <c r="H600" s="156" t="s">
        <v>1177</v>
      </c>
      <c r="I600" s="157"/>
      <c r="J600" s="157"/>
      <c r="K600" s="158"/>
      <c r="L600" s="158"/>
      <c r="M600" s="158"/>
      <c r="N600" s="535"/>
      <c r="O600" s="157">
        <v>190000</v>
      </c>
      <c r="P600" s="157"/>
      <c r="Q600" s="157"/>
      <c r="R600" s="158"/>
      <c r="S600" s="158"/>
      <c r="T600" s="535"/>
      <c r="U600" s="159">
        <f t="shared" si="44"/>
        <v>190000</v>
      </c>
    </row>
    <row r="601" spans="2:21" x14ac:dyDescent="0.2">
      <c r="B601" s="8">
        <f t="shared" si="43"/>
        <v>159</v>
      </c>
      <c r="C601" s="120"/>
      <c r="D601" s="120"/>
      <c r="E601" s="120"/>
      <c r="F601" s="155"/>
      <c r="G601" s="155"/>
      <c r="H601" s="156" t="s">
        <v>1196</v>
      </c>
      <c r="I601" s="157"/>
      <c r="J601" s="157"/>
      <c r="K601" s="158"/>
      <c r="L601" s="158"/>
      <c r="M601" s="158"/>
      <c r="N601" s="535"/>
      <c r="O601" s="157">
        <v>101000</v>
      </c>
      <c r="P601" s="157"/>
      <c r="Q601" s="157"/>
      <c r="R601" s="158"/>
      <c r="S601" s="158"/>
      <c r="T601" s="535"/>
      <c r="U601" s="159">
        <f t="shared" si="44"/>
        <v>101000</v>
      </c>
    </row>
    <row r="602" spans="2:21" x14ac:dyDescent="0.2">
      <c r="B602" s="8">
        <f t="shared" si="43"/>
        <v>160</v>
      </c>
      <c r="C602" s="120"/>
      <c r="D602" s="120"/>
      <c r="E602" s="120"/>
      <c r="F602" s="155"/>
      <c r="G602" s="155"/>
      <c r="H602" s="156" t="s">
        <v>412</v>
      </c>
      <c r="I602" s="157"/>
      <c r="J602" s="157"/>
      <c r="K602" s="158"/>
      <c r="L602" s="158"/>
      <c r="M602" s="158"/>
      <c r="N602" s="535"/>
      <c r="O602" s="157"/>
      <c r="P602" s="157"/>
      <c r="Q602" s="157"/>
      <c r="R602" s="158">
        <v>25118</v>
      </c>
      <c r="S602" s="158">
        <v>700</v>
      </c>
      <c r="T602" s="535"/>
      <c r="U602" s="159">
        <f t="shared" si="44"/>
        <v>0</v>
      </c>
    </row>
    <row r="603" spans="2:21" x14ac:dyDescent="0.2">
      <c r="B603" s="8">
        <f t="shared" si="43"/>
        <v>161</v>
      </c>
      <c r="C603" s="120"/>
      <c r="D603" s="120"/>
      <c r="E603" s="120"/>
      <c r="F603" s="155"/>
      <c r="G603" s="155"/>
      <c r="H603" s="156" t="s">
        <v>296</v>
      </c>
      <c r="I603" s="157"/>
      <c r="J603" s="157"/>
      <c r="K603" s="158"/>
      <c r="L603" s="158"/>
      <c r="M603" s="158"/>
      <c r="N603" s="535"/>
      <c r="O603" s="157"/>
      <c r="P603" s="157">
        <v>59000</v>
      </c>
      <c r="Q603" s="157"/>
      <c r="R603" s="158"/>
      <c r="S603" s="158"/>
      <c r="T603" s="535"/>
      <c r="U603" s="159">
        <f t="shared" si="44"/>
        <v>0</v>
      </c>
    </row>
    <row r="604" spans="2:21" x14ac:dyDescent="0.2">
      <c r="B604" s="8">
        <f t="shared" si="43"/>
        <v>162</v>
      </c>
      <c r="C604" s="120"/>
      <c r="D604" s="120"/>
      <c r="E604" s="120"/>
      <c r="F604" s="155"/>
      <c r="G604" s="155"/>
      <c r="H604" s="156" t="s">
        <v>990</v>
      </c>
      <c r="I604" s="157"/>
      <c r="J604" s="157"/>
      <c r="K604" s="158"/>
      <c r="L604" s="158"/>
      <c r="M604" s="158"/>
      <c r="N604" s="535"/>
      <c r="O604" s="157">
        <v>82000</v>
      </c>
      <c r="P604" s="157"/>
      <c r="Q604" s="157">
        <v>59000</v>
      </c>
      <c r="R604" s="158"/>
      <c r="S604" s="158"/>
      <c r="T604" s="535"/>
      <c r="U604" s="159">
        <f t="shared" si="44"/>
        <v>82000</v>
      </c>
    </row>
    <row r="605" spans="2:21" x14ac:dyDescent="0.2">
      <c r="B605" s="8">
        <f t="shared" si="43"/>
        <v>163</v>
      </c>
      <c r="C605" s="120"/>
      <c r="D605" s="120"/>
      <c r="E605" s="120"/>
      <c r="F605" s="155"/>
      <c r="G605" s="155"/>
      <c r="H605" s="156" t="s">
        <v>991</v>
      </c>
      <c r="I605" s="157"/>
      <c r="J605" s="157"/>
      <c r="K605" s="158"/>
      <c r="L605" s="158"/>
      <c r="M605" s="158"/>
      <c r="N605" s="535"/>
      <c r="O605" s="157"/>
      <c r="P605" s="157"/>
      <c r="Q605" s="157">
        <v>88475</v>
      </c>
      <c r="R605" s="158"/>
      <c r="S605" s="158"/>
      <c r="T605" s="535"/>
      <c r="U605" s="159">
        <f t="shared" si="44"/>
        <v>0</v>
      </c>
    </row>
    <row r="606" spans="2:21" x14ac:dyDescent="0.2">
      <c r="B606" s="8">
        <f t="shared" si="43"/>
        <v>164</v>
      </c>
      <c r="C606" s="120"/>
      <c r="D606" s="120"/>
      <c r="E606" s="120"/>
      <c r="F606" s="155"/>
      <c r="G606" s="155"/>
      <c r="H606" s="156" t="s">
        <v>1176</v>
      </c>
      <c r="I606" s="157"/>
      <c r="J606" s="157"/>
      <c r="K606" s="158"/>
      <c r="L606" s="158"/>
      <c r="M606" s="158"/>
      <c r="N606" s="535"/>
      <c r="O606" s="157">
        <v>14000</v>
      </c>
      <c r="P606" s="157"/>
      <c r="Q606" s="157"/>
      <c r="R606" s="158"/>
      <c r="S606" s="158"/>
      <c r="T606" s="535"/>
      <c r="U606" s="159">
        <f t="shared" si="44"/>
        <v>14000</v>
      </c>
    </row>
    <row r="607" spans="2:21" x14ac:dyDescent="0.2">
      <c r="B607" s="8">
        <f t="shared" si="43"/>
        <v>165</v>
      </c>
      <c r="C607" s="120"/>
      <c r="D607" s="120"/>
      <c r="E607" s="120"/>
      <c r="F607" s="155"/>
      <c r="G607" s="155"/>
      <c r="H607" s="156" t="s">
        <v>992</v>
      </c>
      <c r="I607" s="157"/>
      <c r="J607" s="157"/>
      <c r="K607" s="158"/>
      <c r="L607" s="158"/>
      <c r="M607" s="158"/>
      <c r="N607" s="535"/>
      <c r="O607" s="157"/>
      <c r="P607" s="157"/>
      <c r="Q607" s="157">
        <v>62800</v>
      </c>
      <c r="R607" s="158"/>
      <c r="S607" s="158"/>
      <c r="T607" s="535"/>
      <c r="U607" s="159">
        <f t="shared" si="44"/>
        <v>0</v>
      </c>
    </row>
    <row r="608" spans="2:21" x14ac:dyDescent="0.2">
      <c r="B608" s="8">
        <f t="shared" si="43"/>
        <v>166</v>
      </c>
      <c r="C608" s="120"/>
      <c r="D608" s="120"/>
      <c r="E608" s="120"/>
      <c r="F608" s="155"/>
      <c r="G608" s="155"/>
      <c r="H608" s="156" t="s">
        <v>701</v>
      </c>
      <c r="I608" s="157"/>
      <c r="J608" s="157"/>
      <c r="K608" s="158"/>
      <c r="L608" s="158"/>
      <c r="M608" s="158"/>
      <c r="N608" s="535"/>
      <c r="O608" s="157"/>
      <c r="P608" s="157"/>
      <c r="Q608" s="157">
        <v>0</v>
      </c>
      <c r="R608" s="158">
        <v>141282</v>
      </c>
      <c r="S608" s="158"/>
      <c r="T608" s="535"/>
      <c r="U608" s="159">
        <f t="shared" si="44"/>
        <v>0</v>
      </c>
    </row>
    <row r="609" spans="2:21" x14ac:dyDescent="0.2">
      <c r="B609" s="8">
        <f t="shared" si="43"/>
        <v>167</v>
      </c>
      <c r="C609" s="120"/>
      <c r="D609" s="120"/>
      <c r="E609" s="120"/>
      <c r="F609" s="155"/>
      <c r="G609" s="155"/>
      <c r="H609" s="156" t="s">
        <v>702</v>
      </c>
      <c r="I609" s="157"/>
      <c r="J609" s="157"/>
      <c r="K609" s="158"/>
      <c r="L609" s="158"/>
      <c r="M609" s="158"/>
      <c r="N609" s="535"/>
      <c r="O609" s="157"/>
      <c r="P609" s="157"/>
      <c r="Q609" s="157"/>
      <c r="R609" s="158">
        <v>275046</v>
      </c>
      <c r="S609" s="158"/>
      <c r="T609" s="535"/>
      <c r="U609" s="159">
        <f t="shared" si="44"/>
        <v>0</v>
      </c>
    </row>
    <row r="610" spans="2:21" x14ac:dyDescent="0.2">
      <c r="B610" s="8">
        <f t="shared" si="43"/>
        <v>168</v>
      </c>
      <c r="C610" s="120"/>
      <c r="D610" s="120"/>
      <c r="E610" s="120"/>
      <c r="F610" s="155"/>
      <c r="G610" s="155"/>
      <c r="H610" s="156" t="s">
        <v>703</v>
      </c>
      <c r="I610" s="157"/>
      <c r="J610" s="157"/>
      <c r="K610" s="158"/>
      <c r="L610" s="158"/>
      <c r="M610" s="158"/>
      <c r="N610" s="535"/>
      <c r="O610" s="157"/>
      <c r="P610" s="157"/>
      <c r="Q610" s="157"/>
      <c r="R610" s="158">
        <v>127953</v>
      </c>
      <c r="S610" s="158"/>
      <c r="T610" s="535"/>
      <c r="U610" s="159">
        <f t="shared" si="44"/>
        <v>0</v>
      </c>
    </row>
    <row r="611" spans="2:21" x14ac:dyDescent="0.2">
      <c r="B611" s="8">
        <f t="shared" si="43"/>
        <v>169</v>
      </c>
      <c r="C611" s="120"/>
      <c r="D611" s="120"/>
      <c r="E611" s="120"/>
      <c r="F611" s="155"/>
      <c r="G611" s="155"/>
      <c r="H611" s="156" t="s">
        <v>993</v>
      </c>
      <c r="I611" s="157"/>
      <c r="J611" s="157"/>
      <c r="K611" s="158"/>
      <c r="L611" s="158"/>
      <c r="M611" s="158"/>
      <c r="N611" s="535"/>
      <c r="O611" s="157"/>
      <c r="P611" s="157"/>
      <c r="Q611" s="157">
        <v>0</v>
      </c>
      <c r="R611" s="158"/>
      <c r="S611" s="158"/>
      <c r="T611" s="535"/>
      <c r="U611" s="159">
        <f t="shared" ref="U611:U664" si="45">I611+O611</f>
        <v>0</v>
      </c>
    </row>
    <row r="612" spans="2:21" x14ac:dyDescent="0.2">
      <c r="B612" s="8">
        <f t="shared" si="43"/>
        <v>170</v>
      </c>
      <c r="C612" s="120"/>
      <c r="D612" s="120"/>
      <c r="E612" s="120"/>
      <c r="F612" s="155"/>
      <c r="G612" s="155"/>
      <c r="H612" s="156" t="s">
        <v>704</v>
      </c>
      <c r="I612" s="157"/>
      <c r="J612" s="157"/>
      <c r="K612" s="158"/>
      <c r="L612" s="158"/>
      <c r="M612" s="158"/>
      <c r="N612" s="535"/>
      <c r="O612" s="157"/>
      <c r="P612" s="157"/>
      <c r="Q612" s="157"/>
      <c r="R612" s="158">
        <v>81322</v>
      </c>
      <c r="S612" s="158"/>
      <c r="T612" s="535"/>
      <c r="U612" s="159">
        <f t="shared" si="45"/>
        <v>0</v>
      </c>
    </row>
    <row r="613" spans="2:21" x14ac:dyDescent="0.2">
      <c r="B613" s="8">
        <f t="shared" si="43"/>
        <v>171</v>
      </c>
      <c r="C613" s="120"/>
      <c r="D613" s="120"/>
      <c r="E613" s="120"/>
      <c r="F613" s="155"/>
      <c r="G613" s="155"/>
      <c r="H613" s="156" t="s">
        <v>382</v>
      </c>
      <c r="I613" s="157"/>
      <c r="J613" s="157"/>
      <c r="K613" s="158"/>
      <c r="L613" s="158"/>
      <c r="M613" s="158"/>
      <c r="N613" s="535"/>
      <c r="O613" s="157"/>
      <c r="P613" s="157"/>
      <c r="Q613" s="157"/>
      <c r="R613" s="158"/>
      <c r="S613" s="158">
        <v>75323</v>
      </c>
      <c r="T613" s="535"/>
      <c r="U613" s="159">
        <f t="shared" si="45"/>
        <v>0</v>
      </c>
    </row>
    <row r="614" spans="2:21" x14ac:dyDescent="0.2">
      <c r="B614" s="8">
        <f t="shared" si="43"/>
        <v>172</v>
      </c>
      <c r="C614" s="120"/>
      <c r="D614" s="120"/>
      <c r="E614" s="120"/>
      <c r="F614" s="155"/>
      <c r="G614" s="155"/>
      <c r="H614" s="156" t="s">
        <v>705</v>
      </c>
      <c r="I614" s="157"/>
      <c r="J614" s="157"/>
      <c r="K614" s="158"/>
      <c r="L614" s="158"/>
      <c r="M614" s="158"/>
      <c r="N614" s="535"/>
      <c r="O614" s="157"/>
      <c r="P614" s="157"/>
      <c r="Q614" s="157"/>
      <c r="R614" s="158">
        <v>43566</v>
      </c>
      <c r="S614" s="158"/>
      <c r="T614" s="535"/>
      <c r="U614" s="159">
        <f t="shared" si="45"/>
        <v>0</v>
      </c>
    </row>
    <row r="615" spans="2:21" x14ac:dyDescent="0.2">
      <c r="B615" s="8">
        <f t="shared" si="43"/>
        <v>173</v>
      </c>
      <c r="C615" s="120"/>
      <c r="D615" s="120"/>
      <c r="E615" s="120"/>
      <c r="F615" s="155"/>
      <c r="G615" s="155"/>
      <c r="H615" s="156" t="s">
        <v>706</v>
      </c>
      <c r="I615" s="157"/>
      <c r="J615" s="157"/>
      <c r="K615" s="158"/>
      <c r="L615" s="158"/>
      <c r="M615" s="158"/>
      <c r="N615" s="535"/>
      <c r="O615" s="157"/>
      <c r="P615" s="157"/>
      <c r="Q615" s="157"/>
      <c r="R615" s="158">
        <v>27953</v>
      </c>
      <c r="S615" s="158"/>
      <c r="T615" s="535"/>
      <c r="U615" s="159">
        <f t="shared" si="45"/>
        <v>0</v>
      </c>
    </row>
    <row r="616" spans="2:21" x14ac:dyDescent="0.2">
      <c r="B616" s="8">
        <f t="shared" si="43"/>
        <v>174</v>
      </c>
      <c r="C616" s="120"/>
      <c r="D616" s="120"/>
      <c r="E616" s="120"/>
      <c r="F616" s="155"/>
      <c r="G616" s="155"/>
      <c r="H616" s="156" t="s">
        <v>381</v>
      </c>
      <c r="I616" s="157"/>
      <c r="J616" s="157"/>
      <c r="K616" s="158"/>
      <c r="L616" s="158"/>
      <c r="M616" s="158"/>
      <c r="N616" s="535"/>
      <c r="O616" s="157"/>
      <c r="P616" s="157"/>
      <c r="Q616" s="157"/>
      <c r="R616" s="158">
        <v>57852</v>
      </c>
      <c r="S616" s="158"/>
      <c r="T616" s="535"/>
      <c r="U616" s="159">
        <f t="shared" si="45"/>
        <v>0</v>
      </c>
    </row>
    <row r="617" spans="2:21" x14ac:dyDescent="0.2">
      <c r="B617" s="8">
        <f t="shared" si="43"/>
        <v>175</v>
      </c>
      <c r="C617" s="120"/>
      <c r="D617" s="120"/>
      <c r="E617" s="120"/>
      <c r="F617" s="155"/>
      <c r="G617" s="155"/>
      <c r="H617" s="156" t="s">
        <v>1165</v>
      </c>
      <c r="I617" s="157"/>
      <c r="J617" s="157"/>
      <c r="K617" s="158"/>
      <c r="L617" s="158"/>
      <c r="M617" s="158"/>
      <c r="N617" s="535"/>
      <c r="O617" s="157">
        <v>15000</v>
      </c>
      <c r="P617" s="157"/>
      <c r="Q617" s="157"/>
      <c r="R617" s="158"/>
      <c r="S617" s="158"/>
      <c r="T617" s="535"/>
      <c r="U617" s="159">
        <f t="shared" si="45"/>
        <v>15000</v>
      </c>
    </row>
    <row r="618" spans="2:21" x14ac:dyDescent="0.2">
      <c r="B618" s="8">
        <f t="shared" si="43"/>
        <v>176</v>
      </c>
      <c r="C618" s="120"/>
      <c r="D618" s="120"/>
      <c r="E618" s="120"/>
      <c r="F618" s="155"/>
      <c r="G618" s="155"/>
      <c r="H618" s="156" t="s">
        <v>411</v>
      </c>
      <c r="I618" s="157"/>
      <c r="J618" s="157"/>
      <c r="K618" s="158"/>
      <c r="L618" s="158"/>
      <c r="M618" s="158"/>
      <c r="N618" s="535"/>
      <c r="O618" s="157"/>
      <c r="P618" s="157"/>
      <c r="Q618" s="157"/>
      <c r="R618" s="158"/>
      <c r="S618" s="158">
        <v>55237</v>
      </c>
      <c r="T618" s="535"/>
      <c r="U618" s="159">
        <f t="shared" si="45"/>
        <v>0</v>
      </c>
    </row>
    <row r="619" spans="2:21" x14ac:dyDescent="0.2">
      <c r="B619" s="8">
        <f t="shared" si="43"/>
        <v>177</v>
      </c>
      <c r="C619" s="120"/>
      <c r="D619" s="120"/>
      <c r="E619" s="120"/>
      <c r="F619" s="155"/>
      <c r="G619" s="155"/>
      <c r="H619" s="156" t="s">
        <v>707</v>
      </c>
      <c r="I619" s="157"/>
      <c r="J619" s="157"/>
      <c r="K619" s="158"/>
      <c r="L619" s="158"/>
      <c r="M619" s="158"/>
      <c r="N619" s="535"/>
      <c r="O619" s="157"/>
      <c r="P619" s="157"/>
      <c r="Q619" s="157"/>
      <c r="R619" s="158">
        <v>37732</v>
      </c>
      <c r="S619" s="158"/>
      <c r="T619" s="535"/>
      <c r="U619" s="159">
        <f t="shared" si="45"/>
        <v>0</v>
      </c>
    </row>
    <row r="620" spans="2:21" x14ac:dyDescent="0.2">
      <c r="B620" s="8">
        <f t="shared" si="43"/>
        <v>178</v>
      </c>
      <c r="C620" s="120"/>
      <c r="D620" s="120"/>
      <c r="E620" s="120"/>
      <c r="F620" s="155"/>
      <c r="G620" s="155"/>
      <c r="H620" s="156" t="s">
        <v>776</v>
      </c>
      <c r="I620" s="157"/>
      <c r="J620" s="157"/>
      <c r="K620" s="158"/>
      <c r="L620" s="158"/>
      <c r="M620" s="158"/>
      <c r="N620" s="535"/>
      <c r="O620" s="157"/>
      <c r="P620" s="157"/>
      <c r="Q620" s="157"/>
      <c r="R620" s="158">
        <v>104632</v>
      </c>
      <c r="S620" s="158"/>
      <c r="T620" s="535"/>
      <c r="U620" s="159">
        <f t="shared" si="45"/>
        <v>0</v>
      </c>
    </row>
    <row r="621" spans="2:21" x14ac:dyDescent="0.2">
      <c r="B621" s="8">
        <f t="shared" si="43"/>
        <v>179</v>
      </c>
      <c r="C621" s="120"/>
      <c r="D621" s="120"/>
      <c r="E621" s="120"/>
      <c r="F621" s="155"/>
      <c r="G621" s="155"/>
      <c r="H621" s="156" t="s">
        <v>708</v>
      </c>
      <c r="I621" s="157"/>
      <c r="J621" s="157"/>
      <c r="K621" s="158"/>
      <c r="L621" s="158"/>
      <c r="M621" s="158"/>
      <c r="N621" s="535"/>
      <c r="O621" s="157"/>
      <c r="P621" s="157"/>
      <c r="Q621" s="157"/>
      <c r="R621" s="158">
        <v>420</v>
      </c>
      <c r="S621" s="158"/>
      <c r="T621" s="535"/>
      <c r="U621" s="159">
        <f t="shared" si="45"/>
        <v>0</v>
      </c>
    </row>
    <row r="622" spans="2:21" x14ac:dyDescent="0.2">
      <c r="B622" s="8">
        <f t="shared" si="43"/>
        <v>180</v>
      </c>
      <c r="C622" s="120"/>
      <c r="D622" s="120"/>
      <c r="E622" s="120"/>
      <c r="F622" s="155"/>
      <c r="G622" s="155"/>
      <c r="H622" s="156" t="s">
        <v>410</v>
      </c>
      <c r="I622" s="157"/>
      <c r="J622" s="157"/>
      <c r="K622" s="158"/>
      <c r="L622" s="158"/>
      <c r="M622" s="158"/>
      <c r="N622" s="535"/>
      <c r="O622" s="157"/>
      <c r="P622" s="157"/>
      <c r="Q622" s="157"/>
      <c r="R622" s="158">
        <v>112060</v>
      </c>
      <c r="S622" s="158"/>
      <c r="T622" s="535"/>
      <c r="U622" s="159">
        <f t="shared" si="45"/>
        <v>0</v>
      </c>
    </row>
    <row r="623" spans="2:21" x14ac:dyDescent="0.2">
      <c r="B623" s="8">
        <f t="shared" si="43"/>
        <v>181</v>
      </c>
      <c r="C623" s="120"/>
      <c r="D623" s="120"/>
      <c r="E623" s="120"/>
      <c r="F623" s="155"/>
      <c r="G623" s="155"/>
      <c r="H623" s="156" t="s">
        <v>709</v>
      </c>
      <c r="I623" s="157"/>
      <c r="J623" s="157"/>
      <c r="K623" s="158"/>
      <c r="L623" s="158"/>
      <c r="M623" s="158"/>
      <c r="N623" s="535"/>
      <c r="O623" s="157"/>
      <c r="P623" s="157"/>
      <c r="Q623" s="157"/>
      <c r="R623" s="158">
        <v>24926</v>
      </c>
      <c r="S623" s="158"/>
      <c r="T623" s="535"/>
      <c r="U623" s="159">
        <f t="shared" si="45"/>
        <v>0</v>
      </c>
    </row>
    <row r="624" spans="2:21" x14ac:dyDescent="0.2">
      <c r="B624" s="8">
        <f t="shared" ref="B624:B670" si="46">B623+1</f>
        <v>182</v>
      </c>
      <c r="C624" s="120"/>
      <c r="D624" s="120"/>
      <c r="E624" s="120"/>
      <c r="F624" s="155"/>
      <c r="G624" s="155"/>
      <c r="H624" s="156" t="s">
        <v>710</v>
      </c>
      <c r="I624" s="157"/>
      <c r="J624" s="157"/>
      <c r="K624" s="158"/>
      <c r="L624" s="158"/>
      <c r="M624" s="158"/>
      <c r="N624" s="535"/>
      <c r="O624" s="157"/>
      <c r="P624" s="157"/>
      <c r="Q624" s="157"/>
      <c r="R624" s="158">
        <v>33388</v>
      </c>
      <c r="S624" s="158"/>
      <c r="T624" s="535"/>
      <c r="U624" s="159">
        <f t="shared" si="45"/>
        <v>0</v>
      </c>
    </row>
    <row r="625" spans="2:21" x14ac:dyDescent="0.2">
      <c r="B625" s="8">
        <f t="shared" si="46"/>
        <v>183</v>
      </c>
      <c r="C625" s="120"/>
      <c r="D625" s="120"/>
      <c r="E625" s="120"/>
      <c r="F625" s="155"/>
      <c r="G625" s="155"/>
      <c r="H625" s="156" t="s">
        <v>320</v>
      </c>
      <c r="I625" s="157"/>
      <c r="J625" s="157"/>
      <c r="K625" s="158"/>
      <c r="L625" s="158"/>
      <c r="M625" s="158"/>
      <c r="N625" s="535"/>
      <c r="O625" s="157"/>
      <c r="P625" s="157"/>
      <c r="Q625" s="157"/>
      <c r="R625" s="158"/>
      <c r="S625" s="158">
        <v>15</v>
      </c>
      <c r="T625" s="535"/>
      <c r="U625" s="159">
        <f t="shared" si="45"/>
        <v>0</v>
      </c>
    </row>
    <row r="626" spans="2:21" x14ac:dyDescent="0.2">
      <c r="B626" s="8">
        <f t="shared" si="46"/>
        <v>184</v>
      </c>
      <c r="C626" s="120"/>
      <c r="D626" s="120"/>
      <c r="E626" s="120"/>
      <c r="F626" s="155"/>
      <c r="G626" s="155"/>
      <c r="H626" s="156" t="s">
        <v>354</v>
      </c>
      <c r="I626" s="157"/>
      <c r="J626" s="157"/>
      <c r="K626" s="158"/>
      <c r="L626" s="158"/>
      <c r="M626" s="158"/>
      <c r="N626" s="535"/>
      <c r="O626" s="157"/>
      <c r="P626" s="157"/>
      <c r="Q626" s="157"/>
      <c r="R626" s="158"/>
      <c r="S626" s="158">
        <v>600</v>
      </c>
      <c r="T626" s="535"/>
      <c r="U626" s="159">
        <f t="shared" si="45"/>
        <v>0</v>
      </c>
    </row>
    <row r="627" spans="2:21" x14ac:dyDescent="0.2">
      <c r="B627" s="8">
        <f t="shared" si="46"/>
        <v>185</v>
      </c>
      <c r="C627" s="120"/>
      <c r="D627" s="120"/>
      <c r="E627" s="120"/>
      <c r="F627" s="155"/>
      <c r="G627" s="155"/>
      <c r="H627" s="156" t="s">
        <v>407</v>
      </c>
      <c r="I627" s="157"/>
      <c r="J627" s="157"/>
      <c r="K627" s="158"/>
      <c r="L627" s="158"/>
      <c r="M627" s="158"/>
      <c r="N627" s="535"/>
      <c r="O627" s="157"/>
      <c r="P627" s="157"/>
      <c r="Q627" s="157"/>
      <c r="R627" s="158">
        <v>21982</v>
      </c>
      <c r="S627" s="158">
        <v>583</v>
      </c>
      <c r="T627" s="535"/>
      <c r="U627" s="159">
        <f t="shared" si="45"/>
        <v>0</v>
      </c>
    </row>
    <row r="628" spans="2:21" x14ac:dyDescent="0.2">
      <c r="B628" s="8">
        <f t="shared" si="46"/>
        <v>186</v>
      </c>
      <c r="C628" s="120"/>
      <c r="D628" s="120"/>
      <c r="E628" s="120"/>
      <c r="F628" s="155"/>
      <c r="G628" s="155"/>
      <c r="H628" s="156" t="s">
        <v>711</v>
      </c>
      <c r="I628" s="157"/>
      <c r="J628" s="157"/>
      <c r="K628" s="158"/>
      <c r="L628" s="158"/>
      <c r="M628" s="158"/>
      <c r="N628" s="535"/>
      <c r="O628" s="157"/>
      <c r="P628" s="157"/>
      <c r="Q628" s="157"/>
      <c r="R628" s="158">
        <v>20739</v>
      </c>
      <c r="S628" s="158"/>
      <c r="T628" s="535"/>
      <c r="U628" s="159">
        <f t="shared" si="45"/>
        <v>0</v>
      </c>
    </row>
    <row r="629" spans="2:21" x14ac:dyDescent="0.2">
      <c r="B629" s="8">
        <f t="shared" si="46"/>
        <v>187</v>
      </c>
      <c r="C629" s="120"/>
      <c r="D629" s="120"/>
      <c r="E629" s="120"/>
      <c r="F629" s="155"/>
      <c r="G629" s="155"/>
      <c r="H629" s="156" t="s">
        <v>777</v>
      </c>
      <c r="I629" s="157"/>
      <c r="J629" s="157"/>
      <c r="K629" s="158"/>
      <c r="L629" s="158"/>
      <c r="M629" s="158"/>
      <c r="N629" s="535"/>
      <c r="O629" s="157"/>
      <c r="P629" s="157"/>
      <c r="Q629" s="157"/>
      <c r="R629" s="158">
        <v>22492</v>
      </c>
      <c r="S629" s="158"/>
      <c r="T629" s="535"/>
      <c r="U629" s="159">
        <f t="shared" si="45"/>
        <v>0</v>
      </c>
    </row>
    <row r="630" spans="2:21" x14ac:dyDescent="0.2">
      <c r="B630" s="8">
        <f t="shared" si="46"/>
        <v>188</v>
      </c>
      <c r="C630" s="120"/>
      <c r="D630" s="120"/>
      <c r="E630" s="120"/>
      <c r="F630" s="155"/>
      <c r="G630" s="155"/>
      <c r="H630" s="156" t="s">
        <v>908</v>
      </c>
      <c r="I630" s="157"/>
      <c r="J630" s="157"/>
      <c r="K630" s="158"/>
      <c r="L630" s="158"/>
      <c r="M630" s="158"/>
      <c r="N630" s="535"/>
      <c r="O630" s="157"/>
      <c r="P630" s="157">
        <v>60000</v>
      </c>
      <c r="Q630" s="157">
        <v>74700</v>
      </c>
      <c r="R630" s="158"/>
      <c r="S630" s="158"/>
      <c r="T630" s="535"/>
      <c r="U630" s="159">
        <f t="shared" si="45"/>
        <v>0</v>
      </c>
    </row>
    <row r="631" spans="2:21" x14ac:dyDescent="0.2">
      <c r="B631" s="8">
        <f t="shared" si="46"/>
        <v>189</v>
      </c>
      <c r="C631" s="120"/>
      <c r="D631" s="120"/>
      <c r="E631" s="120"/>
      <c r="F631" s="155"/>
      <c r="G631" s="155"/>
      <c r="H631" s="156" t="s">
        <v>420</v>
      </c>
      <c r="I631" s="157"/>
      <c r="J631" s="157"/>
      <c r="K631" s="158"/>
      <c r="L631" s="158"/>
      <c r="M631" s="158"/>
      <c r="N631" s="535"/>
      <c r="O631" s="157"/>
      <c r="P631" s="157"/>
      <c r="Q631" s="157"/>
      <c r="R631" s="158">
        <v>30464</v>
      </c>
      <c r="S631" s="158"/>
      <c r="T631" s="535"/>
      <c r="U631" s="159">
        <f t="shared" si="45"/>
        <v>0</v>
      </c>
    </row>
    <row r="632" spans="2:21" x14ac:dyDescent="0.2">
      <c r="B632" s="8">
        <f t="shared" si="46"/>
        <v>190</v>
      </c>
      <c r="C632" s="120"/>
      <c r="D632" s="120"/>
      <c r="E632" s="120"/>
      <c r="F632" s="155"/>
      <c r="G632" s="155"/>
      <c r="H632" s="156" t="s">
        <v>414</v>
      </c>
      <c r="I632" s="157"/>
      <c r="J632" s="157"/>
      <c r="K632" s="158"/>
      <c r="L632" s="158"/>
      <c r="M632" s="158"/>
      <c r="N632" s="535"/>
      <c r="O632" s="157">
        <f>12500+1500</f>
        <v>14000</v>
      </c>
      <c r="P632" s="157">
        <v>12500</v>
      </c>
      <c r="Q632" s="157">
        <v>12500</v>
      </c>
      <c r="R632" s="158"/>
      <c r="S632" s="158"/>
      <c r="T632" s="535"/>
      <c r="U632" s="159">
        <f t="shared" si="45"/>
        <v>14000</v>
      </c>
    </row>
    <row r="633" spans="2:21" x14ac:dyDescent="0.2">
      <c r="B633" s="8">
        <f t="shared" si="46"/>
        <v>191</v>
      </c>
      <c r="C633" s="120"/>
      <c r="D633" s="120"/>
      <c r="E633" s="120"/>
      <c r="F633" s="155"/>
      <c r="G633" s="155"/>
      <c r="H633" s="156" t="s">
        <v>712</v>
      </c>
      <c r="I633" s="157"/>
      <c r="J633" s="157"/>
      <c r="K633" s="158"/>
      <c r="L633" s="158"/>
      <c r="M633" s="158"/>
      <c r="N633" s="535"/>
      <c r="O633" s="157"/>
      <c r="P633" s="157"/>
      <c r="Q633" s="157"/>
      <c r="R633" s="158">
        <v>66695</v>
      </c>
      <c r="S633" s="158"/>
      <c r="T633" s="535"/>
      <c r="U633" s="159">
        <f t="shared" si="45"/>
        <v>0</v>
      </c>
    </row>
    <row r="634" spans="2:21" x14ac:dyDescent="0.2">
      <c r="B634" s="8">
        <f t="shared" si="46"/>
        <v>192</v>
      </c>
      <c r="C634" s="120"/>
      <c r="D634" s="120"/>
      <c r="E634" s="120"/>
      <c r="F634" s="155"/>
      <c r="G634" s="155"/>
      <c r="H634" s="156" t="s">
        <v>316</v>
      </c>
      <c r="I634" s="157"/>
      <c r="J634" s="157"/>
      <c r="K634" s="158"/>
      <c r="L634" s="158"/>
      <c r="M634" s="158"/>
      <c r="N634" s="535"/>
      <c r="O634" s="157"/>
      <c r="P634" s="157"/>
      <c r="Q634" s="157"/>
      <c r="R634" s="158"/>
      <c r="S634" s="158">
        <v>11313</v>
      </c>
      <c r="T634" s="535"/>
      <c r="U634" s="159">
        <f t="shared" si="45"/>
        <v>0</v>
      </c>
    </row>
    <row r="635" spans="2:21" x14ac:dyDescent="0.2">
      <c r="B635" s="8">
        <f t="shared" si="46"/>
        <v>193</v>
      </c>
      <c r="C635" s="120"/>
      <c r="D635" s="120"/>
      <c r="E635" s="120"/>
      <c r="F635" s="155"/>
      <c r="G635" s="155"/>
      <c r="H635" s="156" t="s">
        <v>358</v>
      </c>
      <c r="I635" s="157"/>
      <c r="J635" s="157"/>
      <c r="K635" s="158"/>
      <c r="L635" s="158"/>
      <c r="M635" s="158"/>
      <c r="N635" s="535"/>
      <c r="O635" s="157"/>
      <c r="P635" s="157">
        <v>98000</v>
      </c>
      <c r="Q635" s="157">
        <v>117000</v>
      </c>
      <c r="R635" s="158"/>
      <c r="S635" s="158"/>
      <c r="T635" s="535"/>
      <c r="U635" s="159">
        <f t="shared" si="45"/>
        <v>0</v>
      </c>
    </row>
    <row r="636" spans="2:21" x14ac:dyDescent="0.2">
      <c r="B636" s="8">
        <f t="shared" si="46"/>
        <v>194</v>
      </c>
      <c r="C636" s="120"/>
      <c r="D636" s="120"/>
      <c r="E636" s="120"/>
      <c r="F636" s="155"/>
      <c r="G636" s="155"/>
      <c r="H636" s="156" t="s">
        <v>909</v>
      </c>
      <c r="I636" s="157"/>
      <c r="J636" s="157"/>
      <c r="K636" s="158"/>
      <c r="L636" s="158"/>
      <c r="M636" s="158"/>
      <c r="N636" s="535"/>
      <c r="O636" s="157"/>
      <c r="P636" s="157">
        <v>7000</v>
      </c>
      <c r="Q636" s="157"/>
      <c r="R636" s="158">
        <v>6987</v>
      </c>
      <c r="S636" s="158"/>
      <c r="T636" s="535"/>
      <c r="U636" s="159">
        <f t="shared" si="45"/>
        <v>0</v>
      </c>
    </row>
    <row r="637" spans="2:21" x14ac:dyDescent="0.2">
      <c r="B637" s="8">
        <f t="shared" si="46"/>
        <v>195</v>
      </c>
      <c r="C637" s="120"/>
      <c r="D637" s="120"/>
      <c r="E637" s="120"/>
      <c r="F637" s="155"/>
      <c r="G637" s="155"/>
      <c r="H637" s="156" t="s">
        <v>713</v>
      </c>
      <c r="I637" s="157"/>
      <c r="J637" s="157"/>
      <c r="K637" s="158"/>
      <c r="L637" s="158"/>
      <c r="M637" s="158"/>
      <c r="N637" s="535"/>
      <c r="O637" s="157">
        <v>25000</v>
      </c>
      <c r="P637" s="157">
        <v>25000</v>
      </c>
      <c r="Q637" s="157">
        <v>25000</v>
      </c>
      <c r="R637" s="158"/>
      <c r="S637" s="158"/>
      <c r="T637" s="535"/>
      <c r="U637" s="159">
        <f t="shared" si="45"/>
        <v>25000</v>
      </c>
    </row>
    <row r="638" spans="2:21" x14ac:dyDescent="0.2">
      <c r="B638" s="8">
        <f t="shared" si="46"/>
        <v>196</v>
      </c>
      <c r="C638" s="120"/>
      <c r="D638" s="120"/>
      <c r="E638" s="120"/>
      <c r="F638" s="155"/>
      <c r="G638" s="155"/>
      <c r="H638" s="156" t="s">
        <v>994</v>
      </c>
      <c r="I638" s="157"/>
      <c r="J638" s="157"/>
      <c r="K638" s="158"/>
      <c r="L638" s="158"/>
      <c r="M638" s="158"/>
      <c r="N638" s="535"/>
      <c r="O638" s="157">
        <f>20000+4000</f>
        <v>24000</v>
      </c>
      <c r="P638" s="157">
        <v>20000</v>
      </c>
      <c r="Q638" s="157">
        <v>20000</v>
      </c>
      <c r="R638" s="158">
        <v>150</v>
      </c>
      <c r="S638" s="158"/>
      <c r="T638" s="535"/>
      <c r="U638" s="159">
        <f t="shared" si="45"/>
        <v>24000</v>
      </c>
    </row>
    <row r="639" spans="2:21" x14ac:dyDescent="0.2">
      <c r="B639" s="8">
        <f t="shared" si="46"/>
        <v>197</v>
      </c>
      <c r="C639" s="120"/>
      <c r="D639" s="120"/>
      <c r="E639" s="120"/>
      <c r="F639" s="155"/>
      <c r="G639" s="155"/>
      <c r="H639" s="156" t="s">
        <v>284</v>
      </c>
      <c r="I639" s="157"/>
      <c r="J639" s="157"/>
      <c r="K639" s="158"/>
      <c r="L639" s="158"/>
      <c r="M639" s="158"/>
      <c r="N639" s="535"/>
      <c r="O639" s="157"/>
      <c r="P639" s="157"/>
      <c r="Q639" s="157"/>
      <c r="R639" s="158"/>
      <c r="S639" s="158"/>
      <c r="T639" s="535"/>
      <c r="U639" s="159">
        <f t="shared" si="45"/>
        <v>0</v>
      </c>
    </row>
    <row r="640" spans="2:21" x14ac:dyDescent="0.2">
      <c r="B640" s="8">
        <f t="shared" si="46"/>
        <v>198</v>
      </c>
      <c r="C640" s="120"/>
      <c r="D640" s="120"/>
      <c r="E640" s="120"/>
      <c r="F640" s="155"/>
      <c r="G640" s="155"/>
      <c r="H640" s="156" t="s">
        <v>409</v>
      </c>
      <c r="I640" s="157"/>
      <c r="J640" s="157"/>
      <c r="K640" s="158"/>
      <c r="L640" s="158"/>
      <c r="M640" s="158"/>
      <c r="N640" s="535"/>
      <c r="O640" s="157">
        <v>5000</v>
      </c>
      <c r="P640" s="157">
        <v>3000</v>
      </c>
      <c r="Q640" s="157">
        <v>3000</v>
      </c>
      <c r="R640" s="158">
        <v>692</v>
      </c>
      <c r="S640" s="158"/>
      <c r="T640" s="535"/>
      <c r="U640" s="159">
        <f t="shared" si="45"/>
        <v>5000</v>
      </c>
    </row>
    <row r="641" spans="2:21" x14ac:dyDescent="0.2">
      <c r="B641" s="8">
        <f t="shared" si="46"/>
        <v>199</v>
      </c>
      <c r="C641" s="120"/>
      <c r="D641" s="120"/>
      <c r="E641" s="120"/>
      <c r="F641" s="155"/>
      <c r="G641" s="155"/>
      <c r="H641" s="156" t="s">
        <v>995</v>
      </c>
      <c r="I641" s="157"/>
      <c r="J641" s="157"/>
      <c r="K641" s="158"/>
      <c r="L641" s="158"/>
      <c r="M641" s="158"/>
      <c r="N641" s="535"/>
      <c r="O641" s="157"/>
      <c r="P641" s="157"/>
      <c r="Q641" s="157">
        <v>6100</v>
      </c>
      <c r="R641" s="158"/>
      <c r="S641" s="158"/>
      <c r="T641" s="535"/>
      <c r="U641" s="159">
        <f t="shared" si="45"/>
        <v>0</v>
      </c>
    </row>
    <row r="642" spans="2:21" x14ac:dyDescent="0.2">
      <c r="B642" s="8">
        <f t="shared" si="46"/>
        <v>200</v>
      </c>
      <c r="C642" s="120"/>
      <c r="D642" s="120"/>
      <c r="E642" s="120"/>
      <c r="F642" s="155"/>
      <c r="G642" s="155"/>
      <c r="H642" s="156" t="s">
        <v>672</v>
      </c>
      <c r="I642" s="157"/>
      <c r="J642" s="157"/>
      <c r="K642" s="158"/>
      <c r="L642" s="158"/>
      <c r="M642" s="158"/>
      <c r="N642" s="535"/>
      <c r="O642" s="157"/>
      <c r="P642" s="157"/>
      <c r="Q642" s="157"/>
      <c r="R642" s="158"/>
      <c r="S642" s="158">
        <v>2438</v>
      </c>
      <c r="T642" s="535"/>
      <c r="U642" s="159">
        <f t="shared" si="45"/>
        <v>0</v>
      </c>
    </row>
    <row r="643" spans="2:21" x14ac:dyDescent="0.2">
      <c r="B643" s="8">
        <f t="shared" si="46"/>
        <v>201</v>
      </c>
      <c r="C643" s="120"/>
      <c r="D643" s="120"/>
      <c r="E643" s="120"/>
      <c r="F643" s="155"/>
      <c r="G643" s="155"/>
      <c r="H643" s="156" t="s">
        <v>1104</v>
      </c>
      <c r="I643" s="157"/>
      <c r="J643" s="157"/>
      <c r="K643" s="158"/>
      <c r="L643" s="158"/>
      <c r="M643" s="158"/>
      <c r="N643" s="535"/>
      <c r="O643" s="157">
        <v>41000</v>
      </c>
      <c r="P643" s="157"/>
      <c r="Q643" s="157">
        <v>41000</v>
      </c>
      <c r="R643" s="158"/>
      <c r="S643" s="158"/>
      <c r="T643" s="535"/>
      <c r="U643" s="159">
        <f t="shared" si="45"/>
        <v>41000</v>
      </c>
    </row>
    <row r="644" spans="2:21" x14ac:dyDescent="0.2">
      <c r="B644" s="8">
        <f t="shared" si="46"/>
        <v>202</v>
      </c>
      <c r="C644" s="120"/>
      <c r="D644" s="120"/>
      <c r="E644" s="120"/>
      <c r="F644" s="155"/>
      <c r="G644" s="155"/>
      <c r="H644" s="156" t="s">
        <v>1105</v>
      </c>
      <c r="I644" s="157"/>
      <c r="J644" s="157"/>
      <c r="K644" s="158"/>
      <c r="L644" s="158"/>
      <c r="M644" s="158"/>
      <c r="N644" s="535"/>
      <c r="O644" s="157">
        <v>46500</v>
      </c>
      <c r="P644" s="157"/>
      <c r="Q644" s="157">
        <v>46500</v>
      </c>
      <c r="R644" s="158"/>
      <c r="S644" s="158"/>
      <c r="T644" s="535"/>
      <c r="U644" s="159">
        <f t="shared" si="45"/>
        <v>46500</v>
      </c>
    </row>
    <row r="645" spans="2:21" x14ac:dyDescent="0.2">
      <c r="B645" s="8">
        <f t="shared" si="46"/>
        <v>203</v>
      </c>
      <c r="C645" s="120"/>
      <c r="D645" s="120"/>
      <c r="E645" s="120"/>
      <c r="F645" s="155"/>
      <c r="G645" s="155"/>
      <c r="H645" s="156" t="s">
        <v>714</v>
      </c>
      <c r="I645" s="157"/>
      <c r="J645" s="157"/>
      <c r="K645" s="158"/>
      <c r="L645" s="158"/>
      <c r="M645" s="158"/>
      <c r="N645" s="535"/>
      <c r="O645" s="157"/>
      <c r="P645" s="157"/>
      <c r="Q645" s="157"/>
      <c r="R645" s="158">
        <v>25935</v>
      </c>
      <c r="S645" s="158"/>
      <c r="T645" s="535"/>
      <c r="U645" s="159">
        <f t="shared" si="45"/>
        <v>0</v>
      </c>
    </row>
    <row r="646" spans="2:21" x14ac:dyDescent="0.2">
      <c r="B646" s="8">
        <f t="shared" si="46"/>
        <v>204</v>
      </c>
      <c r="C646" s="120"/>
      <c r="D646" s="120"/>
      <c r="E646" s="120"/>
      <c r="F646" s="155"/>
      <c r="G646" s="155"/>
      <c r="H646" s="156" t="s">
        <v>821</v>
      </c>
      <c r="I646" s="157"/>
      <c r="J646" s="157"/>
      <c r="K646" s="158"/>
      <c r="L646" s="158"/>
      <c r="M646" s="158"/>
      <c r="N646" s="535"/>
      <c r="O646" s="157"/>
      <c r="P646" s="157"/>
      <c r="Q646" s="157"/>
      <c r="R646" s="158">
        <v>34992</v>
      </c>
      <c r="S646" s="158"/>
      <c r="T646" s="535"/>
      <c r="U646" s="159">
        <f t="shared" si="45"/>
        <v>0</v>
      </c>
    </row>
    <row r="647" spans="2:21" x14ac:dyDescent="0.2">
      <c r="B647" s="8">
        <f t="shared" si="46"/>
        <v>205</v>
      </c>
      <c r="C647" s="120"/>
      <c r="D647" s="120"/>
      <c r="E647" s="120"/>
      <c r="F647" s="155"/>
      <c r="G647" s="155"/>
      <c r="H647" s="156" t="s">
        <v>355</v>
      </c>
      <c r="I647" s="157"/>
      <c r="J647" s="157"/>
      <c r="K647" s="158"/>
      <c r="L647" s="158"/>
      <c r="M647" s="158"/>
      <c r="N647" s="535"/>
      <c r="O647" s="157"/>
      <c r="P647" s="157"/>
      <c r="Q647" s="157"/>
      <c r="R647" s="158">
        <v>29657</v>
      </c>
      <c r="S647" s="158"/>
      <c r="T647" s="535"/>
      <c r="U647" s="159">
        <f t="shared" si="45"/>
        <v>0</v>
      </c>
    </row>
    <row r="648" spans="2:21" x14ac:dyDescent="0.2">
      <c r="B648" s="8">
        <f t="shared" si="46"/>
        <v>206</v>
      </c>
      <c r="C648" s="120"/>
      <c r="D648" s="120"/>
      <c r="E648" s="120"/>
      <c r="F648" s="155"/>
      <c r="G648" s="155"/>
      <c r="H648" s="156" t="s">
        <v>640</v>
      </c>
      <c r="I648" s="157"/>
      <c r="J648" s="157"/>
      <c r="K648" s="158"/>
      <c r="L648" s="158"/>
      <c r="M648" s="158"/>
      <c r="N648" s="535"/>
      <c r="O648" s="157"/>
      <c r="P648" s="157"/>
      <c r="Q648" s="157"/>
      <c r="R648" s="158"/>
      <c r="S648" s="158">
        <v>109873</v>
      </c>
      <c r="T648" s="535"/>
      <c r="U648" s="159">
        <f t="shared" si="45"/>
        <v>0</v>
      </c>
    </row>
    <row r="649" spans="2:21" x14ac:dyDescent="0.2">
      <c r="B649" s="8">
        <f t="shared" si="46"/>
        <v>207</v>
      </c>
      <c r="C649" s="120"/>
      <c r="D649" s="120"/>
      <c r="E649" s="120"/>
      <c r="F649" s="155"/>
      <c r="G649" s="155"/>
      <c r="H649" s="156" t="s">
        <v>641</v>
      </c>
      <c r="I649" s="157"/>
      <c r="J649" s="157"/>
      <c r="K649" s="158"/>
      <c r="L649" s="158"/>
      <c r="M649" s="158"/>
      <c r="N649" s="535"/>
      <c r="O649" s="157"/>
      <c r="P649" s="157"/>
      <c r="Q649" s="157"/>
      <c r="R649" s="158"/>
      <c r="S649" s="158">
        <v>44418</v>
      </c>
      <c r="T649" s="535"/>
      <c r="U649" s="159">
        <f t="shared" si="45"/>
        <v>0</v>
      </c>
    </row>
    <row r="650" spans="2:21" x14ac:dyDescent="0.2">
      <c r="B650" s="8">
        <f t="shared" si="46"/>
        <v>208</v>
      </c>
      <c r="C650" s="120"/>
      <c r="D650" s="120"/>
      <c r="E650" s="120"/>
      <c r="F650" s="155"/>
      <c r="G650" s="155"/>
      <c r="H650" s="156" t="s">
        <v>1186</v>
      </c>
      <c r="I650" s="157"/>
      <c r="J650" s="157"/>
      <c r="K650" s="158"/>
      <c r="L650" s="158"/>
      <c r="M650" s="158"/>
      <c r="N650" s="535"/>
      <c r="O650" s="157">
        <v>15000</v>
      </c>
      <c r="P650" s="157"/>
      <c r="Q650" s="157"/>
      <c r="R650" s="158"/>
      <c r="S650" s="158"/>
      <c r="T650" s="535"/>
      <c r="U650" s="159">
        <f t="shared" si="45"/>
        <v>15000</v>
      </c>
    </row>
    <row r="651" spans="2:21" x14ac:dyDescent="0.2">
      <c r="B651" s="8">
        <f t="shared" si="46"/>
        <v>209</v>
      </c>
      <c r="C651" s="120"/>
      <c r="D651" s="120"/>
      <c r="E651" s="120"/>
      <c r="F651" s="155"/>
      <c r="G651" s="155"/>
      <c r="H651" s="156" t="s">
        <v>321</v>
      </c>
      <c r="I651" s="157"/>
      <c r="J651" s="157"/>
      <c r="K651" s="158"/>
      <c r="L651" s="158"/>
      <c r="M651" s="158"/>
      <c r="N651" s="535"/>
      <c r="O651" s="157"/>
      <c r="P651" s="157"/>
      <c r="Q651" s="157"/>
      <c r="R651" s="158"/>
      <c r="S651" s="158">
        <v>56811</v>
      </c>
      <c r="T651" s="535"/>
      <c r="U651" s="159">
        <f t="shared" si="45"/>
        <v>0</v>
      </c>
    </row>
    <row r="652" spans="2:21" x14ac:dyDescent="0.2">
      <c r="B652" s="8">
        <f t="shared" si="46"/>
        <v>210</v>
      </c>
      <c r="C652" s="120"/>
      <c r="D652" s="120"/>
      <c r="E652" s="120"/>
      <c r="F652" s="155"/>
      <c r="G652" s="155"/>
      <c r="H652" s="156" t="s">
        <v>383</v>
      </c>
      <c r="I652" s="157"/>
      <c r="J652" s="157"/>
      <c r="K652" s="158"/>
      <c r="L652" s="158"/>
      <c r="M652" s="158"/>
      <c r="N652" s="535"/>
      <c r="O652" s="157"/>
      <c r="P652" s="157"/>
      <c r="Q652" s="157"/>
      <c r="R652" s="158">
        <v>54649</v>
      </c>
      <c r="S652" s="158">
        <v>138161</v>
      </c>
      <c r="T652" s="535"/>
      <c r="U652" s="159">
        <f t="shared" si="45"/>
        <v>0</v>
      </c>
    </row>
    <row r="653" spans="2:21" x14ac:dyDescent="0.2">
      <c r="B653" s="8">
        <f t="shared" si="46"/>
        <v>211</v>
      </c>
      <c r="C653" s="120"/>
      <c r="D653" s="120"/>
      <c r="E653" s="120"/>
      <c r="F653" s="155"/>
      <c r="G653" s="155"/>
      <c r="H653" s="156" t="s">
        <v>715</v>
      </c>
      <c r="I653" s="157"/>
      <c r="J653" s="157"/>
      <c r="K653" s="158"/>
      <c r="L653" s="158"/>
      <c r="M653" s="158"/>
      <c r="N653" s="535"/>
      <c r="O653" s="157"/>
      <c r="P653" s="157">
        <v>78800</v>
      </c>
      <c r="Q653" s="157">
        <v>69800</v>
      </c>
      <c r="R653" s="158"/>
      <c r="S653" s="158"/>
      <c r="T653" s="535"/>
      <c r="U653" s="159">
        <f t="shared" si="45"/>
        <v>0</v>
      </c>
    </row>
    <row r="654" spans="2:21" x14ac:dyDescent="0.2">
      <c r="B654" s="8">
        <f t="shared" si="46"/>
        <v>212</v>
      </c>
      <c r="C654" s="120"/>
      <c r="D654" s="120"/>
      <c r="E654" s="120"/>
      <c r="F654" s="155"/>
      <c r="G654" s="155"/>
      <c r="H654" s="156" t="s">
        <v>716</v>
      </c>
      <c r="I654" s="157"/>
      <c r="J654" s="157"/>
      <c r="K654" s="158"/>
      <c r="L654" s="158"/>
      <c r="M654" s="158"/>
      <c r="N654" s="535"/>
      <c r="O654" s="157"/>
      <c r="P654" s="157">
        <v>820000</v>
      </c>
      <c r="Q654" s="157">
        <v>831500</v>
      </c>
      <c r="R654" s="158">
        <v>1386</v>
      </c>
      <c r="S654" s="158"/>
      <c r="T654" s="535"/>
      <c r="U654" s="159">
        <f t="shared" si="45"/>
        <v>0</v>
      </c>
    </row>
    <row r="655" spans="2:21" x14ac:dyDescent="0.2">
      <c r="B655" s="8">
        <f t="shared" si="46"/>
        <v>213</v>
      </c>
      <c r="C655" s="120"/>
      <c r="D655" s="120"/>
      <c r="E655" s="120"/>
      <c r="F655" s="155"/>
      <c r="G655" s="155"/>
      <c r="H655" s="156" t="s">
        <v>408</v>
      </c>
      <c r="I655" s="157"/>
      <c r="J655" s="157"/>
      <c r="K655" s="158"/>
      <c r="L655" s="158"/>
      <c r="M655" s="158"/>
      <c r="N655" s="535"/>
      <c r="O655" s="157"/>
      <c r="P655" s="157"/>
      <c r="Q655" s="157"/>
      <c r="R655" s="158">
        <v>212871</v>
      </c>
      <c r="S655" s="158"/>
      <c r="T655" s="535"/>
      <c r="U655" s="159">
        <f t="shared" si="45"/>
        <v>0</v>
      </c>
    </row>
    <row r="656" spans="2:21" x14ac:dyDescent="0.2">
      <c r="B656" s="8">
        <f t="shared" si="46"/>
        <v>214</v>
      </c>
      <c r="C656" s="120"/>
      <c r="D656" s="120"/>
      <c r="E656" s="120"/>
      <c r="F656" s="155"/>
      <c r="G656" s="155"/>
      <c r="H656" s="156" t="s">
        <v>1178</v>
      </c>
      <c r="I656" s="157"/>
      <c r="J656" s="157"/>
      <c r="K656" s="158"/>
      <c r="L656" s="158"/>
      <c r="M656" s="158"/>
      <c r="N656" s="535"/>
      <c r="O656" s="157">
        <v>27000</v>
      </c>
      <c r="P656" s="157"/>
      <c r="Q656" s="157"/>
      <c r="R656" s="158"/>
      <c r="S656" s="158"/>
      <c r="T656" s="535"/>
      <c r="U656" s="159">
        <f t="shared" si="45"/>
        <v>27000</v>
      </c>
    </row>
    <row r="657" spans="2:21" x14ac:dyDescent="0.2">
      <c r="B657" s="8">
        <f t="shared" si="46"/>
        <v>215</v>
      </c>
      <c r="C657" s="120"/>
      <c r="D657" s="120"/>
      <c r="E657" s="120"/>
      <c r="F657" s="155"/>
      <c r="G657" s="155"/>
      <c r="H657" s="156" t="s">
        <v>778</v>
      </c>
      <c r="I657" s="157"/>
      <c r="J657" s="157"/>
      <c r="K657" s="158"/>
      <c r="L657" s="158"/>
      <c r="M657" s="158"/>
      <c r="N657" s="535"/>
      <c r="O657" s="157"/>
      <c r="P657" s="157"/>
      <c r="Q657" s="157"/>
      <c r="R657" s="158">
        <v>51191</v>
      </c>
      <c r="S657" s="158"/>
      <c r="T657" s="535"/>
      <c r="U657" s="159">
        <f t="shared" si="45"/>
        <v>0</v>
      </c>
    </row>
    <row r="658" spans="2:21" x14ac:dyDescent="0.2">
      <c r="B658" s="8">
        <f t="shared" si="46"/>
        <v>216</v>
      </c>
      <c r="C658" s="120"/>
      <c r="D658" s="120"/>
      <c r="E658" s="120"/>
      <c r="F658" s="155"/>
      <c r="G658" s="155"/>
      <c r="H658" s="156" t="s">
        <v>418</v>
      </c>
      <c r="I658" s="157"/>
      <c r="J658" s="157"/>
      <c r="K658" s="158"/>
      <c r="L658" s="158"/>
      <c r="M658" s="158"/>
      <c r="N658" s="535"/>
      <c r="O658" s="157"/>
      <c r="P658" s="157"/>
      <c r="Q658" s="157"/>
      <c r="R658" s="158">
        <v>86942</v>
      </c>
      <c r="S658" s="158"/>
      <c r="T658" s="535"/>
      <c r="U658" s="159">
        <f t="shared" si="45"/>
        <v>0</v>
      </c>
    </row>
    <row r="659" spans="2:21" x14ac:dyDescent="0.2">
      <c r="B659" s="8">
        <f t="shared" si="46"/>
        <v>217</v>
      </c>
      <c r="C659" s="120"/>
      <c r="D659" s="120"/>
      <c r="E659" s="120"/>
      <c r="F659" s="155"/>
      <c r="G659" s="155"/>
      <c r="H659" s="156" t="s">
        <v>779</v>
      </c>
      <c r="I659" s="157"/>
      <c r="J659" s="157"/>
      <c r="K659" s="158"/>
      <c r="L659" s="158"/>
      <c r="M659" s="158"/>
      <c r="N659" s="535"/>
      <c r="O659" s="157"/>
      <c r="P659" s="157"/>
      <c r="Q659" s="157"/>
      <c r="R659" s="158">
        <v>167741</v>
      </c>
      <c r="S659" s="158"/>
      <c r="T659" s="535"/>
      <c r="U659" s="159">
        <f t="shared" si="45"/>
        <v>0</v>
      </c>
    </row>
    <row r="660" spans="2:21" x14ac:dyDescent="0.2">
      <c r="B660" s="8">
        <f t="shared" si="46"/>
        <v>218</v>
      </c>
      <c r="C660" s="120"/>
      <c r="D660" s="120"/>
      <c r="E660" s="120"/>
      <c r="F660" s="155"/>
      <c r="G660" s="585"/>
      <c r="H660" s="586" t="s">
        <v>1106</v>
      </c>
      <c r="I660" s="587"/>
      <c r="J660" s="157"/>
      <c r="K660" s="158"/>
      <c r="L660" s="158"/>
      <c r="M660" s="158"/>
      <c r="N660" s="535"/>
      <c r="O660" s="157"/>
      <c r="P660" s="157"/>
      <c r="Q660" s="157">
        <v>9600</v>
      </c>
      <c r="R660" s="158"/>
      <c r="S660" s="158"/>
      <c r="T660" s="535"/>
      <c r="U660" s="159">
        <f t="shared" si="45"/>
        <v>0</v>
      </c>
    </row>
    <row r="661" spans="2:21" x14ac:dyDescent="0.2">
      <c r="B661" s="8">
        <f t="shared" si="46"/>
        <v>219</v>
      </c>
      <c r="C661" s="120"/>
      <c r="D661" s="120"/>
      <c r="E661" s="120"/>
      <c r="F661" s="155"/>
      <c r="G661" s="471"/>
      <c r="H661" s="472" t="s">
        <v>423</v>
      </c>
      <c r="I661" s="473"/>
      <c r="J661" s="157"/>
      <c r="K661" s="158"/>
      <c r="L661" s="158"/>
      <c r="M661" s="158"/>
      <c r="N661" s="535"/>
      <c r="O661" s="157"/>
      <c r="P661" s="157"/>
      <c r="Q661" s="157"/>
      <c r="R661" s="158"/>
      <c r="S661" s="158">
        <v>7406</v>
      </c>
      <c r="T661" s="535"/>
      <c r="U661" s="159">
        <f t="shared" si="45"/>
        <v>0</v>
      </c>
    </row>
    <row r="662" spans="2:21" x14ac:dyDescent="0.2">
      <c r="B662" s="8">
        <f t="shared" si="46"/>
        <v>220</v>
      </c>
      <c r="C662" s="120"/>
      <c r="D662" s="120"/>
      <c r="E662" s="120"/>
      <c r="F662" s="155"/>
      <c r="G662" s="474"/>
      <c r="H662" s="409" t="s">
        <v>532</v>
      </c>
      <c r="I662" s="475"/>
      <c r="J662" s="157"/>
      <c r="K662" s="158"/>
      <c r="L662" s="158"/>
      <c r="M662" s="158"/>
      <c r="N662" s="535"/>
      <c r="O662" s="157"/>
      <c r="P662" s="157"/>
      <c r="Q662" s="157"/>
      <c r="R662" s="158">
        <v>182733</v>
      </c>
      <c r="S662" s="158"/>
      <c r="T662" s="535"/>
      <c r="U662" s="159">
        <f t="shared" si="45"/>
        <v>0</v>
      </c>
    </row>
    <row r="663" spans="2:21" x14ac:dyDescent="0.2">
      <c r="B663" s="8">
        <f t="shared" si="46"/>
        <v>221</v>
      </c>
      <c r="C663" s="120"/>
      <c r="D663" s="120"/>
      <c r="E663" s="120"/>
      <c r="F663" s="155"/>
      <c r="G663" s="474"/>
      <c r="H663" s="409" t="s">
        <v>780</v>
      </c>
      <c r="I663" s="475"/>
      <c r="J663" s="157"/>
      <c r="K663" s="158"/>
      <c r="L663" s="158"/>
      <c r="M663" s="158"/>
      <c r="N663" s="535"/>
      <c r="O663" s="157"/>
      <c r="P663" s="157"/>
      <c r="Q663" s="157"/>
      <c r="R663" s="158">
        <v>2935</v>
      </c>
      <c r="S663" s="158"/>
      <c r="T663" s="535"/>
      <c r="U663" s="159">
        <f t="shared" si="45"/>
        <v>0</v>
      </c>
    </row>
    <row r="664" spans="2:21" s="13" customFormat="1" ht="24" x14ac:dyDescent="0.2">
      <c r="B664" s="8">
        <f t="shared" si="46"/>
        <v>222</v>
      </c>
      <c r="C664" s="166"/>
      <c r="D664" s="166"/>
      <c r="E664" s="166"/>
      <c r="F664" s="167"/>
      <c r="G664" s="479"/>
      <c r="H664" s="480" t="s">
        <v>1057</v>
      </c>
      <c r="I664" s="481"/>
      <c r="J664" s="169"/>
      <c r="K664" s="170"/>
      <c r="L664" s="170"/>
      <c r="M664" s="170"/>
      <c r="N664" s="536"/>
      <c r="O664" s="169">
        <v>132000</v>
      </c>
      <c r="P664" s="169"/>
      <c r="Q664" s="169"/>
      <c r="R664" s="170"/>
      <c r="S664" s="170"/>
      <c r="T664" s="536"/>
      <c r="U664" s="159">
        <f t="shared" si="45"/>
        <v>132000</v>
      </c>
    </row>
    <row r="665" spans="2:21" x14ac:dyDescent="0.2">
      <c r="B665" s="8">
        <f t="shared" si="46"/>
        <v>223</v>
      </c>
      <c r="C665" s="120"/>
      <c r="D665" s="120"/>
      <c r="E665" s="120"/>
      <c r="F665" s="155"/>
      <c r="G665" s="474"/>
      <c r="H665" s="409" t="s">
        <v>717</v>
      </c>
      <c r="I665" s="475"/>
      <c r="J665" s="157"/>
      <c r="K665" s="158"/>
      <c r="L665" s="158"/>
      <c r="M665" s="158"/>
      <c r="N665" s="535"/>
      <c r="O665" s="157"/>
      <c r="P665" s="157">
        <v>25000</v>
      </c>
      <c r="Q665" s="157">
        <v>25000</v>
      </c>
      <c r="R665" s="158"/>
      <c r="S665" s="158"/>
      <c r="T665" s="535"/>
      <c r="U665" s="159">
        <f t="shared" ref="U665:U670" si="47">I665+O665</f>
        <v>0</v>
      </c>
    </row>
    <row r="666" spans="2:21" x14ac:dyDescent="0.2">
      <c r="B666" s="8">
        <f t="shared" si="46"/>
        <v>224</v>
      </c>
      <c r="C666" s="120"/>
      <c r="D666" s="120"/>
      <c r="E666" s="120"/>
      <c r="F666" s="155"/>
      <c r="G666" s="474"/>
      <c r="H666" s="409" t="s">
        <v>996</v>
      </c>
      <c r="I666" s="475"/>
      <c r="J666" s="157"/>
      <c r="K666" s="158"/>
      <c r="L666" s="158"/>
      <c r="M666" s="158"/>
      <c r="N666" s="535"/>
      <c r="O666" s="157"/>
      <c r="P666" s="157"/>
      <c r="Q666" s="157">
        <v>4800</v>
      </c>
      <c r="R666" s="158"/>
      <c r="S666" s="158"/>
      <c r="T666" s="535"/>
      <c r="U666" s="159">
        <f t="shared" si="47"/>
        <v>0</v>
      </c>
    </row>
    <row r="667" spans="2:21" x14ac:dyDescent="0.2">
      <c r="B667" s="8">
        <f t="shared" si="46"/>
        <v>225</v>
      </c>
      <c r="C667" s="120"/>
      <c r="D667" s="120"/>
      <c r="E667" s="120"/>
      <c r="F667" s="155"/>
      <c r="G667" s="476"/>
      <c r="H667" s="477" t="s">
        <v>910</v>
      </c>
      <c r="I667" s="478"/>
      <c r="J667" s="157"/>
      <c r="K667" s="158"/>
      <c r="L667" s="158"/>
      <c r="M667" s="158"/>
      <c r="N667" s="535"/>
      <c r="O667" s="157"/>
      <c r="P667" s="157">
        <v>210000</v>
      </c>
      <c r="Q667" s="157">
        <v>221000</v>
      </c>
      <c r="R667" s="158"/>
      <c r="S667" s="158"/>
      <c r="T667" s="535"/>
      <c r="U667" s="159">
        <f t="shared" si="47"/>
        <v>0</v>
      </c>
    </row>
    <row r="668" spans="2:21" x14ac:dyDescent="0.2">
      <c r="B668" s="8">
        <f t="shared" si="46"/>
        <v>226</v>
      </c>
      <c r="C668" s="120"/>
      <c r="D668" s="120"/>
      <c r="E668" s="120"/>
      <c r="F668" s="155"/>
      <c r="G668" s="155"/>
      <c r="H668" s="156" t="s">
        <v>718</v>
      </c>
      <c r="I668" s="157"/>
      <c r="J668" s="157"/>
      <c r="K668" s="158"/>
      <c r="L668" s="158"/>
      <c r="M668" s="158"/>
      <c r="N668" s="535"/>
      <c r="O668" s="157"/>
      <c r="P668" s="157"/>
      <c r="Q668" s="157"/>
      <c r="R668" s="158">
        <v>120100</v>
      </c>
      <c r="S668" s="158"/>
      <c r="T668" s="535"/>
      <c r="U668" s="159">
        <f t="shared" si="47"/>
        <v>0</v>
      </c>
    </row>
    <row r="669" spans="2:21" x14ac:dyDescent="0.2">
      <c r="B669" s="8">
        <f t="shared" si="46"/>
        <v>227</v>
      </c>
      <c r="C669" s="120"/>
      <c r="D669" s="120"/>
      <c r="E669" s="120"/>
      <c r="F669" s="155"/>
      <c r="G669" s="155"/>
      <c r="H669" s="156" t="s">
        <v>997</v>
      </c>
      <c r="I669" s="157"/>
      <c r="J669" s="157"/>
      <c r="K669" s="158"/>
      <c r="L669" s="158"/>
      <c r="M669" s="158"/>
      <c r="N669" s="535"/>
      <c r="O669" s="157"/>
      <c r="P669" s="157"/>
      <c r="Q669" s="157">
        <v>11875</v>
      </c>
      <c r="R669" s="158"/>
      <c r="S669" s="158"/>
      <c r="T669" s="535"/>
      <c r="U669" s="159">
        <f t="shared" si="47"/>
        <v>0</v>
      </c>
    </row>
    <row r="670" spans="2:21" x14ac:dyDescent="0.2">
      <c r="B670" s="8">
        <f t="shared" si="46"/>
        <v>228</v>
      </c>
      <c r="C670" s="120"/>
      <c r="D670" s="120"/>
      <c r="E670" s="120"/>
      <c r="F670" s="155"/>
      <c r="G670" s="155"/>
      <c r="H670" s="156" t="s">
        <v>963</v>
      </c>
      <c r="I670" s="157"/>
      <c r="J670" s="157"/>
      <c r="K670" s="158"/>
      <c r="L670" s="158"/>
      <c r="M670" s="158"/>
      <c r="N670" s="535"/>
      <c r="O670" s="157"/>
      <c r="P670" s="157"/>
      <c r="Q670" s="157">
        <v>67196</v>
      </c>
      <c r="R670" s="158">
        <v>11393</v>
      </c>
      <c r="S670" s="158"/>
      <c r="T670" s="535"/>
      <c r="U670" s="159">
        <f t="shared" si="47"/>
        <v>0</v>
      </c>
    </row>
    <row r="679" spans="2:21" ht="27" x14ac:dyDescent="0.35">
      <c r="B679" s="679" t="s">
        <v>23</v>
      </c>
      <c r="C679" s="680"/>
      <c r="D679" s="680"/>
      <c r="E679" s="680"/>
      <c r="F679" s="680"/>
      <c r="G679" s="680"/>
      <c r="H679" s="680"/>
      <c r="I679" s="680"/>
      <c r="J679" s="680"/>
      <c r="K679" s="680"/>
      <c r="L679" s="680"/>
      <c r="M679" s="680"/>
      <c r="N679" s="680"/>
      <c r="O679" s="680"/>
      <c r="P679" s="680"/>
      <c r="Q679" s="680"/>
      <c r="R679" s="680"/>
      <c r="S679" s="680"/>
      <c r="T679" s="680"/>
      <c r="U679" s="680"/>
    </row>
    <row r="680" spans="2:21" ht="13.5" customHeight="1" x14ac:dyDescent="0.2">
      <c r="B680" s="684" t="s">
        <v>842</v>
      </c>
      <c r="C680" s="685"/>
      <c r="D680" s="685"/>
      <c r="E680" s="685"/>
      <c r="F680" s="685"/>
      <c r="G680" s="685"/>
      <c r="H680" s="685"/>
      <c r="I680" s="685"/>
      <c r="J680" s="685"/>
      <c r="K680" s="685"/>
      <c r="L680" s="685"/>
      <c r="M680" s="685"/>
      <c r="N680" s="685"/>
      <c r="O680" s="685"/>
      <c r="P680" s="685"/>
      <c r="Q680" s="685"/>
      <c r="R680" s="685"/>
      <c r="S680" s="685"/>
      <c r="T680" s="567"/>
      <c r="U680" s="682" t="s">
        <v>1207</v>
      </c>
    </row>
    <row r="681" spans="2:21" ht="12.75" customHeight="1" x14ac:dyDescent="0.2">
      <c r="B681" s="681"/>
      <c r="C681" s="681" t="s">
        <v>122</v>
      </c>
      <c r="D681" s="681" t="s">
        <v>123</v>
      </c>
      <c r="E681" s="681"/>
      <c r="F681" s="681" t="s">
        <v>124</v>
      </c>
      <c r="G681" s="689" t="s">
        <v>125</v>
      </c>
      <c r="H681" s="686" t="s">
        <v>126</v>
      </c>
      <c r="I681" s="673" t="s">
        <v>1205</v>
      </c>
      <c r="J681" s="674" t="s">
        <v>837</v>
      </c>
      <c r="K681" s="674" t="s">
        <v>838</v>
      </c>
      <c r="L681" s="672" t="s">
        <v>839</v>
      </c>
      <c r="M681" s="672" t="s">
        <v>643</v>
      </c>
      <c r="N681" s="493"/>
      <c r="O681" s="673" t="s">
        <v>1206</v>
      </c>
      <c r="P681" s="674" t="s">
        <v>840</v>
      </c>
      <c r="Q681" s="674" t="s">
        <v>841</v>
      </c>
      <c r="R681" s="672" t="s">
        <v>839</v>
      </c>
      <c r="S681" s="672" t="s">
        <v>643</v>
      </c>
      <c r="T681" s="493"/>
      <c r="U681" s="683"/>
    </row>
    <row r="682" spans="2:21" x14ac:dyDescent="0.2">
      <c r="B682" s="681"/>
      <c r="C682" s="681"/>
      <c r="D682" s="681"/>
      <c r="E682" s="681"/>
      <c r="F682" s="681"/>
      <c r="G682" s="689"/>
      <c r="H682" s="686"/>
      <c r="I682" s="673"/>
      <c r="J682" s="674"/>
      <c r="K682" s="674"/>
      <c r="L682" s="672"/>
      <c r="M682" s="672"/>
      <c r="N682" s="493"/>
      <c r="O682" s="673"/>
      <c r="P682" s="674"/>
      <c r="Q682" s="674"/>
      <c r="R682" s="672"/>
      <c r="S682" s="672"/>
      <c r="T682" s="493"/>
      <c r="U682" s="683"/>
    </row>
    <row r="683" spans="2:21" x14ac:dyDescent="0.2">
      <c r="B683" s="681"/>
      <c r="C683" s="681"/>
      <c r="D683" s="681"/>
      <c r="E683" s="681"/>
      <c r="F683" s="681"/>
      <c r="G683" s="689"/>
      <c r="H683" s="686"/>
      <c r="I683" s="673"/>
      <c r="J683" s="674"/>
      <c r="K683" s="674"/>
      <c r="L683" s="672"/>
      <c r="M683" s="672"/>
      <c r="N683" s="493"/>
      <c r="O683" s="673"/>
      <c r="P683" s="674"/>
      <c r="Q683" s="674"/>
      <c r="R683" s="672"/>
      <c r="S683" s="672"/>
      <c r="T683" s="493"/>
      <c r="U683" s="683"/>
    </row>
    <row r="684" spans="2:21" ht="38.25" customHeight="1" x14ac:dyDescent="0.2">
      <c r="B684" s="681"/>
      <c r="C684" s="681"/>
      <c r="D684" s="681"/>
      <c r="E684" s="681"/>
      <c r="F684" s="681"/>
      <c r="G684" s="689"/>
      <c r="H684" s="686"/>
      <c r="I684" s="673"/>
      <c r="J684" s="674"/>
      <c r="K684" s="674"/>
      <c r="L684" s="672"/>
      <c r="M684" s="672"/>
      <c r="N684" s="493"/>
      <c r="O684" s="673"/>
      <c r="P684" s="674"/>
      <c r="Q684" s="674"/>
      <c r="R684" s="672"/>
      <c r="S684" s="672"/>
      <c r="T684" s="493"/>
      <c r="U684" s="683"/>
    </row>
    <row r="685" spans="2:21" ht="15.75" x14ac:dyDescent="0.2">
      <c r="B685" s="8">
        <v>1</v>
      </c>
      <c r="C685" s="687" t="s">
        <v>23</v>
      </c>
      <c r="D685" s="688"/>
      <c r="E685" s="688"/>
      <c r="F685" s="688"/>
      <c r="G685" s="688"/>
      <c r="H685" s="688"/>
      <c r="I685" s="138">
        <f>I686+I920+I1199+I1324+I1620</f>
        <v>34690214</v>
      </c>
      <c r="J685" s="138">
        <f>J686+J920+J1199+J1324+J1620</f>
        <v>31034024</v>
      </c>
      <c r="K685" s="138">
        <f>K686+K920+K1199+K1324+K1620</f>
        <v>31661059</v>
      </c>
      <c r="L685" s="139">
        <f>L686+L920+L1199+L1324+L1620</f>
        <v>26177600</v>
      </c>
      <c r="M685" s="139">
        <f>M686+M920+M1199+M1324+M1620</f>
        <v>23025509</v>
      </c>
      <c r="N685" s="532"/>
      <c r="O685" s="138">
        <f>O1620+O1324+O1199+O920+O686</f>
        <v>2522461</v>
      </c>
      <c r="P685" s="138">
        <f>P1620+P1324+P1199+P920+P686</f>
        <v>2751991</v>
      </c>
      <c r="Q685" s="138">
        <f>Q1620+Q1324+Q1199+Q920+Q686</f>
        <v>3121512</v>
      </c>
      <c r="R685" s="139">
        <f>R1620+R1324+R1199+R920+R686</f>
        <v>829940</v>
      </c>
      <c r="S685" s="139">
        <f>S1620+S1324+S1199+S920+S686</f>
        <v>574697</v>
      </c>
      <c r="T685" s="532"/>
      <c r="U685" s="140">
        <f t="shared" ref="U685:U753" si="48">I685+O685</f>
        <v>37212675</v>
      </c>
    </row>
    <row r="686" spans="2:21" ht="15.75" x14ac:dyDescent="0.25">
      <c r="B686" s="8">
        <f>B685+1</f>
        <v>2</v>
      </c>
      <c r="C686" s="141">
        <v>1</v>
      </c>
      <c r="D686" s="677" t="s">
        <v>198</v>
      </c>
      <c r="E686" s="678"/>
      <c r="F686" s="678"/>
      <c r="G686" s="678"/>
      <c r="H686" s="678"/>
      <c r="I686" s="142">
        <f>I689+I700+I716</f>
        <v>7768835</v>
      </c>
      <c r="J686" s="142">
        <f>J689+J700+J716</f>
        <v>6860702</v>
      </c>
      <c r="K686" s="142">
        <f>K689+K700+K716+K687</f>
        <v>6945629</v>
      </c>
      <c r="L686" s="143">
        <f>L689+L700+L716</f>
        <v>5598927</v>
      </c>
      <c r="M686" s="143">
        <f>M689+M700+M716</f>
        <v>4959863</v>
      </c>
      <c r="N686" s="533"/>
      <c r="O686" s="142">
        <f>O700+O716</f>
        <v>198000</v>
      </c>
      <c r="P686" s="142">
        <f>P700+P716</f>
        <v>1136391</v>
      </c>
      <c r="Q686" s="142">
        <f>Q700+Q716</f>
        <v>1130891</v>
      </c>
      <c r="R686" s="143">
        <f>R700+R716</f>
        <v>143581</v>
      </c>
      <c r="S686" s="143">
        <f>S700+S716</f>
        <v>216132</v>
      </c>
      <c r="T686" s="533"/>
      <c r="U686" s="144">
        <f t="shared" si="48"/>
        <v>7966835</v>
      </c>
    </row>
    <row r="687" spans="2:21" x14ac:dyDescent="0.2">
      <c r="B687" s="8">
        <f>B686+1</f>
        <v>3</v>
      </c>
      <c r="C687" s="24"/>
      <c r="D687" s="24"/>
      <c r="E687" s="24"/>
      <c r="F687" s="149" t="s">
        <v>197</v>
      </c>
      <c r="G687" s="150">
        <v>630</v>
      </c>
      <c r="H687" s="24" t="s">
        <v>131</v>
      </c>
      <c r="I687" s="25"/>
      <c r="J687" s="25">
        <f>J688</f>
        <v>0</v>
      </c>
      <c r="K687" s="25">
        <f>K688</f>
        <v>30000</v>
      </c>
      <c r="L687" s="26">
        <f>L688</f>
        <v>2273023</v>
      </c>
      <c r="M687" s="26">
        <f>M688</f>
        <v>1793833</v>
      </c>
      <c r="N687" s="501"/>
      <c r="O687" s="25"/>
      <c r="P687" s="25"/>
      <c r="Q687" s="25"/>
      <c r="R687" s="26"/>
      <c r="S687" s="26"/>
      <c r="T687" s="501"/>
      <c r="U687" s="151">
        <f t="shared" si="48"/>
        <v>0</v>
      </c>
    </row>
    <row r="688" spans="2:21" x14ac:dyDescent="0.2">
      <c r="B688" s="8">
        <f>B687+1</f>
        <v>4</v>
      </c>
      <c r="C688" s="18"/>
      <c r="D688" s="18"/>
      <c r="E688" s="18"/>
      <c r="F688" s="152"/>
      <c r="G688" s="153">
        <v>633</v>
      </c>
      <c r="H688" s="18" t="s">
        <v>998</v>
      </c>
      <c r="I688" s="19"/>
      <c r="J688" s="19"/>
      <c r="K688" s="19">
        <v>30000</v>
      </c>
      <c r="L688" s="20">
        <f>L696+L695+L694+L693+L692+L691+L690+L689</f>
        <v>2273023</v>
      </c>
      <c r="M688" s="20">
        <f>M696+M695+M694+M693+M692+M691+M690+M689</f>
        <v>1793833</v>
      </c>
      <c r="N688" s="164"/>
      <c r="O688" s="19"/>
      <c r="P688" s="19"/>
      <c r="Q688" s="19"/>
      <c r="R688" s="20"/>
      <c r="S688" s="20"/>
      <c r="T688" s="164"/>
      <c r="U688" s="154">
        <f t="shared" si="48"/>
        <v>0</v>
      </c>
    </row>
    <row r="689" spans="2:21" x14ac:dyDescent="0.2">
      <c r="B689" s="8">
        <f t="shared" ref="B689:B757" si="49">B688+1</f>
        <v>5</v>
      </c>
      <c r="C689" s="24"/>
      <c r="D689" s="24"/>
      <c r="E689" s="24"/>
      <c r="F689" s="149" t="s">
        <v>197</v>
      </c>
      <c r="G689" s="150">
        <v>640</v>
      </c>
      <c r="H689" s="24" t="s">
        <v>139</v>
      </c>
      <c r="I689" s="25">
        <f>I690</f>
        <v>1077588</v>
      </c>
      <c r="J689" s="25">
        <f>J690</f>
        <v>906906</v>
      </c>
      <c r="K689" s="25">
        <f>K690</f>
        <v>893269</v>
      </c>
      <c r="L689" s="26">
        <f>L690</f>
        <v>833073</v>
      </c>
      <c r="M689" s="26">
        <f>M690</f>
        <v>659904</v>
      </c>
      <c r="N689" s="501"/>
      <c r="O689" s="25"/>
      <c r="P689" s="25"/>
      <c r="Q689" s="25"/>
      <c r="R689" s="26"/>
      <c r="S689" s="26"/>
      <c r="T689" s="501"/>
      <c r="U689" s="151">
        <f t="shared" si="48"/>
        <v>1077588</v>
      </c>
    </row>
    <row r="690" spans="2:21" x14ac:dyDescent="0.2">
      <c r="B690" s="8">
        <f t="shared" si="49"/>
        <v>6</v>
      </c>
      <c r="C690" s="18"/>
      <c r="D690" s="18"/>
      <c r="E690" s="18"/>
      <c r="F690" s="152"/>
      <c r="G690" s="153">
        <v>642</v>
      </c>
      <c r="H690" s="18" t="s">
        <v>140</v>
      </c>
      <c r="I690" s="19">
        <f>SUM(I691:I699)</f>
        <v>1077588</v>
      </c>
      <c r="J690" s="19">
        <f>J699+J697+J696+J695+J694+J693+J692+J691</f>
        <v>906906</v>
      </c>
      <c r="K690" s="19">
        <f>K699+K697+K696+K695+K694+K693+K692+K691</f>
        <v>893269</v>
      </c>
      <c r="L690" s="20">
        <f>L699+L697+L696+L695+L694+L693+L692+L691</f>
        <v>833073</v>
      </c>
      <c r="M690" s="20">
        <f>M699+M697+M696+M695+M694+M693+M692+M691</f>
        <v>659904</v>
      </c>
      <c r="N690" s="164"/>
      <c r="O690" s="19"/>
      <c r="P690" s="19"/>
      <c r="Q690" s="19"/>
      <c r="R690" s="20"/>
      <c r="S690" s="20"/>
      <c r="T690" s="164"/>
      <c r="U690" s="154">
        <f t="shared" si="48"/>
        <v>1077588</v>
      </c>
    </row>
    <row r="691" spans="2:21" x14ac:dyDescent="0.2">
      <c r="B691" s="8">
        <f t="shared" si="49"/>
        <v>7</v>
      </c>
      <c r="C691" s="120"/>
      <c r="D691" s="120"/>
      <c r="E691" s="156"/>
      <c r="F691" s="155"/>
      <c r="G691" s="155"/>
      <c r="H691" s="156" t="s">
        <v>620</v>
      </c>
      <c r="I691" s="157">
        <v>208467</v>
      </c>
      <c r="J691" s="157">
        <v>198198</v>
      </c>
      <c r="K691" s="157">
        <v>196296</v>
      </c>
      <c r="L691" s="158">
        <v>187580</v>
      </c>
      <c r="M691" s="158">
        <v>152286</v>
      </c>
      <c r="N691" s="535"/>
      <c r="O691" s="157"/>
      <c r="P691" s="157"/>
      <c r="Q691" s="157"/>
      <c r="R691" s="158"/>
      <c r="S691" s="158"/>
      <c r="T691" s="535"/>
      <c r="U691" s="159">
        <f t="shared" si="48"/>
        <v>208467</v>
      </c>
    </row>
    <row r="692" spans="2:21" x14ac:dyDescent="0.2">
      <c r="B692" s="8">
        <f t="shared" si="49"/>
        <v>8</v>
      </c>
      <c r="C692" s="120"/>
      <c r="D692" s="120"/>
      <c r="E692" s="156"/>
      <c r="F692" s="155"/>
      <c r="G692" s="155"/>
      <c r="H692" s="156" t="s">
        <v>1055</v>
      </c>
      <c r="I692" s="157">
        <v>84711</v>
      </c>
      <c r="J692" s="157">
        <v>72072</v>
      </c>
      <c r="K692" s="157">
        <v>73373</v>
      </c>
      <c r="L692" s="158">
        <v>60688</v>
      </c>
      <c r="M692" s="158">
        <v>51509</v>
      </c>
      <c r="N692" s="535"/>
      <c r="O692" s="157"/>
      <c r="P692" s="157"/>
      <c r="Q692" s="157"/>
      <c r="R692" s="158"/>
      <c r="S692" s="158"/>
      <c r="T692" s="535"/>
      <c r="U692" s="159">
        <f t="shared" si="48"/>
        <v>84711</v>
      </c>
    </row>
    <row r="693" spans="2:21" x14ac:dyDescent="0.2">
      <c r="B693" s="8">
        <f t="shared" si="49"/>
        <v>9</v>
      </c>
      <c r="C693" s="120"/>
      <c r="D693" s="120"/>
      <c r="E693" s="156"/>
      <c r="F693" s="155"/>
      <c r="G693" s="155"/>
      <c r="H693" s="156" t="s">
        <v>621</v>
      </c>
      <c r="I693" s="157">
        <v>69278</v>
      </c>
      <c r="J693" s="157">
        <v>72072</v>
      </c>
      <c r="K693" s="157">
        <v>70242</v>
      </c>
      <c r="L693" s="158">
        <v>66205</v>
      </c>
      <c r="M693" s="158">
        <v>51509</v>
      </c>
      <c r="N693" s="535"/>
      <c r="O693" s="157"/>
      <c r="P693" s="157"/>
      <c r="Q693" s="157"/>
      <c r="R693" s="158"/>
      <c r="S693" s="158"/>
      <c r="T693" s="535"/>
      <c r="U693" s="159">
        <f t="shared" si="48"/>
        <v>69278</v>
      </c>
    </row>
    <row r="694" spans="2:21" x14ac:dyDescent="0.2">
      <c r="B694" s="8">
        <f t="shared" si="49"/>
        <v>10</v>
      </c>
      <c r="C694" s="120"/>
      <c r="D694" s="120"/>
      <c r="E694" s="156"/>
      <c r="F694" s="155"/>
      <c r="G694" s="155"/>
      <c r="H694" s="156" t="s">
        <v>622</v>
      </c>
      <c r="I694" s="157">
        <v>72281</v>
      </c>
      <c r="J694" s="157">
        <v>63063</v>
      </c>
      <c r="K694" s="157">
        <v>64592</v>
      </c>
      <c r="L694" s="158">
        <v>66205</v>
      </c>
      <c r="M694" s="158">
        <v>31354</v>
      </c>
      <c r="N694" s="535"/>
      <c r="O694" s="157"/>
      <c r="P694" s="157"/>
      <c r="Q694" s="157"/>
      <c r="R694" s="158"/>
      <c r="S694" s="158"/>
      <c r="T694" s="535"/>
      <c r="U694" s="159">
        <f t="shared" si="48"/>
        <v>72281</v>
      </c>
    </row>
    <row r="695" spans="2:21" x14ac:dyDescent="0.2">
      <c r="B695" s="8">
        <f t="shared" si="49"/>
        <v>11</v>
      </c>
      <c r="C695" s="120"/>
      <c r="D695" s="120"/>
      <c r="E695" s="156"/>
      <c r="F695" s="155"/>
      <c r="G695" s="155"/>
      <c r="H695" s="156" t="s">
        <v>623</v>
      </c>
      <c r="I695" s="157">
        <v>186186</v>
      </c>
      <c r="J695" s="157">
        <v>114114</v>
      </c>
      <c r="K695" s="157">
        <v>111216</v>
      </c>
      <c r="L695" s="158">
        <v>104824</v>
      </c>
      <c r="M695" s="158">
        <v>85101</v>
      </c>
      <c r="N695" s="535"/>
      <c r="O695" s="157"/>
      <c r="P695" s="157"/>
      <c r="Q695" s="157"/>
      <c r="R695" s="158"/>
      <c r="S695" s="158"/>
      <c r="T695" s="535"/>
      <c r="U695" s="159">
        <f t="shared" si="48"/>
        <v>186186</v>
      </c>
    </row>
    <row r="696" spans="2:21" x14ac:dyDescent="0.2">
      <c r="B696" s="8">
        <f t="shared" si="49"/>
        <v>12</v>
      </c>
      <c r="C696" s="120"/>
      <c r="D696" s="120"/>
      <c r="E696" s="156"/>
      <c r="F696" s="155"/>
      <c r="G696" s="155"/>
      <c r="H696" s="156" t="s">
        <v>624</v>
      </c>
      <c r="I696" s="157">
        <v>135135</v>
      </c>
      <c r="J696" s="157">
        <v>135135</v>
      </c>
      <c r="K696" s="157">
        <v>131704</v>
      </c>
      <c r="L696" s="158">
        <v>121375</v>
      </c>
      <c r="M696" s="158">
        <v>102266</v>
      </c>
      <c r="N696" s="535"/>
      <c r="O696" s="157"/>
      <c r="P696" s="157"/>
      <c r="Q696" s="157"/>
      <c r="R696" s="158"/>
      <c r="S696" s="158"/>
      <c r="T696" s="535"/>
      <c r="U696" s="159">
        <f t="shared" si="48"/>
        <v>135135</v>
      </c>
    </row>
    <row r="697" spans="2:21" x14ac:dyDescent="0.2">
      <c r="B697" s="8">
        <f t="shared" si="49"/>
        <v>13</v>
      </c>
      <c r="C697" s="120"/>
      <c r="D697" s="120"/>
      <c r="E697" s="156"/>
      <c r="F697" s="155"/>
      <c r="G697" s="155"/>
      <c r="H697" s="156" t="s">
        <v>625</v>
      </c>
      <c r="I697" s="157">
        <v>189398</v>
      </c>
      <c r="J697" s="157">
        <v>183183</v>
      </c>
      <c r="K697" s="157">
        <v>178531</v>
      </c>
      <c r="L697" s="158">
        <v>162751</v>
      </c>
      <c r="M697" s="158">
        <v>134370</v>
      </c>
      <c r="N697" s="535"/>
      <c r="O697" s="157"/>
      <c r="P697" s="157"/>
      <c r="Q697" s="157"/>
      <c r="R697" s="158"/>
      <c r="S697" s="158"/>
      <c r="T697" s="535"/>
      <c r="U697" s="159">
        <f t="shared" si="48"/>
        <v>189398</v>
      </c>
    </row>
    <row r="698" spans="2:21" x14ac:dyDescent="0.2">
      <c r="B698" s="8">
        <f t="shared" si="49"/>
        <v>14</v>
      </c>
      <c r="C698" s="120"/>
      <c r="D698" s="120"/>
      <c r="E698" s="156"/>
      <c r="F698" s="155"/>
      <c r="G698" s="155"/>
      <c r="H698" s="156" t="s">
        <v>1058</v>
      </c>
      <c r="I698" s="157">
        <v>63063</v>
      </c>
      <c r="J698" s="157"/>
      <c r="K698" s="157"/>
      <c r="L698" s="158"/>
      <c r="M698" s="158"/>
      <c r="N698" s="535"/>
      <c r="O698" s="157"/>
      <c r="P698" s="157"/>
      <c r="Q698" s="157"/>
      <c r="R698" s="158"/>
      <c r="S698" s="158"/>
      <c r="T698" s="535"/>
      <c r="U698" s="159">
        <f t="shared" si="48"/>
        <v>63063</v>
      </c>
    </row>
    <row r="699" spans="2:21" x14ac:dyDescent="0.2">
      <c r="B699" s="8">
        <f t="shared" si="49"/>
        <v>15</v>
      </c>
      <c r="C699" s="120"/>
      <c r="D699" s="120"/>
      <c r="E699" s="156"/>
      <c r="F699" s="155"/>
      <c r="G699" s="155"/>
      <c r="H699" s="156" t="s">
        <v>626</v>
      </c>
      <c r="I699" s="157">
        <v>69069</v>
      </c>
      <c r="J699" s="157">
        <v>69069</v>
      </c>
      <c r="K699" s="157">
        <v>67315</v>
      </c>
      <c r="L699" s="158">
        <v>63445</v>
      </c>
      <c r="M699" s="158">
        <v>51509</v>
      </c>
      <c r="N699" s="535"/>
      <c r="O699" s="157"/>
      <c r="P699" s="157"/>
      <c r="Q699" s="157"/>
      <c r="R699" s="158"/>
      <c r="S699" s="158"/>
      <c r="T699" s="535"/>
      <c r="U699" s="159">
        <f t="shared" si="48"/>
        <v>69069</v>
      </c>
    </row>
    <row r="700" spans="2:21" ht="14.25" x14ac:dyDescent="0.2">
      <c r="B700" s="8">
        <f t="shared" si="49"/>
        <v>16</v>
      </c>
      <c r="C700" s="267"/>
      <c r="D700" s="267"/>
      <c r="E700" s="267">
        <v>3</v>
      </c>
      <c r="F700" s="268"/>
      <c r="G700" s="268"/>
      <c r="H700" s="267" t="s">
        <v>10</v>
      </c>
      <c r="I700" s="269">
        <f>I701+I702+I703+I709</f>
        <v>816118</v>
      </c>
      <c r="J700" s="269">
        <f>J701+J702+J703+J709</f>
        <v>695222</v>
      </c>
      <c r="K700" s="269">
        <f>K701+K702+K703+K709</f>
        <v>699663</v>
      </c>
      <c r="L700" s="270">
        <f>L701+L702+L703+L709+L710</f>
        <v>627431</v>
      </c>
      <c r="M700" s="270">
        <f>M701+M702+M703+M709</f>
        <v>591459</v>
      </c>
      <c r="N700" s="534"/>
      <c r="O700" s="269"/>
      <c r="P700" s="269"/>
      <c r="Q700" s="269"/>
      <c r="R700" s="270"/>
      <c r="S700" s="270"/>
      <c r="T700" s="534"/>
      <c r="U700" s="271">
        <f t="shared" si="48"/>
        <v>816118</v>
      </c>
    </row>
    <row r="701" spans="2:21" x14ac:dyDescent="0.2">
      <c r="B701" s="8">
        <f t="shared" si="49"/>
        <v>17</v>
      </c>
      <c r="C701" s="24"/>
      <c r="D701" s="24"/>
      <c r="E701" s="24"/>
      <c r="F701" s="149" t="s">
        <v>197</v>
      </c>
      <c r="G701" s="150">
        <v>610</v>
      </c>
      <c r="H701" s="24" t="s">
        <v>141</v>
      </c>
      <c r="I701" s="25">
        <v>459773</v>
      </c>
      <c r="J701" s="25">
        <v>384652</v>
      </c>
      <c r="K701" s="25">
        <v>382421</v>
      </c>
      <c r="L701" s="26">
        <v>361230</v>
      </c>
      <c r="M701" s="26">
        <v>332671</v>
      </c>
      <c r="N701" s="501"/>
      <c r="O701" s="25"/>
      <c r="P701" s="25"/>
      <c r="Q701" s="25"/>
      <c r="R701" s="26"/>
      <c r="S701" s="26"/>
      <c r="T701" s="501"/>
      <c r="U701" s="151">
        <f t="shared" si="48"/>
        <v>459773</v>
      </c>
    </row>
    <row r="702" spans="2:21" x14ac:dyDescent="0.2">
      <c r="B702" s="8">
        <f t="shared" si="49"/>
        <v>18</v>
      </c>
      <c r="C702" s="24"/>
      <c r="D702" s="24"/>
      <c r="E702" s="24"/>
      <c r="F702" s="149" t="s">
        <v>197</v>
      </c>
      <c r="G702" s="150">
        <v>620</v>
      </c>
      <c r="H702" s="24" t="s">
        <v>134</v>
      </c>
      <c r="I702" s="25">
        <v>169971</v>
      </c>
      <c r="J702" s="25">
        <v>142933</v>
      </c>
      <c r="K702" s="25">
        <v>142923</v>
      </c>
      <c r="L702" s="26">
        <v>130615</v>
      </c>
      <c r="M702" s="26">
        <v>121394</v>
      </c>
      <c r="N702" s="501"/>
      <c r="O702" s="25"/>
      <c r="P702" s="25"/>
      <c r="Q702" s="25"/>
      <c r="R702" s="26"/>
      <c r="S702" s="26"/>
      <c r="T702" s="501"/>
      <c r="U702" s="151">
        <f t="shared" si="48"/>
        <v>169971</v>
      </c>
    </row>
    <row r="703" spans="2:21" x14ac:dyDescent="0.2">
      <c r="B703" s="8">
        <f t="shared" si="49"/>
        <v>19</v>
      </c>
      <c r="C703" s="24"/>
      <c r="D703" s="24"/>
      <c r="E703" s="24"/>
      <c r="F703" s="149" t="s">
        <v>197</v>
      </c>
      <c r="G703" s="150">
        <v>630</v>
      </c>
      <c r="H703" s="24" t="s">
        <v>131</v>
      </c>
      <c r="I703" s="25">
        <f>SUM(I704:I708)</f>
        <v>185924</v>
      </c>
      <c r="J703" s="25">
        <f>J708+J707+J706+J705+J704</f>
        <v>167187</v>
      </c>
      <c r="K703" s="25">
        <f>K708+K707+K706+K705+K704</f>
        <v>169314</v>
      </c>
      <c r="L703" s="26">
        <f>L708+L707+L706+L705+L704</f>
        <v>127393</v>
      </c>
      <c r="M703" s="26">
        <f>M708+M707+M706+M705+M704</f>
        <v>135413</v>
      </c>
      <c r="N703" s="501"/>
      <c r="O703" s="25"/>
      <c r="P703" s="25"/>
      <c r="Q703" s="25"/>
      <c r="R703" s="26"/>
      <c r="S703" s="26"/>
      <c r="T703" s="501"/>
      <c r="U703" s="151">
        <f t="shared" si="48"/>
        <v>185924</v>
      </c>
    </row>
    <row r="704" spans="2:21" x14ac:dyDescent="0.2">
      <c r="B704" s="8">
        <f t="shared" si="49"/>
        <v>20</v>
      </c>
      <c r="C704" s="18"/>
      <c r="D704" s="18"/>
      <c r="E704" s="18"/>
      <c r="F704" s="152"/>
      <c r="G704" s="153">
        <v>632</v>
      </c>
      <c r="H704" s="18" t="s">
        <v>144</v>
      </c>
      <c r="I704" s="19">
        <v>84930</v>
      </c>
      <c r="J704" s="19">
        <v>71800</v>
      </c>
      <c r="K704" s="19">
        <v>71800</v>
      </c>
      <c r="L704" s="20">
        <v>42300</v>
      </c>
      <c r="M704" s="20">
        <v>36479</v>
      </c>
      <c r="N704" s="164"/>
      <c r="O704" s="19"/>
      <c r="P704" s="19"/>
      <c r="Q704" s="19"/>
      <c r="R704" s="20"/>
      <c r="S704" s="20"/>
      <c r="T704" s="164"/>
      <c r="U704" s="154">
        <f t="shared" si="48"/>
        <v>84930</v>
      </c>
    </row>
    <row r="705" spans="2:21" x14ac:dyDescent="0.2">
      <c r="B705" s="8">
        <f t="shared" si="49"/>
        <v>21</v>
      </c>
      <c r="C705" s="18"/>
      <c r="D705" s="18"/>
      <c r="E705" s="18"/>
      <c r="F705" s="152"/>
      <c r="G705" s="153">
        <v>633</v>
      </c>
      <c r="H705" s="18" t="s">
        <v>135</v>
      </c>
      <c r="I705" s="19">
        <v>52389</v>
      </c>
      <c r="J705" s="19">
        <v>39000</v>
      </c>
      <c r="K705" s="19">
        <v>41127</v>
      </c>
      <c r="L705" s="20">
        <v>45564</v>
      </c>
      <c r="M705" s="20">
        <v>27190</v>
      </c>
      <c r="N705" s="164"/>
      <c r="O705" s="19"/>
      <c r="P705" s="19"/>
      <c r="Q705" s="19"/>
      <c r="R705" s="20"/>
      <c r="S705" s="20"/>
      <c r="T705" s="164"/>
      <c r="U705" s="154">
        <f t="shared" si="48"/>
        <v>52389</v>
      </c>
    </row>
    <row r="706" spans="2:21" x14ac:dyDescent="0.2">
      <c r="B706" s="8">
        <f t="shared" si="49"/>
        <v>22</v>
      </c>
      <c r="C706" s="18"/>
      <c r="D706" s="18"/>
      <c r="E706" s="18"/>
      <c r="F706" s="152"/>
      <c r="G706" s="153">
        <v>635</v>
      </c>
      <c r="H706" s="18" t="s">
        <v>143</v>
      </c>
      <c r="I706" s="19">
        <f>23000-9785</f>
        <v>13215</v>
      </c>
      <c r="J706" s="19">
        <v>23000</v>
      </c>
      <c r="K706" s="19">
        <v>23000</v>
      </c>
      <c r="L706" s="20">
        <v>20909</v>
      </c>
      <c r="M706" s="20">
        <v>53953</v>
      </c>
      <c r="N706" s="164"/>
      <c r="O706" s="19"/>
      <c r="P706" s="19"/>
      <c r="Q706" s="19"/>
      <c r="R706" s="20"/>
      <c r="S706" s="20"/>
      <c r="T706" s="164"/>
      <c r="U706" s="154">
        <f t="shared" si="48"/>
        <v>13215</v>
      </c>
    </row>
    <row r="707" spans="2:21" x14ac:dyDescent="0.2">
      <c r="B707" s="8">
        <f t="shared" si="49"/>
        <v>23</v>
      </c>
      <c r="C707" s="18"/>
      <c r="D707" s="18"/>
      <c r="E707" s="18"/>
      <c r="F707" s="152"/>
      <c r="G707" s="153">
        <v>636</v>
      </c>
      <c r="H707" s="18" t="s">
        <v>136</v>
      </c>
      <c r="I707" s="19">
        <v>14100</v>
      </c>
      <c r="J707" s="19">
        <v>12876</v>
      </c>
      <c r="K707" s="19">
        <v>12876</v>
      </c>
      <c r="L707" s="20">
        <v>7388</v>
      </c>
      <c r="M707" s="20">
        <v>7782</v>
      </c>
      <c r="N707" s="164"/>
      <c r="O707" s="19"/>
      <c r="P707" s="19"/>
      <c r="Q707" s="19"/>
      <c r="R707" s="20"/>
      <c r="S707" s="20"/>
      <c r="T707" s="164"/>
      <c r="U707" s="154">
        <f t="shared" si="48"/>
        <v>14100</v>
      </c>
    </row>
    <row r="708" spans="2:21" x14ac:dyDescent="0.2">
      <c r="B708" s="8">
        <f t="shared" si="49"/>
        <v>24</v>
      </c>
      <c r="C708" s="18"/>
      <c r="D708" s="18"/>
      <c r="E708" s="18"/>
      <c r="F708" s="152"/>
      <c r="G708" s="153">
        <v>637</v>
      </c>
      <c r="H708" s="18" t="s">
        <v>132</v>
      </c>
      <c r="I708" s="19">
        <v>21290</v>
      </c>
      <c r="J708" s="19">
        <v>20511</v>
      </c>
      <c r="K708" s="19">
        <v>20511</v>
      </c>
      <c r="L708" s="20">
        <v>11232</v>
      </c>
      <c r="M708" s="20">
        <f>7622+2387</f>
        <v>10009</v>
      </c>
      <c r="N708" s="164"/>
      <c r="O708" s="19"/>
      <c r="P708" s="19"/>
      <c r="Q708" s="19"/>
      <c r="R708" s="20"/>
      <c r="S708" s="20"/>
      <c r="T708" s="164"/>
      <c r="U708" s="154">
        <f t="shared" si="48"/>
        <v>21290</v>
      </c>
    </row>
    <row r="709" spans="2:21" x14ac:dyDescent="0.2">
      <c r="B709" s="8">
        <f t="shared" si="49"/>
        <v>25</v>
      </c>
      <c r="C709" s="24"/>
      <c r="D709" s="24"/>
      <c r="E709" s="24"/>
      <c r="F709" s="149" t="s">
        <v>197</v>
      </c>
      <c r="G709" s="150">
        <v>640</v>
      </c>
      <c r="H709" s="24" t="s">
        <v>139</v>
      </c>
      <c r="I709" s="25">
        <v>450</v>
      </c>
      <c r="J709" s="25">
        <v>450</v>
      </c>
      <c r="K709" s="25">
        <v>5005</v>
      </c>
      <c r="L709" s="26">
        <v>7482</v>
      </c>
      <c r="M709" s="26">
        <v>1981</v>
      </c>
      <c r="N709" s="501"/>
      <c r="O709" s="25"/>
      <c r="P709" s="25"/>
      <c r="Q709" s="25"/>
      <c r="R709" s="26"/>
      <c r="S709" s="26"/>
      <c r="T709" s="501"/>
      <c r="U709" s="151">
        <f t="shared" si="48"/>
        <v>450</v>
      </c>
    </row>
    <row r="710" spans="2:21" x14ac:dyDescent="0.2">
      <c r="B710" s="8">
        <f t="shared" si="49"/>
        <v>26</v>
      </c>
      <c r="C710" s="24"/>
      <c r="D710" s="24"/>
      <c r="E710" s="24"/>
      <c r="F710" s="149"/>
      <c r="G710" s="150">
        <v>630</v>
      </c>
      <c r="H710" s="24" t="s">
        <v>534</v>
      </c>
      <c r="I710" s="25"/>
      <c r="J710" s="25"/>
      <c r="K710" s="25"/>
      <c r="L710" s="26">
        <v>711</v>
      </c>
      <c r="M710" s="26"/>
      <c r="N710" s="501"/>
      <c r="O710" s="25"/>
      <c r="P710" s="25"/>
      <c r="Q710" s="25"/>
      <c r="R710" s="26"/>
      <c r="S710" s="26"/>
      <c r="T710" s="501"/>
      <c r="U710" s="151">
        <f t="shared" si="48"/>
        <v>0</v>
      </c>
    </row>
    <row r="711" spans="2:21" x14ac:dyDescent="0.2">
      <c r="B711" s="8">
        <f t="shared" si="49"/>
        <v>27</v>
      </c>
      <c r="C711" s="24"/>
      <c r="D711" s="24"/>
      <c r="E711" s="24"/>
      <c r="F711" s="149" t="s">
        <v>197</v>
      </c>
      <c r="G711" s="150">
        <v>710</v>
      </c>
      <c r="H711" s="24" t="s">
        <v>185</v>
      </c>
      <c r="I711" s="25"/>
      <c r="J711" s="25"/>
      <c r="K711" s="25"/>
      <c r="L711" s="26"/>
      <c r="M711" s="26"/>
      <c r="N711" s="501"/>
      <c r="O711" s="25"/>
      <c r="P711" s="25"/>
      <c r="Q711" s="25"/>
      <c r="R711" s="26"/>
      <c r="S711" s="26"/>
      <c r="T711" s="501"/>
      <c r="U711" s="151">
        <f t="shared" si="48"/>
        <v>0</v>
      </c>
    </row>
    <row r="712" spans="2:21" x14ac:dyDescent="0.2">
      <c r="B712" s="8">
        <f t="shared" si="49"/>
        <v>28</v>
      </c>
      <c r="C712" s="18"/>
      <c r="D712" s="18"/>
      <c r="E712" s="18"/>
      <c r="F712" s="152"/>
      <c r="G712" s="153">
        <v>717</v>
      </c>
      <c r="H712" s="18" t="s">
        <v>192</v>
      </c>
      <c r="I712" s="19"/>
      <c r="J712" s="19"/>
      <c r="K712" s="19"/>
      <c r="L712" s="20"/>
      <c r="M712" s="20"/>
      <c r="N712" s="164"/>
      <c r="O712" s="19"/>
      <c r="P712" s="19"/>
      <c r="Q712" s="19"/>
      <c r="R712" s="20"/>
      <c r="S712" s="20"/>
      <c r="T712" s="164"/>
      <c r="U712" s="154">
        <f t="shared" si="48"/>
        <v>0</v>
      </c>
    </row>
    <row r="713" spans="2:21" s="165" customFormat="1" x14ac:dyDescent="0.2">
      <c r="B713" s="8">
        <f t="shared" si="49"/>
        <v>29</v>
      </c>
      <c r="C713" s="156"/>
      <c r="D713" s="156"/>
      <c r="E713" s="156"/>
      <c r="F713" s="272"/>
      <c r="G713" s="155"/>
      <c r="H713" s="156" t="s">
        <v>578</v>
      </c>
      <c r="I713" s="157"/>
      <c r="J713" s="157"/>
      <c r="K713" s="157"/>
      <c r="L713" s="158"/>
      <c r="M713" s="158"/>
      <c r="N713" s="535"/>
      <c r="O713" s="157"/>
      <c r="P713" s="157"/>
      <c r="Q713" s="157"/>
      <c r="R713" s="158"/>
      <c r="S713" s="158"/>
      <c r="T713" s="535"/>
      <c r="U713" s="159">
        <f t="shared" si="48"/>
        <v>0</v>
      </c>
    </row>
    <row r="714" spans="2:21" s="165" customFormat="1" x14ac:dyDescent="0.2">
      <c r="B714" s="8">
        <f t="shared" si="49"/>
        <v>30</v>
      </c>
      <c r="C714" s="156"/>
      <c r="D714" s="156"/>
      <c r="E714" s="156"/>
      <c r="F714" s="272"/>
      <c r="G714" s="155"/>
      <c r="H714" s="156" t="s">
        <v>945</v>
      </c>
      <c r="I714" s="157"/>
      <c r="J714" s="157"/>
      <c r="K714" s="157"/>
      <c r="L714" s="158"/>
      <c r="M714" s="158"/>
      <c r="N714" s="535"/>
      <c r="O714" s="157"/>
      <c r="P714" s="157"/>
      <c r="Q714" s="157"/>
      <c r="R714" s="158"/>
      <c r="S714" s="158"/>
      <c r="T714" s="535"/>
      <c r="U714" s="159">
        <f t="shared" si="48"/>
        <v>0</v>
      </c>
    </row>
    <row r="715" spans="2:21" s="165" customFormat="1" x14ac:dyDescent="0.2">
      <c r="B715" s="8">
        <f t="shared" si="49"/>
        <v>31</v>
      </c>
      <c r="C715" s="156"/>
      <c r="D715" s="156"/>
      <c r="E715" s="156"/>
      <c r="F715" s="272"/>
      <c r="G715" s="155"/>
      <c r="H715" s="156" t="s">
        <v>806</v>
      </c>
      <c r="I715" s="157"/>
      <c r="J715" s="157"/>
      <c r="K715" s="157"/>
      <c r="L715" s="158"/>
      <c r="M715" s="158"/>
      <c r="N715" s="535"/>
      <c r="O715" s="157"/>
      <c r="P715" s="157"/>
      <c r="Q715" s="157"/>
      <c r="R715" s="158"/>
      <c r="S715" s="158"/>
      <c r="T715" s="535"/>
      <c r="U715" s="159">
        <f t="shared" si="48"/>
        <v>0</v>
      </c>
    </row>
    <row r="716" spans="2:21" ht="14.25" x14ac:dyDescent="0.2">
      <c r="B716" s="8">
        <f t="shared" si="49"/>
        <v>32</v>
      </c>
      <c r="C716" s="267"/>
      <c r="D716" s="267"/>
      <c r="E716" s="267">
        <v>4</v>
      </c>
      <c r="F716" s="268"/>
      <c r="G716" s="268"/>
      <c r="H716" s="267" t="s">
        <v>89</v>
      </c>
      <c r="I716" s="269">
        <f>I717+I725+I739+I751+I764+I774+I790+I806+I822+I836+I845+I859+I872+I881+I894+I904</f>
        <v>5875129</v>
      </c>
      <c r="J716" s="269">
        <f>J904+J894+J881+J872+J859+J845+J836+J822+J806+J790+J774+J764+J751+J739+J725+J717+J721</f>
        <v>5258574</v>
      </c>
      <c r="K716" s="269">
        <f>K904+K894+K881+K872+K859+K845+K836+K822+K806+K790+K774+K764+K751+K739+K725+K717+K721</f>
        <v>5322697</v>
      </c>
      <c r="L716" s="270">
        <f>L904+L894+L881+L872+L859+L845+L836+L822+L806+L790+L774+L764+L751+L739+L725+L717+L721</f>
        <v>4138423</v>
      </c>
      <c r="M716" s="270">
        <f>M904+M894+M881+M872+M859+M845+M836+M822+M806+M790+M774+M764+M751+M739+M725+M717+M721</f>
        <v>3708500</v>
      </c>
      <c r="N716" s="534"/>
      <c r="O716" s="269">
        <f t="shared" ref="O716:P716" si="50">O725+O739+O751+O764+O774+O790+O806+O822+O836+O859+O872+O881+O894+O904+O722+O845</f>
        <v>198000</v>
      </c>
      <c r="P716" s="269">
        <f t="shared" si="50"/>
        <v>1136391</v>
      </c>
      <c r="Q716" s="269">
        <f>Q725+Q739+Q751+Q764+Q774+Q790+Q806+Q822+Q836+Q859+Q872+Q881+Q894+Q904+Q722+Q845</f>
        <v>1130891</v>
      </c>
      <c r="R716" s="270">
        <f>R722+R725+R790+R845+R859+R904</f>
        <v>143581</v>
      </c>
      <c r="S716" s="270">
        <f>S725+S739+S751+S764+S774+S790+S806+S822+S836+S859+S872+S881+S894+S904</f>
        <v>216132</v>
      </c>
      <c r="T716" s="534"/>
      <c r="U716" s="271">
        <f t="shared" si="48"/>
        <v>6073129</v>
      </c>
    </row>
    <row r="717" spans="2:21" x14ac:dyDescent="0.2">
      <c r="B717" s="8">
        <f t="shared" si="49"/>
        <v>33</v>
      </c>
      <c r="C717" s="24"/>
      <c r="D717" s="24"/>
      <c r="E717" s="24"/>
      <c r="F717" s="149" t="s">
        <v>197</v>
      </c>
      <c r="G717" s="150">
        <v>630</v>
      </c>
      <c r="H717" s="24" t="s">
        <v>131</v>
      </c>
      <c r="I717" s="25">
        <f>SUM(I718:I720)</f>
        <v>32210</v>
      </c>
      <c r="J717" s="25">
        <f>SUM(J718:J720)</f>
        <v>637838</v>
      </c>
      <c r="K717" s="25">
        <f>SUM(K718:K720)</f>
        <v>375073</v>
      </c>
      <c r="L717" s="26">
        <f>SUM(L718:L719)</f>
        <v>52921</v>
      </c>
      <c r="M717" s="26"/>
      <c r="N717" s="501"/>
      <c r="O717" s="25"/>
      <c r="P717" s="25"/>
      <c r="Q717" s="25"/>
      <c r="R717" s="26"/>
      <c r="S717" s="26"/>
      <c r="T717" s="501"/>
      <c r="U717" s="151">
        <f t="shared" si="48"/>
        <v>32210</v>
      </c>
    </row>
    <row r="718" spans="2:21" x14ac:dyDescent="0.2">
      <c r="B718" s="8">
        <f t="shared" si="49"/>
        <v>34</v>
      </c>
      <c r="C718" s="24"/>
      <c r="D718" s="24"/>
      <c r="E718" s="24"/>
      <c r="F718" s="149"/>
      <c r="G718" s="153">
        <v>632</v>
      </c>
      <c r="H718" s="18" t="s">
        <v>144</v>
      </c>
      <c r="I718" s="25"/>
      <c r="J718" s="19">
        <v>605633</v>
      </c>
      <c r="K718" s="19">
        <v>373833</v>
      </c>
      <c r="L718" s="26"/>
      <c r="M718" s="26"/>
      <c r="N718" s="501"/>
      <c r="O718" s="25"/>
      <c r="P718" s="25"/>
      <c r="Q718" s="25"/>
      <c r="R718" s="26"/>
      <c r="S718" s="26"/>
      <c r="T718" s="501"/>
      <c r="U718" s="151">
        <f t="shared" si="48"/>
        <v>0</v>
      </c>
    </row>
    <row r="719" spans="2:21" x14ac:dyDescent="0.2">
      <c r="B719" s="8">
        <f t="shared" si="49"/>
        <v>35</v>
      </c>
      <c r="C719" s="18"/>
      <c r="D719" s="18"/>
      <c r="E719" s="18"/>
      <c r="F719" s="152"/>
      <c r="G719" s="153">
        <v>635</v>
      </c>
      <c r="H719" s="18" t="s">
        <v>143</v>
      </c>
      <c r="I719" s="19">
        <v>30000</v>
      </c>
      <c r="J719" s="19">
        <v>30000</v>
      </c>
      <c r="K719" s="19">
        <v>0</v>
      </c>
      <c r="L719" s="20">
        <v>52921</v>
      </c>
      <c r="M719" s="20"/>
      <c r="N719" s="164"/>
      <c r="O719" s="19"/>
      <c r="P719" s="19"/>
      <c r="Q719" s="19"/>
      <c r="R719" s="20"/>
      <c r="S719" s="20"/>
      <c r="T719" s="164"/>
      <c r="U719" s="154">
        <f t="shared" si="48"/>
        <v>30000</v>
      </c>
    </row>
    <row r="720" spans="2:21" x14ac:dyDescent="0.2">
      <c r="B720" s="8">
        <f t="shared" si="49"/>
        <v>36</v>
      </c>
      <c r="C720" s="18"/>
      <c r="D720" s="18"/>
      <c r="E720" s="18"/>
      <c r="F720" s="152"/>
      <c r="G720" s="153">
        <v>637</v>
      </c>
      <c r="H720" s="18" t="s">
        <v>946</v>
      </c>
      <c r="I720" s="19">
        <v>2210</v>
      </c>
      <c r="J720" s="19">
        <v>2205</v>
      </c>
      <c r="K720" s="19">
        <v>1240</v>
      </c>
      <c r="L720" s="20"/>
      <c r="M720" s="20"/>
      <c r="N720" s="164"/>
      <c r="O720" s="19"/>
      <c r="P720" s="19"/>
      <c r="Q720" s="19"/>
      <c r="R720" s="20"/>
      <c r="S720" s="20"/>
      <c r="T720" s="164"/>
      <c r="U720" s="154">
        <f t="shared" si="48"/>
        <v>2210</v>
      </c>
    </row>
    <row r="721" spans="2:21" x14ac:dyDescent="0.2">
      <c r="B721" s="8">
        <f t="shared" si="49"/>
        <v>37</v>
      </c>
      <c r="C721" s="18"/>
      <c r="D721" s="18"/>
      <c r="E721" s="18"/>
      <c r="F721" s="149" t="s">
        <v>197</v>
      </c>
      <c r="G721" s="150">
        <v>630</v>
      </c>
      <c r="H721" s="24" t="s">
        <v>534</v>
      </c>
      <c r="I721" s="19"/>
      <c r="J721" s="19"/>
      <c r="K721" s="19">
        <v>3129</v>
      </c>
      <c r="L721" s="20">
        <v>12945</v>
      </c>
      <c r="M721" s="20">
        <v>2793</v>
      </c>
      <c r="N721" s="164"/>
      <c r="O721" s="19"/>
      <c r="P721" s="19"/>
      <c r="Q721" s="19"/>
      <c r="R721" s="20"/>
      <c r="S721" s="20"/>
      <c r="T721" s="164"/>
      <c r="U721" s="154">
        <f t="shared" si="48"/>
        <v>0</v>
      </c>
    </row>
    <row r="722" spans="2:21" x14ac:dyDescent="0.2">
      <c r="B722" s="8">
        <f t="shared" si="49"/>
        <v>38</v>
      </c>
      <c r="C722" s="18"/>
      <c r="D722" s="18"/>
      <c r="E722" s="18"/>
      <c r="F722" s="149" t="s">
        <v>197</v>
      </c>
      <c r="G722" s="150">
        <v>710</v>
      </c>
      <c r="H722" s="24" t="s">
        <v>185</v>
      </c>
      <c r="I722" s="19"/>
      <c r="J722" s="19"/>
      <c r="K722" s="19"/>
      <c r="L722" s="20"/>
      <c r="M722" s="20"/>
      <c r="N722" s="164"/>
      <c r="O722" s="19"/>
      <c r="P722" s="19"/>
      <c r="Q722" s="19"/>
      <c r="R722" s="26">
        <f>R723</f>
        <v>32234</v>
      </c>
      <c r="S722" s="20"/>
      <c r="T722" s="164"/>
      <c r="U722" s="154">
        <f t="shared" si="48"/>
        <v>0</v>
      </c>
    </row>
    <row r="723" spans="2:21" x14ac:dyDescent="0.2">
      <c r="B723" s="8">
        <f t="shared" si="49"/>
        <v>39</v>
      </c>
      <c r="C723" s="18"/>
      <c r="D723" s="18"/>
      <c r="E723" s="18"/>
      <c r="F723" s="152"/>
      <c r="G723" s="153">
        <v>717</v>
      </c>
      <c r="H723" s="18" t="s">
        <v>192</v>
      </c>
      <c r="I723" s="19"/>
      <c r="J723" s="19"/>
      <c r="K723" s="19"/>
      <c r="L723" s="20"/>
      <c r="M723" s="20"/>
      <c r="N723" s="164"/>
      <c r="O723" s="19"/>
      <c r="P723" s="19"/>
      <c r="Q723" s="19"/>
      <c r="R723" s="20">
        <f>R724</f>
        <v>32234</v>
      </c>
      <c r="S723" s="20"/>
      <c r="T723" s="164"/>
      <c r="U723" s="154">
        <f t="shared" si="48"/>
        <v>0</v>
      </c>
    </row>
    <row r="724" spans="2:21" x14ac:dyDescent="0.2">
      <c r="B724" s="8">
        <f t="shared" si="49"/>
        <v>40</v>
      </c>
      <c r="C724" s="18"/>
      <c r="D724" s="18"/>
      <c r="E724" s="18"/>
      <c r="F724" s="272"/>
      <c r="G724" s="155"/>
      <c r="H724" s="156" t="s">
        <v>733</v>
      </c>
      <c r="I724" s="19"/>
      <c r="J724" s="19"/>
      <c r="K724" s="19"/>
      <c r="L724" s="20"/>
      <c r="M724" s="20"/>
      <c r="N724" s="164"/>
      <c r="O724" s="19"/>
      <c r="P724" s="19"/>
      <c r="Q724" s="19"/>
      <c r="R724" s="20">
        <v>32234</v>
      </c>
      <c r="S724" s="20"/>
      <c r="T724" s="164"/>
      <c r="U724" s="154">
        <f t="shared" si="48"/>
        <v>0</v>
      </c>
    </row>
    <row r="725" spans="2:21" x14ac:dyDescent="0.2">
      <c r="B725" s="8">
        <f t="shared" si="49"/>
        <v>41</v>
      </c>
      <c r="C725" s="280"/>
      <c r="D725" s="280"/>
      <c r="E725" s="280" t="s">
        <v>99</v>
      </c>
      <c r="F725" s="281"/>
      <c r="G725" s="281"/>
      <c r="H725" s="280" t="s">
        <v>70</v>
      </c>
      <c r="I725" s="282">
        <f>I726+I727+I728+I733</f>
        <v>271353</v>
      </c>
      <c r="J725" s="282">
        <f>J734+J733+J728+J727+J726</f>
        <v>233147</v>
      </c>
      <c r="K725" s="282">
        <f>K734+K733+K728+K727+K726</f>
        <v>256111</v>
      </c>
      <c r="L725" s="283">
        <f>L734+L733+L728+L727+L726</f>
        <v>193509</v>
      </c>
      <c r="M725" s="283">
        <f>M734+M733+M728+M727+M726</f>
        <v>192946</v>
      </c>
      <c r="N725" s="501"/>
      <c r="O725" s="282">
        <f>O734</f>
        <v>10000</v>
      </c>
      <c r="P725" s="282"/>
      <c r="Q725" s="282"/>
      <c r="R725" s="283">
        <f>R734</f>
        <v>31528</v>
      </c>
      <c r="S725" s="283"/>
      <c r="T725" s="501"/>
      <c r="U725" s="284">
        <f t="shared" si="48"/>
        <v>281353</v>
      </c>
    </row>
    <row r="726" spans="2:21" x14ac:dyDescent="0.2">
      <c r="B726" s="8">
        <f t="shared" si="49"/>
        <v>42</v>
      </c>
      <c r="C726" s="24"/>
      <c r="D726" s="24"/>
      <c r="E726" s="24"/>
      <c r="F726" s="149" t="s">
        <v>197</v>
      </c>
      <c r="G726" s="150">
        <v>610</v>
      </c>
      <c r="H726" s="24" t="s">
        <v>141</v>
      </c>
      <c r="I726" s="25">
        <v>143070</v>
      </c>
      <c r="J726" s="25">
        <v>118889</v>
      </c>
      <c r="K726" s="25">
        <v>119968</v>
      </c>
      <c r="L726" s="26">
        <v>111587</v>
      </c>
      <c r="M726" s="26">
        <v>106932</v>
      </c>
      <c r="N726" s="501"/>
      <c r="O726" s="25"/>
      <c r="P726" s="25"/>
      <c r="Q726" s="25"/>
      <c r="R726" s="26"/>
      <c r="S726" s="26"/>
      <c r="T726" s="501"/>
      <c r="U726" s="151">
        <f t="shared" si="48"/>
        <v>143070</v>
      </c>
    </row>
    <row r="727" spans="2:21" x14ac:dyDescent="0.2">
      <c r="B727" s="8">
        <f t="shared" si="49"/>
        <v>43</v>
      </c>
      <c r="C727" s="24"/>
      <c r="D727" s="24"/>
      <c r="E727" s="24"/>
      <c r="F727" s="149" t="s">
        <v>197</v>
      </c>
      <c r="G727" s="150">
        <v>620</v>
      </c>
      <c r="H727" s="24" t="s">
        <v>134</v>
      </c>
      <c r="I727" s="25">
        <v>53259</v>
      </c>
      <c r="J727" s="25">
        <v>46731</v>
      </c>
      <c r="K727" s="25">
        <v>47108</v>
      </c>
      <c r="L727" s="26">
        <v>40370</v>
      </c>
      <c r="M727" s="26">
        <v>39338</v>
      </c>
      <c r="N727" s="501"/>
      <c r="O727" s="25"/>
      <c r="P727" s="25"/>
      <c r="Q727" s="25"/>
      <c r="R727" s="26"/>
      <c r="S727" s="26"/>
      <c r="T727" s="501"/>
      <c r="U727" s="151">
        <f t="shared" si="48"/>
        <v>53259</v>
      </c>
    </row>
    <row r="728" spans="2:21" x14ac:dyDescent="0.2">
      <c r="B728" s="8">
        <f t="shared" si="49"/>
        <v>44</v>
      </c>
      <c r="C728" s="24"/>
      <c r="D728" s="24"/>
      <c r="E728" s="24"/>
      <c r="F728" s="149" t="s">
        <v>197</v>
      </c>
      <c r="G728" s="150">
        <v>630</v>
      </c>
      <c r="H728" s="24" t="s">
        <v>131</v>
      </c>
      <c r="I728" s="25">
        <f>SUM(I729:I732)</f>
        <v>73740</v>
      </c>
      <c r="J728" s="25">
        <f>J732+J731+J730+J729</f>
        <v>58007</v>
      </c>
      <c r="K728" s="25">
        <f>K732+K731+K730+K729</f>
        <v>79515</v>
      </c>
      <c r="L728" s="26">
        <f>L732+L731+L730+L729</f>
        <v>40010</v>
      </c>
      <c r="M728" s="26">
        <f>M732+M731+M730+M729</f>
        <v>44084</v>
      </c>
      <c r="N728" s="501"/>
      <c r="O728" s="25"/>
      <c r="P728" s="25"/>
      <c r="Q728" s="25"/>
      <c r="R728" s="26"/>
      <c r="S728" s="26"/>
      <c r="T728" s="501"/>
      <c r="U728" s="151">
        <f t="shared" si="48"/>
        <v>73740</v>
      </c>
    </row>
    <row r="729" spans="2:21" x14ac:dyDescent="0.2">
      <c r="B729" s="8">
        <f t="shared" si="49"/>
        <v>45</v>
      </c>
      <c r="C729" s="18"/>
      <c r="D729" s="18"/>
      <c r="E729" s="18"/>
      <c r="F729" s="152"/>
      <c r="G729" s="153">
        <v>632</v>
      </c>
      <c r="H729" s="18" t="s">
        <v>144</v>
      </c>
      <c r="I729" s="19">
        <v>45210</v>
      </c>
      <c r="J729" s="19">
        <v>34155</v>
      </c>
      <c r="K729" s="19">
        <v>44155</v>
      </c>
      <c r="L729" s="20">
        <v>15991</v>
      </c>
      <c r="M729" s="20">
        <v>10973</v>
      </c>
      <c r="N729" s="164"/>
      <c r="O729" s="19"/>
      <c r="P729" s="19"/>
      <c r="Q729" s="19"/>
      <c r="R729" s="20"/>
      <c r="S729" s="20"/>
      <c r="T729" s="164"/>
      <c r="U729" s="154">
        <f t="shared" si="48"/>
        <v>45210</v>
      </c>
    </row>
    <row r="730" spans="2:21" x14ac:dyDescent="0.2">
      <c r="B730" s="8">
        <f t="shared" si="49"/>
        <v>46</v>
      </c>
      <c r="C730" s="18"/>
      <c r="D730" s="18"/>
      <c r="E730" s="18"/>
      <c r="F730" s="152"/>
      <c r="G730" s="153">
        <v>633</v>
      </c>
      <c r="H730" s="18" t="s">
        <v>135</v>
      </c>
      <c r="I730" s="19">
        <f>23201-3881</f>
        <v>19320</v>
      </c>
      <c r="J730" s="19">
        <v>12705</v>
      </c>
      <c r="K730" s="19">
        <v>14493</v>
      </c>
      <c r="L730" s="20">
        <v>13979</v>
      </c>
      <c r="M730" s="20">
        <v>9229</v>
      </c>
      <c r="N730" s="164"/>
      <c r="O730" s="19"/>
      <c r="P730" s="19"/>
      <c r="Q730" s="19"/>
      <c r="R730" s="20"/>
      <c r="S730" s="20"/>
      <c r="T730" s="164"/>
      <c r="U730" s="154">
        <f t="shared" si="48"/>
        <v>19320</v>
      </c>
    </row>
    <row r="731" spans="2:21" x14ac:dyDescent="0.2">
      <c r="B731" s="8">
        <f t="shared" si="49"/>
        <v>47</v>
      </c>
      <c r="C731" s="18"/>
      <c r="D731" s="18"/>
      <c r="E731" s="18"/>
      <c r="F731" s="152"/>
      <c r="G731" s="153">
        <v>635</v>
      </c>
      <c r="H731" s="18" t="s">
        <v>143</v>
      </c>
      <c r="I731" s="19">
        <v>3000</v>
      </c>
      <c r="J731" s="19">
        <v>6500</v>
      </c>
      <c r="K731" s="19">
        <v>16000</v>
      </c>
      <c r="L731" s="20">
        <v>5840</v>
      </c>
      <c r="M731" s="20">
        <v>20414</v>
      </c>
      <c r="N731" s="164"/>
      <c r="O731" s="19"/>
      <c r="P731" s="19"/>
      <c r="Q731" s="19"/>
      <c r="R731" s="20"/>
      <c r="S731" s="20"/>
      <c r="T731" s="164"/>
      <c r="U731" s="154">
        <f t="shared" si="48"/>
        <v>3000</v>
      </c>
    </row>
    <row r="732" spans="2:21" x14ac:dyDescent="0.2">
      <c r="B732" s="8">
        <f t="shared" si="49"/>
        <v>48</v>
      </c>
      <c r="C732" s="18"/>
      <c r="D732" s="18"/>
      <c r="E732" s="18"/>
      <c r="F732" s="152"/>
      <c r="G732" s="153">
        <v>637</v>
      </c>
      <c r="H732" s="18" t="s">
        <v>132</v>
      </c>
      <c r="I732" s="19">
        <v>6210</v>
      </c>
      <c r="J732" s="19">
        <v>4647</v>
      </c>
      <c r="K732" s="19">
        <v>4867</v>
      </c>
      <c r="L732" s="20">
        <v>4200</v>
      </c>
      <c r="M732" s="20">
        <v>3468</v>
      </c>
      <c r="N732" s="164"/>
      <c r="O732" s="19"/>
      <c r="P732" s="19"/>
      <c r="Q732" s="19"/>
      <c r="R732" s="20"/>
      <c r="S732" s="20"/>
      <c r="T732" s="164"/>
      <c r="U732" s="154">
        <f t="shared" si="48"/>
        <v>6210</v>
      </c>
    </row>
    <row r="733" spans="2:21" x14ac:dyDescent="0.2">
      <c r="B733" s="8">
        <f t="shared" si="49"/>
        <v>49</v>
      </c>
      <c r="C733" s="24"/>
      <c r="D733" s="24"/>
      <c r="E733" s="24"/>
      <c r="F733" s="149"/>
      <c r="G733" s="150">
        <v>640</v>
      </c>
      <c r="H733" s="24" t="s">
        <v>139</v>
      </c>
      <c r="I733" s="25">
        <v>1284</v>
      </c>
      <c r="J733" s="25">
        <v>9520</v>
      </c>
      <c r="K733" s="25">
        <v>9520</v>
      </c>
      <c r="L733" s="26">
        <v>1542</v>
      </c>
      <c r="M733" s="26">
        <v>2592</v>
      </c>
      <c r="N733" s="501"/>
      <c r="O733" s="25"/>
      <c r="P733" s="25"/>
      <c r="Q733" s="25"/>
      <c r="R733" s="26"/>
      <c r="S733" s="26"/>
      <c r="T733" s="501"/>
      <c r="U733" s="151">
        <f t="shared" si="48"/>
        <v>1284</v>
      </c>
    </row>
    <row r="734" spans="2:21" x14ac:dyDescent="0.2">
      <c r="B734" s="8">
        <f t="shared" si="49"/>
        <v>50</v>
      </c>
      <c r="C734" s="24"/>
      <c r="D734" s="24"/>
      <c r="E734" s="24"/>
      <c r="F734" s="149" t="s">
        <v>197</v>
      </c>
      <c r="G734" s="150">
        <v>710</v>
      </c>
      <c r="H734" s="24" t="s">
        <v>185</v>
      </c>
      <c r="I734" s="25"/>
      <c r="J734" s="25"/>
      <c r="K734" s="25"/>
      <c r="L734" s="26"/>
      <c r="M734" s="26"/>
      <c r="N734" s="501"/>
      <c r="O734" s="25">
        <f>O735</f>
        <v>10000</v>
      </c>
      <c r="P734" s="25"/>
      <c r="Q734" s="25"/>
      <c r="R734" s="26">
        <f>R737</f>
        <v>31528</v>
      </c>
      <c r="S734" s="26"/>
      <c r="T734" s="501"/>
      <c r="U734" s="151">
        <f t="shared" si="48"/>
        <v>10000</v>
      </c>
    </row>
    <row r="735" spans="2:21" x14ac:dyDescent="0.2">
      <c r="B735" s="8">
        <f>B732+1</f>
        <v>49</v>
      </c>
      <c r="C735" s="18"/>
      <c r="D735" s="18"/>
      <c r="E735" s="18"/>
      <c r="F735" s="152"/>
      <c r="G735" s="153">
        <v>716</v>
      </c>
      <c r="H735" s="18" t="s">
        <v>226</v>
      </c>
      <c r="I735" s="19"/>
      <c r="J735" s="19"/>
      <c r="K735" s="19"/>
      <c r="L735" s="20"/>
      <c r="M735" s="20"/>
      <c r="N735" s="164"/>
      <c r="O735" s="19">
        <f>O736</f>
        <v>10000</v>
      </c>
      <c r="P735" s="19"/>
      <c r="Q735" s="19"/>
      <c r="R735" s="20">
        <f>R736</f>
        <v>31528</v>
      </c>
      <c r="S735" s="20"/>
      <c r="T735" s="164"/>
      <c r="U735" s="154">
        <f t="shared" ref="U735:U736" si="51">I735+O735</f>
        <v>10000</v>
      </c>
    </row>
    <row r="736" spans="2:21" s="165" customFormat="1" x14ac:dyDescent="0.2">
      <c r="B736" s="8">
        <f t="shared" si="49"/>
        <v>50</v>
      </c>
      <c r="C736" s="156"/>
      <c r="D736" s="156"/>
      <c r="E736" s="156"/>
      <c r="F736" s="272"/>
      <c r="G736" s="155"/>
      <c r="H736" s="156" t="s">
        <v>1189</v>
      </c>
      <c r="I736" s="157"/>
      <c r="J736" s="157"/>
      <c r="K736" s="157"/>
      <c r="L736" s="158"/>
      <c r="M736" s="158"/>
      <c r="N736" s="535"/>
      <c r="O736" s="157">
        <v>10000</v>
      </c>
      <c r="P736" s="157"/>
      <c r="Q736" s="157"/>
      <c r="R736" s="158">
        <v>31528</v>
      </c>
      <c r="S736" s="158"/>
      <c r="T736" s="535"/>
      <c r="U736" s="159">
        <f t="shared" si="51"/>
        <v>10000</v>
      </c>
    </row>
    <row r="737" spans="2:21" x14ac:dyDescent="0.2">
      <c r="B737" s="8">
        <f>B734+1</f>
        <v>51</v>
      </c>
      <c r="C737" s="18"/>
      <c r="D737" s="18"/>
      <c r="E737" s="18"/>
      <c r="F737" s="152"/>
      <c r="G737" s="153">
        <v>717</v>
      </c>
      <c r="H737" s="18" t="s">
        <v>192</v>
      </c>
      <c r="I737" s="19"/>
      <c r="J737" s="19"/>
      <c r="K737" s="19"/>
      <c r="L737" s="20"/>
      <c r="M737" s="20"/>
      <c r="N737" s="164"/>
      <c r="O737" s="19"/>
      <c r="P737" s="19"/>
      <c r="Q737" s="19"/>
      <c r="R737" s="20">
        <f>R738</f>
        <v>31528</v>
      </c>
      <c r="S737" s="20"/>
      <c r="T737" s="164"/>
      <c r="U737" s="154">
        <f t="shared" si="48"/>
        <v>0</v>
      </c>
    </row>
    <row r="738" spans="2:21" s="165" customFormat="1" x14ac:dyDescent="0.2">
      <c r="B738" s="8">
        <f t="shared" si="49"/>
        <v>52</v>
      </c>
      <c r="C738" s="156"/>
      <c r="D738" s="156"/>
      <c r="E738" s="156"/>
      <c r="F738" s="272"/>
      <c r="G738" s="155"/>
      <c r="H738" s="156" t="s">
        <v>578</v>
      </c>
      <c r="I738" s="157"/>
      <c r="J738" s="157"/>
      <c r="K738" s="157"/>
      <c r="L738" s="158"/>
      <c r="M738" s="158"/>
      <c r="N738" s="535"/>
      <c r="O738" s="157"/>
      <c r="P738" s="157"/>
      <c r="Q738" s="157"/>
      <c r="R738" s="158">
        <v>31528</v>
      </c>
      <c r="S738" s="158"/>
      <c r="T738" s="535"/>
      <c r="U738" s="159">
        <f t="shared" si="48"/>
        <v>0</v>
      </c>
    </row>
    <row r="739" spans="2:21" x14ac:dyDescent="0.2">
      <c r="B739" s="8">
        <f t="shared" si="49"/>
        <v>53</v>
      </c>
      <c r="C739" s="280"/>
      <c r="D739" s="280"/>
      <c r="E739" s="280" t="s">
        <v>98</v>
      </c>
      <c r="F739" s="281"/>
      <c r="G739" s="281"/>
      <c r="H739" s="280" t="s">
        <v>238</v>
      </c>
      <c r="I739" s="282">
        <f>I740+I741+I742+I747</f>
        <v>472423</v>
      </c>
      <c r="J739" s="282">
        <f>J747+J742+J741+J740</f>
        <v>365000</v>
      </c>
      <c r="K739" s="282">
        <f>K747+K742+K741+K740</f>
        <v>409388</v>
      </c>
      <c r="L739" s="283">
        <f>L747+L742+L741+L740</f>
        <v>372986</v>
      </c>
      <c r="M739" s="283">
        <f>M747+M742+M741+M740</f>
        <v>339202</v>
      </c>
      <c r="N739" s="501"/>
      <c r="O739" s="282">
        <f>O748</f>
        <v>36000</v>
      </c>
      <c r="P739" s="282"/>
      <c r="Q739" s="282"/>
      <c r="R739" s="283"/>
      <c r="S739" s="283"/>
      <c r="T739" s="501"/>
      <c r="U739" s="284">
        <f t="shared" si="48"/>
        <v>508423</v>
      </c>
    </row>
    <row r="740" spans="2:21" x14ac:dyDescent="0.2">
      <c r="B740" s="8">
        <f t="shared" si="49"/>
        <v>54</v>
      </c>
      <c r="C740" s="24"/>
      <c r="D740" s="24"/>
      <c r="E740" s="24"/>
      <c r="F740" s="149" t="s">
        <v>197</v>
      </c>
      <c r="G740" s="150">
        <v>610</v>
      </c>
      <c r="H740" s="24" t="s">
        <v>141</v>
      </c>
      <c r="I740" s="25">
        <v>251818</v>
      </c>
      <c r="J740" s="25">
        <v>211926</v>
      </c>
      <c r="K740" s="25">
        <v>213055</v>
      </c>
      <c r="L740" s="26">
        <v>216500</v>
      </c>
      <c r="M740" s="26">
        <v>200615</v>
      </c>
      <c r="N740" s="501"/>
      <c r="O740" s="25"/>
      <c r="P740" s="25"/>
      <c r="Q740" s="25"/>
      <c r="R740" s="26"/>
      <c r="S740" s="26"/>
      <c r="T740" s="501"/>
      <c r="U740" s="151">
        <f t="shared" si="48"/>
        <v>251818</v>
      </c>
    </row>
    <row r="741" spans="2:21" x14ac:dyDescent="0.2">
      <c r="B741" s="8">
        <f t="shared" si="49"/>
        <v>55</v>
      </c>
      <c r="C741" s="24"/>
      <c r="D741" s="24"/>
      <c r="E741" s="24"/>
      <c r="F741" s="149" t="s">
        <v>197</v>
      </c>
      <c r="G741" s="150">
        <v>620</v>
      </c>
      <c r="H741" s="24" t="s">
        <v>134</v>
      </c>
      <c r="I741" s="25">
        <v>94388</v>
      </c>
      <c r="J741" s="25">
        <v>78412</v>
      </c>
      <c r="K741" s="25">
        <v>78807</v>
      </c>
      <c r="L741" s="26">
        <v>79161</v>
      </c>
      <c r="M741" s="26">
        <v>73546</v>
      </c>
      <c r="N741" s="501"/>
      <c r="O741" s="25"/>
      <c r="P741" s="25"/>
      <c r="Q741" s="25"/>
      <c r="R741" s="26"/>
      <c r="S741" s="26"/>
      <c r="T741" s="501"/>
      <c r="U741" s="151">
        <f t="shared" si="48"/>
        <v>94388</v>
      </c>
    </row>
    <row r="742" spans="2:21" x14ac:dyDescent="0.2">
      <c r="B742" s="8">
        <f t="shared" si="49"/>
        <v>56</v>
      </c>
      <c r="C742" s="24"/>
      <c r="D742" s="24"/>
      <c r="E742" s="24"/>
      <c r="F742" s="149" t="s">
        <v>197</v>
      </c>
      <c r="G742" s="150">
        <v>630</v>
      </c>
      <c r="H742" s="24" t="s">
        <v>131</v>
      </c>
      <c r="I742" s="25">
        <f>SUM(I743:I746)</f>
        <v>122226</v>
      </c>
      <c r="J742" s="25">
        <f>J746+J745+J744+J743</f>
        <v>74212</v>
      </c>
      <c r="K742" s="25">
        <f>K746+K745+K744+K743</f>
        <v>117076</v>
      </c>
      <c r="L742" s="26">
        <f>L746+L745+L744+L743</f>
        <v>58596</v>
      </c>
      <c r="M742" s="26">
        <f>M746+M745+M744+M743</f>
        <v>57329</v>
      </c>
      <c r="N742" s="501"/>
      <c r="O742" s="25"/>
      <c r="P742" s="25"/>
      <c r="Q742" s="25"/>
      <c r="R742" s="26"/>
      <c r="S742" s="26"/>
      <c r="T742" s="501"/>
      <c r="U742" s="151">
        <f t="shared" si="48"/>
        <v>122226</v>
      </c>
    </row>
    <row r="743" spans="2:21" x14ac:dyDescent="0.2">
      <c r="B743" s="8">
        <f t="shared" si="49"/>
        <v>57</v>
      </c>
      <c r="C743" s="18"/>
      <c r="D743" s="18"/>
      <c r="E743" s="18"/>
      <c r="F743" s="152"/>
      <c r="G743" s="153">
        <v>632</v>
      </c>
      <c r="H743" s="18" t="s">
        <v>144</v>
      </c>
      <c r="I743" s="19">
        <v>82815</v>
      </c>
      <c r="J743" s="19">
        <v>43050</v>
      </c>
      <c r="K743" s="19">
        <v>80050</v>
      </c>
      <c r="L743" s="20">
        <v>29149</v>
      </c>
      <c r="M743" s="20">
        <v>28048</v>
      </c>
      <c r="N743" s="164"/>
      <c r="O743" s="19"/>
      <c r="P743" s="19"/>
      <c r="Q743" s="19"/>
      <c r="R743" s="20"/>
      <c r="S743" s="20"/>
      <c r="T743" s="164"/>
      <c r="U743" s="154">
        <f t="shared" si="48"/>
        <v>82815</v>
      </c>
    </row>
    <row r="744" spans="2:21" x14ac:dyDescent="0.2">
      <c r="B744" s="8">
        <f t="shared" si="49"/>
        <v>58</v>
      </c>
      <c r="C744" s="18"/>
      <c r="D744" s="18"/>
      <c r="E744" s="18"/>
      <c r="F744" s="152"/>
      <c r="G744" s="153">
        <v>633</v>
      </c>
      <c r="H744" s="18" t="s">
        <v>135</v>
      </c>
      <c r="I744" s="19">
        <f>29711-2380</f>
        <v>27331</v>
      </c>
      <c r="J744" s="19">
        <v>18800</v>
      </c>
      <c r="K744" s="19">
        <v>24126</v>
      </c>
      <c r="L744" s="20">
        <v>22111</v>
      </c>
      <c r="M744" s="20">
        <v>17664</v>
      </c>
      <c r="N744" s="164"/>
      <c r="O744" s="19"/>
      <c r="P744" s="19"/>
      <c r="Q744" s="19"/>
      <c r="R744" s="20"/>
      <c r="S744" s="20"/>
      <c r="T744" s="164"/>
      <c r="U744" s="154">
        <f t="shared" si="48"/>
        <v>27331</v>
      </c>
    </row>
    <row r="745" spans="2:21" x14ac:dyDescent="0.2">
      <c r="B745" s="8">
        <f t="shared" si="49"/>
        <v>59</v>
      </c>
      <c r="C745" s="18"/>
      <c r="D745" s="18"/>
      <c r="E745" s="18"/>
      <c r="F745" s="152"/>
      <c r="G745" s="153">
        <v>635</v>
      </c>
      <c r="H745" s="18" t="s">
        <v>143</v>
      </c>
      <c r="I745" s="19">
        <f>5500-3000</f>
        <v>2500</v>
      </c>
      <c r="J745" s="19">
        <v>4000</v>
      </c>
      <c r="K745" s="19">
        <v>4000</v>
      </c>
      <c r="L745" s="20">
        <v>1058</v>
      </c>
      <c r="M745" s="20">
        <v>6008</v>
      </c>
      <c r="N745" s="164"/>
      <c r="O745" s="19"/>
      <c r="P745" s="19"/>
      <c r="Q745" s="19"/>
      <c r="R745" s="20"/>
      <c r="S745" s="20"/>
      <c r="T745" s="164"/>
      <c r="U745" s="154">
        <f t="shared" si="48"/>
        <v>2500</v>
      </c>
    </row>
    <row r="746" spans="2:21" x14ac:dyDescent="0.2">
      <c r="B746" s="8">
        <f t="shared" si="49"/>
        <v>60</v>
      </c>
      <c r="C746" s="18"/>
      <c r="D746" s="18"/>
      <c r="E746" s="18"/>
      <c r="F746" s="152"/>
      <c r="G746" s="153">
        <v>637</v>
      </c>
      <c r="H746" s="18" t="s">
        <v>132</v>
      </c>
      <c r="I746" s="19">
        <v>9580</v>
      </c>
      <c r="J746" s="19">
        <v>8362</v>
      </c>
      <c r="K746" s="19">
        <v>8900</v>
      </c>
      <c r="L746" s="20">
        <v>6278</v>
      </c>
      <c r="M746" s="20">
        <v>5609</v>
      </c>
      <c r="N746" s="164"/>
      <c r="O746" s="19"/>
      <c r="P746" s="19"/>
      <c r="Q746" s="19"/>
      <c r="R746" s="20"/>
      <c r="S746" s="20"/>
      <c r="T746" s="164"/>
      <c r="U746" s="154">
        <f t="shared" si="48"/>
        <v>9580</v>
      </c>
    </row>
    <row r="747" spans="2:21" x14ac:dyDescent="0.2">
      <c r="B747" s="8">
        <f t="shared" si="49"/>
        <v>61</v>
      </c>
      <c r="C747" s="24"/>
      <c r="D747" s="24"/>
      <c r="E747" s="24"/>
      <c r="F747" s="149" t="s">
        <v>197</v>
      </c>
      <c r="G747" s="150">
        <v>640</v>
      </c>
      <c r="H747" s="24" t="s">
        <v>139</v>
      </c>
      <c r="I747" s="25">
        <v>3991</v>
      </c>
      <c r="J747" s="25">
        <v>450</v>
      </c>
      <c r="K747" s="25">
        <v>450</v>
      </c>
      <c r="L747" s="26">
        <v>18729</v>
      </c>
      <c r="M747" s="26">
        <v>7712</v>
      </c>
      <c r="N747" s="501"/>
      <c r="O747" s="25"/>
      <c r="P747" s="25"/>
      <c r="Q747" s="25"/>
      <c r="R747" s="26"/>
      <c r="S747" s="26"/>
      <c r="T747" s="501"/>
      <c r="U747" s="151">
        <f t="shared" si="48"/>
        <v>3991</v>
      </c>
    </row>
    <row r="748" spans="2:21" x14ac:dyDescent="0.2">
      <c r="B748" s="8">
        <f t="shared" si="49"/>
        <v>62</v>
      </c>
      <c r="C748" s="24"/>
      <c r="D748" s="24"/>
      <c r="E748" s="24"/>
      <c r="F748" s="149" t="s">
        <v>197</v>
      </c>
      <c r="G748" s="150">
        <v>710</v>
      </c>
      <c r="H748" s="24" t="s">
        <v>185</v>
      </c>
      <c r="I748" s="25"/>
      <c r="J748" s="25"/>
      <c r="K748" s="25"/>
      <c r="L748" s="26"/>
      <c r="M748" s="26"/>
      <c r="N748" s="501"/>
      <c r="O748" s="25">
        <f>O749</f>
        <v>36000</v>
      </c>
      <c r="P748" s="25"/>
      <c r="Q748" s="25"/>
      <c r="R748" s="26">
        <f>R749</f>
        <v>31528</v>
      </c>
      <c r="S748" s="26"/>
      <c r="T748" s="501"/>
      <c r="U748" s="151">
        <f t="shared" ref="U748:U750" si="52">I748+O748</f>
        <v>36000</v>
      </c>
    </row>
    <row r="749" spans="2:21" x14ac:dyDescent="0.2">
      <c r="B749" s="8">
        <f t="shared" si="49"/>
        <v>63</v>
      </c>
      <c r="C749" s="18"/>
      <c r="D749" s="18"/>
      <c r="E749" s="18"/>
      <c r="F749" s="152"/>
      <c r="G749" s="153">
        <v>717</v>
      </c>
      <c r="H749" s="18" t="s">
        <v>192</v>
      </c>
      <c r="I749" s="19"/>
      <c r="J749" s="19"/>
      <c r="K749" s="19"/>
      <c r="L749" s="20"/>
      <c r="M749" s="20"/>
      <c r="N749" s="164"/>
      <c r="O749" s="19">
        <f>O750</f>
        <v>36000</v>
      </c>
      <c r="P749" s="19"/>
      <c r="Q749" s="19"/>
      <c r="R749" s="20">
        <f>R750</f>
        <v>31528</v>
      </c>
      <c r="S749" s="20"/>
      <c r="T749" s="164"/>
      <c r="U749" s="154">
        <f t="shared" si="52"/>
        <v>36000</v>
      </c>
    </row>
    <row r="750" spans="2:21" s="165" customFormat="1" x14ac:dyDescent="0.2">
      <c r="B750" s="8">
        <f t="shared" si="49"/>
        <v>64</v>
      </c>
      <c r="C750" s="156"/>
      <c r="D750" s="156"/>
      <c r="E750" s="156"/>
      <c r="F750" s="272"/>
      <c r="G750" s="155"/>
      <c r="H750" s="156" t="s">
        <v>1181</v>
      </c>
      <c r="I750" s="157"/>
      <c r="J750" s="157"/>
      <c r="K750" s="157"/>
      <c r="L750" s="158"/>
      <c r="M750" s="158"/>
      <c r="N750" s="535"/>
      <c r="O750" s="157">
        <v>36000</v>
      </c>
      <c r="P750" s="157"/>
      <c r="Q750" s="157"/>
      <c r="R750" s="158">
        <v>31528</v>
      </c>
      <c r="S750" s="158"/>
      <c r="T750" s="535"/>
      <c r="U750" s="159">
        <f t="shared" si="52"/>
        <v>36000</v>
      </c>
    </row>
    <row r="751" spans="2:21" x14ac:dyDescent="0.2">
      <c r="B751" s="8">
        <f t="shared" si="49"/>
        <v>65</v>
      </c>
      <c r="C751" s="280"/>
      <c r="D751" s="280"/>
      <c r="E751" s="280" t="s">
        <v>92</v>
      </c>
      <c r="F751" s="281"/>
      <c r="G751" s="281"/>
      <c r="H751" s="280" t="s">
        <v>69</v>
      </c>
      <c r="I751" s="282">
        <f>I752+I753+I754+I759</f>
        <v>283479</v>
      </c>
      <c r="J751" s="282">
        <f>J760+J759+J754+J753+J752</f>
        <v>217171</v>
      </c>
      <c r="K751" s="282">
        <f>K760+K759+K754+K753+K752</f>
        <v>241710</v>
      </c>
      <c r="L751" s="283">
        <f>L760+L759+L754+L753+L752</f>
        <v>222372</v>
      </c>
      <c r="M751" s="283">
        <f>M760+M759+M754+M753+M752</f>
        <v>188447</v>
      </c>
      <c r="N751" s="501"/>
      <c r="O751" s="282"/>
      <c r="P751" s="282">
        <f>P760+P759+P754+P753+P752</f>
        <v>30000</v>
      </c>
      <c r="Q751" s="282">
        <f>Q760+Q759+Q754+Q753+Q752</f>
        <v>30000</v>
      </c>
      <c r="R751" s="283"/>
      <c r="S751" s="283">
        <f>S760</f>
        <v>24878</v>
      </c>
      <c r="T751" s="501"/>
      <c r="U751" s="284">
        <f t="shared" si="48"/>
        <v>283479</v>
      </c>
    </row>
    <row r="752" spans="2:21" x14ac:dyDescent="0.2">
      <c r="B752" s="8">
        <f t="shared" si="49"/>
        <v>66</v>
      </c>
      <c r="C752" s="24"/>
      <c r="D752" s="24"/>
      <c r="E752" s="24"/>
      <c r="F752" s="149" t="s">
        <v>197</v>
      </c>
      <c r="G752" s="150">
        <v>610</v>
      </c>
      <c r="H752" s="24" t="s">
        <v>141</v>
      </c>
      <c r="I752" s="25">
        <v>142444</v>
      </c>
      <c r="J752" s="25">
        <v>118415</v>
      </c>
      <c r="K752" s="25">
        <v>111575</v>
      </c>
      <c r="L752" s="26">
        <v>118929</v>
      </c>
      <c r="M752" s="26">
        <v>108587</v>
      </c>
      <c r="N752" s="501"/>
      <c r="O752" s="25"/>
      <c r="P752" s="25"/>
      <c r="Q752" s="25"/>
      <c r="R752" s="26"/>
      <c r="S752" s="26"/>
      <c r="T752" s="501"/>
      <c r="U752" s="151">
        <f t="shared" si="48"/>
        <v>142444</v>
      </c>
    </row>
    <row r="753" spans="2:21" x14ac:dyDescent="0.2">
      <c r="B753" s="8">
        <f t="shared" si="49"/>
        <v>67</v>
      </c>
      <c r="C753" s="24"/>
      <c r="D753" s="24"/>
      <c r="E753" s="24"/>
      <c r="F753" s="149" t="s">
        <v>197</v>
      </c>
      <c r="G753" s="150">
        <v>620</v>
      </c>
      <c r="H753" s="24" t="s">
        <v>134</v>
      </c>
      <c r="I753" s="25">
        <v>52772</v>
      </c>
      <c r="J753" s="25">
        <v>43892</v>
      </c>
      <c r="K753" s="25">
        <v>43986</v>
      </c>
      <c r="L753" s="26">
        <v>42384</v>
      </c>
      <c r="M753" s="26">
        <v>40698</v>
      </c>
      <c r="N753" s="501"/>
      <c r="O753" s="25"/>
      <c r="P753" s="25"/>
      <c r="Q753" s="25"/>
      <c r="R753" s="26"/>
      <c r="S753" s="26"/>
      <c r="T753" s="501"/>
      <c r="U753" s="151">
        <f t="shared" si="48"/>
        <v>52772</v>
      </c>
    </row>
    <row r="754" spans="2:21" x14ac:dyDescent="0.2">
      <c r="B754" s="8">
        <f t="shared" si="49"/>
        <v>68</v>
      </c>
      <c r="C754" s="24"/>
      <c r="D754" s="24"/>
      <c r="E754" s="24"/>
      <c r="F754" s="149" t="s">
        <v>197</v>
      </c>
      <c r="G754" s="150">
        <v>630</v>
      </c>
      <c r="H754" s="24" t="s">
        <v>131</v>
      </c>
      <c r="I754" s="25">
        <f>SUM(I755:I758)</f>
        <v>87813</v>
      </c>
      <c r="J754" s="25">
        <f>J758+J757+J756+J755</f>
        <v>54414</v>
      </c>
      <c r="K754" s="25">
        <f>K758+K757+K756+K755</f>
        <v>78589</v>
      </c>
      <c r="L754" s="26">
        <f>L758+L757+L756+L755</f>
        <v>58859</v>
      </c>
      <c r="M754" s="26">
        <f>M758+M757+M756+M755</f>
        <v>36540</v>
      </c>
      <c r="N754" s="501"/>
      <c r="O754" s="25"/>
      <c r="P754" s="25"/>
      <c r="Q754" s="25"/>
      <c r="R754" s="26"/>
      <c r="S754" s="26"/>
      <c r="T754" s="501"/>
      <c r="U754" s="151">
        <f t="shared" ref="U754:U819" si="53">I754+O754</f>
        <v>87813</v>
      </c>
    </row>
    <row r="755" spans="2:21" x14ac:dyDescent="0.2">
      <c r="B755" s="8">
        <f t="shared" si="49"/>
        <v>69</v>
      </c>
      <c r="C755" s="18"/>
      <c r="D755" s="18"/>
      <c r="E755" s="18"/>
      <c r="F755" s="152"/>
      <c r="G755" s="153">
        <v>632</v>
      </c>
      <c r="H755" s="18" t="s">
        <v>144</v>
      </c>
      <c r="I755" s="19">
        <v>46280</v>
      </c>
      <c r="J755" s="19">
        <v>24497</v>
      </c>
      <c r="K755" s="19">
        <v>44497</v>
      </c>
      <c r="L755" s="20">
        <v>18298</v>
      </c>
      <c r="M755" s="20">
        <v>16329</v>
      </c>
      <c r="N755" s="164"/>
      <c r="O755" s="19"/>
      <c r="P755" s="19"/>
      <c r="Q755" s="19"/>
      <c r="R755" s="20"/>
      <c r="S755" s="20"/>
      <c r="T755" s="164"/>
      <c r="U755" s="154">
        <f t="shared" si="53"/>
        <v>46280</v>
      </c>
    </row>
    <row r="756" spans="2:21" x14ac:dyDescent="0.2">
      <c r="B756" s="8">
        <f t="shared" si="49"/>
        <v>70</v>
      </c>
      <c r="C756" s="18"/>
      <c r="D756" s="18"/>
      <c r="E756" s="18"/>
      <c r="F756" s="152"/>
      <c r="G756" s="153">
        <v>633</v>
      </c>
      <c r="H756" s="18" t="s">
        <v>135</v>
      </c>
      <c r="I756" s="19">
        <f>31605-4622</f>
        <v>26983</v>
      </c>
      <c r="J756" s="19">
        <v>17021</v>
      </c>
      <c r="K756" s="19">
        <v>18239</v>
      </c>
      <c r="L756" s="20">
        <v>16062</v>
      </c>
      <c r="M756" s="20">
        <v>8192</v>
      </c>
      <c r="N756" s="164"/>
      <c r="O756" s="19"/>
      <c r="P756" s="19"/>
      <c r="Q756" s="19"/>
      <c r="R756" s="20"/>
      <c r="S756" s="20"/>
      <c r="T756" s="164"/>
      <c r="U756" s="154">
        <f t="shared" si="53"/>
        <v>26983</v>
      </c>
    </row>
    <row r="757" spans="2:21" x14ac:dyDescent="0.2">
      <c r="B757" s="8">
        <f t="shared" si="49"/>
        <v>71</v>
      </c>
      <c r="C757" s="18"/>
      <c r="D757" s="18"/>
      <c r="E757" s="18"/>
      <c r="F757" s="152"/>
      <c r="G757" s="153">
        <v>635</v>
      </c>
      <c r="H757" s="18" t="s">
        <v>143</v>
      </c>
      <c r="I757" s="19">
        <v>9000</v>
      </c>
      <c r="J757" s="19">
        <v>8000</v>
      </c>
      <c r="K757" s="19">
        <v>10700</v>
      </c>
      <c r="L757" s="20">
        <v>21707</v>
      </c>
      <c r="M757" s="20">
        <v>9486</v>
      </c>
      <c r="N757" s="164"/>
      <c r="O757" s="19"/>
      <c r="P757" s="19"/>
      <c r="Q757" s="19"/>
      <c r="R757" s="20"/>
      <c r="S757" s="20"/>
      <c r="T757" s="164"/>
      <c r="U757" s="154">
        <f t="shared" si="53"/>
        <v>9000</v>
      </c>
    </row>
    <row r="758" spans="2:21" x14ac:dyDescent="0.2">
      <c r="B758" s="8">
        <f t="shared" ref="B758:B824" si="54">B757+1</f>
        <v>72</v>
      </c>
      <c r="C758" s="18"/>
      <c r="D758" s="18"/>
      <c r="E758" s="18"/>
      <c r="F758" s="152"/>
      <c r="G758" s="153">
        <v>637</v>
      </c>
      <c r="H758" s="18" t="s">
        <v>132</v>
      </c>
      <c r="I758" s="19">
        <v>5550</v>
      </c>
      <c r="J758" s="19">
        <v>4896</v>
      </c>
      <c r="K758" s="19">
        <v>5153</v>
      </c>
      <c r="L758" s="20">
        <v>2792</v>
      </c>
      <c r="M758" s="20">
        <v>2533</v>
      </c>
      <c r="N758" s="164"/>
      <c r="O758" s="19"/>
      <c r="P758" s="19"/>
      <c r="Q758" s="19"/>
      <c r="R758" s="20"/>
      <c r="S758" s="20"/>
      <c r="T758" s="164"/>
      <c r="U758" s="154">
        <f t="shared" si="53"/>
        <v>5550</v>
      </c>
    </row>
    <row r="759" spans="2:21" x14ac:dyDescent="0.2">
      <c r="B759" s="8">
        <f t="shared" si="54"/>
        <v>73</v>
      </c>
      <c r="C759" s="24"/>
      <c r="D759" s="24"/>
      <c r="E759" s="24"/>
      <c r="F759" s="149" t="s">
        <v>197</v>
      </c>
      <c r="G759" s="150">
        <v>640</v>
      </c>
      <c r="H759" s="24" t="s">
        <v>139</v>
      </c>
      <c r="I759" s="25">
        <v>450</v>
      </c>
      <c r="J759" s="25">
        <v>450</v>
      </c>
      <c r="K759" s="25">
        <v>7560</v>
      </c>
      <c r="L759" s="26">
        <v>2200</v>
      </c>
      <c r="M759" s="26">
        <v>2622</v>
      </c>
      <c r="N759" s="501"/>
      <c r="O759" s="25"/>
      <c r="P759" s="25"/>
      <c r="Q759" s="25"/>
      <c r="R759" s="26"/>
      <c r="S759" s="26"/>
      <c r="T759" s="501"/>
      <c r="U759" s="151">
        <f t="shared" si="53"/>
        <v>450</v>
      </c>
    </row>
    <row r="760" spans="2:21" x14ac:dyDescent="0.2">
      <c r="B760" s="8">
        <f t="shared" si="54"/>
        <v>74</v>
      </c>
      <c r="C760" s="24"/>
      <c r="D760" s="24"/>
      <c r="E760" s="24"/>
      <c r="F760" s="149" t="s">
        <v>197</v>
      </c>
      <c r="G760" s="150">
        <v>710</v>
      </c>
      <c r="H760" s="24" t="s">
        <v>185</v>
      </c>
      <c r="I760" s="25"/>
      <c r="J760" s="25"/>
      <c r="K760" s="25"/>
      <c r="L760" s="26"/>
      <c r="M760" s="26"/>
      <c r="N760" s="501"/>
      <c r="O760" s="25"/>
      <c r="P760" s="25">
        <f>P761</f>
        <v>30000</v>
      </c>
      <c r="Q760" s="25">
        <f>Q761</f>
        <v>30000</v>
      </c>
      <c r="R760" s="26"/>
      <c r="S760" s="26">
        <f>S761</f>
        <v>24878</v>
      </c>
      <c r="T760" s="501"/>
      <c r="U760" s="151">
        <f t="shared" si="53"/>
        <v>0</v>
      </c>
    </row>
    <row r="761" spans="2:21" x14ac:dyDescent="0.2">
      <c r="B761" s="8">
        <f t="shared" si="54"/>
        <v>75</v>
      </c>
      <c r="C761" s="18"/>
      <c r="D761" s="18"/>
      <c r="E761" s="18"/>
      <c r="F761" s="152"/>
      <c r="G761" s="153">
        <v>717</v>
      </c>
      <c r="H761" s="18" t="s">
        <v>192</v>
      </c>
      <c r="I761" s="19"/>
      <c r="J761" s="19"/>
      <c r="K761" s="19"/>
      <c r="L761" s="20"/>
      <c r="M761" s="20"/>
      <c r="N761" s="164"/>
      <c r="O761" s="19"/>
      <c r="P761" s="19">
        <f>P762+P763</f>
        <v>30000</v>
      </c>
      <c r="Q761" s="19">
        <f>Q763</f>
        <v>30000</v>
      </c>
      <c r="R761" s="20"/>
      <c r="S761" s="20">
        <f>S762</f>
        <v>24878</v>
      </c>
      <c r="T761" s="164"/>
      <c r="U761" s="154">
        <f t="shared" si="53"/>
        <v>0</v>
      </c>
    </row>
    <row r="762" spans="2:21" x14ac:dyDescent="0.2">
      <c r="B762" s="8">
        <f t="shared" si="54"/>
        <v>76</v>
      </c>
      <c r="C762" s="18"/>
      <c r="D762" s="18"/>
      <c r="E762" s="18"/>
      <c r="F762" s="152"/>
      <c r="G762" s="153"/>
      <c r="H762" s="156" t="s">
        <v>508</v>
      </c>
      <c r="I762" s="19"/>
      <c r="J762" s="19"/>
      <c r="K762" s="19"/>
      <c r="L762" s="20"/>
      <c r="M762" s="20"/>
      <c r="N762" s="164"/>
      <c r="O762" s="19"/>
      <c r="P762" s="19"/>
      <c r="Q762" s="19"/>
      <c r="R762" s="20"/>
      <c r="S762" s="20">
        <v>24878</v>
      </c>
      <c r="T762" s="164"/>
      <c r="U762" s="154">
        <f t="shared" si="53"/>
        <v>0</v>
      </c>
    </row>
    <row r="763" spans="2:21" x14ac:dyDescent="0.2">
      <c r="B763" s="8">
        <f t="shared" si="54"/>
        <v>77</v>
      </c>
      <c r="C763" s="18"/>
      <c r="D763" s="18"/>
      <c r="E763" s="18"/>
      <c r="F763" s="152"/>
      <c r="G763" s="153"/>
      <c r="H763" s="156" t="s">
        <v>727</v>
      </c>
      <c r="I763" s="19"/>
      <c r="J763" s="19"/>
      <c r="K763" s="19"/>
      <c r="L763" s="20"/>
      <c r="M763" s="20"/>
      <c r="N763" s="164"/>
      <c r="O763" s="157"/>
      <c r="P763" s="19">
        <v>30000</v>
      </c>
      <c r="Q763" s="19">
        <v>30000</v>
      </c>
      <c r="R763" s="20"/>
      <c r="S763" s="20"/>
      <c r="T763" s="164"/>
      <c r="U763" s="154">
        <f t="shared" si="53"/>
        <v>0</v>
      </c>
    </row>
    <row r="764" spans="2:21" x14ac:dyDescent="0.2">
      <c r="B764" s="8">
        <f t="shared" si="54"/>
        <v>78</v>
      </c>
      <c r="C764" s="280"/>
      <c r="D764" s="280"/>
      <c r="E764" s="280" t="s">
        <v>102</v>
      </c>
      <c r="F764" s="281"/>
      <c r="G764" s="281"/>
      <c r="H764" s="280" t="s">
        <v>103</v>
      </c>
      <c r="I764" s="282">
        <f>I765+I766+I767+I773</f>
        <v>390072</v>
      </c>
      <c r="J764" s="282">
        <f>J773+J767+J766+J765</f>
        <v>283171</v>
      </c>
      <c r="K764" s="282">
        <f>K773+K767+K766+K765</f>
        <v>311083</v>
      </c>
      <c r="L764" s="283">
        <f>L773+L767+L766+L765</f>
        <v>243249</v>
      </c>
      <c r="M764" s="283">
        <f>M773+M767+M766+M765</f>
        <v>239008</v>
      </c>
      <c r="N764" s="501"/>
      <c r="O764" s="282"/>
      <c r="P764" s="282"/>
      <c r="Q764" s="282"/>
      <c r="R764" s="283"/>
      <c r="S764" s="283"/>
      <c r="T764" s="501"/>
      <c r="U764" s="284">
        <f t="shared" si="53"/>
        <v>390072</v>
      </c>
    </row>
    <row r="765" spans="2:21" x14ac:dyDescent="0.2">
      <c r="B765" s="8">
        <f t="shared" si="54"/>
        <v>79</v>
      </c>
      <c r="C765" s="24"/>
      <c r="D765" s="24"/>
      <c r="E765" s="24"/>
      <c r="F765" s="149" t="s">
        <v>197</v>
      </c>
      <c r="G765" s="150">
        <v>610</v>
      </c>
      <c r="H765" s="24" t="s">
        <v>141</v>
      </c>
      <c r="I765" s="25">
        <v>200718</v>
      </c>
      <c r="J765" s="25">
        <v>150321</v>
      </c>
      <c r="K765" s="25">
        <v>150261</v>
      </c>
      <c r="L765" s="26">
        <v>133595</v>
      </c>
      <c r="M765" s="26">
        <v>127786</v>
      </c>
      <c r="N765" s="501"/>
      <c r="O765" s="25"/>
      <c r="P765" s="25"/>
      <c r="Q765" s="25"/>
      <c r="R765" s="26"/>
      <c r="S765" s="26"/>
      <c r="T765" s="501"/>
      <c r="U765" s="151">
        <f t="shared" si="53"/>
        <v>200718</v>
      </c>
    </row>
    <row r="766" spans="2:21" x14ac:dyDescent="0.2">
      <c r="B766" s="8">
        <f t="shared" si="54"/>
        <v>80</v>
      </c>
      <c r="C766" s="24"/>
      <c r="D766" s="24"/>
      <c r="E766" s="24"/>
      <c r="F766" s="149" t="s">
        <v>197</v>
      </c>
      <c r="G766" s="150">
        <v>620</v>
      </c>
      <c r="H766" s="24" t="s">
        <v>134</v>
      </c>
      <c r="I766" s="25">
        <v>75779</v>
      </c>
      <c r="J766" s="25">
        <v>58907</v>
      </c>
      <c r="K766" s="25">
        <v>59095</v>
      </c>
      <c r="L766" s="26">
        <v>48605</v>
      </c>
      <c r="M766" s="26">
        <v>47892</v>
      </c>
      <c r="N766" s="501"/>
      <c r="O766" s="25"/>
      <c r="P766" s="25"/>
      <c r="Q766" s="25"/>
      <c r="R766" s="26"/>
      <c r="S766" s="26"/>
      <c r="T766" s="501"/>
      <c r="U766" s="151">
        <f t="shared" si="53"/>
        <v>75779</v>
      </c>
    </row>
    <row r="767" spans="2:21" x14ac:dyDescent="0.2">
      <c r="B767" s="8">
        <f t="shared" si="54"/>
        <v>81</v>
      </c>
      <c r="C767" s="24"/>
      <c r="D767" s="24"/>
      <c r="E767" s="24"/>
      <c r="F767" s="149" t="s">
        <v>197</v>
      </c>
      <c r="G767" s="150">
        <v>630</v>
      </c>
      <c r="H767" s="24" t="s">
        <v>131</v>
      </c>
      <c r="I767" s="25">
        <f>SUM(I768:I772)</f>
        <v>107997</v>
      </c>
      <c r="J767" s="25">
        <f>J772+J771+J770+J769+J768</f>
        <v>68875</v>
      </c>
      <c r="K767" s="25">
        <f>K772+K771+K770+K769+K768</f>
        <v>96059</v>
      </c>
      <c r="L767" s="26">
        <f>L772+L771+L770+L769+L768</f>
        <v>59339</v>
      </c>
      <c r="M767" s="26">
        <f>M772+M771+M770+M769+M768</f>
        <v>62863</v>
      </c>
      <c r="N767" s="501"/>
      <c r="O767" s="25"/>
      <c r="P767" s="25"/>
      <c r="Q767" s="25"/>
      <c r="R767" s="26"/>
      <c r="S767" s="26"/>
      <c r="T767" s="501"/>
      <c r="U767" s="151">
        <f t="shared" si="53"/>
        <v>107997</v>
      </c>
    </row>
    <row r="768" spans="2:21" x14ac:dyDescent="0.2">
      <c r="B768" s="8">
        <f t="shared" si="54"/>
        <v>82</v>
      </c>
      <c r="C768" s="18"/>
      <c r="D768" s="18"/>
      <c r="E768" s="18"/>
      <c r="F768" s="152"/>
      <c r="G768" s="153">
        <v>631</v>
      </c>
      <c r="H768" s="18" t="s">
        <v>137</v>
      </c>
      <c r="I768" s="19">
        <v>0</v>
      </c>
      <c r="J768" s="19">
        <v>100</v>
      </c>
      <c r="K768" s="19">
        <v>100</v>
      </c>
      <c r="L768" s="20">
        <v>0</v>
      </c>
      <c r="M768" s="20"/>
      <c r="N768" s="164"/>
      <c r="O768" s="19"/>
      <c r="P768" s="19"/>
      <c r="Q768" s="19"/>
      <c r="R768" s="20"/>
      <c r="S768" s="20"/>
      <c r="T768" s="164"/>
      <c r="U768" s="154">
        <f t="shared" si="53"/>
        <v>0</v>
      </c>
    </row>
    <row r="769" spans="2:21" x14ac:dyDescent="0.2">
      <c r="B769" s="8">
        <f t="shared" si="54"/>
        <v>83</v>
      </c>
      <c r="C769" s="18"/>
      <c r="D769" s="18"/>
      <c r="E769" s="18"/>
      <c r="F769" s="152"/>
      <c r="G769" s="153">
        <v>632</v>
      </c>
      <c r="H769" s="18" t="s">
        <v>144</v>
      </c>
      <c r="I769" s="19">
        <v>68555</v>
      </c>
      <c r="J769" s="19">
        <v>42637</v>
      </c>
      <c r="K769" s="19">
        <v>67637</v>
      </c>
      <c r="L769" s="20">
        <v>26509</v>
      </c>
      <c r="M769" s="20">
        <v>25325</v>
      </c>
      <c r="N769" s="164"/>
      <c r="O769" s="19"/>
      <c r="P769" s="19"/>
      <c r="Q769" s="19"/>
      <c r="R769" s="20"/>
      <c r="S769" s="20"/>
      <c r="T769" s="164"/>
      <c r="U769" s="154">
        <f t="shared" si="53"/>
        <v>68555</v>
      </c>
    </row>
    <row r="770" spans="2:21" x14ac:dyDescent="0.2">
      <c r="B770" s="8">
        <f t="shared" si="54"/>
        <v>84</v>
      </c>
      <c r="C770" s="18"/>
      <c r="D770" s="18"/>
      <c r="E770" s="18"/>
      <c r="F770" s="152"/>
      <c r="G770" s="153">
        <v>633</v>
      </c>
      <c r="H770" s="18" t="s">
        <v>135</v>
      </c>
      <c r="I770" s="19">
        <f>32666-3684</f>
        <v>28982</v>
      </c>
      <c r="J770" s="19">
        <v>15062</v>
      </c>
      <c r="K770" s="19">
        <v>18882</v>
      </c>
      <c r="L770" s="20">
        <v>21020</v>
      </c>
      <c r="M770" s="20">
        <v>16601</v>
      </c>
      <c r="N770" s="164"/>
      <c r="O770" s="19"/>
      <c r="P770" s="19"/>
      <c r="Q770" s="19"/>
      <c r="R770" s="20"/>
      <c r="S770" s="20"/>
      <c r="T770" s="164"/>
      <c r="U770" s="154">
        <f t="shared" si="53"/>
        <v>28982</v>
      </c>
    </row>
    <row r="771" spans="2:21" x14ac:dyDescent="0.2">
      <c r="B771" s="8">
        <f t="shared" si="54"/>
        <v>85</v>
      </c>
      <c r="C771" s="18"/>
      <c r="D771" s="18"/>
      <c r="E771" s="18"/>
      <c r="F771" s="152"/>
      <c r="G771" s="153">
        <v>635</v>
      </c>
      <c r="H771" s="18" t="s">
        <v>143</v>
      </c>
      <c r="I771" s="19">
        <f>5000-2000</f>
        <v>3000</v>
      </c>
      <c r="J771" s="19">
        <v>5300</v>
      </c>
      <c r="K771" s="19">
        <v>3300</v>
      </c>
      <c r="L771" s="20">
        <v>7650</v>
      </c>
      <c r="M771" s="20">
        <v>17700</v>
      </c>
      <c r="N771" s="164"/>
      <c r="O771" s="19"/>
      <c r="P771" s="19"/>
      <c r="Q771" s="19"/>
      <c r="R771" s="20"/>
      <c r="S771" s="20"/>
      <c r="T771" s="164"/>
      <c r="U771" s="154">
        <f t="shared" si="53"/>
        <v>3000</v>
      </c>
    </row>
    <row r="772" spans="2:21" x14ac:dyDescent="0.2">
      <c r="B772" s="8">
        <f t="shared" si="54"/>
        <v>86</v>
      </c>
      <c r="C772" s="18"/>
      <c r="D772" s="18"/>
      <c r="E772" s="18"/>
      <c r="F772" s="152"/>
      <c r="G772" s="153">
        <v>637</v>
      </c>
      <c r="H772" s="18" t="s">
        <v>132</v>
      </c>
      <c r="I772" s="19">
        <v>7460</v>
      </c>
      <c r="J772" s="19">
        <v>5776</v>
      </c>
      <c r="K772" s="19">
        <v>6140</v>
      </c>
      <c r="L772" s="20">
        <v>4160</v>
      </c>
      <c r="M772" s="20">
        <v>3237</v>
      </c>
      <c r="N772" s="164"/>
      <c r="O772" s="19"/>
      <c r="P772" s="19"/>
      <c r="Q772" s="19"/>
      <c r="R772" s="20"/>
      <c r="S772" s="20"/>
      <c r="T772" s="164"/>
      <c r="U772" s="154">
        <f t="shared" si="53"/>
        <v>7460</v>
      </c>
    </row>
    <row r="773" spans="2:21" x14ac:dyDescent="0.2">
      <c r="B773" s="8">
        <f t="shared" si="54"/>
        <v>87</v>
      </c>
      <c r="C773" s="24"/>
      <c r="D773" s="24"/>
      <c r="E773" s="24"/>
      <c r="F773" s="149" t="s">
        <v>197</v>
      </c>
      <c r="G773" s="150">
        <v>640</v>
      </c>
      <c r="H773" s="24" t="s">
        <v>139</v>
      </c>
      <c r="I773" s="25">
        <v>5578</v>
      </c>
      <c r="J773" s="25">
        <v>5068</v>
      </c>
      <c r="K773" s="25">
        <v>5668</v>
      </c>
      <c r="L773" s="26">
        <v>1710</v>
      </c>
      <c r="M773" s="26">
        <v>467</v>
      </c>
      <c r="N773" s="501"/>
      <c r="O773" s="25"/>
      <c r="P773" s="25"/>
      <c r="Q773" s="25"/>
      <c r="R773" s="26"/>
      <c r="S773" s="26"/>
      <c r="T773" s="501"/>
      <c r="U773" s="151">
        <f t="shared" si="53"/>
        <v>5578</v>
      </c>
    </row>
    <row r="774" spans="2:21" x14ac:dyDescent="0.2">
      <c r="B774" s="8">
        <f t="shared" si="54"/>
        <v>88</v>
      </c>
      <c r="C774" s="280"/>
      <c r="D774" s="280"/>
      <c r="E774" s="280" t="s">
        <v>105</v>
      </c>
      <c r="F774" s="281"/>
      <c r="G774" s="281"/>
      <c r="H774" s="280" t="s">
        <v>106</v>
      </c>
      <c r="I774" s="282">
        <f>I775+I776+I777+I782</f>
        <v>370614</v>
      </c>
      <c r="J774" s="282">
        <f t="shared" ref="J774:Q774" si="55">J783+J782+J777+J776+J775</f>
        <v>274053</v>
      </c>
      <c r="K774" s="282">
        <f t="shared" si="55"/>
        <v>311025</v>
      </c>
      <c r="L774" s="283">
        <f>L783+L782+L777+L776+L775</f>
        <v>249147</v>
      </c>
      <c r="M774" s="283">
        <f t="shared" si="55"/>
        <v>231561</v>
      </c>
      <c r="N774" s="501"/>
      <c r="O774" s="282"/>
      <c r="P774" s="282">
        <f t="shared" si="55"/>
        <v>193200</v>
      </c>
      <c r="Q774" s="282">
        <f t="shared" si="55"/>
        <v>185700</v>
      </c>
      <c r="R774" s="283"/>
      <c r="S774" s="283">
        <f>S783</f>
        <v>53082</v>
      </c>
      <c r="T774" s="501"/>
      <c r="U774" s="284">
        <f t="shared" si="53"/>
        <v>370614</v>
      </c>
    </row>
    <row r="775" spans="2:21" x14ac:dyDescent="0.2">
      <c r="B775" s="8">
        <f t="shared" si="54"/>
        <v>89</v>
      </c>
      <c r="C775" s="24"/>
      <c r="D775" s="24"/>
      <c r="E775" s="24"/>
      <c r="F775" s="149" t="s">
        <v>197</v>
      </c>
      <c r="G775" s="150">
        <v>610</v>
      </c>
      <c r="H775" s="24" t="s">
        <v>141</v>
      </c>
      <c r="I775" s="25">
        <v>193984</v>
      </c>
      <c r="J775" s="25">
        <v>146944</v>
      </c>
      <c r="K775" s="25">
        <v>146793</v>
      </c>
      <c r="L775" s="26">
        <v>138352</v>
      </c>
      <c r="M775" s="26">
        <v>127648</v>
      </c>
      <c r="N775" s="501"/>
      <c r="O775" s="25"/>
      <c r="P775" s="25"/>
      <c r="Q775" s="25"/>
      <c r="R775" s="26"/>
      <c r="S775" s="26"/>
      <c r="T775" s="501"/>
      <c r="U775" s="151">
        <f t="shared" si="53"/>
        <v>193984</v>
      </c>
    </row>
    <row r="776" spans="2:21" x14ac:dyDescent="0.2">
      <c r="B776" s="8">
        <f t="shared" si="54"/>
        <v>90</v>
      </c>
      <c r="C776" s="24"/>
      <c r="D776" s="24"/>
      <c r="E776" s="24"/>
      <c r="F776" s="149" t="s">
        <v>197</v>
      </c>
      <c r="G776" s="150">
        <v>620</v>
      </c>
      <c r="H776" s="24" t="s">
        <v>134</v>
      </c>
      <c r="I776" s="25">
        <v>72402</v>
      </c>
      <c r="J776" s="25">
        <v>54342</v>
      </c>
      <c r="K776" s="25">
        <v>54813</v>
      </c>
      <c r="L776" s="26">
        <v>51686</v>
      </c>
      <c r="M776" s="26">
        <v>46570</v>
      </c>
      <c r="N776" s="501"/>
      <c r="O776" s="25"/>
      <c r="P776" s="25"/>
      <c r="Q776" s="25"/>
      <c r="R776" s="26"/>
      <c r="S776" s="26"/>
      <c r="T776" s="501"/>
      <c r="U776" s="151">
        <f t="shared" si="53"/>
        <v>72402</v>
      </c>
    </row>
    <row r="777" spans="2:21" x14ac:dyDescent="0.2">
      <c r="B777" s="8">
        <f t="shared" si="54"/>
        <v>91</v>
      </c>
      <c r="C777" s="24"/>
      <c r="D777" s="24"/>
      <c r="E777" s="24"/>
      <c r="F777" s="149" t="s">
        <v>197</v>
      </c>
      <c r="G777" s="150">
        <v>630</v>
      </c>
      <c r="H777" s="24" t="s">
        <v>131</v>
      </c>
      <c r="I777" s="25">
        <f>SUM(I778:I781)</f>
        <v>101053</v>
      </c>
      <c r="J777" s="25">
        <f>J781+J780+J779+J778</f>
        <v>72317</v>
      </c>
      <c r="K777" s="25">
        <f>K781+K780+K779+K778</f>
        <v>107469</v>
      </c>
      <c r="L777" s="26">
        <f>L781+L780+L779+L778</f>
        <v>58049</v>
      </c>
      <c r="M777" s="26">
        <f>M781+M780+M779+M778</f>
        <v>56946</v>
      </c>
      <c r="N777" s="501"/>
      <c r="O777" s="25"/>
      <c r="P777" s="25"/>
      <c r="Q777" s="25"/>
      <c r="R777" s="26"/>
      <c r="S777" s="26"/>
      <c r="T777" s="501"/>
      <c r="U777" s="151">
        <f t="shared" si="53"/>
        <v>101053</v>
      </c>
    </row>
    <row r="778" spans="2:21" x14ac:dyDescent="0.2">
      <c r="B778" s="8">
        <f t="shared" si="54"/>
        <v>92</v>
      </c>
      <c r="C778" s="18"/>
      <c r="D778" s="18"/>
      <c r="E778" s="18"/>
      <c r="F778" s="152"/>
      <c r="G778" s="153">
        <v>632</v>
      </c>
      <c r="H778" s="18" t="s">
        <v>144</v>
      </c>
      <c r="I778" s="19">
        <v>60240</v>
      </c>
      <c r="J778" s="19">
        <v>40530</v>
      </c>
      <c r="K778" s="19">
        <v>67530</v>
      </c>
      <c r="L778" s="20">
        <v>29536</v>
      </c>
      <c r="M778" s="20">
        <v>25615</v>
      </c>
      <c r="N778" s="164"/>
      <c r="O778" s="19"/>
      <c r="P778" s="19"/>
      <c r="Q778" s="19"/>
      <c r="R778" s="20"/>
      <c r="S778" s="20"/>
      <c r="T778" s="164"/>
      <c r="U778" s="154">
        <f t="shared" si="53"/>
        <v>60240</v>
      </c>
    </row>
    <row r="779" spans="2:21" x14ac:dyDescent="0.2">
      <c r="B779" s="8">
        <f t="shared" si="54"/>
        <v>93</v>
      </c>
      <c r="C779" s="18"/>
      <c r="D779" s="18"/>
      <c r="E779" s="18"/>
      <c r="F779" s="152"/>
      <c r="G779" s="153">
        <v>633</v>
      </c>
      <c r="H779" s="18" t="s">
        <v>135</v>
      </c>
      <c r="I779" s="19">
        <f>29522-5319</f>
        <v>24203</v>
      </c>
      <c r="J779" s="19">
        <v>16468</v>
      </c>
      <c r="K779" s="19">
        <v>18256</v>
      </c>
      <c r="L779" s="20">
        <v>19113</v>
      </c>
      <c r="M779" s="20">
        <v>9861</v>
      </c>
      <c r="N779" s="164"/>
      <c r="O779" s="19"/>
      <c r="P779" s="19"/>
      <c r="Q779" s="19"/>
      <c r="R779" s="20"/>
      <c r="S779" s="20"/>
      <c r="T779" s="164"/>
      <c r="U779" s="154">
        <f t="shared" si="53"/>
        <v>24203</v>
      </c>
    </row>
    <row r="780" spans="2:21" x14ac:dyDescent="0.2">
      <c r="B780" s="8">
        <f t="shared" si="54"/>
        <v>94</v>
      </c>
      <c r="C780" s="18"/>
      <c r="D780" s="18"/>
      <c r="E780" s="18"/>
      <c r="F780" s="152"/>
      <c r="G780" s="153">
        <v>635</v>
      </c>
      <c r="H780" s="18" t="s">
        <v>143</v>
      </c>
      <c r="I780" s="19">
        <v>9500</v>
      </c>
      <c r="J780" s="19">
        <v>8500</v>
      </c>
      <c r="K780" s="19">
        <v>14500</v>
      </c>
      <c r="L780" s="20">
        <v>5521</v>
      </c>
      <c r="M780" s="20">
        <v>16404</v>
      </c>
      <c r="N780" s="164"/>
      <c r="O780" s="19"/>
      <c r="P780" s="19"/>
      <c r="Q780" s="19"/>
      <c r="R780" s="20"/>
      <c r="S780" s="20"/>
      <c r="T780" s="164"/>
      <c r="U780" s="154">
        <f t="shared" si="53"/>
        <v>9500</v>
      </c>
    </row>
    <row r="781" spans="2:21" x14ac:dyDescent="0.2">
      <c r="B781" s="8">
        <f t="shared" si="54"/>
        <v>95</v>
      </c>
      <c r="C781" s="18"/>
      <c r="D781" s="18"/>
      <c r="E781" s="18"/>
      <c r="F781" s="152"/>
      <c r="G781" s="153">
        <v>637</v>
      </c>
      <c r="H781" s="18" t="s">
        <v>132</v>
      </c>
      <c r="I781" s="19">
        <v>7110</v>
      </c>
      <c r="J781" s="19">
        <v>6819</v>
      </c>
      <c r="K781" s="19">
        <v>7183</v>
      </c>
      <c r="L781" s="20">
        <v>3879</v>
      </c>
      <c r="M781" s="20">
        <v>5066</v>
      </c>
      <c r="N781" s="164"/>
      <c r="O781" s="19"/>
      <c r="P781" s="19"/>
      <c r="Q781" s="19"/>
      <c r="R781" s="20"/>
      <c r="S781" s="20"/>
      <c r="T781" s="164"/>
      <c r="U781" s="154">
        <f t="shared" si="53"/>
        <v>7110</v>
      </c>
    </row>
    <row r="782" spans="2:21" x14ac:dyDescent="0.2">
      <c r="B782" s="8">
        <f t="shared" si="54"/>
        <v>96</v>
      </c>
      <c r="C782" s="24"/>
      <c r="D782" s="24"/>
      <c r="E782" s="24"/>
      <c r="F782" s="149" t="s">
        <v>197</v>
      </c>
      <c r="G782" s="150">
        <v>640</v>
      </c>
      <c r="H782" s="24" t="s">
        <v>139</v>
      </c>
      <c r="I782" s="25">
        <v>3175</v>
      </c>
      <c r="J782" s="25">
        <v>450</v>
      </c>
      <c r="K782" s="25">
        <v>1950</v>
      </c>
      <c r="L782" s="26">
        <v>1060</v>
      </c>
      <c r="M782" s="26">
        <v>397</v>
      </c>
      <c r="N782" s="501"/>
      <c r="O782" s="25"/>
      <c r="P782" s="25"/>
      <c r="Q782" s="25"/>
      <c r="R782" s="26"/>
      <c r="S782" s="26"/>
      <c r="T782" s="501"/>
      <c r="U782" s="151">
        <f t="shared" si="53"/>
        <v>3175</v>
      </c>
    </row>
    <row r="783" spans="2:21" x14ac:dyDescent="0.2">
      <c r="B783" s="8">
        <f t="shared" si="54"/>
        <v>97</v>
      </c>
      <c r="C783" s="24"/>
      <c r="D783" s="24"/>
      <c r="E783" s="24"/>
      <c r="F783" s="149" t="s">
        <v>197</v>
      </c>
      <c r="G783" s="150">
        <v>710</v>
      </c>
      <c r="H783" s="24" t="s">
        <v>185</v>
      </c>
      <c r="I783" s="25"/>
      <c r="J783" s="25"/>
      <c r="K783" s="25"/>
      <c r="L783" s="26"/>
      <c r="M783" s="26"/>
      <c r="N783" s="501"/>
      <c r="O783" s="25"/>
      <c r="P783" s="25">
        <f>P784+P786</f>
        <v>193200</v>
      </c>
      <c r="Q783" s="25">
        <f>Q786+Q784</f>
        <v>185700</v>
      </c>
      <c r="R783" s="26"/>
      <c r="S783" s="26">
        <f>S786</f>
        <v>53082</v>
      </c>
      <c r="T783" s="501"/>
      <c r="U783" s="151">
        <f t="shared" si="53"/>
        <v>0</v>
      </c>
    </row>
    <row r="784" spans="2:21" x14ac:dyDescent="0.2">
      <c r="B784" s="8">
        <f t="shared" si="54"/>
        <v>98</v>
      </c>
      <c r="C784" s="24"/>
      <c r="D784" s="24"/>
      <c r="E784" s="24"/>
      <c r="F784" s="149"/>
      <c r="G784" s="153">
        <v>716</v>
      </c>
      <c r="H784" s="18" t="s">
        <v>226</v>
      </c>
      <c r="I784" s="25"/>
      <c r="J784" s="25"/>
      <c r="K784" s="25"/>
      <c r="L784" s="26"/>
      <c r="M784" s="26"/>
      <c r="N784" s="501"/>
      <c r="O784" s="25"/>
      <c r="P784" s="19">
        <f>P785</f>
        <v>1200</v>
      </c>
      <c r="Q784" s="19">
        <f>Q785</f>
        <v>2200</v>
      </c>
      <c r="R784" s="26"/>
      <c r="S784" s="26"/>
      <c r="T784" s="501"/>
      <c r="U784" s="151">
        <f t="shared" si="53"/>
        <v>0</v>
      </c>
    </row>
    <row r="785" spans="2:21" x14ac:dyDescent="0.2">
      <c r="B785" s="8">
        <f t="shared" si="54"/>
        <v>99</v>
      </c>
      <c r="C785" s="24"/>
      <c r="D785" s="24"/>
      <c r="E785" s="24"/>
      <c r="F785" s="149"/>
      <c r="G785" s="150"/>
      <c r="H785" s="156" t="s">
        <v>911</v>
      </c>
      <c r="I785" s="25"/>
      <c r="J785" s="25"/>
      <c r="K785" s="25"/>
      <c r="L785" s="26"/>
      <c r="M785" s="26"/>
      <c r="N785" s="501"/>
      <c r="O785" s="25"/>
      <c r="P785" s="157">
        <v>1200</v>
      </c>
      <c r="Q785" s="157">
        <v>2200</v>
      </c>
      <c r="R785" s="26"/>
      <c r="S785" s="26"/>
      <c r="T785" s="501"/>
      <c r="U785" s="151">
        <f t="shared" si="53"/>
        <v>0</v>
      </c>
    </row>
    <row r="786" spans="2:21" x14ac:dyDescent="0.2">
      <c r="B786" s="8">
        <f t="shared" si="54"/>
        <v>100</v>
      </c>
      <c r="C786" s="18"/>
      <c r="D786" s="18"/>
      <c r="E786" s="18"/>
      <c r="F786" s="152"/>
      <c r="G786" s="153">
        <v>717</v>
      </c>
      <c r="H786" s="18" t="s">
        <v>192</v>
      </c>
      <c r="I786" s="19"/>
      <c r="J786" s="19"/>
      <c r="K786" s="19"/>
      <c r="L786" s="20"/>
      <c r="M786" s="20"/>
      <c r="N786" s="164"/>
      <c r="O786" s="19"/>
      <c r="P786" s="19">
        <f>P788</f>
        <v>192000</v>
      </c>
      <c r="Q786" s="19">
        <f>Q788+Q789</f>
        <v>183500</v>
      </c>
      <c r="R786" s="20"/>
      <c r="S786" s="20">
        <f>S787</f>
        <v>53082</v>
      </c>
      <c r="T786" s="164"/>
      <c r="U786" s="154">
        <f t="shared" si="53"/>
        <v>0</v>
      </c>
    </row>
    <row r="787" spans="2:21" x14ac:dyDescent="0.2">
      <c r="B787" s="8">
        <f t="shared" si="54"/>
        <v>101</v>
      </c>
      <c r="C787" s="18"/>
      <c r="D787" s="18"/>
      <c r="E787" s="18"/>
      <c r="F787" s="152"/>
      <c r="G787" s="153"/>
      <c r="H787" s="156" t="s">
        <v>509</v>
      </c>
      <c r="I787" s="19"/>
      <c r="J787" s="19"/>
      <c r="K787" s="19"/>
      <c r="L787" s="20"/>
      <c r="M787" s="20"/>
      <c r="N787" s="164"/>
      <c r="O787" s="19"/>
      <c r="P787" s="157"/>
      <c r="Q787" s="157"/>
      <c r="R787" s="158"/>
      <c r="S787" s="158">
        <v>53082</v>
      </c>
      <c r="T787" s="164"/>
      <c r="U787" s="159">
        <f t="shared" si="53"/>
        <v>0</v>
      </c>
    </row>
    <row r="788" spans="2:21" x14ac:dyDescent="0.2">
      <c r="B788" s="8">
        <f t="shared" si="54"/>
        <v>102</v>
      </c>
      <c r="C788" s="18"/>
      <c r="D788" s="18"/>
      <c r="E788" s="18"/>
      <c r="F788" s="152"/>
      <c r="G788" s="153"/>
      <c r="H788" s="156" t="s">
        <v>911</v>
      </c>
      <c r="I788" s="19"/>
      <c r="J788" s="19"/>
      <c r="K788" s="19"/>
      <c r="L788" s="20"/>
      <c r="M788" s="20"/>
      <c r="N788" s="164"/>
      <c r="O788" s="19"/>
      <c r="P788" s="157">
        <v>192000</v>
      </c>
      <c r="Q788" s="157">
        <v>134000</v>
      </c>
      <c r="R788" s="158"/>
      <c r="S788" s="158"/>
      <c r="T788" s="164"/>
      <c r="U788" s="159">
        <f t="shared" si="53"/>
        <v>0</v>
      </c>
    </row>
    <row r="789" spans="2:21" x14ac:dyDescent="0.2">
      <c r="B789" s="8">
        <f t="shared" si="54"/>
        <v>103</v>
      </c>
      <c r="C789" s="18"/>
      <c r="D789" s="18"/>
      <c r="E789" s="18"/>
      <c r="F789" s="152"/>
      <c r="G789" s="153"/>
      <c r="H789" s="156" t="s">
        <v>999</v>
      </c>
      <c r="I789" s="19"/>
      <c r="J789" s="19"/>
      <c r="K789" s="19"/>
      <c r="L789" s="20"/>
      <c r="M789" s="20"/>
      <c r="N789" s="164"/>
      <c r="O789" s="19"/>
      <c r="P789" s="157"/>
      <c r="Q789" s="157">
        <v>49500</v>
      </c>
      <c r="R789" s="158"/>
      <c r="S789" s="158"/>
      <c r="T789" s="164"/>
      <c r="U789" s="159">
        <f t="shared" si="53"/>
        <v>0</v>
      </c>
    </row>
    <row r="790" spans="2:21" x14ac:dyDescent="0.2">
      <c r="B790" s="8">
        <f t="shared" si="54"/>
        <v>104</v>
      </c>
      <c r="C790" s="280"/>
      <c r="D790" s="280"/>
      <c r="E790" s="280" t="s">
        <v>90</v>
      </c>
      <c r="F790" s="281"/>
      <c r="G790" s="281"/>
      <c r="H790" s="280" t="s">
        <v>91</v>
      </c>
      <c r="I790" s="282">
        <f>I791+I792+I793+I800</f>
        <v>547317</v>
      </c>
      <c r="J790" s="282">
        <f>J801+J800+J793+J792+J791</f>
        <v>426442</v>
      </c>
      <c r="K790" s="282">
        <f>K801+K800+K793+K792+K791</f>
        <v>457984</v>
      </c>
      <c r="L790" s="283">
        <f>L801+L800+L793+L792+L791</f>
        <v>371104</v>
      </c>
      <c r="M790" s="283">
        <f>M801+M800+M793+M792+M791</f>
        <v>351843</v>
      </c>
      <c r="N790" s="501"/>
      <c r="O790" s="282">
        <f>O801</f>
        <v>95000</v>
      </c>
      <c r="P790" s="282"/>
      <c r="Q790" s="282"/>
      <c r="R790" s="283">
        <f>R801</f>
        <v>23580</v>
      </c>
      <c r="S790" s="283"/>
      <c r="T790" s="501"/>
      <c r="U790" s="284">
        <f t="shared" si="53"/>
        <v>642317</v>
      </c>
    </row>
    <row r="791" spans="2:21" x14ac:dyDescent="0.2">
      <c r="B791" s="8">
        <f t="shared" si="54"/>
        <v>105</v>
      </c>
      <c r="C791" s="24"/>
      <c r="D791" s="24"/>
      <c r="E791" s="24"/>
      <c r="F791" s="149" t="s">
        <v>197</v>
      </c>
      <c r="G791" s="150">
        <v>610</v>
      </c>
      <c r="H791" s="24" t="s">
        <v>141</v>
      </c>
      <c r="I791" s="25">
        <v>299332</v>
      </c>
      <c r="J791" s="25">
        <v>238206</v>
      </c>
      <c r="K791" s="25">
        <v>239555</v>
      </c>
      <c r="L791" s="26">
        <v>220415</v>
      </c>
      <c r="M791" s="26">
        <v>200777</v>
      </c>
      <c r="N791" s="501"/>
      <c r="O791" s="25"/>
      <c r="P791" s="25"/>
      <c r="Q791" s="25"/>
      <c r="R791" s="26"/>
      <c r="S791" s="26"/>
      <c r="T791" s="501"/>
      <c r="U791" s="151">
        <f t="shared" si="53"/>
        <v>299332</v>
      </c>
    </row>
    <row r="792" spans="2:21" x14ac:dyDescent="0.2">
      <c r="B792" s="8">
        <f t="shared" si="54"/>
        <v>106</v>
      </c>
      <c r="C792" s="24"/>
      <c r="D792" s="24"/>
      <c r="E792" s="24"/>
      <c r="F792" s="149" t="s">
        <v>197</v>
      </c>
      <c r="G792" s="150">
        <v>620</v>
      </c>
      <c r="H792" s="24" t="s">
        <v>134</v>
      </c>
      <c r="I792" s="25">
        <v>112829</v>
      </c>
      <c r="J792" s="25">
        <v>90363</v>
      </c>
      <c r="K792" s="25">
        <v>90834</v>
      </c>
      <c r="L792" s="26">
        <v>78586</v>
      </c>
      <c r="M792" s="26">
        <v>73858</v>
      </c>
      <c r="N792" s="501"/>
      <c r="O792" s="25"/>
      <c r="P792" s="25"/>
      <c r="Q792" s="25"/>
      <c r="R792" s="26"/>
      <c r="S792" s="26"/>
      <c r="T792" s="501"/>
      <c r="U792" s="151">
        <f t="shared" si="53"/>
        <v>112829</v>
      </c>
    </row>
    <row r="793" spans="2:21" x14ac:dyDescent="0.2">
      <c r="B793" s="8">
        <f t="shared" si="54"/>
        <v>107</v>
      </c>
      <c r="C793" s="24"/>
      <c r="D793" s="24"/>
      <c r="E793" s="24"/>
      <c r="F793" s="149" t="s">
        <v>197</v>
      </c>
      <c r="G793" s="150">
        <v>630</v>
      </c>
      <c r="H793" s="24" t="s">
        <v>131</v>
      </c>
      <c r="I793" s="25">
        <f>SUM(I794:I799)</f>
        <v>128647</v>
      </c>
      <c r="J793" s="25">
        <f>J799+J798+J797+J795+J794+J796</f>
        <v>91014</v>
      </c>
      <c r="K793" s="25">
        <f>SUM(K794:K799)</f>
        <v>120736</v>
      </c>
      <c r="L793" s="26">
        <f>L799+L798+L797+L795+L794</f>
        <v>67895</v>
      </c>
      <c r="M793" s="26">
        <f>M799+M798+M797+M795+M794</f>
        <v>72951</v>
      </c>
      <c r="N793" s="501"/>
      <c r="O793" s="25"/>
      <c r="P793" s="25"/>
      <c r="Q793" s="25"/>
      <c r="R793" s="26"/>
      <c r="S793" s="26"/>
      <c r="T793" s="501"/>
      <c r="U793" s="151">
        <f t="shared" si="53"/>
        <v>128647</v>
      </c>
    </row>
    <row r="794" spans="2:21" x14ac:dyDescent="0.2">
      <c r="B794" s="8">
        <f t="shared" si="54"/>
        <v>108</v>
      </c>
      <c r="C794" s="18"/>
      <c r="D794" s="18"/>
      <c r="E794" s="18"/>
      <c r="F794" s="152"/>
      <c r="G794" s="153">
        <v>632</v>
      </c>
      <c r="H794" s="18" t="s">
        <v>144</v>
      </c>
      <c r="I794" s="19">
        <v>76880</v>
      </c>
      <c r="J794" s="19">
        <v>48790</v>
      </c>
      <c r="K794" s="19">
        <v>73790</v>
      </c>
      <c r="L794" s="20">
        <v>37503</v>
      </c>
      <c r="M794" s="20">
        <v>30737</v>
      </c>
      <c r="N794" s="164"/>
      <c r="O794" s="19"/>
      <c r="P794" s="19"/>
      <c r="Q794" s="19"/>
      <c r="R794" s="20"/>
      <c r="S794" s="20"/>
      <c r="T794" s="164"/>
      <c r="U794" s="154">
        <f t="shared" si="53"/>
        <v>76880</v>
      </c>
    </row>
    <row r="795" spans="2:21" x14ac:dyDescent="0.2">
      <c r="B795" s="8">
        <f t="shared" si="54"/>
        <v>109</v>
      </c>
      <c r="C795" s="18"/>
      <c r="D795" s="18"/>
      <c r="E795" s="18"/>
      <c r="F795" s="152"/>
      <c r="G795" s="153">
        <v>633</v>
      </c>
      <c r="H795" s="18" t="s">
        <v>135</v>
      </c>
      <c r="I795" s="19">
        <f>37545-2823</f>
        <v>34722</v>
      </c>
      <c r="J795" s="19">
        <v>21900</v>
      </c>
      <c r="K795" s="19">
        <v>30119</v>
      </c>
      <c r="L795" s="20">
        <v>21969</v>
      </c>
      <c r="M795" s="20">
        <v>19841</v>
      </c>
      <c r="N795" s="164"/>
      <c r="O795" s="19"/>
      <c r="P795" s="19"/>
      <c r="Q795" s="19"/>
      <c r="R795" s="20"/>
      <c r="S795" s="20"/>
      <c r="T795" s="164"/>
      <c r="U795" s="154">
        <f t="shared" si="53"/>
        <v>34722</v>
      </c>
    </row>
    <row r="796" spans="2:21" x14ac:dyDescent="0.2">
      <c r="B796" s="8">
        <f t="shared" si="54"/>
        <v>110</v>
      </c>
      <c r="C796" s="18"/>
      <c r="D796" s="18"/>
      <c r="E796" s="18"/>
      <c r="F796" s="152"/>
      <c r="G796" s="153">
        <v>634</v>
      </c>
      <c r="H796" s="18" t="s">
        <v>142</v>
      </c>
      <c r="I796" s="19">
        <v>0</v>
      </c>
      <c r="J796" s="19">
        <v>300</v>
      </c>
      <c r="K796" s="19">
        <v>300</v>
      </c>
      <c r="L796" s="20"/>
      <c r="M796" s="20"/>
      <c r="N796" s="164"/>
      <c r="O796" s="19"/>
      <c r="P796" s="19"/>
      <c r="Q796" s="19"/>
      <c r="R796" s="20"/>
      <c r="S796" s="20"/>
      <c r="T796" s="164"/>
      <c r="U796" s="154">
        <f t="shared" si="53"/>
        <v>0</v>
      </c>
    </row>
    <row r="797" spans="2:21" x14ac:dyDescent="0.2">
      <c r="B797" s="8">
        <f t="shared" si="54"/>
        <v>111</v>
      </c>
      <c r="C797" s="18"/>
      <c r="D797" s="18"/>
      <c r="E797" s="18"/>
      <c r="F797" s="152"/>
      <c r="G797" s="153">
        <v>635</v>
      </c>
      <c r="H797" s="18" t="s">
        <v>143</v>
      </c>
      <c r="I797" s="19">
        <f>11000-5000</f>
        <v>6000</v>
      </c>
      <c r="J797" s="19">
        <v>11000</v>
      </c>
      <c r="K797" s="19">
        <v>7000</v>
      </c>
      <c r="L797" s="20">
        <v>1725</v>
      </c>
      <c r="M797" s="20">
        <v>17200</v>
      </c>
      <c r="N797" s="164"/>
      <c r="O797" s="19"/>
      <c r="P797" s="19"/>
      <c r="Q797" s="19"/>
      <c r="R797" s="20"/>
      <c r="S797" s="20"/>
      <c r="T797" s="164"/>
      <c r="U797" s="154">
        <f t="shared" si="53"/>
        <v>6000</v>
      </c>
    </row>
    <row r="798" spans="2:21" x14ac:dyDescent="0.2">
      <c r="B798" s="8">
        <f t="shared" si="54"/>
        <v>112</v>
      </c>
      <c r="C798" s="18"/>
      <c r="D798" s="18"/>
      <c r="E798" s="18"/>
      <c r="F798" s="152"/>
      <c r="G798" s="153">
        <v>636</v>
      </c>
      <c r="H798" s="18" t="s">
        <v>136</v>
      </c>
      <c r="I798" s="19">
        <v>0</v>
      </c>
      <c r="J798" s="19">
        <v>500</v>
      </c>
      <c r="K798" s="19">
        <v>500</v>
      </c>
      <c r="L798" s="20"/>
      <c r="M798" s="20"/>
      <c r="N798" s="164"/>
      <c r="O798" s="19"/>
      <c r="P798" s="19"/>
      <c r="Q798" s="19"/>
      <c r="R798" s="20"/>
      <c r="S798" s="20"/>
      <c r="T798" s="164"/>
      <c r="U798" s="154">
        <f t="shared" si="53"/>
        <v>0</v>
      </c>
    </row>
    <row r="799" spans="2:21" x14ac:dyDescent="0.2">
      <c r="B799" s="8">
        <f t="shared" si="54"/>
        <v>113</v>
      </c>
      <c r="C799" s="18"/>
      <c r="D799" s="18"/>
      <c r="E799" s="18"/>
      <c r="F799" s="152"/>
      <c r="G799" s="153">
        <v>637</v>
      </c>
      <c r="H799" s="18" t="s">
        <v>132</v>
      </c>
      <c r="I799" s="19">
        <v>11045</v>
      </c>
      <c r="J799" s="19">
        <v>8524</v>
      </c>
      <c r="K799" s="19">
        <v>9027</v>
      </c>
      <c r="L799" s="20">
        <v>6698</v>
      </c>
      <c r="M799" s="20">
        <v>5173</v>
      </c>
      <c r="N799" s="164"/>
      <c r="O799" s="19"/>
      <c r="P799" s="19"/>
      <c r="Q799" s="19"/>
      <c r="R799" s="20"/>
      <c r="S799" s="20"/>
      <c r="T799" s="164"/>
      <c r="U799" s="154">
        <f t="shared" si="53"/>
        <v>11045</v>
      </c>
    </row>
    <row r="800" spans="2:21" x14ac:dyDescent="0.2">
      <c r="B800" s="8">
        <f t="shared" si="54"/>
        <v>114</v>
      </c>
      <c r="C800" s="24"/>
      <c r="D800" s="24"/>
      <c r="E800" s="24"/>
      <c r="F800" s="149" t="s">
        <v>197</v>
      </c>
      <c r="G800" s="150">
        <v>640</v>
      </c>
      <c r="H800" s="24" t="s">
        <v>139</v>
      </c>
      <c r="I800" s="25">
        <v>6509</v>
      </c>
      <c r="J800" s="25">
        <v>6859</v>
      </c>
      <c r="K800" s="25">
        <v>6859</v>
      </c>
      <c r="L800" s="26">
        <v>4208</v>
      </c>
      <c r="M800" s="26">
        <v>4257</v>
      </c>
      <c r="N800" s="501"/>
      <c r="O800" s="25"/>
      <c r="P800" s="25"/>
      <c r="Q800" s="25"/>
      <c r="R800" s="26"/>
      <c r="S800" s="26"/>
      <c r="T800" s="501"/>
      <c r="U800" s="151">
        <f t="shared" si="53"/>
        <v>6509</v>
      </c>
    </row>
    <row r="801" spans="2:21" x14ac:dyDescent="0.2">
      <c r="B801" s="8">
        <f t="shared" si="54"/>
        <v>115</v>
      </c>
      <c r="C801" s="24"/>
      <c r="D801" s="24"/>
      <c r="E801" s="24"/>
      <c r="F801" s="149" t="s">
        <v>197</v>
      </c>
      <c r="G801" s="150">
        <v>710</v>
      </c>
      <c r="H801" s="24" t="s">
        <v>185</v>
      </c>
      <c r="I801" s="25"/>
      <c r="J801" s="25"/>
      <c r="K801" s="25"/>
      <c r="L801" s="26"/>
      <c r="M801" s="26"/>
      <c r="N801" s="501"/>
      <c r="O801" s="25">
        <f>O802</f>
        <v>95000</v>
      </c>
      <c r="P801" s="25"/>
      <c r="Q801" s="25"/>
      <c r="R801" s="26">
        <f>R802</f>
        <v>23580</v>
      </c>
      <c r="S801" s="26"/>
      <c r="T801" s="501"/>
      <c r="U801" s="151">
        <f t="shared" si="53"/>
        <v>95000</v>
      </c>
    </row>
    <row r="802" spans="2:21" x14ac:dyDescent="0.2">
      <c r="B802" s="8">
        <f t="shared" si="54"/>
        <v>116</v>
      </c>
      <c r="C802" s="18"/>
      <c r="D802" s="18"/>
      <c r="E802" s="18"/>
      <c r="F802" s="152"/>
      <c r="G802" s="153">
        <v>717</v>
      </c>
      <c r="H802" s="18" t="s">
        <v>192</v>
      </c>
      <c r="I802" s="19"/>
      <c r="J802" s="19"/>
      <c r="K802" s="19"/>
      <c r="L802" s="20"/>
      <c r="M802" s="20"/>
      <c r="N802" s="164"/>
      <c r="O802" s="19">
        <f>SUM(O803:O805)</f>
        <v>95000</v>
      </c>
      <c r="P802" s="19"/>
      <c r="Q802" s="19"/>
      <c r="R802" s="20">
        <f>R803</f>
        <v>23580</v>
      </c>
      <c r="S802" s="20"/>
      <c r="T802" s="164"/>
      <c r="U802" s="154">
        <f t="shared" si="53"/>
        <v>95000</v>
      </c>
    </row>
    <row r="803" spans="2:21" s="165" customFormat="1" x14ac:dyDescent="0.2">
      <c r="B803" s="8">
        <f t="shared" si="54"/>
        <v>117</v>
      </c>
      <c r="C803" s="156"/>
      <c r="D803" s="156"/>
      <c r="E803" s="156"/>
      <c r="F803" s="272"/>
      <c r="G803" s="155"/>
      <c r="H803" s="156" t="s">
        <v>520</v>
      </c>
      <c r="I803" s="157"/>
      <c r="J803" s="157"/>
      <c r="K803" s="157"/>
      <c r="L803" s="158"/>
      <c r="M803" s="158"/>
      <c r="N803" s="535"/>
      <c r="O803" s="157"/>
      <c r="P803" s="157"/>
      <c r="Q803" s="157"/>
      <c r="R803" s="158">
        <v>23580</v>
      </c>
      <c r="S803" s="158"/>
      <c r="T803" s="535"/>
      <c r="U803" s="159">
        <f t="shared" si="53"/>
        <v>0</v>
      </c>
    </row>
    <row r="804" spans="2:21" s="165" customFormat="1" x14ac:dyDescent="0.2">
      <c r="B804" s="8">
        <f t="shared" si="54"/>
        <v>118</v>
      </c>
      <c r="C804" s="156"/>
      <c r="D804" s="156"/>
      <c r="E804" s="156"/>
      <c r="F804" s="272"/>
      <c r="G804" s="155"/>
      <c r="H804" s="156" t="s">
        <v>727</v>
      </c>
      <c r="I804" s="157"/>
      <c r="J804" s="157"/>
      <c r="K804" s="157"/>
      <c r="L804" s="158"/>
      <c r="M804" s="158"/>
      <c r="N804" s="535"/>
      <c r="O804" s="157">
        <v>60000</v>
      </c>
      <c r="P804" s="157"/>
      <c r="Q804" s="157"/>
      <c r="R804" s="158"/>
      <c r="S804" s="158"/>
      <c r="T804" s="535"/>
      <c r="U804" s="159">
        <f t="shared" si="53"/>
        <v>60000</v>
      </c>
    </row>
    <row r="805" spans="2:21" s="165" customFormat="1" x14ac:dyDescent="0.2">
      <c r="B805" s="8">
        <f t="shared" si="54"/>
        <v>119</v>
      </c>
      <c r="C805" s="156"/>
      <c r="D805" s="156"/>
      <c r="E805" s="156"/>
      <c r="F805" s="272"/>
      <c r="G805" s="155"/>
      <c r="H805" s="156" t="s">
        <v>1171</v>
      </c>
      <c r="I805" s="157"/>
      <c r="J805" s="157"/>
      <c r="K805" s="157"/>
      <c r="L805" s="158"/>
      <c r="M805" s="158"/>
      <c r="N805" s="535"/>
      <c r="O805" s="157">
        <v>35000</v>
      </c>
      <c r="P805" s="157"/>
      <c r="Q805" s="157"/>
      <c r="R805" s="158"/>
      <c r="S805" s="158"/>
      <c r="T805" s="535"/>
      <c r="U805" s="159">
        <f t="shared" si="53"/>
        <v>35000</v>
      </c>
    </row>
    <row r="806" spans="2:21" x14ac:dyDescent="0.2">
      <c r="B806" s="8">
        <f t="shared" si="54"/>
        <v>120</v>
      </c>
      <c r="C806" s="280"/>
      <c r="D806" s="280"/>
      <c r="E806" s="280" t="s">
        <v>87</v>
      </c>
      <c r="F806" s="281"/>
      <c r="G806" s="281"/>
      <c r="H806" s="280" t="s">
        <v>1167</v>
      </c>
      <c r="I806" s="282">
        <f>I807+I808+I809+I815</f>
        <v>517238</v>
      </c>
      <c r="J806" s="282">
        <f>J816+J815+J809+J808+J807</f>
        <v>407276</v>
      </c>
      <c r="K806" s="282">
        <f>K816+K815+K809+K808+K807</f>
        <v>468396</v>
      </c>
      <c r="L806" s="283">
        <f>L816+L815+L809+L808+L807</f>
        <v>366505</v>
      </c>
      <c r="M806" s="283">
        <f>M816+M815+M809+M808+M807</f>
        <v>350568</v>
      </c>
      <c r="N806" s="501"/>
      <c r="O806" s="282">
        <f>O816</f>
        <v>35000</v>
      </c>
      <c r="P806" s="282">
        <f>P816+P815+P809+P808+P807</f>
        <v>913191</v>
      </c>
      <c r="Q806" s="282">
        <f>Q816+Q815+Q809+Q808+Q807</f>
        <v>913191</v>
      </c>
      <c r="R806" s="283"/>
      <c r="S806" s="283">
        <f>S816</f>
        <v>13920</v>
      </c>
      <c r="T806" s="501"/>
      <c r="U806" s="284">
        <f t="shared" si="53"/>
        <v>552238</v>
      </c>
    </row>
    <row r="807" spans="2:21" x14ac:dyDescent="0.2">
      <c r="B807" s="8">
        <f t="shared" si="54"/>
        <v>121</v>
      </c>
      <c r="C807" s="24"/>
      <c r="D807" s="24"/>
      <c r="E807" s="24"/>
      <c r="F807" s="149" t="s">
        <v>197</v>
      </c>
      <c r="G807" s="150">
        <v>610</v>
      </c>
      <c r="H807" s="24" t="s">
        <v>141</v>
      </c>
      <c r="I807" s="25">
        <v>261562</v>
      </c>
      <c r="J807" s="25">
        <v>213998</v>
      </c>
      <c r="K807" s="25">
        <v>213608</v>
      </c>
      <c r="L807" s="26">
        <v>200996</v>
      </c>
      <c r="M807" s="26">
        <v>186820</v>
      </c>
      <c r="N807" s="501"/>
      <c r="O807" s="25"/>
      <c r="P807" s="25"/>
      <c r="Q807" s="25"/>
      <c r="R807" s="26"/>
      <c r="S807" s="26"/>
      <c r="T807" s="501"/>
      <c r="U807" s="151">
        <f t="shared" si="53"/>
        <v>261562</v>
      </c>
    </row>
    <row r="808" spans="2:21" x14ac:dyDescent="0.2">
      <c r="B808" s="8">
        <f t="shared" si="54"/>
        <v>122</v>
      </c>
      <c r="C808" s="24"/>
      <c r="D808" s="24"/>
      <c r="E808" s="24"/>
      <c r="F808" s="149" t="s">
        <v>197</v>
      </c>
      <c r="G808" s="150">
        <v>620</v>
      </c>
      <c r="H808" s="24" t="s">
        <v>134</v>
      </c>
      <c r="I808" s="25">
        <v>96750</v>
      </c>
      <c r="J808" s="25">
        <v>79178</v>
      </c>
      <c r="K808" s="25">
        <v>79460</v>
      </c>
      <c r="L808" s="26">
        <v>72770</v>
      </c>
      <c r="M808" s="26">
        <v>68278</v>
      </c>
      <c r="N808" s="501"/>
      <c r="O808" s="25"/>
      <c r="P808" s="25"/>
      <c r="Q808" s="25"/>
      <c r="R808" s="26"/>
      <c r="S808" s="26"/>
      <c r="T808" s="501"/>
      <c r="U808" s="151">
        <f t="shared" si="53"/>
        <v>96750</v>
      </c>
    </row>
    <row r="809" spans="2:21" x14ac:dyDescent="0.2">
      <c r="B809" s="8">
        <f t="shared" si="54"/>
        <v>123</v>
      </c>
      <c r="C809" s="24"/>
      <c r="D809" s="24"/>
      <c r="E809" s="24"/>
      <c r="F809" s="149" t="s">
        <v>197</v>
      </c>
      <c r="G809" s="150">
        <v>630</v>
      </c>
      <c r="H809" s="24" t="s">
        <v>131</v>
      </c>
      <c r="I809" s="25">
        <f>SUM(I810:I814)</f>
        <v>158476</v>
      </c>
      <c r="J809" s="25">
        <f>J814+J813+J812+J811+J810</f>
        <v>113650</v>
      </c>
      <c r="K809" s="25">
        <f>SUM(K810:K814)</f>
        <v>173678</v>
      </c>
      <c r="L809" s="26">
        <f>L814+L813+L812+L811+L810</f>
        <v>90029</v>
      </c>
      <c r="M809" s="26">
        <f>M814+M813+M812+M811+M810</f>
        <v>92509</v>
      </c>
      <c r="N809" s="501"/>
      <c r="O809" s="25"/>
      <c r="P809" s="25"/>
      <c r="Q809" s="25"/>
      <c r="R809" s="26"/>
      <c r="S809" s="26"/>
      <c r="T809" s="501"/>
      <c r="U809" s="151">
        <f t="shared" si="53"/>
        <v>158476</v>
      </c>
    </row>
    <row r="810" spans="2:21" x14ac:dyDescent="0.2">
      <c r="B810" s="8">
        <f t="shared" si="54"/>
        <v>124</v>
      </c>
      <c r="C810" s="18"/>
      <c r="D810" s="18"/>
      <c r="E810" s="18"/>
      <c r="F810" s="152"/>
      <c r="G810" s="153">
        <v>631</v>
      </c>
      <c r="H810" s="18" t="s">
        <v>137</v>
      </c>
      <c r="I810" s="19">
        <v>0</v>
      </c>
      <c r="J810" s="19">
        <v>50</v>
      </c>
      <c r="K810" s="19">
        <v>50</v>
      </c>
      <c r="L810" s="20"/>
      <c r="M810" s="20">
        <v>0</v>
      </c>
      <c r="N810" s="164"/>
      <c r="O810" s="19"/>
      <c r="P810" s="19"/>
      <c r="Q810" s="19"/>
      <c r="R810" s="20"/>
      <c r="S810" s="20"/>
      <c r="T810" s="164"/>
      <c r="U810" s="154">
        <f t="shared" si="53"/>
        <v>0</v>
      </c>
    </row>
    <row r="811" spans="2:21" x14ac:dyDescent="0.2">
      <c r="B811" s="8">
        <f t="shared" si="54"/>
        <v>125</v>
      </c>
      <c r="C811" s="18"/>
      <c r="D811" s="18"/>
      <c r="E811" s="18"/>
      <c r="F811" s="152"/>
      <c r="G811" s="153">
        <v>632</v>
      </c>
      <c r="H811" s="18" t="s">
        <v>144</v>
      </c>
      <c r="I811" s="19">
        <v>108350</v>
      </c>
      <c r="J811" s="19">
        <v>73398</v>
      </c>
      <c r="K811" s="19">
        <v>108398</v>
      </c>
      <c r="L811" s="20">
        <v>48499</v>
      </c>
      <c r="M811" s="20">
        <v>45735</v>
      </c>
      <c r="N811" s="164"/>
      <c r="O811" s="19"/>
      <c r="P811" s="19"/>
      <c r="Q811" s="19"/>
      <c r="R811" s="20"/>
      <c r="S811" s="20"/>
      <c r="T811" s="164"/>
      <c r="U811" s="154">
        <f t="shared" si="53"/>
        <v>108350</v>
      </c>
    </row>
    <row r="812" spans="2:21" x14ac:dyDescent="0.2">
      <c r="B812" s="8">
        <f t="shared" si="54"/>
        <v>126</v>
      </c>
      <c r="C812" s="18"/>
      <c r="D812" s="18"/>
      <c r="E812" s="18"/>
      <c r="F812" s="152"/>
      <c r="G812" s="153">
        <v>633</v>
      </c>
      <c r="H812" s="18" t="s">
        <v>135</v>
      </c>
      <c r="I812" s="19">
        <f>36992-4341</f>
        <v>32651</v>
      </c>
      <c r="J812" s="19">
        <v>21450</v>
      </c>
      <c r="K812" s="19">
        <v>29986</v>
      </c>
      <c r="L812" s="20">
        <v>25422</v>
      </c>
      <c r="M812" s="20">
        <v>30343</v>
      </c>
      <c r="N812" s="164"/>
      <c r="O812" s="19"/>
      <c r="P812" s="19"/>
      <c r="Q812" s="19"/>
      <c r="R812" s="20"/>
      <c r="S812" s="20"/>
      <c r="T812" s="164"/>
      <c r="U812" s="154">
        <f t="shared" si="53"/>
        <v>32651</v>
      </c>
    </row>
    <row r="813" spans="2:21" x14ac:dyDescent="0.2">
      <c r="B813" s="8">
        <f t="shared" si="54"/>
        <v>127</v>
      </c>
      <c r="C813" s="18"/>
      <c r="D813" s="18"/>
      <c r="E813" s="18"/>
      <c r="F813" s="152"/>
      <c r="G813" s="153">
        <v>635</v>
      </c>
      <c r="H813" s="18" t="s">
        <v>143</v>
      </c>
      <c r="I813" s="19">
        <f>10500-4000</f>
        <v>6500</v>
      </c>
      <c r="J813" s="19">
        <v>9000</v>
      </c>
      <c r="K813" s="19">
        <v>25000</v>
      </c>
      <c r="L813" s="20">
        <v>8098</v>
      </c>
      <c r="M813" s="20">
        <v>10399</v>
      </c>
      <c r="N813" s="164"/>
      <c r="O813" s="19"/>
      <c r="P813" s="19"/>
      <c r="Q813" s="19"/>
      <c r="R813" s="20"/>
      <c r="S813" s="20"/>
      <c r="T813" s="164"/>
      <c r="U813" s="154">
        <f t="shared" si="53"/>
        <v>6500</v>
      </c>
    </row>
    <row r="814" spans="2:21" x14ac:dyDescent="0.2">
      <c r="B814" s="8">
        <f t="shared" si="54"/>
        <v>128</v>
      </c>
      <c r="C814" s="18"/>
      <c r="D814" s="18"/>
      <c r="E814" s="18"/>
      <c r="F814" s="152"/>
      <c r="G814" s="153">
        <v>637</v>
      </c>
      <c r="H814" s="18" t="s">
        <v>132</v>
      </c>
      <c r="I814" s="19">
        <v>10975</v>
      </c>
      <c r="J814" s="19">
        <v>9752</v>
      </c>
      <c r="K814" s="19">
        <v>10244</v>
      </c>
      <c r="L814" s="20">
        <v>8010</v>
      </c>
      <c r="M814" s="20">
        <v>6032</v>
      </c>
      <c r="N814" s="164"/>
      <c r="O814" s="19"/>
      <c r="P814" s="19"/>
      <c r="Q814" s="19"/>
      <c r="R814" s="20"/>
      <c r="S814" s="20"/>
      <c r="T814" s="164"/>
      <c r="U814" s="154">
        <f t="shared" si="53"/>
        <v>10975</v>
      </c>
    </row>
    <row r="815" spans="2:21" x14ac:dyDescent="0.2">
      <c r="B815" s="8">
        <f t="shared" si="54"/>
        <v>129</v>
      </c>
      <c r="C815" s="24"/>
      <c r="D815" s="24"/>
      <c r="E815" s="24"/>
      <c r="F815" s="149" t="s">
        <v>197</v>
      </c>
      <c r="G815" s="150">
        <v>640</v>
      </c>
      <c r="H815" s="24" t="s">
        <v>139</v>
      </c>
      <c r="I815" s="25">
        <v>450</v>
      </c>
      <c r="J815" s="25">
        <v>450</v>
      </c>
      <c r="K815" s="25">
        <v>1650</v>
      </c>
      <c r="L815" s="26">
        <v>2710</v>
      </c>
      <c r="M815" s="26">
        <v>2961</v>
      </c>
      <c r="N815" s="501"/>
      <c r="O815" s="25"/>
      <c r="P815" s="25"/>
      <c r="Q815" s="25"/>
      <c r="R815" s="26"/>
      <c r="S815" s="26"/>
      <c r="T815" s="501"/>
      <c r="U815" s="151">
        <f t="shared" si="53"/>
        <v>450</v>
      </c>
    </row>
    <row r="816" spans="2:21" x14ac:dyDescent="0.2">
      <c r="B816" s="8">
        <f t="shared" si="54"/>
        <v>130</v>
      </c>
      <c r="C816" s="24"/>
      <c r="D816" s="24"/>
      <c r="E816" s="24"/>
      <c r="F816" s="149" t="s">
        <v>197</v>
      </c>
      <c r="G816" s="150">
        <v>710</v>
      </c>
      <c r="H816" s="24" t="s">
        <v>185</v>
      </c>
      <c r="I816" s="25"/>
      <c r="J816" s="25"/>
      <c r="K816" s="25"/>
      <c r="L816" s="26"/>
      <c r="M816" s="26"/>
      <c r="N816" s="501"/>
      <c r="O816" s="25">
        <f>O819</f>
        <v>35000</v>
      </c>
      <c r="P816" s="25">
        <f>P817+P819</f>
        <v>913191</v>
      </c>
      <c r="Q816" s="25">
        <f>Q817+Q819</f>
        <v>913191</v>
      </c>
      <c r="R816" s="26"/>
      <c r="S816" s="26">
        <f>S817</f>
        <v>13920</v>
      </c>
      <c r="T816" s="501"/>
      <c r="U816" s="151">
        <f t="shared" si="53"/>
        <v>35000</v>
      </c>
    </row>
    <row r="817" spans="2:21" x14ac:dyDescent="0.2">
      <c r="B817" s="8">
        <f t="shared" si="54"/>
        <v>131</v>
      </c>
      <c r="C817" s="24"/>
      <c r="D817" s="24"/>
      <c r="E817" s="24"/>
      <c r="F817" s="149"/>
      <c r="G817" s="153">
        <v>716</v>
      </c>
      <c r="H817" s="18" t="s">
        <v>226</v>
      </c>
      <c r="I817" s="19"/>
      <c r="J817" s="19"/>
      <c r="K817" s="19"/>
      <c r="L817" s="20"/>
      <c r="M817" s="20"/>
      <c r="N817" s="164"/>
      <c r="O817" s="19"/>
      <c r="P817" s="19"/>
      <c r="Q817" s="19"/>
      <c r="R817" s="20"/>
      <c r="S817" s="20">
        <f>S818</f>
        <v>13920</v>
      </c>
      <c r="T817" s="501"/>
      <c r="U817" s="151">
        <f t="shared" si="53"/>
        <v>0</v>
      </c>
    </row>
    <row r="818" spans="2:21" x14ac:dyDescent="0.2">
      <c r="B818" s="8">
        <f t="shared" si="54"/>
        <v>132</v>
      </c>
      <c r="C818" s="24"/>
      <c r="D818" s="24"/>
      <c r="E818" s="24"/>
      <c r="F818" s="149"/>
      <c r="G818" s="153"/>
      <c r="H818" s="156" t="s">
        <v>535</v>
      </c>
      <c r="I818" s="25"/>
      <c r="J818" s="25"/>
      <c r="K818" s="25"/>
      <c r="L818" s="26"/>
      <c r="M818" s="26"/>
      <c r="N818" s="501"/>
      <c r="O818" s="25"/>
      <c r="P818" s="25"/>
      <c r="Q818" s="25"/>
      <c r="R818" s="158"/>
      <c r="S818" s="158">
        <v>13920</v>
      </c>
      <c r="T818" s="501"/>
      <c r="U818" s="151">
        <f t="shared" si="53"/>
        <v>0</v>
      </c>
    </row>
    <row r="819" spans="2:21" x14ac:dyDescent="0.2">
      <c r="B819" s="8">
        <f t="shared" si="54"/>
        <v>133</v>
      </c>
      <c r="C819" s="24"/>
      <c r="D819" s="24"/>
      <c r="E819" s="24"/>
      <c r="F819" s="149"/>
      <c r="G819" s="153">
        <v>717</v>
      </c>
      <c r="H819" s="18" t="s">
        <v>192</v>
      </c>
      <c r="I819" s="19"/>
      <c r="J819" s="19"/>
      <c r="K819" s="19"/>
      <c r="L819" s="20"/>
      <c r="M819" s="20"/>
      <c r="N819" s="164"/>
      <c r="O819" s="19">
        <f>O821</f>
        <v>35000</v>
      </c>
      <c r="P819" s="19">
        <f>P820</f>
        <v>913191</v>
      </c>
      <c r="Q819" s="19">
        <f>Q820</f>
        <v>913191</v>
      </c>
      <c r="R819" s="20"/>
      <c r="S819" s="20"/>
      <c r="T819" s="501"/>
      <c r="U819" s="151">
        <f t="shared" si="53"/>
        <v>35000</v>
      </c>
    </row>
    <row r="820" spans="2:21" s="165" customFormat="1" x14ac:dyDescent="0.2">
      <c r="B820" s="8">
        <f t="shared" si="54"/>
        <v>134</v>
      </c>
      <c r="C820" s="156"/>
      <c r="D820" s="156"/>
      <c r="E820" s="156"/>
      <c r="F820" s="272"/>
      <c r="G820" s="155"/>
      <c r="H820" s="156" t="s">
        <v>728</v>
      </c>
      <c r="I820" s="157"/>
      <c r="J820" s="157"/>
      <c r="K820" s="157"/>
      <c r="L820" s="158"/>
      <c r="M820" s="158"/>
      <c r="N820" s="535"/>
      <c r="O820" s="157"/>
      <c r="P820" s="157">
        <v>913191</v>
      </c>
      <c r="Q820" s="157">
        <v>913191</v>
      </c>
      <c r="R820" s="158"/>
      <c r="S820" s="158"/>
      <c r="T820" s="535"/>
      <c r="U820" s="159">
        <f t="shared" ref="U820:U884" si="56">I820+O820</f>
        <v>0</v>
      </c>
    </row>
    <row r="821" spans="2:21" s="165" customFormat="1" x14ac:dyDescent="0.2">
      <c r="B821" s="8"/>
      <c r="C821" s="156"/>
      <c r="D821" s="156"/>
      <c r="E821" s="156"/>
      <c r="F821" s="272"/>
      <c r="G821" s="155"/>
      <c r="H821" s="156" t="s">
        <v>1168</v>
      </c>
      <c r="I821" s="157"/>
      <c r="J821" s="157"/>
      <c r="K821" s="157"/>
      <c r="L821" s="158"/>
      <c r="M821" s="158"/>
      <c r="N821" s="535"/>
      <c r="O821" s="157">
        <v>35000</v>
      </c>
      <c r="P821" s="157"/>
      <c r="Q821" s="157"/>
      <c r="R821" s="158"/>
      <c r="S821" s="158"/>
      <c r="T821" s="535"/>
      <c r="U821" s="159"/>
    </row>
    <row r="822" spans="2:21" x14ac:dyDescent="0.2">
      <c r="B822" s="8">
        <f>B820+1</f>
        <v>135</v>
      </c>
      <c r="C822" s="280"/>
      <c r="D822" s="280"/>
      <c r="E822" s="280" t="s">
        <v>109</v>
      </c>
      <c r="F822" s="281"/>
      <c r="G822" s="281"/>
      <c r="H822" s="280" t="s">
        <v>110</v>
      </c>
      <c r="I822" s="282">
        <f>I823+I824+I825+I831</f>
        <v>319999</v>
      </c>
      <c r="J822" s="282">
        <f>J832+J831+J825+J824+J823</f>
        <v>265353</v>
      </c>
      <c r="K822" s="282">
        <f>K832+K831+K825+K824+K823</f>
        <v>275019</v>
      </c>
      <c r="L822" s="283">
        <f>L832+L831+L825+L824+L823</f>
        <v>227204</v>
      </c>
      <c r="M822" s="283">
        <f>M832+M831+M825+M824+M823</f>
        <v>205382</v>
      </c>
      <c r="N822" s="501"/>
      <c r="O822" s="282"/>
      <c r="P822" s="282"/>
      <c r="Q822" s="282"/>
      <c r="R822" s="283"/>
      <c r="S822" s="283">
        <f>S832</f>
        <v>45020</v>
      </c>
      <c r="T822" s="501"/>
      <c r="U822" s="284">
        <f t="shared" si="56"/>
        <v>319999</v>
      </c>
    </row>
    <row r="823" spans="2:21" x14ac:dyDescent="0.2">
      <c r="B823" s="8">
        <f t="shared" si="54"/>
        <v>136</v>
      </c>
      <c r="C823" s="24"/>
      <c r="D823" s="24"/>
      <c r="E823" s="24"/>
      <c r="F823" s="149" t="s">
        <v>197</v>
      </c>
      <c r="G823" s="150">
        <v>610</v>
      </c>
      <c r="H823" s="24" t="s">
        <v>141</v>
      </c>
      <c r="I823" s="25">
        <v>185808</v>
      </c>
      <c r="J823" s="25">
        <v>151712</v>
      </c>
      <c r="K823" s="25">
        <v>150802</v>
      </c>
      <c r="L823" s="26">
        <v>138575</v>
      </c>
      <c r="M823" s="26">
        <v>122914</v>
      </c>
      <c r="N823" s="501"/>
      <c r="O823" s="25"/>
      <c r="P823" s="25"/>
      <c r="Q823" s="25"/>
      <c r="R823" s="26"/>
      <c r="S823" s="26"/>
      <c r="T823" s="501"/>
      <c r="U823" s="151">
        <f t="shared" si="56"/>
        <v>185808</v>
      </c>
    </row>
    <row r="824" spans="2:21" x14ac:dyDescent="0.2">
      <c r="B824" s="8">
        <f t="shared" si="54"/>
        <v>137</v>
      </c>
      <c r="C824" s="24"/>
      <c r="D824" s="24"/>
      <c r="E824" s="24"/>
      <c r="F824" s="149" t="s">
        <v>197</v>
      </c>
      <c r="G824" s="150">
        <v>620</v>
      </c>
      <c r="H824" s="24" t="s">
        <v>134</v>
      </c>
      <c r="I824" s="25">
        <v>69592</v>
      </c>
      <c r="J824" s="25">
        <v>56162</v>
      </c>
      <c r="K824" s="25">
        <v>56368</v>
      </c>
      <c r="L824" s="26">
        <v>52954</v>
      </c>
      <c r="M824" s="26">
        <v>45608</v>
      </c>
      <c r="N824" s="501"/>
      <c r="O824" s="25"/>
      <c r="P824" s="25"/>
      <c r="Q824" s="25"/>
      <c r="R824" s="26"/>
      <c r="S824" s="26"/>
      <c r="T824" s="501"/>
      <c r="U824" s="151">
        <f t="shared" si="56"/>
        <v>69592</v>
      </c>
    </row>
    <row r="825" spans="2:21" x14ac:dyDescent="0.2">
      <c r="B825" s="8">
        <f t="shared" ref="B825:B888" si="57">B824+1</f>
        <v>138</v>
      </c>
      <c r="C825" s="24"/>
      <c r="D825" s="24"/>
      <c r="E825" s="24"/>
      <c r="F825" s="149" t="s">
        <v>197</v>
      </c>
      <c r="G825" s="150">
        <v>630</v>
      </c>
      <c r="H825" s="24" t="s">
        <v>131</v>
      </c>
      <c r="I825" s="25">
        <f>SUM(I826:I830)</f>
        <v>61094</v>
      </c>
      <c r="J825" s="25">
        <f>J830+J829+J828+J827+J826</f>
        <v>57029</v>
      </c>
      <c r="K825" s="25">
        <f>SUM(K826:K830)</f>
        <v>65899</v>
      </c>
      <c r="L825" s="26">
        <f>L830+L829+L828+L827+L826</f>
        <v>33109</v>
      </c>
      <c r="M825" s="26">
        <f>M830+M829+M828+M827+M826</f>
        <v>34138</v>
      </c>
      <c r="N825" s="501"/>
      <c r="O825" s="25"/>
      <c r="P825" s="25"/>
      <c r="Q825" s="25"/>
      <c r="R825" s="26"/>
      <c r="S825" s="26"/>
      <c r="T825" s="501"/>
      <c r="U825" s="151">
        <f t="shared" si="56"/>
        <v>61094</v>
      </c>
    </row>
    <row r="826" spans="2:21" x14ac:dyDescent="0.2">
      <c r="B826" s="8">
        <f t="shared" si="57"/>
        <v>139</v>
      </c>
      <c r="C826" s="18"/>
      <c r="D826" s="18"/>
      <c r="E826" s="18"/>
      <c r="F826" s="152"/>
      <c r="G826" s="153">
        <v>631</v>
      </c>
      <c r="H826" s="18" t="s">
        <v>137</v>
      </c>
      <c r="I826" s="19">
        <v>0</v>
      </c>
      <c r="J826" s="19">
        <v>50</v>
      </c>
      <c r="K826" s="19">
        <v>50</v>
      </c>
      <c r="L826" s="20">
        <v>0</v>
      </c>
      <c r="M826" s="20"/>
      <c r="N826" s="164"/>
      <c r="O826" s="19"/>
      <c r="P826" s="19"/>
      <c r="Q826" s="19"/>
      <c r="R826" s="20"/>
      <c r="S826" s="20"/>
      <c r="T826" s="164"/>
      <c r="U826" s="154">
        <f t="shared" si="56"/>
        <v>0</v>
      </c>
    </row>
    <row r="827" spans="2:21" x14ac:dyDescent="0.2">
      <c r="B827" s="8">
        <f t="shared" si="57"/>
        <v>140</v>
      </c>
      <c r="C827" s="18"/>
      <c r="D827" s="18"/>
      <c r="E827" s="18"/>
      <c r="F827" s="152"/>
      <c r="G827" s="153">
        <v>632</v>
      </c>
      <c r="H827" s="18" t="s">
        <v>144</v>
      </c>
      <c r="I827" s="19">
        <v>29180</v>
      </c>
      <c r="J827" s="19">
        <v>28875</v>
      </c>
      <c r="K827" s="19">
        <v>35875</v>
      </c>
      <c r="L827" s="20">
        <v>10162</v>
      </c>
      <c r="M827" s="20">
        <v>10833</v>
      </c>
      <c r="N827" s="164"/>
      <c r="O827" s="19"/>
      <c r="P827" s="19"/>
      <c r="Q827" s="19"/>
      <c r="R827" s="20"/>
      <c r="S827" s="20"/>
      <c r="T827" s="164"/>
      <c r="U827" s="154">
        <f t="shared" si="56"/>
        <v>29180</v>
      </c>
    </row>
    <row r="828" spans="2:21" x14ac:dyDescent="0.2">
      <c r="B828" s="8">
        <f t="shared" si="57"/>
        <v>141</v>
      </c>
      <c r="C828" s="18"/>
      <c r="D828" s="18"/>
      <c r="E828" s="18"/>
      <c r="F828" s="152"/>
      <c r="G828" s="153">
        <v>633</v>
      </c>
      <c r="H828" s="18" t="s">
        <v>135</v>
      </c>
      <c r="I828" s="19">
        <f>22206-3215</f>
        <v>18991</v>
      </c>
      <c r="J828" s="19">
        <v>14296</v>
      </c>
      <c r="K828" s="19">
        <v>15918</v>
      </c>
      <c r="L828" s="20">
        <v>14416</v>
      </c>
      <c r="M828" s="20">
        <v>15008</v>
      </c>
      <c r="N828" s="164"/>
      <c r="O828" s="19"/>
      <c r="P828" s="19"/>
      <c r="Q828" s="19"/>
      <c r="R828" s="20"/>
      <c r="S828" s="20"/>
      <c r="T828" s="164"/>
      <c r="U828" s="154">
        <f t="shared" si="56"/>
        <v>18991</v>
      </c>
    </row>
    <row r="829" spans="2:21" x14ac:dyDescent="0.2">
      <c r="B829" s="8">
        <f t="shared" si="57"/>
        <v>142</v>
      </c>
      <c r="C829" s="18"/>
      <c r="D829" s="18"/>
      <c r="E829" s="18"/>
      <c r="F829" s="152"/>
      <c r="G829" s="153">
        <v>635</v>
      </c>
      <c r="H829" s="18" t="s">
        <v>143</v>
      </c>
      <c r="I829" s="19">
        <v>4800</v>
      </c>
      <c r="J829" s="19">
        <v>6500</v>
      </c>
      <c r="K829" s="19">
        <v>6500</v>
      </c>
      <c r="L829" s="20">
        <v>3497</v>
      </c>
      <c r="M829" s="20">
        <v>1750</v>
      </c>
      <c r="N829" s="164"/>
      <c r="O829" s="19"/>
      <c r="P829" s="19"/>
      <c r="Q829" s="19"/>
      <c r="R829" s="20"/>
      <c r="S829" s="20"/>
      <c r="T829" s="164"/>
      <c r="U829" s="154">
        <f t="shared" si="56"/>
        <v>4800</v>
      </c>
    </row>
    <row r="830" spans="2:21" x14ac:dyDescent="0.2">
      <c r="B830" s="8">
        <f t="shared" si="57"/>
        <v>143</v>
      </c>
      <c r="C830" s="18"/>
      <c r="D830" s="18"/>
      <c r="E830" s="18"/>
      <c r="F830" s="152"/>
      <c r="G830" s="153">
        <v>637</v>
      </c>
      <c r="H830" s="18" t="s">
        <v>132</v>
      </c>
      <c r="I830" s="19">
        <v>8123</v>
      </c>
      <c r="J830" s="19">
        <v>7308</v>
      </c>
      <c r="K830" s="19">
        <v>7556</v>
      </c>
      <c r="L830" s="20">
        <v>5034</v>
      </c>
      <c r="M830" s="20">
        <v>6547</v>
      </c>
      <c r="N830" s="164"/>
      <c r="O830" s="19"/>
      <c r="P830" s="19"/>
      <c r="Q830" s="19"/>
      <c r="R830" s="20"/>
      <c r="S830" s="20"/>
      <c r="T830" s="164"/>
      <c r="U830" s="154">
        <f t="shared" si="56"/>
        <v>8123</v>
      </c>
    </row>
    <row r="831" spans="2:21" x14ac:dyDescent="0.2">
      <c r="B831" s="8">
        <f t="shared" si="57"/>
        <v>144</v>
      </c>
      <c r="C831" s="24"/>
      <c r="D831" s="24"/>
      <c r="E831" s="24"/>
      <c r="F831" s="149" t="s">
        <v>197</v>
      </c>
      <c r="G831" s="150">
        <v>640</v>
      </c>
      <c r="H831" s="24" t="s">
        <v>139</v>
      </c>
      <c r="I831" s="25">
        <v>3505</v>
      </c>
      <c r="J831" s="25">
        <v>450</v>
      </c>
      <c r="K831" s="25">
        <v>1950</v>
      </c>
      <c r="L831" s="26">
        <v>2566</v>
      </c>
      <c r="M831" s="26">
        <v>2722</v>
      </c>
      <c r="N831" s="501"/>
      <c r="O831" s="25"/>
      <c r="P831" s="25"/>
      <c r="Q831" s="25"/>
      <c r="R831" s="26"/>
      <c r="S831" s="26"/>
      <c r="T831" s="501"/>
      <c r="U831" s="151">
        <f t="shared" si="56"/>
        <v>3505</v>
      </c>
    </row>
    <row r="832" spans="2:21" x14ac:dyDescent="0.2">
      <c r="B832" s="8">
        <f t="shared" si="57"/>
        <v>145</v>
      </c>
      <c r="C832" s="24"/>
      <c r="D832" s="24"/>
      <c r="E832" s="24"/>
      <c r="F832" s="149" t="s">
        <v>197</v>
      </c>
      <c r="G832" s="150">
        <v>710</v>
      </c>
      <c r="H832" s="24" t="s">
        <v>185</v>
      </c>
      <c r="I832" s="25"/>
      <c r="J832" s="25"/>
      <c r="K832" s="25"/>
      <c r="L832" s="26"/>
      <c r="M832" s="26"/>
      <c r="N832" s="501"/>
      <c r="O832" s="25"/>
      <c r="P832" s="25"/>
      <c r="Q832" s="25"/>
      <c r="R832" s="26"/>
      <c r="S832" s="26">
        <f>S833</f>
        <v>45020</v>
      </c>
      <c r="T832" s="501"/>
      <c r="U832" s="151">
        <f t="shared" si="56"/>
        <v>0</v>
      </c>
    </row>
    <row r="833" spans="2:21" x14ac:dyDescent="0.2">
      <c r="B833" s="8">
        <f t="shared" si="57"/>
        <v>146</v>
      </c>
      <c r="C833" s="18"/>
      <c r="D833" s="18"/>
      <c r="E833" s="18"/>
      <c r="F833" s="152"/>
      <c r="G833" s="153">
        <v>717</v>
      </c>
      <c r="H833" s="18" t="s">
        <v>192</v>
      </c>
      <c r="I833" s="19"/>
      <c r="J833" s="19"/>
      <c r="K833" s="19"/>
      <c r="L833" s="20"/>
      <c r="M833" s="20"/>
      <c r="N833" s="164"/>
      <c r="O833" s="19"/>
      <c r="P833" s="19"/>
      <c r="Q833" s="19"/>
      <c r="R833" s="20"/>
      <c r="S833" s="20">
        <f>S834</f>
        <v>45020</v>
      </c>
      <c r="T833" s="164"/>
      <c r="U833" s="154">
        <f t="shared" si="56"/>
        <v>0</v>
      </c>
    </row>
    <row r="834" spans="2:21" x14ac:dyDescent="0.2">
      <c r="B834" s="8">
        <f t="shared" si="57"/>
        <v>147</v>
      </c>
      <c r="C834" s="18"/>
      <c r="D834" s="18"/>
      <c r="E834" s="18"/>
      <c r="F834" s="152"/>
      <c r="G834" s="153"/>
      <c r="H834" s="156" t="s">
        <v>509</v>
      </c>
      <c r="I834" s="19"/>
      <c r="J834" s="19"/>
      <c r="K834" s="19"/>
      <c r="L834" s="20"/>
      <c r="M834" s="20"/>
      <c r="N834" s="164"/>
      <c r="O834" s="19"/>
      <c r="P834" s="157"/>
      <c r="Q834" s="19"/>
      <c r="R834" s="20"/>
      <c r="S834" s="20">
        <v>45020</v>
      </c>
      <c r="T834" s="164"/>
      <c r="U834" s="154">
        <f t="shared" si="56"/>
        <v>0</v>
      </c>
    </row>
    <row r="835" spans="2:21" s="165" customFormat="1" x14ac:dyDescent="0.2">
      <c r="B835" s="8">
        <f t="shared" si="57"/>
        <v>148</v>
      </c>
      <c r="C835" s="156"/>
      <c r="D835" s="156"/>
      <c r="E835" s="156"/>
      <c r="F835" s="272"/>
      <c r="G835" s="155"/>
      <c r="H835" s="156" t="s">
        <v>947</v>
      </c>
      <c r="I835" s="157"/>
      <c r="J835" s="157"/>
      <c r="K835" s="157"/>
      <c r="L835" s="158"/>
      <c r="M835" s="158"/>
      <c r="N835" s="535"/>
      <c r="O835" s="157"/>
      <c r="P835" s="157"/>
      <c r="Q835" s="157"/>
      <c r="R835" s="158"/>
      <c r="S835" s="158"/>
      <c r="T835" s="535"/>
      <c r="U835" s="159">
        <f t="shared" si="56"/>
        <v>0</v>
      </c>
    </row>
    <row r="836" spans="2:21" x14ac:dyDescent="0.2">
      <c r="B836" s="8">
        <f t="shared" si="57"/>
        <v>149</v>
      </c>
      <c r="C836" s="280"/>
      <c r="D836" s="280"/>
      <c r="E836" s="280" t="s">
        <v>108</v>
      </c>
      <c r="F836" s="281"/>
      <c r="G836" s="281"/>
      <c r="H836" s="280" t="s">
        <v>65</v>
      </c>
      <c r="I836" s="282">
        <f>I837+I838+I839+I844</f>
        <v>506489</v>
      </c>
      <c r="J836" s="282">
        <f>J837+J838+J839+J844</f>
        <v>390799</v>
      </c>
      <c r="K836" s="282">
        <f>K837+K838+K839+K844</f>
        <v>391832</v>
      </c>
      <c r="L836" s="283">
        <f>L837+L838+L839+L844</f>
        <v>370556</v>
      </c>
      <c r="M836" s="283">
        <f>M837+M838+M839+M844</f>
        <v>311606</v>
      </c>
      <c r="N836" s="501"/>
      <c r="O836" s="282"/>
      <c r="P836" s="282"/>
      <c r="Q836" s="282"/>
      <c r="R836" s="283"/>
      <c r="S836" s="283"/>
      <c r="T836" s="501"/>
      <c r="U836" s="284">
        <f t="shared" si="56"/>
        <v>506489</v>
      </c>
    </row>
    <row r="837" spans="2:21" x14ac:dyDescent="0.2">
      <c r="B837" s="8">
        <f t="shared" si="57"/>
        <v>150</v>
      </c>
      <c r="C837" s="24"/>
      <c r="D837" s="24"/>
      <c r="E837" s="24"/>
      <c r="F837" s="149" t="s">
        <v>197</v>
      </c>
      <c r="G837" s="150">
        <v>610</v>
      </c>
      <c r="H837" s="24" t="s">
        <v>141</v>
      </c>
      <c r="I837" s="25">
        <v>280574</v>
      </c>
      <c r="J837" s="25">
        <v>215753</v>
      </c>
      <c r="K837" s="25">
        <v>216006</v>
      </c>
      <c r="L837" s="26">
        <v>201450</v>
      </c>
      <c r="M837" s="26">
        <v>175739</v>
      </c>
      <c r="N837" s="501"/>
      <c r="O837" s="25"/>
      <c r="P837" s="25"/>
      <c r="Q837" s="25"/>
      <c r="R837" s="26"/>
      <c r="S837" s="26"/>
      <c r="T837" s="501"/>
      <c r="U837" s="151">
        <f t="shared" si="56"/>
        <v>280574</v>
      </c>
    </row>
    <row r="838" spans="2:21" x14ac:dyDescent="0.2">
      <c r="B838" s="8">
        <f t="shared" si="57"/>
        <v>151</v>
      </c>
      <c r="C838" s="24"/>
      <c r="D838" s="24"/>
      <c r="E838" s="24"/>
      <c r="F838" s="149" t="s">
        <v>197</v>
      </c>
      <c r="G838" s="150">
        <v>620</v>
      </c>
      <c r="H838" s="24" t="s">
        <v>134</v>
      </c>
      <c r="I838" s="25">
        <v>105305</v>
      </c>
      <c r="J838" s="25">
        <v>80614</v>
      </c>
      <c r="K838" s="25">
        <v>80702</v>
      </c>
      <c r="L838" s="26">
        <v>75164</v>
      </c>
      <c r="M838" s="26">
        <v>63517</v>
      </c>
      <c r="N838" s="501"/>
      <c r="O838" s="25"/>
      <c r="P838" s="25"/>
      <c r="Q838" s="25"/>
      <c r="R838" s="26"/>
      <c r="S838" s="26"/>
      <c r="T838" s="501"/>
      <c r="U838" s="151">
        <f t="shared" si="56"/>
        <v>105305</v>
      </c>
    </row>
    <row r="839" spans="2:21" x14ac:dyDescent="0.2">
      <c r="B839" s="8">
        <f t="shared" si="57"/>
        <v>152</v>
      </c>
      <c r="C839" s="24"/>
      <c r="D839" s="24"/>
      <c r="E839" s="24"/>
      <c r="F839" s="149" t="s">
        <v>197</v>
      </c>
      <c r="G839" s="150">
        <v>630</v>
      </c>
      <c r="H839" s="24" t="s">
        <v>131</v>
      </c>
      <c r="I839" s="25">
        <f>SUM(I840:I843)</f>
        <v>114975</v>
      </c>
      <c r="J839" s="25">
        <f>J843+J842+J841+J840</f>
        <v>91727</v>
      </c>
      <c r="K839" s="25">
        <f>K843+K842+K841+K840</f>
        <v>92419</v>
      </c>
      <c r="L839" s="26">
        <f>L843+L842+L841+L840</f>
        <v>81074</v>
      </c>
      <c r="M839" s="26">
        <f>M843+M842+M841+M840</f>
        <v>70336</v>
      </c>
      <c r="N839" s="501"/>
      <c r="O839" s="25"/>
      <c r="P839" s="25"/>
      <c r="Q839" s="25"/>
      <c r="R839" s="26"/>
      <c r="S839" s="26"/>
      <c r="T839" s="501"/>
      <c r="U839" s="151">
        <f t="shared" si="56"/>
        <v>114975</v>
      </c>
    </row>
    <row r="840" spans="2:21" x14ac:dyDescent="0.2">
      <c r="B840" s="8">
        <f t="shared" si="57"/>
        <v>153</v>
      </c>
      <c r="C840" s="18"/>
      <c r="D840" s="18"/>
      <c r="E840" s="18"/>
      <c r="F840" s="152"/>
      <c r="G840" s="153">
        <v>632</v>
      </c>
      <c r="H840" s="18" t="s">
        <v>144</v>
      </c>
      <c r="I840" s="19">
        <v>66355</v>
      </c>
      <c r="J840" s="19">
        <v>50978</v>
      </c>
      <c r="K840" s="19">
        <v>50978</v>
      </c>
      <c r="L840" s="20">
        <v>32895</v>
      </c>
      <c r="M840" s="20">
        <v>21346</v>
      </c>
      <c r="N840" s="164"/>
      <c r="O840" s="19"/>
      <c r="P840" s="19"/>
      <c r="Q840" s="19"/>
      <c r="R840" s="20"/>
      <c r="S840" s="20"/>
      <c r="T840" s="164"/>
      <c r="U840" s="154">
        <f t="shared" si="56"/>
        <v>66355</v>
      </c>
    </row>
    <row r="841" spans="2:21" x14ac:dyDescent="0.2">
      <c r="B841" s="8">
        <f t="shared" si="57"/>
        <v>154</v>
      </c>
      <c r="C841" s="18"/>
      <c r="D841" s="18"/>
      <c r="E841" s="18"/>
      <c r="F841" s="152"/>
      <c r="G841" s="153">
        <v>633</v>
      </c>
      <c r="H841" s="18" t="s">
        <v>135</v>
      </c>
      <c r="I841" s="19">
        <f>36526-4051</f>
        <v>32475</v>
      </c>
      <c r="J841" s="19">
        <v>26729</v>
      </c>
      <c r="K841" s="19">
        <v>28791</v>
      </c>
      <c r="L841" s="20">
        <v>28321</v>
      </c>
      <c r="M841" s="20">
        <v>14222</v>
      </c>
      <c r="N841" s="164"/>
      <c r="O841" s="19"/>
      <c r="P841" s="19"/>
      <c r="Q841" s="19"/>
      <c r="R841" s="20"/>
      <c r="S841" s="20"/>
      <c r="T841" s="164"/>
      <c r="U841" s="154">
        <f t="shared" si="56"/>
        <v>32475</v>
      </c>
    </row>
    <row r="842" spans="2:21" x14ac:dyDescent="0.2">
      <c r="B842" s="8">
        <f t="shared" si="57"/>
        <v>155</v>
      </c>
      <c r="C842" s="18"/>
      <c r="D842" s="18"/>
      <c r="E842" s="18"/>
      <c r="F842" s="152"/>
      <c r="G842" s="153">
        <v>635</v>
      </c>
      <c r="H842" s="18" t="s">
        <v>143</v>
      </c>
      <c r="I842" s="19">
        <f>8000-2000</f>
        <v>6000</v>
      </c>
      <c r="J842" s="19">
        <v>6000</v>
      </c>
      <c r="K842" s="19">
        <v>4500</v>
      </c>
      <c r="L842" s="20">
        <v>14566</v>
      </c>
      <c r="M842" s="20">
        <v>30500</v>
      </c>
      <c r="N842" s="164"/>
      <c r="O842" s="19"/>
      <c r="P842" s="19"/>
      <c r="Q842" s="19"/>
      <c r="R842" s="20"/>
      <c r="S842" s="20"/>
      <c r="T842" s="164"/>
      <c r="U842" s="154">
        <f t="shared" si="56"/>
        <v>6000</v>
      </c>
    </row>
    <row r="843" spans="2:21" x14ac:dyDescent="0.2">
      <c r="B843" s="8">
        <f t="shared" si="57"/>
        <v>156</v>
      </c>
      <c r="C843" s="18"/>
      <c r="D843" s="18"/>
      <c r="E843" s="18"/>
      <c r="F843" s="152"/>
      <c r="G843" s="153">
        <v>637</v>
      </c>
      <c r="H843" s="18" t="s">
        <v>132</v>
      </c>
      <c r="I843" s="19">
        <v>10145</v>
      </c>
      <c r="J843" s="19">
        <v>8020</v>
      </c>
      <c r="K843" s="19">
        <v>8150</v>
      </c>
      <c r="L843" s="20">
        <v>5292</v>
      </c>
      <c r="M843" s="20">
        <v>4268</v>
      </c>
      <c r="N843" s="164"/>
      <c r="O843" s="19"/>
      <c r="P843" s="19"/>
      <c r="Q843" s="19"/>
      <c r="R843" s="20"/>
      <c r="S843" s="20"/>
      <c r="T843" s="164"/>
      <c r="U843" s="154">
        <f t="shared" si="56"/>
        <v>10145</v>
      </c>
    </row>
    <row r="844" spans="2:21" x14ac:dyDescent="0.2">
      <c r="B844" s="8">
        <f t="shared" si="57"/>
        <v>157</v>
      </c>
      <c r="C844" s="24"/>
      <c r="D844" s="24"/>
      <c r="E844" s="24"/>
      <c r="F844" s="149" t="s">
        <v>197</v>
      </c>
      <c r="G844" s="150">
        <v>640</v>
      </c>
      <c r="H844" s="24" t="s">
        <v>139</v>
      </c>
      <c r="I844" s="25">
        <v>5635</v>
      </c>
      <c r="J844" s="25">
        <v>2705</v>
      </c>
      <c r="K844" s="25">
        <v>2705</v>
      </c>
      <c r="L844" s="26">
        <v>12868</v>
      </c>
      <c r="M844" s="26">
        <v>2014</v>
      </c>
      <c r="N844" s="501"/>
      <c r="O844" s="25"/>
      <c r="P844" s="25"/>
      <c r="Q844" s="25"/>
      <c r="R844" s="26"/>
      <c r="S844" s="26"/>
      <c r="T844" s="501"/>
      <c r="U844" s="151">
        <f t="shared" si="56"/>
        <v>5635</v>
      </c>
    </row>
    <row r="845" spans="2:21" x14ac:dyDescent="0.2">
      <c r="B845" s="8">
        <f t="shared" si="57"/>
        <v>158</v>
      </c>
      <c r="C845" s="280"/>
      <c r="D845" s="280"/>
      <c r="E845" s="280" t="s">
        <v>104</v>
      </c>
      <c r="F845" s="281"/>
      <c r="G845" s="281"/>
      <c r="H845" s="280" t="s">
        <v>71</v>
      </c>
      <c r="I845" s="282">
        <f>I846+I847+I848+I855</f>
        <v>512347</v>
      </c>
      <c r="J845" s="282">
        <f>J856+J855+J848+J847+J846</f>
        <v>402482</v>
      </c>
      <c r="K845" s="282">
        <f>K856+K855+K848+K847+K846</f>
        <v>441930</v>
      </c>
      <c r="L845" s="283">
        <f>L856+L855+L848+L847+L846</f>
        <v>364677</v>
      </c>
      <c r="M845" s="283">
        <f>M856+M855+M848+M847+M846</f>
        <v>344244</v>
      </c>
      <c r="N845" s="501"/>
      <c r="O845" s="282"/>
      <c r="P845" s="282"/>
      <c r="Q845" s="282"/>
      <c r="R845" s="283">
        <f>R856</f>
        <v>31162</v>
      </c>
      <c r="S845" s="283"/>
      <c r="T845" s="501"/>
      <c r="U845" s="284">
        <f t="shared" si="56"/>
        <v>512347</v>
      </c>
    </row>
    <row r="846" spans="2:21" x14ac:dyDescent="0.2">
      <c r="B846" s="8">
        <f t="shared" si="57"/>
        <v>159</v>
      </c>
      <c r="C846" s="24"/>
      <c r="D846" s="24"/>
      <c r="E846" s="24"/>
      <c r="F846" s="149" t="s">
        <v>197</v>
      </c>
      <c r="G846" s="150">
        <v>610</v>
      </c>
      <c r="H846" s="24" t="s">
        <v>141</v>
      </c>
      <c r="I846" s="25">
        <v>273329</v>
      </c>
      <c r="J846" s="25">
        <v>224368</v>
      </c>
      <c r="K846" s="25">
        <v>226796</v>
      </c>
      <c r="L846" s="26">
        <v>211321</v>
      </c>
      <c r="M846" s="26">
        <v>197283</v>
      </c>
      <c r="N846" s="501"/>
      <c r="O846" s="25"/>
      <c r="P846" s="25"/>
      <c r="Q846" s="25"/>
      <c r="R846" s="26"/>
      <c r="S846" s="26"/>
      <c r="T846" s="501"/>
      <c r="U846" s="151">
        <f t="shared" si="56"/>
        <v>273329</v>
      </c>
    </row>
    <row r="847" spans="2:21" x14ac:dyDescent="0.2">
      <c r="B847" s="8">
        <f t="shared" si="57"/>
        <v>160</v>
      </c>
      <c r="C847" s="24"/>
      <c r="D847" s="24"/>
      <c r="E847" s="24"/>
      <c r="F847" s="149" t="s">
        <v>197</v>
      </c>
      <c r="G847" s="150">
        <v>620</v>
      </c>
      <c r="H847" s="24" t="s">
        <v>134</v>
      </c>
      <c r="I847" s="25">
        <v>101682</v>
      </c>
      <c r="J847" s="25">
        <v>85068</v>
      </c>
      <c r="K847" s="25">
        <v>85916</v>
      </c>
      <c r="L847" s="26">
        <v>80631</v>
      </c>
      <c r="M847" s="26">
        <v>73679</v>
      </c>
      <c r="N847" s="501"/>
      <c r="O847" s="25"/>
      <c r="P847" s="25"/>
      <c r="Q847" s="25"/>
      <c r="R847" s="26"/>
      <c r="S847" s="26"/>
      <c r="T847" s="501"/>
      <c r="U847" s="151">
        <f t="shared" si="56"/>
        <v>101682</v>
      </c>
    </row>
    <row r="848" spans="2:21" x14ac:dyDescent="0.2">
      <c r="B848" s="8">
        <f t="shared" si="57"/>
        <v>161</v>
      </c>
      <c r="C848" s="24"/>
      <c r="D848" s="24"/>
      <c r="E848" s="24"/>
      <c r="F848" s="149" t="s">
        <v>197</v>
      </c>
      <c r="G848" s="150">
        <v>630</v>
      </c>
      <c r="H848" s="24" t="s">
        <v>131</v>
      </c>
      <c r="I848" s="25">
        <f>SUM(I849:I854)</f>
        <v>135219</v>
      </c>
      <c r="J848" s="25">
        <f>J854+J853+J851+J850+J849</f>
        <v>86708</v>
      </c>
      <c r="K848" s="25">
        <f>SUM(K849:K854)</f>
        <v>122880</v>
      </c>
      <c r="L848" s="26">
        <f>L854+L853+L851+L850</f>
        <v>68612</v>
      </c>
      <c r="M848" s="26">
        <f>M854+M853+M851+M850</f>
        <v>70132</v>
      </c>
      <c r="N848" s="501"/>
      <c r="O848" s="25"/>
      <c r="P848" s="25"/>
      <c r="Q848" s="25"/>
      <c r="R848" s="26"/>
      <c r="S848" s="26"/>
      <c r="T848" s="501"/>
      <c r="U848" s="151">
        <f t="shared" si="56"/>
        <v>135219</v>
      </c>
    </row>
    <row r="849" spans="2:21" x14ac:dyDescent="0.2">
      <c r="B849" s="8">
        <f t="shared" si="57"/>
        <v>162</v>
      </c>
      <c r="C849" s="24"/>
      <c r="D849" s="24"/>
      <c r="E849" s="24"/>
      <c r="F849" s="149"/>
      <c r="G849" s="153">
        <v>631</v>
      </c>
      <c r="H849" s="18" t="s">
        <v>137</v>
      </c>
      <c r="I849" s="19"/>
      <c r="J849" s="19">
        <v>300</v>
      </c>
      <c r="K849" s="19">
        <v>300</v>
      </c>
      <c r="L849" s="20"/>
      <c r="M849" s="20"/>
      <c r="N849" s="164"/>
      <c r="O849" s="19"/>
      <c r="P849" s="19"/>
      <c r="Q849" s="19"/>
      <c r="R849" s="20"/>
      <c r="S849" s="20"/>
      <c r="T849" s="164"/>
      <c r="U849" s="154">
        <f t="shared" si="56"/>
        <v>0</v>
      </c>
    </row>
    <row r="850" spans="2:21" x14ac:dyDescent="0.2">
      <c r="B850" s="8">
        <f t="shared" si="57"/>
        <v>163</v>
      </c>
      <c r="C850" s="18"/>
      <c r="D850" s="18"/>
      <c r="E850" s="18"/>
      <c r="F850" s="152"/>
      <c r="G850" s="153">
        <v>632</v>
      </c>
      <c r="H850" s="18" t="s">
        <v>144</v>
      </c>
      <c r="I850" s="19">
        <v>77245</v>
      </c>
      <c r="J850" s="19">
        <v>42812</v>
      </c>
      <c r="K850" s="19">
        <v>69812</v>
      </c>
      <c r="L850" s="20">
        <v>25945</v>
      </c>
      <c r="M850" s="20">
        <v>21707</v>
      </c>
      <c r="N850" s="164"/>
      <c r="O850" s="19"/>
      <c r="P850" s="19"/>
      <c r="Q850" s="19"/>
      <c r="R850" s="20"/>
      <c r="S850" s="20"/>
      <c r="T850" s="164"/>
      <c r="U850" s="154">
        <f t="shared" si="56"/>
        <v>77245</v>
      </c>
    </row>
    <row r="851" spans="2:21" x14ac:dyDescent="0.2">
      <c r="B851" s="8">
        <f t="shared" si="57"/>
        <v>164</v>
      </c>
      <c r="C851" s="18"/>
      <c r="D851" s="18"/>
      <c r="E851" s="18"/>
      <c r="F851" s="152"/>
      <c r="G851" s="153">
        <v>633</v>
      </c>
      <c r="H851" s="18" t="s">
        <v>135</v>
      </c>
      <c r="I851" s="19">
        <f>42486-3117</f>
        <v>39369</v>
      </c>
      <c r="J851" s="19">
        <v>21969</v>
      </c>
      <c r="K851" s="19">
        <v>30769</v>
      </c>
      <c r="L851" s="20">
        <v>26892</v>
      </c>
      <c r="M851" s="20">
        <v>20882</v>
      </c>
      <c r="N851" s="164"/>
      <c r="O851" s="19"/>
      <c r="P851" s="19"/>
      <c r="Q851" s="19"/>
      <c r="R851" s="20"/>
      <c r="S851" s="20"/>
      <c r="T851" s="164"/>
      <c r="U851" s="154">
        <f t="shared" si="56"/>
        <v>39369</v>
      </c>
    </row>
    <row r="852" spans="2:21" x14ac:dyDescent="0.2">
      <c r="B852" s="8">
        <f t="shared" si="57"/>
        <v>165</v>
      </c>
      <c r="C852" s="18"/>
      <c r="D852" s="18"/>
      <c r="E852" s="18"/>
      <c r="F852" s="152"/>
      <c r="G852" s="153">
        <v>634</v>
      </c>
      <c r="H852" s="18" t="s">
        <v>142</v>
      </c>
      <c r="I852" s="19">
        <v>300</v>
      </c>
      <c r="J852" s="19"/>
      <c r="K852" s="19"/>
      <c r="L852" s="20"/>
      <c r="M852" s="20"/>
      <c r="N852" s="164"/>
      <c r="O852" s="19"/>
      <c r="P852" s="19"/>
      <c r="Q852" s="19"/>
      <c r="R852" s="20"/>
      <c r="S852" s="20"/>
      <c r="T852" s="164"/>
      <c r="U852" s="154">
        <f t="shared" si="56"/>
        <v>300</v>
      </c>
    </row>
    <row r="853" spans="2:21" x14ac:dyDescent="0.2">
      <c r="B853" s="8">
        <f t="shared" si="57"/>
        <v>166</v>
      </c>
      <c r="C853" s="18"/>
      <c r="D853" s="18"/>
      <c r="E853" s="18"/>
      <c r="F853" s="152"/>
      <c r="G853" s="153">
        <v>635</v>
      </c>
      <c r="H853" s="18" t="s">
        <v>143</v>
      </c>
      <c r="I853" s="19">
        <f>10200-4000</f>
        <v>6200</v>
      </c>
      <c r="J853" s="19">
        <v>12000</v>
      </c>
      <c r="K853" s="19">
        <v>12000</v>
      </c>
      <c r="L853" s="20">
        <v>8233</v>
      </c>
      <c r="M853" s="20">
        <v>21770</v>
      </c>
      <c r="N853" s="164"/>
      <c r="O853" s="19"/>
      <c r="P853" s="19"/>
      <c r="Q853" s="19"/>
      <c r="R853" s="20"/>
      <c r="S853" s="20"/>
      <c r="T853" s="164"/>
      <c r="U853" s="154">
        <f t="shared" si="56"/>
        <v>6200</v>
      </c>
    </row>
    <row r="854" spans="2:21" x14ac:dyDescent="0.2">
      <c r="B854" s="8">
        <f t="shared" si="57"/>
        <v>167</v>
      </c>
      <c r="C854" s="18"/>
      <c r="D854" s="18"/>
      <c r="E854" s="18"/>
      <c r="F854" s="152"/>
      <c r="G854" s="153">
        <v>637</v>
      </c>
      <c r="H854" s="18" t="s">
        <v>132</v>
      </c>
      <c r="I854" s="19">
        <v>12105</v>
      </c>
      <c r="J854" s="19">
        <v>9627</v>
      </c>
      <c r="K854" s="19">
        <v>9999</v>
      </c>
      <c r="L854" s="20">
        <v>7542</v>
      </c>
      <c r="M854" s="20">
        <v>5773</v>
      </c>
      <c r="N854" s="164"/>
      <c r="O854" s="19"/>
      <c r="P854" s="19"/>
      <c r="Q854" s="19"/>
      <c r="R854" s="20"/>
      <c r="S854" s="20"/>
      <c r="T854" s="164"/>
      <c r="U854" s="154">
        <f t="shared" si="56"/>
        <v>12105</v>
      </c>
    </row>
    <row r="855" spans="2:21" x14ac:dyDescent="0.2">
      <c r="B855" s="8">
        <f t="shared" si="57"/>
        <v>168</v>
      </c>
      <c r="C855" s="24"/>
      <c r="D855" s="24"/>
      <c r="E855" s="24"/>
      <c r="F855" s="149" t="s">
        <v>197</v>
      </c>
      <c r="G855" s="150">
        <v>640</v>
      </c>
      <c r="H855" s="24" t="s">
        <v>139</v>
      </c>
      <c r="I855" s="25">
        <v>2117</v>
      </c>
      <c r="J855" s="25">
        <v>6338</v>
      </c>
      <c r="K855" s="25">
        <v>6338</v>
      </c>
      <c r="L855" s="26">
        <v>4113</v>
      </c>
      <c r="M855" s="26">
        <v>3150</v>
      </c>
      <c r="N855" s="501"/>
      <c r="O855" s="25"/>
      <c r="P855" s="25"/>
      <c r="Q855" s="25"/>
      <c r="R855" s="26"/>
      <c r="S855" s="26"/>
      <c r="T855" s="501"/>
      <c r="U855" s="151">
        <f t="shared" si="56"/>
        <v>2117</v>
      </c>
    </row>
    <row r="856" spans="2:21" x14ac:dyDescent="0.2">
      <c r="B856" s="8">
        <f t="shared" si="57"/>
        <v>169</v>
      </c>
      <c r="C856" s="24"/>
      <c r="D856" s="24"/>
      <c r="E856" s="24"/>
      <c r="F856" s="149" t="s">
        <v>197</v>
      </c>
      <c r="G856" s="150">
        <v>710</v>
      </c>
      <c r="H856" s="24" t="s">
        <v>185</v>
      </c>
      <c r="I856" s="25"/>
      <c r="J856" s="25"/>
      <c r="K856" s="25"/>
      <c r="L856" s="26"/>
      <c r="M856" s="26"/>
      <c r="N856" s="501"/>
      <c r="O856" s="25"/>
      <c r="P856" s="25"/>
      <c r="Q856" s="25"/>
      <c r="R856" s="26">
        <f>R857</f>
        <v>31162</v>
      </c>
      <c r="S856" s="26"/>
      <c r="T856" s="501"/>
      <c r="U856" s="151">
        <f t="shared" si="56"/>
        <v>0</v>
      </c>
    </row>
    <row r="857" spans="2:21" x14ac:dyDescent="0.2">
      <c r="B857" s="8">
        <f t="shared" si="57"/>
        <v>170</v>
      </c>
      <c r="C857" s="18"/>
      <c r="D857" s="18"/>
      <c r="E857" s="18"/>
      <c r="F857" s="152"/>
      <c r="G857" s="153">
        <v>717</v>
      </c>
      <c r="H857" s="18" t="s">
        <v>192</v>
      </c>
      <c r="I857" s="19"/>
      <c r="J857" s="19"/>
      <c r="K857" s="19"/>
      <c r="L857" s="20"/>
      <c r="M857" s="20"/>
      <c r="N857" s="164"/>
      <c r="O857" s="19"/>
      <c r="P857" s="19"/>
      <c r="Q857" s="19"/>
      <c r="R857" s="20">
        <f>SUM(R858:R858)</f>
        <v>31162</v>
      </c>
      <c r="S857" s="20"/>
      <c r="T857" s="164"/>
      <c r="U857" s="154">
        <f t="shared" si="56"/>
        <v>0</v>
      </c>
    </row>
    <row r="858" spans="2:21" s="165" customFormat="1" x14ac:dyDescent="0.2">
      <c r="B858" s="8">
        <f t="shared" si="57"/>
        <v>171</v>
      </c>
      <c r="C858" s="156"/>
      <c r="D858" s="156"/>
      <c r="E858" s="156"/>
      <c r="F858" s="272"/>
      <c r="G858" s="155"/>
      <c r="H858" s="156" t="s">
        <v>964</v>
      </c>
      <c r="I858" s="157"/>
      <c r="J858" s="157"/>
      <c r="K858" s="157"/>
      <c r="L858" s="158"/>
      <c r="M858" s="158"/>
      <c r="N858" s="535"/>
      <c r="O858" s="157"/>
      <c r="P858" s="157"/>
      <c r="Q858" s="157"/>
      <c r="R858" s="158">
        <v>31162</v>
      </c>
      <c r="S858" s="158"/>
      <c r="T858" s="535"/>
      <c r="U858" s="159">
        <f t="shared" si="56"/>
        <v>0</v>
      </c>
    </row>
    <row r="859" spans="2:21" x14ac:dyDescent="0.2">
      <c r="B859" s="8">
        <f t="shared" si="57"/>
        <v>172</v>
      </c>
      <c r="C859" s="280"/>
      <c r="D859" s="280"/>
      <c r="E859" s="280" t="s">
        <v>107</v>
      </c>
      <c r="F859" s="281"/>
      <c r="G859" s="281"/>
      <c r="H859" s="280" t="s">
        <v>72</v>
      </c>
      <c r="I859" s="282">
        <f>I860+I861+I862+I868</f>
        <v>423866</v>
      </c>
      <c r="J859" s="282">
        <f>J868+J862+J861+J860</f>
        <v>330663</v>
      </c>
      <c r="K859" s="282">
        <f>K868+K862+K861+K860</f>
        <v>334347</v>
      </c>
      <c r="L859" s="283">
        <f>L868+L862+L861+L860</f>
        <v>252523</v>
      </c>
      <c r="M859" s="283">
        <f>M868+M862+M861+M860</f>
        <v>209574</v>
      </c>
      <c r="N859" s="501"/>
      <c r="O859" s="282"/>
      <c r="P859" s="282"/>
      <c r="Q859" s="282"/>
      <c r="R859" s="283">
        <f>R869</f>
        <v>9120</v>
      </c>
      <c r="S859" s="283"/>
      <c r="T859" s="501"/>
      <c r="U859" s="284">
        <f t="shared" si="56"/>
        <v>423866</v>
      </c>
    </row>
    <row r="860" spans="2:21" x14ac:dyDescent="0.2">
      <c r="B860" s="8">
        <f t="shared" si="57"/>
        <v>173</v>
      </c>
      <c r="C860" s="24"/>
      <c r="D860" s="24"/>
      <c r="E860" s="24"/>
      <c r="F860" s="149" t="s">
        <v>197</v>
      </c>
      <c r="G860" s="150">
        <v>610</v>
      </c>
      <c r="H860" s="24" t="s">
        <v>141</v>
      </c>
      <c r="I860" s="25">
        <v>253855</v>
      </c>
      <c r="J860" s="25">
        <v>187537</v>
      </c>
      <c r="K860" s="25">
        <v>187677</v>
      </c>
      <c r="L860" s="26">
        <v>148763</v>
      </c>
      <c r="M860" s="26">
        <v>125128</v>
      </c>
      <c r="N860" s="501"/>
      <c r="O860" s="25"/>
      <c r="P860" s="25"/>
      <c r="Q860" s="25"/>
      <c r="R860" s="26"/>
      <c r="S860" s="26"/>
      <c r="T860" s="501"/>
      <c r="U860" s="151">
        <f t="shared" si="56"/>
        <v>253855</v>
      </c>
    </row>
    <row r="861" spans="2:21" x14ac:dyDescent="0.2">
      <c r="B861" s="8">
        <f t="shared" si="57"/>
        <v>174</v>
      </c>
      <c r="C861" s="24"/>
      <c r="D861" s="24"/>
      <c r="E861" s="24"/>
      <c r="F861" s="149" t="s">
        <v>197</v>
      </c>
      <c r="G861" s="150">
        <v>620</v>
      </c>
      <c r="H861" s="24" t="s">
        <v>134</v>
      </c>
      <c r="I861" s="25">
        <v>93905</v>
      </c>
      <c r="J861" s="25">
        <v>69942</v>
      </c>
      <c r="K861" s="25">
        <v>70130</v>
      </c>
      <c r="L861" s="26">
        <v>53369</v>
      </c>
      <c r="M861" s="26">
        <v>45866</v>
      </c>
      <c r="N861" s="501"/>
      <c r="O861" s="25"/>
      <c r="P861" s="25"/>
      <c r="Q861" s="25"/>
      <c r="R861" s="26"/>
      <c r="S861" s="26"/>
      <c r="T861" s="501"/>
      <c r="U861" s="151">
        <f t="shared" si="56"/>
        <v>93905</v>
      </c>
    </row>
    <row r="862" spans="2:21" x14ac:dyDescent="0.2">
      <c r="B862" s="8">
        <f t="shared" si="57"/>
        <v>175</v>
      </c>
      <c r="C862" s="24"/>
      <c r="D862" s="24"/>
      <c r="E862" s="24"/>
      <c r="F862" s="149" t="s">
        <v>197</v>
      </c>
      <c r="G862" s="150">
        <v>630</v>
      </c>
      <c r="H862" s="24" t="s">
        <v>131</v>
      </c>
      <c r="I862" s="25">
        <f>SUM(I863:I867)</f>
        <v>75656</v>
      </c>
      <c r="J862" s="25">
        <f>J867+J866+J865+J864+J863</f>
        <v>71177</v>
      </c>
      <c r="K862" s="25">
        <f>K867+K866+K865+K864+K863</f>
        <v>74133</v>
      </c>
      <c r="L862" s="26">
        <f>L867+L866+L865+L864+L863</f>
        <v>47833</v>
      </c>
      <c r="M862" s="26">
        <f>M867+M866+M865+M864+M863</f>
        <v>38011</v>
      </c>
      <c r="N862" s="501"/>
      <c r="O862" s="25"/>
      <c r="P862" s="25"/>
      <c r="Q862" s="25"/>
      <c r="R862" s="26"/>
      <c r="S862" s="26"/>
      <c r="T862" s="501"/>
      <c r="U862" s="151">
        <f t="shared" si="56"/>
        <v>75656</v>
      </c>
    </row>
    <row r="863" spans="2:21" x14ac:dyDescent="0.2">
      <c r="B863" s="8">
        <f t="shared" si="57"/>
        <v>176</v>
      </c>
      <c r="C863" s="18"/>
      <c r="D863" s="18"/>
      <c r="E863" s="18"/>
      <c r="F863" s="152"/>
      <c r="G863" s="153">
        <v>631</v>
      </c>
      <c r="H863" s="18" t="s">
        <v>137</v>
      </c>
      <c r="I863" s="19">
        <v>0</v>
      </c>
      <c r="J863" s="19">
        <v>200</v>
      </c>
      <c r="K863" s="19">
        <v>200</v>
      </c>
      <c r="L863" s="20">
        <v>0</v>
      </c>
      <c r="M863" s="20">
        <v>16</v>
      </c>
      <c r="N863" s="164"/>
      <c r="O863" s="19"/>
      <c r="P863" s="19"/>
      <c r="Q863" s="19"/>
      <c r="R863" s="20"/>
      <c r="S863" s="20"/>
      <c r="T863" s="164"/>
      <c r="U863" s="154">
        <f t="shared" si="56"/>
        <v>0</v>
      </c>
    </row>
    <row r="864" spans="2:21" x14ac:dyDescent="0.2">
      <c r="B864" s="8">
        <f t="shared" si="57"/>
        <v>177</v>
      </c>
      <c r="C864" s="18"/>
      <c r="D864" s="18"/>
      <c r="E864" s="18"/>
      <c r="F864" s="152"/>
      <c r="G864" s="153">
        <v>632</v>
      </c>
      <c r="H864" s="18" t="s">
        <v>144</v>
      </c>
      <c r="I864" s="19">
        <v>40830</v>
      </c>
      <c r="J864" s="19">
        <v>36085</v>
      </c>
      <c r="K864" s="19">
        <v>36085</v>
      </c>
      <c r="L864" s="20">
        <v>13397</v>
      </c>
      <c r="M864" s="20">
        <v>11664</v>
      </c>
      <c r="N864" s="164"/>
      <c r="O864" s="19"/>
      <c r="P864" s="19"/>
      <c r="Q864" s="19"/>
      <c r="R864" s="20"/>
      <c r="S864" s="20"/>
      <c r="T864" s="164"/>
      <c r="U864" s="154">
        <f t="shared" si="56"/>
        <v>40830</v>
      </c>
    </row>
    <row r="865" spans="2:21" x14ac:dyDescent="0.2">
      <c r="B865" s="8">
        <f t="shared" si="57"/>
        <v>178</v>
      </c>
      <c r="C865" s="18"/>
      <c r="D865" s="18"/>
      <c r="E865" s="18"/>
      <c r="F865" s="152"/>
      <c r="G865" s="153">
        <v>633</v>
      </c>
      <c r="H865" s="18" t="s">
        <v>135</v>
      </c>
      <c r="I865" s="19">
        <f>25840-3668</f>
        <v>22172</v>
      </c>
      <c r="J865" s="19">
        <v>20309</v>
      </c>
      <c r="K865" s="19">
        <v>21765</v>
      </c>
      <c r="L865" s="20">
        <v>21405</v>
      </c>
      <c r="M865" s="20">
        <v>18376</v>
      </c>
      <c r="N865" s="164"/>
      <c r="O865" s="19"/>
      <c r="P865" s="19"/>
      <c r="Q865" s="19"/>
      <c r="R865" s="20"/>
      <c r="S865" s="20"/>
      <c r="T865" s="164"/>
      <c r="U865" s="154">
        <f t="shared" si="56"/>
        <v>22172</v>
      </c>
    </row>
    <row r="866" spans="2:21" x14ac:dyDescent="0.2">
      <c r="B866" s="8">
        <f t="shared" si="57"/>
        <v>179</v>
      </c>
      <c r="C866" s="18"/>
      <c r="D866" s="18"/>
      <c r="E866" s="18"/>
      <c r="F866" s="152"/>
      <c r="G866" s="153">
        <v>635</v>
      </c>
      <c r="H866" s="18" t="s">
        <v>143</v>
      </c>
      <c r="I866" s="19">
        <v>3400</v>
      </c>
      <c r="J866" s="19">
        <v>7400</v>
      </c>
      <c r="K866" s="19">
        <v>8900</v>
      </c>
      <c r="L866" s="20">
        <v>7865</v>
      </c>
      <c r="M866" s="20">
        <v>4990</v>
      </c>
      <c r="N866" s="164"/>
      <c r="O866" s="19"/>
      <c r="P866" s="19"/>
      <c r="Q866" s="19"/>
      <c r="R866" s="20"/>
      <c r="S866" s="20"/>
      <c r="T866" s="164"/>
      <c r="U866" s="154">
        <f t="shared" si="56"/>
        <v>3400</v>
      </c>
    </row>
    <row r="867" spans="2:21" x14ac:dyDescent="0.2">
      <c r="B867" s="8">
        <f t="shared" si="57"/>
        <v>180</v>
      </c>
      <c r="C867" s="18"/>
      <c r="D867" s="18"/>
      <c r="E867" s="18"/>
      <c r="F867" s="152"/>
      <c r="G867" s="153">
        <v>637</v>
      </c>
      <c r="H867" s="18" t="s">
        <v>132</v>
      </c>
      <c r="I867" s="19">
        <v>9254</v>
      </c>
      <c r="J867" s="19">
        <v>7183</v>
      </c>
      <c r="K867" s="19">
        <v>7183</v>
      </c>
      <c r="L867" s="20">
        <v>5166</v>
      </c>
      <c r="M867" s="20">
        <v>2965</v>
      </c>
      <c r="N867" s="164"/>
      <c r="O867" s="19"/>
      <c r="P867" s="19"/>
      <c r="Q867" s="19"/>
      <c r="R867" s="20"/>
      <c r="S867" s="20"/>
      <c r="T867" s="164"/>
      <c r="U867" s="154">
        <f t="shared" si="56"/>
        <v>9254</v>
      </c>
    </row>
    <row r="868" spans="2:21" x14ac:dyDescent="0.2">
      <c r="B868" s="8">
        <f t="shared" si="57"/>
        <v>181</v>
      </c>
      <c r="C868" s="24"/>
      <c r="D868" s="24"/>
      <c r="E868" s="24"/>
      <c r="F868" s="149" t="s">
        <v>197</v>
      </c>
      <c r="G868" s="150">
        <v>640</v>
      </c>
      <c r="H868" s="24" t="s">
        <v>139</v>
      </c>
      <c r="I868" s="25">
        <v>450</v>
      </c>
      <c r="J868" s="25">
        <v>2007</v>
      </c>
      <c r="K868" s="25">
        <v>2407</v>
      </c>
      <c r="L868" s="26">
        <v>2558</v>
      </c>
      <c r="M868" s="26">
        <v>569</v>
      </c>
      <c r="N868" s="501"/>
      <c r="O868" s="25"/>
      <c r="P868" s="25"/>
      <c r="Q868" s="25"/>
      <c r="R868" s="26"/>
      <c r="S868" s="26"/>
      <c r="T868" s="501"/>
      <c r="U868" s="151">
        <f t="shared" si="56"/>
        <v>450</v>
      </c>
    </row>
    <row r="869" spans="2:21" x14ac:dyDescent="0.2">
      <c r="B869" s="8">
        <f t="shared" si="57"/>
        <v>182</v>
      </c>
      <c r="C869" s="24"/>
      <c r="D869" s="24"/>
      <c r="E869" s="24"/>
      <c r="F869" s="149" t="s">
        <v>197</v>
      </c>
      <c r="G869" s="150">
        <v>710</v>
      </c>
      <c r="H869" s="24" t="s">
        <v>185</v>
      </c>
      <c r="I869" s="25"/>
      <c r="J869" s="25"/>
      <c r="K869" s="25"/>
      <c r="L869" s="26"/>
      <c r="M869" s="26"/>
      <c r="N869" s="501"/>
      <c r="O869" s="25"/>
      <c r="P869" s="25"/>
      <c r="Q869" s="25"/>
      <c r="R869" s="26">
        <f>R870</f>
        <v>9120</v>
      </c>
      <c r="S869" s="26"/>
      <c r="T869" s="501"/>
      <c r="U869" s="151">
        <f t="shared" si="56"/>
        <v>0</v>
      </c>
    </row>
    <row r="870" spans="2:21" x14ac:dyDescent="0.2">
      <c r="B870" s="8">
        <f t="shared" si="57"/>
        <v>183</v>
      </c>
      <c r="C870" s="18"/>
      <c r="D870" s="18"/>
      <c r="E870" s="18"/>
      <c r="F870" s="152"/>
      <c r="G870" s="153">
        <v>716</v>
      </c>
      <c r="H870" s="18" t="s">
        <v>226</v>
      </c>
      <c r="I870" s="19"/>
      <c r="J870" s="19"/>
      <c r="K870" s="19"/>
      <c r="L870" s="20"/>
      <c r="M870" s="20"/>
      <c r="N870" s="164"/>
      <c r="O870" s="19"/>
      <c r="P870" s="19"/>
      <c r="Q870" s="19"/>
      <c r="R870" s="20">
        <f>R871</f>
        <v>9120</v>
      </c>
      <c r="S870" s="20"/>
      <c r="T870" s="164"/>
      <c r="U870" s="154">
        <f t="shared" si="56"/>
        <v>0</v>
      </c>
    </row>
    <row r="871" spans="2:21" s="165" customFormat="1" x14ac:dyDescent="0.2">
      <c r="B871" s="8">
        <f t="shared" si="57"/>
        <v>184</v>
      </c>
      <c r="C871" s="156"/>
      <c r="D871" s="156"/>
      <c r="E871" s="156"/>
      <c r="F871" s="272"/>
      <c r="G871" s="155"/>
      <c r="H871" s="156" t="s">
        <v>965</v>
      </c>
      <c r="I871" s="157"/>
      <c r="J871" s="157"/>
      <c r="K871" s="157"/>
      <c r="L871" s="158"/>
      <c r="M871" s="158"/>
      <c r="N871" s="535"/>
      <c r="O871" s="157"/>
      <c r="P871" s="157"/>
      <c r="Q871" s="157"/>
      <c r="R871" s="158">
        <v>9120</v>
      </c>
      <c r="S871" s="158"/>
      <c r="T871" s="535"/>
      <c r="U871" s="159">
        <f t="shared" si="56"/>
        <v>0</v>
      </c>
    </row>
    <row r="872" spans="2:21" x14ac:dyDescent="0.2">
      <c r="B872" s="8">
        <f t="shared" si="57"/>
        <v>185</v>
      </c>
      <c r="C872" s="280"/>
      <c r="D872" s="280"/>
      <c r="E872" s="280" t="s">
        <v>100</v>
      </c>
      <c r="F872" s="281"/>
      <c r="G872" s="281"/>
      <c r="H872" s="280" t="s">
        <v>101</v>
      </c>
      <c r="I872" s="282">
        <f>I873+I874+I875+I880</f>
        <v>167960</v>
      </c>
      <c r="J872" s="282">
        <f>J880+J875+J874+J873</f>
        <v>141959</v>
      </c>
      <c r="K872" s="282">
        <f>K880+K875+K874+K873</f>
        <v>145114</v>
      </c>
      <c r="L872" s="283">
        <f>L880+L875+L874+L873</f>
        <v>122985</v>
      </c>
      <c r="M872" s="283">
        <f>M880+M875+M874+M873</f>
        <v>114400</v>
      </c>
      <c r="N872" s="501"/>
      <c r="O872" s="282"/>
      <c r="P872" s="282"/>
      <c r="Q872" s="282"/>
      <c r="R872" s="283"/>
      <c r="S872" s="283"/>
      <c r="T872" s="501"/>
      <c r="U872" s="284">
        <f t="shared" si="56"/>
        <v>167960</v>
      </c>
    </row>
    <row r="873" spans="2:21" x14ac:dyDescent="0.2">
      <c r="B873" s="8">
        <f t="shared" si="57"/>
        <v>186</v>
      </c>
      <c r="C873" s="24"/>
      <c r="D873" s="24"/>
      <c r="E873" s="24"/>
      <c r="F873" s="149" t="s">
        <v>197</v>
      </c>
      <c r="G873" s="150">
        <v>610</v>
      </c>
      <c r="H873" s="24" t="s">
        <v>141</v>
      </c>
      <c r="I873" s="25">
        <v>91392</v>
      </c>
      <c r="J873" s="25">
        <v>76603</v>
      </c>
      <c r="K873" s="25">
        <v>76603</v>
      </c>
      <c r="L873" s="26">
        <v>74083</v>
      </c>
      <c r="M873" s="26">
        <v>67723</v>
      </c>
      <c r="N873" s="501"/>
      <c r="O873" s="25"/>
      <c r="P873" s="25"/>
      <c r="Q873" s="25"/>
      <c r="R873" s="26"/>
      <c r="S873" s="26"/>
      <c r="T873" s="501"/>
      <c r="U873" s="151">
        <f t="shared" si="56"/>
        <v>91392</v>
      </c>
    </row>
    <row r="874" spans="2:21" x14ac:dyDescent="0.2">
      <c r="B874" s="8">
        <f t="shared" si="57"/>
        <v>187</v>
      </c>
      <c r="C874" s="24"/>
      <c r="D874" s="24"/>
      <c r="E874" s="24"/>
      <c r="F874" s="149" t="s">
        <v>197</v>
      </c>
      <c r="G874" s="150">
        <v>620</v>
      </c>
      <c r="H874" s="24" t="s">
        <v>134</v>
      </c>
      <c r="I874" s="25">
        <v>34740</v>
      </c>
      <c r="J874" s="25">
        <v>28409</v>
      </c>
      <c r="K874" s="25">
        <v>28409</v>
      </c>
      <c r="L874" s="26">
        <v>27883</v>
      </c>
      <c r="M874" s="26">
        <v>23438</v>
      </c>
      <c r="N874" s="501"/>
      <c r="O874" s="25"/>
      <c r="P874" s="25"/>
      <c r="Q874" s="25"/>
      <c r="R874" s="26"/>
      <c r="S874" s="26"/>
      <c r="T874" s="501"/>
      <c r="U874" s="151">
        <f t="shared" si="56"/>
        <v>34740</v>
      </c>
    </row>
    <row r="875" spans="2:21" x14ac:dyDescent="0.2">
      <c r="B875" s="8">
        <f t="shared" si="57"/>
        <v>188</v>
      </c>
      <c r="C875" s="24"/>
      <c r="D875" s="24"/>
      <c r="E875" s="24"/>
      <c r="F875" s="149" t="s">
        <v>197</v>
      </c>
      <c r="G875" s="150">
        <v>630</v>
      </c>
      <c r="H875" s="24" t="s">
        <v>131</v>
      </c>
      <c r="I875" s="25">
        <f>SUM(I876:I879)</f>
        <v>38903</v>
      </c>
      <c r="J875" s="25">
        <f>J879+J878+J877+J876</f>
        <v>36497</v>
      </c>
      <c r="K875" s="25">
        <f>K879+K878+K877+K876</f>
        <v>39652</v>
      </c>
      <c r="L875" s="26">
        <f>L879+L878+L877+L876</f>
        <v>18366</v>
      </c>
      <c r="M875" s="26">
        <f>M879+M878+M877+M876</f>
        <v>20992</v>
      </c>
      <c r="N875" s="501"/>
      <c r="O875" s="25"/>
      <c r="P875" s="25"/>
      <c r="Q875" s="25"/>
      <c r="R875" s="26"/>
      <c r="S875" s="26"/>
      <c r="T875" s="501"/>
      <c r="U875" s="151">
        <f t="shared" si="56"/>
        <v>38903</v>
      </c>
    </row>
    <row r="876" spans="2:21" x14ac:dyDescent="0.2">
      <c r="B876" s="8">
        <f t="shared" si="57"/>
        <v>189</v>
      </c>
      <c r="C876" s="18"/>
      <c r="D876" s="18"/>
      <c r="E876" s="18"/>
      <c r="F876" s="152"/>
      <c r="G876" s="153">
        <v>632</v>
      </c>
      <c r="H876" s="18" t="s">
        <v>144</v>
      </c>
      <c r="I876" s="19">
        <v>19815</v>
      </c>
      <c r="J876" s="19">
        <v>19164</v>
      </c>
      <c r="K876" s="19">
        <v>19164</v>
      </c>
      <c r="L876" s="20">
        <v>5681</v>
      </c>
      <c r="M876" s="20">
        <v>5436</v>
      </c>
      <c r="N876" s="164"/>
      <c r="O876" s="19"/>
      <c r="P876" s="19"/>
      <c r="Q876" s="19"/>
      <c r="R876" s="20"/>
      <c r="S876" s="20"/>
      <c r="T876" s="164"/>
      <c r="U876" s="154">
        <f t="shared" si="56"/>
        <v>19815</v>
      </c>
    </row>
    <row r="877" spans="2:21" x14ac:dyDescent="0.2">
      <c r="B877" s="8">
        <f t="shared" si="57"/>
        <v>190</v>
      </c>
      <c r="C877" s="18"/>
      <c r="D877" s="18"/>
      <c r="E877" s="18"/>
      <c r="F877" s="152"/>
      <c r="G877" s="153">
        <v>633</v>
      </c>
      <c r="H877" s="18" t="s">
        <v>135</v>
      </c>
      <c r="I877" s="19">
        <f>13655-2047</f>
        <v>11608</v>
      </c>
      <c r="J877" s="19">
        <v>8204</v>
      </c>
      <c r="K877" s="19">
        <v>8766</v>
      </c>
      <c r="L877" s="20">
        <v>9100</v>
      </c>
      <c r="M877" s="20">
        <v>7010</v>
      </c>
      <c r="N877" s="164"/>
      <c r="O877" s="19"/>
      <c r="P877" s="19"/>
      <c r="Q877" s="19"/>
      <c r="R877" s="20"/>
      <c r="S877" s="20"/>
      <c r="T877" s="164"/>
      <c r="U877" s="154">
        <f t="shared" si="56"/>
        <v>11608</v>
      </c>
    </row>
    <row r="878" spans="2:21" x14ac:dyDescent="0.2">
      <c r="B878" s="8">
        <f t="shared" si="57"/>
        <v>191</v>
      </c>
      <c r="C878" s="18"/>
      <c r="D878" s="18"/>
      <c r="E878" s="18"/>
      <c r="F878" s="152"/>
      <c r="G878" s="153">
        <v>635</v>
      </c>
      <c r="H878" s="18" t="s">
        <v>143</v>
      </c>
      <c r="I878" s="19">
        <v>3000</v>
      </c>
      <c r="J878" s="19">
        <v>4650</v>
      </c>
      <c r="K878" s="19">
        <v>7150</v>
      </c>
      <c r="L878" s="20">
        <v>1311</v>
      </c>
      <c r="M878" s="20">
        <v>6135</v>
      </c>
      <c r="N878" s="164"/>
      <c r="O878" s="19"/>
      <c r="P878" s="19"/>
      <c r="Q878" s="19"/>
      <c r="R878" s="20"/>
      <c r="S878" s="20"/>
      <c r="T878" s="164"/>
      <c r="U878" s="154">
        <f t="shared" si="56"/>
        <v>3000</v>
      </c>
    </row>
    <row r="879" spans="2:21" x14ac:dyDescent="0.2">
      <c r="B879" s="8">
        <f t="shared" si="57"/>
        <v>192</v>
      </c>
      <c r="C879" s="18"/>
      <c r="D879" s="18"/>
      <c r="E879" s="18"/>
      <c r="F879" s="152"/>
      <c r="G879" s="153">
        <v>637</v>
      </c>
      <c r="H879" s="18" t="s">
        <v>132</v>
      </c>
      <c r="I879" s="19">
        <v>4480</v>
      </c>
      <c r="J879" s="19">
        <v>4479</v>
      </c>
      <c r="K879" s="19">
        <v>4572</v>
      </c>
      <c r="L879" s="20">
        <v>2274</v>
      </c>
      <c r="M879" s="20">
        <v>2411</v>
      </c>
      <c r="N879" s="164"/>
      <c r="O879" s="19"/>
      <c r="P879" s="19"/>
      <c r="Q879" s="19"/>
      <c r="R879" s="20"/>
      <c r="S879" s="20"/>
      <c r="T879" s="164"/>
      <c r="U879" s="154">
        <f t="shared" si="56"/>
        <v>4480</v>
      </c>
    </row>
    <row r="880" spans="2:21" x14ac:dyDescent="0.2">
      <c r="B880" s="8">
        <f t="shared" si="57"/>
        <v>193</v>
      </c>
      <c r="C880" s="24"/>
      <c r="D880" s="24"/>
      <c r="E880" s="24"/>
      <c r="F880" s="149" t="s">
        <v>197</v>
      </c>
      <c r="G880" s="150">
        <v>640</v>
      </c>
      <c r="H880" s="24" t="s">
        <v>139</v>
      </c>
      <c r="I880" s="25">
        <v>2925</v>
      </c>
      <c r="J880" s="25">
        <v>450</v>
      </c>
      <c r="K880" s="25">
        <v>450</v>
      </c>
      <c r="L880" s="26">
        <v>2653</v>
      </c>
      <c r="M880" s="26">
        <v>2247</v>
      </c>
      <c r="N880" s="501"/>
      <c r="O880" s="25"/>
      <c r="P880" s="25"/>
      <c r="Q880" s="25"/>
      <c r="R880" s="26"/>
      <c r="S880" s="26"/>
      <c r="T880" s="501"/>
      <c r="U880" s="151">
        <f t="shared" si="56"/>
        <v>2925</v>
      </c>
    </row>
    <row r="881" spans="2:21" x14ac:dyDescent="0.2">
      <c r="B881" s="8">
        <f t="shared" si="57"/>
        <v>194</v>
      </c>
      <c r="C881" s="280"/>
      <c r="D881" s="280"/>
      <c r="E881" s="280" t="s">
        <v>93</v>
      </c>
      <c r="F881" s="281"/>
      <c r="G881" s="281"/>
      <c r="H881" s="280" t="s">
        <v>206</v>
      </c>
      <c r="I881" s="282">
        <f>I882+I883+I884+I889</f>
        <v>200586</v>
      </c>
      <c r="J881" s="282">
        <f>J890+J889+J884+J883+J882</f>
        <v>173099</v>
      </c>
      <c r="K881" s="282">
        <f>K890+K889+K884+K883+K882</f>
        <v>182937</v>
      </c>
      <c r="L881" s="283">
        <f>L890+L889+L884+L883+L882</f>
        <v>141543</v>
      </c>
      <c r="M881" s="283">
        <f>M890+M889+M884+M883+M882</f>
        <v>128776</v>
      </c>
      <c r="N881" s="501"/>
      <c r="O881" s="282"/>
      <c r="P881" s="282"/>
      <c r="Q881" s="282"/>
      <c r="R881" s="283"/>
      <c r="S881" s="283">
        <f>S890</f>
        <v>27244</v>
      </c>
      <c r="T881" s="501"/>
      <c r="U881" s="284">
        <f t="shared" si="56"/>
        <v>200586</v>
      </c>
    </row>
    <row r="882" spans="2:21" x14ac:dyDescent="0.2">
      <c r="B882" s="8">
        <f t="shared" si="57"/>
        <v>195</v>
      </c>
      <c r="C882" s="24"/>
      <c r="D882" s="24"/>
      <c r="E882" s="24"/>
      <c r="F882" s="149" t="s">
        <v>197</v>
      </c>
      <c r="G882" s="150">
        <v>610</v>
      </c>
      <c r="H882" s="24" t="s">
        <v>141</v>
      </c>
      <c r="I882" s="25">
        <v>108308</v>
      </c>
      <c r="J882" s="25">
        <v>91947</v>
      </c>
      <c r="K882" s="25">
        <v>92757</v>
      </c>
      <c r="L882" s="26">
        <v>87894</v>
      </c>
      <c r="M882" s="26">
        <v>82839</v>
      </c>
      <c r="N882" s="501"/>
      <c r="O882" s="25"/>
      <c r="P882" s="25"/>
      <c r="Q882" s="25"/>
      <c r="R882" s="26"/>
      <c r="S882" s="26"/>
      <c r="T882" s="501"/>
      <c r="U882" s="151">
        <f t="shared" si="56"/>
        <v>108308</v>
      </c>
    </row>
    <row r="883" spans="2:21" x14ac:dyDescent="0.2">
      <c r="B883" s="8">
        <f t="shared" si="57"/>
        <v>196</v>
      </c>
      <c r="C883" s="24"/>
      <c r="D883" s="24"/>
      <c r="E883" s="24"/>
      <c r="F883" s="149" t="s">
        <v>197</v>
      </c>
      <c r="G883" s="150">
        <v>620</v>
      </c>
      <c r="H883" s="24" t="s">
        <v>134</v>
      </c>
      <c r="I883" s="25">
        <v>40124</v>
      </c>
      <c r="J883" s="25">
        <v>36733</v>
      </c>
      <c r="K883" s="25">
        <v>37015</v>
      </c>
      <c r="L883" s="26">
        <v>33509</v>
      </c>
      <c r="M883" s="26">
        <v>30333</v>
      </c>
      <c r="N883" s="501"/>
      <c r="O883" s="25"/>
      <c r="P883" s="25"/>
      <c r="Q883" s="25"/>
      <c r="R883" s="26"/>
      <c r="S883" s="26"/>
      <c r="T883" s="501"/>
      <c r="U883" s="151">
        <f t="shared" si="56"/>
        <v>40124</v>
      </c>
    </row>
    <row r="884" spans="2:21" x14ac:dyDescent="0.2">
      <c r="B884" s="8">
        <f t="shared" si="57"/>
        <v>197</v>
      </c>
      <c r="C884" s="24"/>
      <c r="D884" s="24"/>
      <c r="E884" s="24"/>
      <c r="F884" s="149" t="s">
        <v>197</v>
      </c>
      <c r="G884" s="150">
        <v>630</v>
      </c>
      <c r="H884" s="24" t="s">
        <v>131</v>
      </c>
      <c r="I884" s="25">
        <f>SUM(I885:I888)</f>
        <v>51704</v>
      </c>
      <c r="J884" s="25">
        <f>J888+J887+J886+J885</f>
        <v>34897</v>
      </c>
      <c r="K884" s="25">
        <f>K888+K887+K886+K885</f>
        <v>43643</v>
      </c>
      <c r="L884" s="26">
        <f>L888+L887+L886+L885</f>
        <v>19763</v>
      </c>
      <c r="M884" s="26">
        <f>M888+M887+M886+M885</f>
        <v>15604</v>
      </c>
      <c r="N884" s="501"/>
      <c r="O884" s="25"/>
      <c r="P884" s="25"/>
      <c r="Q884" s="25"/>
      <c r="R884" s="26"/>
      <c r="S884" s="26"/>
      <c r="T884" s="501"/>
      <c r="U884" s="151">
        <f t="shared" si="56"/>
        <v>51704</v>
      </c>
    </row>
    <row r="885" spans="2:21" x14ac:dyDescent="0.2">
      <c r="B885" s="8">
        <f t="shared" si="57"/>
        <v>198</v>
      </c>
      <c r="C885" s="18"/>
      <c r="D885" s="18"/>
      <c r="E885" s="18"/>
      <c r="F885" s="152"/>
      <c r="G885" s="153">
        <v>632</v>
      </c>
      <c r="H885" s="18" t="s">
        <v>144</v>
      </c>
      <c r="I885" s="19">
        <v>28195</v>
      </c>
      <c r="J885" s="19">
        <v>17900</v>
      </c>
      <c r="K885" s="19">
        <v>24900</v>
      </c>
      <c r="L885" s="20">
        <v>6620</v>
      </c>
      <c r="M885" s="20">
        <v>6935</v>
      </c>
      <c r="N885" s="164"/>
      <c r="O885" s="19"/>
      <c r="P885" s="19"/>
      <c r="Q885" s="19"/>
      <c r="R885" s="20"/>
      <c r="S885" s="20"/>
      <c r="T885" s="164"/>
      <c r="U885" s="154">
        <f t="shared" ref="U885:U948" si="58">I885+O885</f>
        <v>28195</v>
      </c>
    </row>
    <row r="886" spans="2:21" x14ac:dyDescent="0.2">
      <c r="B886" s="8">
        <f t="shared" si="57"/>
        <v>199</v>
      </c>
      <c r="C886" s="18"/>
      <c r="D886" s="18"/>
      <c r="E886" s="18"/>
      <c r="F886" s="152"/>
      <c r="G886" s="153">
        <v>633</v>
      </c>
      <c r="H886" s="18" t="s">
        <v>135</v>
      </c>
      <c r="I886" s="19">
        <f>19355-1721</f>
        <v>17634</v>
      </c>
      <c r="J886" s="19">
        <v>8024</v>
      </c>
      <c r="K886" s="19">
        <v>9646</v>
      </c>
      <c r="L886" s="20">
        <v>7364</v>
      </c>
      <c r="M886" s="20">
        <v>4914</v>
      </c>
      <c r="N886" s="164"/>
      <c r="O886" s="19"/>
      <c r="P886" s="19"/>
      <c r="Q886" s="19"/>
      <c r="R886" s="20"/>
      <c r="S886" s="20"/>
      <c r="T886" s="164"/>
      <c r="U886" s="154">
        <f t="shared" si="58"/>
        <v>17634</v>
      </c>
    </row>
    <row r="887" spans="2:21" x14ac:dyDescent="0.2">
      <c r="B887" s="8">
        <f t="shared" si="57"/>
        <v>200</v>
      </c>
      <c r="C887" s="18"/>
      <c r="D887" s="18"/>
      <c r="E887" s="18"/>
      <c r="F887" s="152"/>
      <c r="G887" s="153">
        <v>635</v>
      </c>
      <c r="H887" s="18" t="s">
        <v>143</v>
      </c>
      <c r="I887" s="19">
        <f>2000-1000</f>
        <v>1000</v>
      </c>
      <c r="J887" s="19">
        <v>4210</v>
      </c>
      <c r="K887" s="19">
        <v>4210</v>
      </c>
      <c r="L887" s="20">
        <v>3480</v>
      </c>
      <c r="M887" s="20">
        <v>1494</v>
      </c>
      <c r="N887" s="164"/>
      <c r="O887" s="19"/>
      <c r="P887" s="19"/>
      <c r="Q887" s="19"/>
      <c r="R887" s="20"/>
      <c r="S887" s="20"/>
      <c r="T887" s="164"/>
      <c r="U887" s="154">
        <f t="shared" si="58"/>
        <v>1000</v>
      </c>
    </row>
    <row r="888" spans="2:21" x14ac:dyDescent="0.2">
      <c r="B888" s="8">
        <f t="shared" si="57"/>
        <v>201</v>
      </c>
      <c r="C888" s="18"/>
      <c r="D888" s="18"/>
      <c r="E888" s="18"/>
      <c r="F888" s="152"/>
      <c r="G888" s="153">
        <v>637</v>
      </c>
      <c r="H888" s="18" t="s">
        <v>132</v>
      </c>
      <c r="I888" s="19">
        <v>4875</v>
      </c>
      <c r="J888" s="19">
        <v>4763</v>
      </c>
      <c r="K888" s="19">
        <v>4887</v>
      </c>
      <c r="L888" s="20">
        <v>2299</v>
      </c>
      <c r="M888" s="20">
        <v>2261</v>
      </c>
      <c r="N888" s="164"/>
      <c r="O888" s="19"/>
      <c r="P888" s="19"/>
      <c r="Q888" s="19"/>
      <c r="R888" s="20"/>
      <c r="S888" s="20"/>
      <c r="T888" s="164"/>
      <c r="U888" s="154">
        <f t="shared" si="58"/>
        <v>4875</v>
      </c>
    </row>
    <row r="889" spans="2:21" x14ac:dyDescent="0.2">
      <c r="B889" s="8">
        <f t="shared" ref="B889:B899" si="59">B888+1</f>
        <v>202</v>
      </c>
      <c r="C889" s="24"/>
      <c r="D889" s="24"/>
      <c r="E889" s="24"/>
      <c r="F889" s="149" t="s">
        <v>197</v>
      </c>
      <c r="G889" s="150">
        <v>640</v>
      </c>
      <c r="H889" s="24" t="s">
        <v>139</v>
      </c>
      <c r="I889" s="25">
        <v>450</v>
      </c>
      <c r="J889" s="25">
        <v>9522</v>
      </c>
      <c r="K889" s="25">
        <v>9522</v>
      </c>
      <c r="L889" s="26">
        <v>377</v>
      </c>
      <c r="M889" s="26">
        <v>0</v>
      </c>
      <c r="N889" s="501"/>
      <c r="O889" s="25"/>
      <c r="P889" s="25"/>
      <c r="Q889" s="25"/>
      <c r="R889" s="26"/>
      <c r="S889" s="26"/>
      <c r="T889" s="501"/>
      <c r="U889" s="151">
        <f t="shared" si="58"/>
        <v>450</v>
      </c>
    </row>
    <row r="890" spans="2:21" x14ac:dyDescent="0.2">
      <c r="B890" s="8">
        <f t="shared" si="59"/>
        <v>203</v>
      </c>
      <c r="C890" s="24"/>
      <c r="D890" s="24"/>
      <c r="E890" s="24"/>
      <c r="F890" s="149" t="s">
        <v>197</v>
      </c>
      <c r="G890" s="150">
        <v>710</v>
      </c>
      <c r="H890" s="24" t="s">
        <v>185</v>
      </c>
      <c r="I890" s="25"/>
      <c r="J890" s="25"/>
      <c r="K890" s="25"/>
      <c r="L890" s="26"/>
      <c r="M890" s="26"/>
      <c r="N890" s="501"/>
      <c r="O890" s="25"/>
      <c r="P890" s="25"/>
      <c r="Q890" s="25"/>
      <c r="R890" s="26"/>
      <c r="S890" s="26">
        <f>S891</f>
        <v>27244</v>
      </c>
      <c r="T890" s="501"/>
      <c r="U890" s="151">
        <f t="shared" si="58"/>
        <v>0</v>
      </c>
    </row>
    <row r="891" spans="2:21" x14ac:dyDescent="0.2">
      <c r="B891" s="8">
        <f t="shared" si="59"/>
        <v>204</v>
      </c>
      <c r="C891" s="18"/>
      <c r="D891" s="18"/>
      <c r="E891" s="18"/>
      <c r="F891" s="152"/>
      <c r="G891" s="153">
        <v>717</v>
      </c>
      <c r="H891" s="18" t="s">
        <v>192</v>
      </c>
      <c r="I891" s="19"/>
      <c r="J891" s="19"/>
      <c r="K891" s="19"/>
      <c r="L891" s="20"/>
      <c r="M891" s="20"/>
      <c r="N891" s="164"/>
      <c r="O891" s="19"/>
      <c r="P891" s="19"/>
      <c r="Q891" s="19"/>
      <c r="R891" s="20"/>
      <c r="S891" s="20">
        <f>SUM(S892:S893)</f>
        <v>27244</v>
      </c>
      <c r="T891" s="164"/>
      <c r="U891" s="154">
        <f t="shared" si="58"/>
        <v>0</v>
      </c>
    </row>
    <row r="892" spans="2:21" x14ac:dyDescent="0.2">
      <c r="B892" s="8">
        <f t="shared" si="59"/>
        <v>205</v>
      </c>
      <c r="C892" s="18"/>
      <c r="D892" s="18"/>
      <c r="E892" s="18"/>
      <c r="F892" s="152"/>
      <c r="G892" s="153"/>
      <c r="H892" s="156" t="s">
        <v>536</v>
      </c>
      <c r="I892" s="19"/>
      <c r="J892" s="19"/>
      <c r="K892" s="19"/>
      <c r="L892" s="20"/>
      <c r="M892" s="20"/>
      <c r="N892" s="164"/>
      <c r="O892" s="19"/>
      <c r="P892" s="19"/>
      <c r="Q892" s="19"/>
      <c r="R892" s="20"/>
      <c r="S892" s="20">
        <v>17429</v>
      </c>
      <c r="T892" s="164"/>
      <c r="U892" s="154">
        <f t="shared" si="58"/>
        <v>0</v>
      </c>
    </row>
    <row r="893" spans="2:21" x14ac:dyDescent="0.2">
      <c r="B893" s="8">
        <f t="shared" si="59"/>
        <v>206</v>
      </c>
      <c r="C893" s="18"/>
      <c r="D893" s="18"/>
      <c r="E893" s="18"/>
      <c r="F893" s="152"/>
      <c r="G893" s="153"/>
      <c r="H893" s="156" t="s">
        <v>577</v>
      </c>
      <c r="I893" s="19"/>
      <c r="J893" s="19"/>
      <c r="K893" s="19"/>
      <c r="L893" s="20"/>
      <c r="M893" s="20"/>
      <c r="N893" s="164"/>
      <c r="O893" s="157"/>
      <c r="P893" s="157"/>
      <c r="Q893" s="157"/>
      <c r="R893" s="158"/>
      <c r="S893" s="158">
        <v>9815</v>
      </c>
      <c r="T893" s="535"/>
      <c r="U893" s="159">
        <f t="shared" si="58"/>
        <v>0</v>
      </c>
    </row>
    <row r="894" spans="2:21" x14ac:dyDescent="0.2">
      <c r="B894" s="8">
        <f t="shared" si="59"/>
        <v>207</v>
      </c>
      <c r="C894" s="280"/>
      <c r="D894" s="280"/>
      <c r="E894" s="280" t="s">
        <v>111</v>
      </c>
      <c r="F894" s="281"/>
      <c r="G894" s="281"/>
      <c r="H894" s="280" t="s">
        <v>73</v>
      </c>
      <c r="I894" s="282">
        <f>I895+I896+I897+I903</f>
        <v>223950</v>
      </c>
      <c r="J894" s="282">
        <f>J903+J897+J896+J895</f>
        <v>174269</v>
      </c>
      <c r="K894" s="282">
        <f>K903+K897+K896+K895</f>
        <v>175884</v>
      </c>
      <c r="L894" s="283">
        <f>L903+L897+L896+L895</f>
        <v>147712</v>
      </c>
      <c r="M894" s="283">
        <f>M903+M897+M896+M895</f>
        <v>132986</v>
      </c>
      <c r="N894" s="501"/>
      <c r="O894" s="282"/>
      <c r="P894" s="282"/>
      <c r="Q894" s="282"/>
      <c r="R894" s="283"/>
      <c r="S894" s="283"/>
      <c r="T894" s="501"/>
      <c r="U894" s="284">
        <f t="shared" si="58"/>
        <v>223950</v>
      </c>
    </row>
    <row r="895" spans="2:21" x14ac:dyDescent="0.2">
      <c r="B895" s="8">
        <f t="shared" si="59"/>
        <v>208</v>
      </c>
      <c r="C895" s="24"/>
      <c r="D895" s="24"/>
      <c r="E895" s="24"/>
      <c r="F895" s="149" t="s">
        <v>197</v>
      </c>
      <c r="G895" s="150">
        <v>610</v>
      </c>
      <c r="H895" s="24" t="s">
        <v>141</v>
      </c>
      <c r="I895" s="25">
        <v>123403</v>
      </c>
      <c r="J895" s="25">
        <v>98233</v>
      </c>
      <c r="K895" s="25">
        <v>98003</v>
      </c>
      <c r="L895" s="26">
        <v>84006</v>
      </c>
      <c r="M895" s="26">
        <v>76488</v>
      </c>
      <c r="N895" s="501"/>
      <c r="O895" s="25"/>
      <c r="P895" s="25"/>
      <c r="Q895" s="25"/>
      <c r="R895" s="26"/>
      <c r="S895" s="26"/>
      <c r="T895" s="501"/>
      <c r="U895" s="151">
        <f t="shared" si="58"/>
        <v>123403</v>
      </c>
    </row>
    <row r="896" spans="2:21" x14ac:dyDescent="0.2">
      <c r="B896" s="8">
        <f t="shared" si="59"/>
        <v>209</v>
      </c>
      <c r="C896" s="24"/>
      <c r="D896" s="24"/>
      <c r="E896" s="24"/>
      <c r="F896" s="149" t="s">
        <v>197</v>
      </c>
      <c r="G896" s="150">
        <v>620</v>
      </c>
      <c r="H896" s="24" t="s">
        <v>134</v>
      </c>
      <c r="I896" s="25">
        <v>46883</v>
      </c>
      <c r="J896" s="25">
        <v>36404</v>
      </c>
      <c r="K896" s="25">
        <v>36498</v>
      </c>
      <c r="L896" s="26">
        <v>28904</v>
      </c>
      <c r="M896" s="26">
        <v>27999</v>
      </c>
      <c r="N896" s="501"/>
      <c r="O896" s="25"/>
      <c r="P896" s="25"/>
      <c r="Q896" s="25"/>
      <c r="R896" s="26"/>
      <c r="S896" s="26"/>
      <c r="T896" s="501"/>
      <c r="U896" s="151">
        <f t="shared" si="58"/>
        <v>46883</v>
      </c>
    </row>
    <row r="897" spans="2:21" x14ac:dyDescent="0.2">
      <c r="B897" s="8">
        <f t="shared" si="59"/>
        <v>210</v>
      </c>
      <c r="C897" s="24"/>
      <c r="D897" s="24"/>
      <c r="E897" s="24"/>
      <c r="F897" s="149" t="s">
        <v>197</v>
      </c>
      <c r="G897" s="150">
        <v>630</v>
      </c>
      <c r="H897" s="24" t="s">
        <v>131</v>
      </c>
      <c r="I897" s="25">
        <f>SUM(I898:I902)</f>
        <v>49838</v>
      </c>
      <c r="J897" s="25">
        <f>J902+J901+J900+J899+J898</f>
        <v>39182</v>
      </c>
      <c r="K897" s="25">
        <f>K902+K901+K900+K899+K898</f>
        <v>40433</v>
      </c>
      <c r="L897" s="26">
        <f>L902+L901+L900+L899+L898</f>
        <v>34317</v>
      </c>
      <c r="M897" s="26">
        <f>M902+M901+M900+M899+M898</f>
        <v>26100</v>
      </c>
      <c r="N897" s="501"/>
      <c r="O897" s="25"/>
      <c r="P897" s="25"/>
      <c r="Q897" s="25"/>
      <c r="R897" s="26"/>
      <c r="S897" s="26"/>
      <c r="T897" s="501"/>
      <c r="U897" s="151">
        <f t="shared" si="58"/>
        <v>49838</v>
      </c>
    </row>
    <row r="898" spans="2:21" x14ac:dyDescent="0.2">
      <c r="B898" s="8">
        <f t="shared" si="59"/>
        <v>211</v>
      </c>
      <c r="C898" s="18"/>
      <c r="D898" s="18"/>
      <c r="E898" s="18"/>
      <c r="F898" s="152"/>
      <c r="G898" s="153">
        <v>632</v>
      </c>
      <c r="H898" s="18" t="s">
        <v>144</v>
      </c>
      <c r="I898" s="19">
        <v>650</v>
      </c>
      <c r="J898" s="19">
        <v>600</v>
      </c>
      <c r="K898" s="19">
        <v>600</v>
      </c>
      <c r="L898" s="20">
        <v>550</v>
      </c>
      <c r="M898" s="20">
        <v>522</v>
      </c>
      <c r="N898" s="164"/>
      <c r="O898" s="19"/>
      <c r="P898" s="19"/>
      <c r="Q898" s="19"/>
      <c r="R898" s="20"/>
      <c r="S898" s="20"/>
      <c r="T898" s="164"/>
      <c r="U898" s="154">
        <f t="shared" si="58"/>
        <v>650</v>
      </c>
    </row>
    <row r="899" spans="2:21" x14ac:dyDescent="0.2">
      <c r="B899" s="8">
        <f t="shared" si="59"/>
        <v>212</v>
      </c>
      <c r="C899" s="18"/>
      <c r="D899" s="18"/>
      <c r="E899" s="18"/>
      <c r="F899" s="152"/>
      <c r="G899" s="153">
        <v>633</v>
      </c>
      <c r="H899" s="18" t="s">
        <v>135</v>
      </c>
      <c r="I899" s="19">
        <f>16456-2623</f>
        <v>13833</v>
      </c>
      <c r="J899" s="19">
        <v>8922</v>
      </c>
      <c r="K899" s="19">
        <v>10314</v>
      </c>
      <c r="L899" s="20">
        <v>10523</v>
      </c>
      <c r="M899" s="20">
        <v>9727</v>
      </c>
      <c r="N899" s="164"/>
      <c r="O899" s="19"/>
      <c r="P899" s="19"/>
      <c r="Q899" s="19"/>
      <c r="R899" s="20"/>
      <c r="S899" s="20"/>
      <c r="T899" s="164"/>
      <c r="U899" s="154">
        <f t="shared" si="58"/>
        <v>13833</v>
      </c>
    </row>
    <row r="900" spans="2:21" x14ac:dyDescent="0.2">
      <c r="B900" s="8">
        <f t="shared" ref="B900:B959" si="60">B899+1</f>
        <v>213</v>
      </c>
      <c r="C900" s="18"/>
      <c r="D900" s="18"/>
      <c r="E900" s="18"/>
      <c r="F900" s="152"/>
      <c r="G900" s="153">
        <v>635</v>
      </c>
      <c r="H900" s="18" t="s">
        <v>143</v>
      </c>
      <c r="I900" s="19">
        <v>1700</v>
      </c>
      <c r="J900" s="19">
        <v>2000</v>
      </c>
      <c r="K900" s="19">
        <v>1700</v>
      </c>
      <c r="L900" s="20">
        <v>1894</v>
      </c>
      <c r="M900" s="20">
        <v>1911</v>
      </c>
      <c r="N900" s="164"/>
      <c r="O900" s="19"/>
      <c r="P900" s="19"/>
      <c r="Q900" s="19"/>
      <c r="R900" s="20"/>
      <c r="S900" s="20"/>
      <c r="T900" s="164"/>
      <c r="U900" s="154">
        <f t="shared" si="58"/>
        <v>1700</v>
      </c>
    </row>
    <row r="901" spans="2:21" x14ac:dyDescent="0.2">
      <c r="B901" s="8">
        <f t="shared" si="60"/>
        <v>214</v>
      </c>
      <c r="C901" s="18"/>
      <c r="D901" s="18"/>
      <c r="E901" s="18"/>
      <c r="F901" s="152"/>
      <c r="G901" s="153">
        <v>636</v>
      </c>
      <c r="H901" s="18" t="s">
        <v>136</v>
      </c>
      <c r="I901" s="19">
        <v>28000</v>
      </c>
      <c r="J901" s="19">
        <v>22980</v>
      </c>
      <c r="K901" s="19">
        <v>22980</v>
      </c>
      <c r="L901" s="20">
        <v>18953</v>
      </c>
      <c r="M901" s="20">
        <v>12158</v>
      </c>
      <c r="N901" s="164"/>
      <c r="O901" s="19"/>
      <c r="P901" s="19"/>
      <c r="Q901" s="19"/>
      <c r="R901" s="20"/>
      <c r="S901" s="20"/>
      <c r="T901" s="164"/>
      <c r="U901" s="154">
        <f t="shared" si="58"/>
        <v>28000</v>
      </c>
    </row>
    <row r="902" spans="2:21" x14ac:dyDescent="0.2">
      <c r="B902" s="8">
        <f t="shared" si="60"/>
        <v>215</v>
      </c>
      <c r="C902" s="18"/>
      <c r="D902" s="18"/>
      <c r="E902" s="18"/>
      <c r="F902" s="152"/>
      <c r="G902" s="153">
        <v>637</v>
      </c>
      <c r="H902" s="18" t="s">
        <v>132</v>
      </c>
      <c r="I902" s="19">
        <v>5655</v>
      </c>
      <c r="J902" s="19">
        <v>4680</v>
      </c>
      <c r="K902" s="19">
        <v>4839</v>
      </c>
      <c r="L902" s="20">
        <v>2397</v>
      </c>
      <c r="M902" s="20">
        <v>1782</v>
      </c>
      <c r="N902" s="164"/>
      <c r="O902" s="19"/>
      <c r="P902" s="19"/>
      <c r="Q902" s="19"/>
      <c r="R902" s="20"/>
      <c r="S902" s="20"/>
      <c r="T902" s="164"/>
      <c r="U902" s="154">
        <f t="shared" si="58"/>
        <v>5655</v>
      </c>
    </row>
    <row r="903" spans="2:21" x14ac:dyDescent="0.2">
      <c r="B903" s="8">
        <f t="shared" si="60"/>
        <v>216</v>
      </c>
      <c r="C903" s="24"/>
      <c r="D903" s="24"/>
      <c r="E903" s="24"/>
      <c r="F903" s="149" t="s">
        <v>197</v>
      </c>
      <c r="G903" s="150">
        <v>640</v>
      </c>
      <c r="H903" s="24" t="s">
        <v>139</v>
      </c>
      <c r="I903" s="25">
        <v>3826</v>
      </c>
      <c r="J903" s="25">
        <v>450</v>
      </c>
      <c r="K903" s="25">
        <v>950</v>
      </c>
      <c r="L903" s="26">
        <v>485</v>
      </c>
      <c r="M903" s="26">
        <v>2399</v>
      </c>
      <c r="N903" s="501"/>
      <c r="O903" s="25"/>
      <c r="P903" s="25"/>
      <c r="Q903" s="25"/>
      <c r="R903" s="26"/>
      <c r="S903" s="26"/>
      <c r="T903" s="501"/>
      <c r="U903" s="151">
        <f t="shared" si="58"/>
        <v>3826</v>
      </c>
    </row>
    <row r="904" spans="2:21" x14ac:dyDescent="0.2">
      <c r="B904" s="8">
        <f t="shared" si="60"/>
        <v>217</v>
      </c>
      <c r="C904" s="280"/>
      <c r="D904" s="280"/>
      <c r="E904" s="280" t="s">
        <v>112</v>
      </c>
      <c r="F904" s="281"/>
      <c r="G904" s="281"/>
      <c r="H904" s="280" t="s">
        <v>113</v>
      </c>
      <c r="I904" s="282">
        <f>I905+I906+I907+I914</f>
        <v>635226</v>
      </c>
      <c r="J904" s="282">
        <f>J915+J914+J907+J906+J905</f>
        <v>535852</v>
      </c>
      <c r="K904" s="282">
        <f>K915+K914+K907+K906+K905</f>
        <v>541735</v>
      </c>
      <c r="L904" s="283">
        <f>L915+L914+L907+L906+L905</f>
        <v>426485</v>
      </c>
      <c r="M904" s="283">
        <f>M915+M914+M907+M906+M905</f>
        <v>365164</v>
      </c>
      <c r="N904" s="501"/>
      <c r="O904" s="282">
        <f>O915</f>
        <v>22000</v>
      </c>
      <c r="P904" s="282"/>
      <c r="Q904" s="282">
        <f>Q915+Q914+Q907+Q906+Q905</f>
        <v>2000</v>
      </c>
      <c r="R904" s="283">
        <f>R915</f>
        <v>15957</v>
      </c>
      <c r="S904" s="283">
        <f>S915</f>
        <v>51988</v>
      </c>
      <c r="T904" s="501"/>
      <c r="U904" s="284">
        <f t="shared" si="58"/>
        <v>657226</v>
      </c>
    </row>
    <row r="905" spans="2:21" x14ac:dyDescent="0.2">
      <c r="B905" s="8">
        <f t="shared" si="60"/>
        <v>218</v>
      </c>
      <c r="C905" s="24"/>
      <c r="D905" s="24"/>
      <c r="E905" s="24"/>
      <c r="F905" s="149" t="s">
        <v>197</v>
      </c>
      <c r="G905" s="150">
        <v>610</v>
      </c>
      <c r="H905" s="24" t="s">
        <v>141</v>
      </c>
      <c r="I905" s="25">
        <v>358620</v>
      </c>
      <c r="J905" s="25">
        <v>301774</v>
      </c>
      <c r="K905" s="25">
        <v>300774</v>
      </c>
      <c r="L905" s="26">
        <v>248042</v>
      </c>
      <c r="M905" s="26">
        <v>215082</v>
      </c>
      <c r="N905" s="501"/>
      <c r="O905" s="25"/>
      <c r="P905" s="25"/>
      <c r="Q905" s="25"/>
      <c r="R905" s="26"/>
      <c r="S905" s="26"/>
      <c r="T905" s="501"/>
      <c r="U905" s="151">
        <f t="shared" si="58"/>
        <v>358620</v>
      </c>
    </row>
    <row r="906" spans="2:21" x14ac:dyDescent="0.2">
      <c r="B906" s="8">
        <f t="shared" si="60"/>
        <v>219</v>
      </c>
      <c r="C906" s="24"/>
      <c r="D906" s="24"/>
      <c r="E906" s="24"/>
      <c r="F906" s="149" t="s">
        <v>197</v>
      </c>
      <c r="G906" s="150">
        <v>620</v>
      </c>
      <c r="H906" s="24" t="s">
        <v>134</v>
      </c>
      <c r="I906" s="25">
        <v>132613</v>
      </c>
      <c r="J906" s="25">
        <v>113255</v>
      </c>
      <c r="K906" s="25">
        <v>113255</v>
      </c>
      <c r="L906" s="26">
        <v>90236</v>
      </c>
      <c r="M906" s="26">
        <v>79872</v>
      </c>
      <c r="N906" s="501"/>
      <c r="O906" s="25"/>
      <c r="P906" s="25"/>
      <c r="Q906" s="25"/>
      <c r="R906" s="26"/>
      <c r="S906" s="26"/>
      <c r="T906" s="501"/>
      <c r="U906" s="151">
        <f t="shared" si="58"/>
        <v>132613</v>
      </c>
    </row>
    <row r="907" spans="2:21" x14ac:dyDescent="0.2">
      <c r="B907" s="8">
        <f t="shared" si="60"/>
        <v>220</v>
      </c>
      <c r="C907" s="24"/>
      <c r="D907" s="24"/>
      <c r="E907" s="24"/>
      <c r="F907" s="149" t="s">
        <v>197</v>
      </c>
      <c r="G907" s="150">
        <v>630</v>
      </c>
      <c r="H907" s="24" t="s">
        <v>131</v>
      </c>
      <c r="I907" s="25">
        <f>SUM(I908:I913)</f>
        <v>143543</v>
      </c>
      <c r="J907" s="25">
        <f>J913+J912+J911+J910+J909+J908</f>
        <v>120373</v>
      </c>
      <c r="K907" s="25">
        <f>K913+K912+K911+K910+K909+K908</f>
        <v>126256</v>
      </c>
      <c r="L907" s="26">
        <f>L913+L912+L911+L910+L909+L908</f>
        <v>85466</v>
      </c>
      <c r="M907" s="26">
        <f>M913+M912+M911+M910+M909+M908</f>
        <v>67276</v>
      </c>
      <c r="N907" s="501"/>
      <c r="O907" s="25"/>
      <c r="P907" s="25"/>
      <c r="Q907" s="25"/>
      <c r="R907" s="26"/>
      <c r="S907" s="26"/>
      <c r="T907" s="501"/>
      <c r="U907" s="151">
        <f t="shared" si="58"/>
        <v>143543</v>
      </c>
    </row>
    <row r="908" spans="2:21" x14ac:dyDescent="0.2">
      <c r="B908" s="8">
        <f t="shared" si="60"/>
        <v>221</v>
      </c>
      <c r="C908" s="18"/>
      <c r="D908" s="18"/>
      <c r="E908" s="18"/>
      <c r="F908" s="152"/>
      <c r="G908" s="153">
        <v>631</v>
      </c>
      <c r="H908" s="18" t="s">
        <v>137</v>
      </c>
      <c r="I908" s="19">
        <v>0</v>
      </c>
      <c r="J908" s="19">
        <v>100</v>
      </c>
      <c r="K908" s="19">
        <v>100</v>
      </c>
      <c r="L908" s="20">
        <v>0</v>
      </c>
      <c r="M908" s="20"/>
      <c r="N908" s="164"/>
      <c r="O908" s="19"/>
      <c r="P908" s="19"/>
      <c r="Q908" s="19"/>
      <c r="R908" s="20"/>
      <c r="S908" s="20"/>
      <c r="T908" s="164"/>
      <c r="U908" s="154">
        <f t="shared" si="58"/>
        <v>0</v>
      </c>
    </row>
    <row r="909" spans="2:21" x14ac:dyDescent="0.2">
      <c r="B909" s="8">
        <f t="shared" si="60"/>
        <v>222</v>
      </c>
      <c r="C909" s="18"/>
      <c r="D909" s="18"/>
      <c r="E909" s="18"/>
      <c r="F909" s="152"/>
      <c r="G909" s="153">
        <v>632</v>
      </c>
      <c r="H909" s="18" t="s">
        <v>144</v>
      </c>
      <c r="I909" s="19">
        <v>44595</v>
      </c>
      <c r="J909" s="19">
        <v>53136</v>
      </c>
      <c r="K909" s="19">
        <v>53136</v>
      </c>
      <c r="L909" s="20">
        <v>10689</v>
      </c>
      <c r="M909" s="20">
        <v>7761</v>
      </c>
      <c r="N909" s="164"/>
      <c r="O909" s="19"/>
      <c r="P909" s="19"/>
      <c r="Q909" s="19"/>
      <c r="R909" s="20"/>
      <c r="S909" s="20"/>
      <c r="T909" s="164"/>
      <c r="U909" s="154">
        <f t="shared" si="58"/>
        <v>44595</v>
      </c>
    </row>
    <row r="910" spans="2:21" x14ac:dyDescent="0.2">
      <c r="B910" s="8">
        <f t="shared" si="60"/>
        <v>223</v>
      </c>
      <c r="C910" s="18"/>
      <c r="D910" s="18"/>
      <c r="E910" s="18"/>
      <c r="F910" s="152"/>
      <c r="G910" s="153">
        <v>633</v>
      </c>
      <c r="H910" s="18" t="s">
        <v>135</v>
      </c>
      <c r="I910" s="19">
        <f>60306-3923</f>
        <v>56383</v>
      </c>
      <c r="J910" s="19">
        <v>33423</v>
      </c>
      <c r="K910" s="19">
        <v>35671</v>
      </c>
      <c r="L910" s="20">
        <v>42134</v>
      </c>
      <c r="M910" s="20">
        <v>28724</v>
      </c>
      <c r="N910" s="164"/>
      <c r="O910" s="19"/>
      <c r="P910" s="19"/>
      <c r="Q910" s="19"/>
      <c r="R910" s="20"/>
      <c r="S910" s="20"/>
      <c r="T910" s="164"/>
      <c r="U910" s="154">
        <f t="shared" si="58"/>
        <v>56383</v>
      </c>
    </row>
    <row r="911" spans="2:21" x14ac:dyDescent="0.2">
      <c r="B911" s="8">
        <f t="shared" si="60"/>
        <v>224</v>
      </c>
      <c r="C911" s="18"/>
      <c r="D911" s="18"/>
      <c r="E911" s="18"/>
      <c r="F911" s="152"/>
      <c r="G911" s="153">
        <v>635</v>
      </c>
      <c r="H911" s="18" t="s">
        <v>143</v>
      </c>
      <c r="I911" s="19">
        <f>16300-4000</f>
        <v>12300</v>
      </c>
      <c r="J911" s="19">
        <v>9000</v>
      </c>
      <c r="K911" s="19">
        <v>12000</v>
      </c>
      <c r="L911" s="20">
        <v>14292</v>
      </c>
      <c r="M911" s="20">
        <v>15166</v>
      </c>
      <c r="N911" s="164"/>
      <c r="O911" s="19"/>
      <c r="P911" s="19"/>
      <c r="Q911" s="19"/>
      <c r="R911" s="20"/>
      <c r="S911" s="20"/>
      <c r="T911" s="164"/>
      <c r="U911" s="154">
        <f t="shared" si="58"/>
        <v>12300</v>
      </c>
    </row>
    <row r="912" spans="2:21" x14ac:dyDescent="0.2">
      <c r="B912" s="8">
        <f t="shared" si="60"/>
        <v>225</v>
      </c>
      <c r="C912" s="18"/>
      <c r="D912" s="18"/>
      <c r="E912" s="18"/>
      <c r="F912" s="152"/>
      <c r="G912" s="153">
        <v>636</v>
      </c>
      <c r="H912" s="18" t="s">
        <v>136</v>
      </c>
      <c r="I912" s="19">
        <v>10000</v>
      </c>
      <c r="J912" s="19">
        <v>8000</v>
      </c>
      <c r="K912" s="19">
        <v>8000</v>
      </c>
      <c r="L912" s="20">
        <v>7057</v>
      </c>
      <c r="M912" s="20">
        <v>5270</v>
      </c>
      <c r="N912" s="164"/>
      <c r="O912" s="19"/>
      <c r="P912" s="19"/>
      <c r="Q912" s="19"/>
      <c r="R912" s="20"/>
      <c r="S912" s="20"/>
      <c r="T912" s="164"/>
      <c r="U912" s="154">
        <f t="shared" si="58"/>
        <v>10000</v>
      </c>
    </row>
    <row r="913" spans="2:21" x14ac:dyDescent="0.2">
      <c r="B913" s="8">
        <f t="shared" si="60"/>
        <v>226</v>
      </c>
      <c r="C913" s="18"/>
      <c r="D913" s="18"/>
      <c r="E913" s="18"/>
      <c r="F913" s="152"/>
      <c r="G913" s="153">
        <v>637</v>
      </c>
      <c r="H913" s="18" t="s">
        <v>132</v>
      </c>
      <c r="I913" s="19">
        <v>20265</v>
      </c>
      <c r="J913" s="19">
        <v>16714</v>
      </c>
      <c r="K913" s="19">
        <v>17349</v>
      </c>
      <c r="L913" s="20">
        <v>11294</v>
      </c>
      <c r="M913" s="20">
        <v>10355</v>
      </c>
      <c r="N913" s="164"/>
      <c r="O913" s="19"/>
      <c r="P913" s="19"/>
      <c r="Q913" s="19"/>
      <c r="R913" s="20"/>
      <c r="S913" s="20"/>
      <c r="T913" s="164"/>
      <c r="U913" s="154">
        <f t="shared" si="58"/>
        <v>20265</v>
      </c>
    </row>
    <row r="914" spans="2:21" x14ac:dyDescent="0.2">
      <c r="B914" s="8">
        <f t="shared" si="60"/>
        <v>227</v>
      </c>
      <c r="C914" s="24"/>
      <c r="D914" s="24"/>
      <c r="E914" s="24"/>
      <c r="F914" s="149" t="s">
        <v>197</v>
      </c>
      <c r="G914" s="150">
        <v>640</v>
      </c>
      <c r="H914" s="24" t="s">
        <v>139</v>
      </c>
      <c r="I914" s="25">
        <v>450</v>
      </c>
      <c r="J914" s="25">
        <v>450</v>
      </c>
      <c r="K914" s="25">
        <v>1450</v>
      </c>
      <c r="L914" s="26">
        <v>2741</v>
      </c>
      <c r="M914" s="26">
        <v>2934</v>
      </c>
      <c r="N914" s="501"/>
      <c r="O914" s="25"/>
      <c r="P914" s="25"/>
      <c r="Q914" s="25"/>
      <c r="R914" s="26"/>
      <c r="S914" s="26"/>
      <c r="T914" s="501"/>
      <c r="U914" s="151">
        <f t="shared" si="58"/>
        <v>450</v>
      </c>
    </row>
    <row r="915" spans="2:21" x14ac:dyDescent="0.2">
      <c r="B915" s="8">
        <f t="shared" si="60"/>
        <v>228</v>
      </c>
      <c r="C915" s="24"/>
      <c r="D915" s="24"/>
      <c r="E915" s="24"/>
      <c r="F915" s="149" t="s">
        <v>197</v>
      </c>
      <c r="G915" s="150">
        <v>710</v>
      </c>
      <c r="H915" s="24" t="s">
        <v>185</v>
      </c>
      <c r="I915" s="25"/>
      <c r="J915" s="25"/>
      <c r="K915" s="25"/>
      <c r="L915" s="26"/>
      <c r="M915" s="26"/>
      <c r="N915" s="501"/>
      <c r="O915" s="25">
        <f>O916</f>
        <v>22000</v>
      </c>
      <c r="P915" s="25"/>
      <c r="Q915" s="25">
        <f t="shared" ref="Q915:S916" si="61">Q916</f>
        <v>2000</v>
      </c>
      <c r="R915" s="26">
        <f t="shared" si="61"/>
        <v>15957</v>
      </c>
      <c r="S915" s="26">
        <f t="shared" si="61"/>
        <v>51988</v>
      </c>
      <c r="T915" s="501"/>
      <c r="U915" s="151">
        <f t="shared" si="58"/>
        <v>22000</v>
      </c>
    </row>
    <row r="916" spans="2:21" x14ac:dyDescent="0.2">
      <c r="B916" s="8">
        <f t="shared" si="60"/>
        <v>229</v>
      </c>
      <c r="C916" s="18"/>
      <c r="D916" s="18"/>
      <c r="E916" s="18"/>
      <c r="F916" s="152"/>
      <c r="G916" s="153">
        <v>717</v>
      </c>
      <c r="H916" s="18" t="s">
        <v>192</v>
      </c>
      <c r="I916" s="19"/>
      <c r="J916" s="19"/>
      <c r="K916" s="19"/>
      <c r="L916" s="20"/>
      <c r="M916" s="20"/>
      <c r="N916" s="164"/>
      <c r="O916" s="19">
        <f>O918</f>
        <v>22000</v>
      </c>
      <c r="P916" s="19"/>
      <c r="Q916" s="19">
        <f>SUM(Q918:Q919)</f>
        <v>2000</v>
      </c>
      <c r="R916" s="20">
        <f>SUM(R917:R919)</f>
        <v>15957</v>
      </c>
      <c r="S916" s="20">
        <f t="shared" si="61"/>
        <v>51988</v>
      </c>
      <c r="T916" s="164"/>
      <c r="U916" s="154">
        <f t="shared" si="58"/>
        <v>22000</v>
      </c>
    </row>
    <row r="917" spans="2:21" x14ac:dyDescent="0.2">
      <c r="B917" s="8">
        <f t="shared" si="60"/>
        <v>230</v>
      </c>
      <c r="C917" s="18"/>
      <c r="D917" s="18"/>
      <c r="E917" s="18"/>
      <c r="F917" s="152"/>
      <c r="G917" s="153"/>
      <c r="H917" s="156" t="s">
        <v>510</v>
      </c>
      <c r="I917" s="19"/>
      <c r="J917" s="19"/>
      <c r="K917" s="19"/>
      <c r="L917" s="20"/>
      <c r="M917" s="20"/>
      <c r="N917" s="164"/>
      <c r="O917" s="157"/>
      <c r="P917" s="157"/>
      <c r="Q917" s="157"/>
      <c r="R917" s="158"/>
      <c r="S917" s="158">
        <v>51988</v>
      </c>
      <c r="T917" s="164"/>
      <c r="U917" s="154">
        <f t="shared" si="58"/>
        <v>0</v>
      </c>
    </row>
    <row r="918" spans="2:21" x14ac:dyDescent="0.2">
      <c r="B918" s="8">
        <f t="shared" si="60"/>
        <v>231</v>
      </c>
      <c r="C918" s="18"/>
      <c r="D918" s="18"/>
      <c r="E918" s="18"/>
      <c r="F918" s="152"/>
      <c r="G918" s="153"/>
      <c r="H918" s="156" t="s">
        <v>558</v>
      </c>
      <c r="I918" s="19"/>
      <c r="J918" s="19"/>
      <c r="K918" s="19"/>
      <c r="L918" s="20"/>
      <c r="M918" s="20"/>
      <c r="N918" s="164"/>
      <c r="O918" s="157">
        <f>1000+21000</f>
        <v>22000</v>
      </c>
      <c r="P918" s="157"/>
      <c r="Q918" s="157">
        <v>2000</v>
      </c>
      <c r="R918" s="158"/>
      <c r="S918" s="158"/>
      <c r="T918" s="164"/>
      <c r="U918" s="154">
        <f t="shared" si="58"/>
        <v>22000</v>
      </c>
    </row>
    <row r="919" spans="2:21" x14ac:dyDescent="0.2">
      <c r="B919" s="8">
        <f t="shared" si="60"/>
        <v>232</v>
      </c>
      <c r="C919" s="18"/>
      <c r="D919" s="18"/>
      <c r="E919" s="18"/>
      <c r="F919" s="152"/>
      <c r="G919" s="153"/>
      <c r="H919" s="156" t="s">
        <v>781</v>
      </c>
      <c r="I919" s="19"/>
      <c r="J919" s="19"/>
      <c r="K919" s="19"/>
      <c r="L919" s="20"/>
      <c r="M919" s="20"/>
      <c r="N919" s="164"/>
      <c r="O919" s="157"/>
      <c r="P919" s="157"/>
      <c r="Q919" s="157"/>
      <c r="R919" s="158">
        <v>15957</v>
      </c>
      <c r="S919" s="158"/>
      <c r="T919" s="164"/>
      <c r="U919" s="154">
        <f t="shared" si="58"/>
        <v>0</v>
      </c>
    </row>
    <row r="920" spans="2:21" ht="15.75" x14ac:dyDescent="0.25">
      <c r="B920" s="8">
        <f t="shared" si="60"/>
        <v>233</v>
      </c>
      <c r="C920" s="141">
        <v>2</v>
      </c>
      <c r="D920" s="677" t="s">
        <v>191</v>
      </c>
      <c r="E920" s="678"/>
      <c r="F920" s="678"/>
      <c r="G920" s="678"/>
      <c r="H920" s="678"/>
      <c r="I920" s="142">
        <f>I921+I944+I974+I1002+I1032+I1068+I1108+I1139+I1170</f>
        <v>15469033</v>
      </c>
      <c r="J920" s="142">
        <f>J921+J931+J944+J974+J1002+J1032+J1068+J1108+J1139+J1170</f>
        <v>14444151</v>
      </c>
      <c r="K920" s="142">
        <f>K921+K931+K944+K974+K1002+K1032+K1068+K1108+K1139+K1170</f>
        <v>14921943</v>
      </c>
      <c r="L920" s="143">
        <f>L921+L931+L944+L974+L1002+L1032+L1068+L1108+L1139+L1170</f>
        <v>12587471</v>
      </c>
      <c r="M920" s="143">
        <f>M921+M931+M944+M974+M1002+M1032+M1068+M1108+M1139+M1170</f>
        <v>11231869</v>
      </c>
      <c r="N920" s="533"/>
      <c r="O920" s="142">
        <f>O931+O944+O974+O1002+O1032+O1068+O1108+O1139+O1170+O927</f>
        <v>2264461</v>
      </c>
      <c r="P920" s="142">
        <f>P931+P944+P974+P1002+P1032+P1068+P1108+P1139+P1170+P927</f>
        <v>1365600</v>
      </c>
      <c r="Q920" s="142">
        <f>Q931+Q944+Q974+Q1002+Q1032+Q1068+Q1108+Q1139+Q1170+Q927</f>
        <v>1561121</v>
      </c>
      <c r="R920" s="143">
        <f>R931+R944+R974+R1002+R1032+R1068+R1108+R1139+R1170</f>
        <v>391430</v>
      </c>
      <c r="S920" s="143">
        <f>S931+S944+S974+S1002+S1032+S1068+S1108+S1139+S1170</f>
        <v>331262</v>
      </c>
      <c r="T920" s="533"/>
      <c r="U920" s="144">
        <f t="shared" si="58"/>
        <v>17733494</v>
      </c>
    </row>
    <row r="921" spans="2:21" x14ac:dyDescent="0.2">
      <c r="B921" s="8">
        <f t="shared" si="60"/>
        <v>234</v>
      </c>
      <c r="C921" s="24"/>
      <c r="D921" s="24"/>
      <c r="E921" s="24"/>
      <c r="F921" s="149" t="s">
        <v>129</v>
      </c>
      <c r="G921" s="150">
        <v>630</v>
      </c>
      <c r="H921" s="24" t="s">
        <v>131</v>
      </c>
      <c r="I921" s="25">
        <f>SUM(I922:I925)</f>
        <v>68000</v>
      </c>
      <c r="J921" s="25">
        <f>SUM(J922:J925)</f>
        <v>978790</v>
      </c>
      <c r="K921" s="25">
        <f>SUM(K922:K926)</f>
        <v>786473</v>
      </c>
      <c r="L921" s="26">
        <f>SUM(L922:L926)</f>
        <v>301</v>
      </c>
      <c r="M921" s="26"/>
      <c r="N921" s="501"/>
      <c r="O921" s="25"/>
      <c r="P921" s="25"/>
      <c r="Q921" s="25"/>
      <c r="R921" s="26"/>
      <c r="S921" s="26"/>
      <c r="T921" s="501"/>
      <c r="U921" s="151">
        <f t="shared" si="58"/>
        <v>68000</v>
      </c>
    </row>
    <row r="922" spans="2:21" x14ac:dyDescent="0.2">
      <c r="B922" s="8">
        <f t="shared" si="60"/>
        <v>235</v>
      </c>
      <c r="C922" s="24"/>
      <c r="D922" s="24"/>
      <c r="E922" s="24"/>
      <c r="F922" s="149"/>
      <c r="G922" s="153">
        <v>632</v>
      </c>
      <c r="H922" s="18" t="s">
        <v>144</v>
      </c>
      <c r="I922" s="19">
        <v>0</v>
      </c>
      <c r="J922" s="19">
        <v>932790</v>
      </c>
      <c r="K922" s="19">
        <v>770456</v>
      </c>
      <c r="L922" s="26"/>
      <c r="M922" s="26"/>
      <c r="N922" s="501"/>
      <c r="O922" s="25"/>
      <c r="P922" s="25"/>
      <c r="Q922" s="25"/>
      <c r="R922" s="26"/>
      <c r="S922" s="26"/>
      <c r="T922" s="501"/>
      <c r="U922" s="154">
        <f t="shared" si="58"/>
        <v>0</v>
      </c>
    </row>
    <row r="923" spans="2:21" x14ac:dyDescent="0.2">
      <c r="B923" s="8">
        <f t="shared" si="60"/>
        <v>236</v>
      </c>
      <c r="C923" s="24"/>
      <c r="D923" s="24"/>
      <c r="E923" s="24"/>
      <c r="F923" s="149"/>
      <c r="G923" s="153">
        <v>633</v>
      </c>
      <c r="H923" s="18" t="s">
        <v>135</v>
      </c>
      <c r="I923" s="19">
        <v>12000</v>
      </c>
      <c r="J923" s="19">
        <v>12000</v>
      </c>
      <c r="K923" s="19">
        <v>12000</v>
      </c>
      <c r="L923" s="20"/>
      <c r="M923" s="20"/>
      <c r="N923" s="501"/>
      <c r="O923" s="25"/>
      <c r="P923" s="25"/>
      <c r="Q923" s="25"/>
      <c r="R923" s="26"/>
      <c r="S923" s="26"/>
      <c r="T923" s="501"/>
      <c r="U923" s="154">
        <f t="shared" si="58"/>
        <v>12000</v>
      </c>
    </row>
    <row r="924" spans="2:21" x14ac:dyDescent="0.2">
      <c r="B924" s="8">
        <f t="shared" si="60"/>
        <v>237</v>
      </c>
      <c r="C924" s="18"/>
      <c r="D924" s="18"/>
      <c r="E924" s="18"/>
      <c r="F924" s="152"/>
      <c r="G924" s="153">
        <v>635</v>
      </c>
      <c r="H924" s="18" t="s">
        <v>143</v>
      </c>
      <c r="I924" s="19">
        <v>50000</v>
      </c>
      <c r="J924" s="19">
        <v>30000</v>
      </c>
      <c r="K924" s="19"/>
      <c r="L924" s="20"/>
      <c r="M924" s="20"/>
      <c r="N924" s="164"/>
      <c r="O924" s="19"/>
      <c r="P924" s="19"/>
      <c r="Q924" s="19"/>
      <c r="R924" s="20"/>
      <c r="S924" s="20"/>
      <c r="T924" s="164"/>
      <c r="U924" s="154">
        <f t="shared" si="58"/>
        <v>50000</v>
      </c>
    </row>
    <row r="925" spans="2:21" x14ac:dyDescent="0.2">
      <c r="B925" s="8">
        <f t="shared" si="60"/>
        <v>238</v>
      </c>
      <c r="C925" s="18"/>
      <c r="D925" s="18"/>
      <c r="E925" s="18"/>
      <c r="F925" s="152"/>
      <c r="G925" s="153">
        <v>637</v>
      </c>
      <c r="H925" s="18" t="s">
        <v>132</v>
      </c>
      <c r="I925" s="19">
        <v>6000</v>
      </c>
      <c r="J925" s="19">
        <v>4000</v>
      </c>
      <c r="K925" s="19">
        <v>4000</v>
      </c>
      <c r="L925" s="20"/>
      <c r="M925" s="20"/>
      <c r="N925" s="164"/>
      <c r="O925" s="19"/>
      <c r="P925" s="19"/>
      <c r="Q925" s="19"/>
      <c r="R925" s="20"/>
      <c r="S925" s="20"/>
      <c r="T925" s="164"/>
      <c r="U925" s="154">
        <f t="shared" si="58"/>
        <v>6000</v>
      </c>
    </row>
    <row r="926" spans="2:21" x14ac:dyDescent="0.2">
      <c r="B926" s="8">
        <f t="shared" si="60"/>
        <v>239</v>
      </c>
      <c r="C926" s="18"/>
      <c r="D926" s="18"/>
      <c r="E926" s="18"/>
      <c r="F926" s="152"/>
      <c r="G926" s="153">
        <v>637</v>
      </c>
      <c r="H926" s="18" t="s">
        <v>534</v>
      </c>
      <c r="I926" s="19"/>
      <c r="J926" s="19"/>
      <c r="K926" s="19">
        <v>17</v>
      </c>
      <c r="L926" s="20">
        <v>301</v>
      </c>
      <c r="M926" s="20"/>
      <c r="N926" s="164"/>
      <c r="O926" s="19"/>
      <c r="P926" s="19"/>
      <c r="Q926" s="19"/>
      <c r="R926" s="20"/>
      <c r="S926" s="20"/>
      <c r="T926" s="164"/>
      <c r="U926" s="154">
        <f t="shared" si="58"/>
        <v>0</v>
      </c>
    </row>
    <row r="927" spans="2:21" x14ac:dyDescent="0.2">
      <c r="B927" s="8">
        <f t="shared" si="60"/>
        <v>240</v>
      </c>
      <c r="C927" s="18"/>
      <c r="D927" s="18"/>
      <c r="E927" s="18"/>
      <c r="F927" s="149" t="s">
        <v>129</v>
      </c>
      <c r="G927" s="150">
        <v>710</v>
      </c>
      <c r="H927" s="24" t="s">
        <v>185</v>
      </c>
      <c r="I927" s="19"/>
      <c r="J927" s="19"/>
      <c r="K927" s="19"/>
      <c r="L927" s="20"/>
      <c r="M927" s="20"/>
      <c r="N927" s="164"/>
      <c r="O927" s="19"/>
      <c r="P927" s="25">
        <f>P928</f>
        <v>100000</v>
      </c>
      <c r="Q927" s="25">
        <f>Q928+Q930</f>
        <v>103245</v>
      </c>
      <c r="R927" s="20"/>
      <c r="S927" s="20"/>
      <c r="T927" s="164"/>
      <c r="U927" s="154">
        <f t="shared" si="58"/>
        <v>0</v>
      </c>
    </row>
    <row r="928" spans="2:21" x14ac:dyDescent="0.2">
      <c r="B928" s="8">
        <f t="shared" si="60"/>
        <v>241</v>
      </c>
      <c r="C928" s="18"/>
      <c r="D928" s="18"/>
      <c r="E928" s="18"/>
      <c r="F928" s="152"/>
      <c r="G928" s="153">
        <v>717</v>
      </c>
      <c r="H928" s="18" t="s">
        <v>192</v>
      </c>
      <c r="I928" s="19"/>
      <c r="J928" s="19"/>
      <c r="K928" s="19"/>
      <c r="L928" s="20"/>
      <c r="M928" s="20"/>
      <c r="N928" s="164"/>
      <c r="O928" s="19"/>
      <c r="P928" s="19">
        <f>P929</f>
        <v>100000</v>
      </c>
      <c r="Q928" s="19">
        <f>Q929</f>
        <v>100000</v>
      </c>
      <c r="R928" s="20"/>
      <c r="S928" s="20"/>
      <c r="T928" s="164"/>
      <c r="U928" s="154">
        <f t="shared" si="58"/>
        <v>0</v>
      </c>
    </row>
    <row r="929" spans="2:21" ht="24" x14ac:dyDescent="0.2">
      <c r="B929" s="8">
        <f t="shared" si="60"/>
        <v>242</v>
      </c>
      <c r="C929" s="18"/>
      <c r="D929" s="18"/>
      <c r="E929" s="18"/>
      <c r="F929" s="152"/>
      <c r="G929" s="153"/>
      <c r="H929" s="371" t="s">
        <v>912</v>
      </c>
      <c r="I929" s="19"/>
      <c r="J929" s="19"/>
      <c r="K929" s="19"/>
      <c r="L929" s="20"/>
      <c r="M929" s="20"/>
      <c r="N929" s="164"/>
      <c r="O929" s="19"/>
      <c r="P929" s="372">
        <v>100000</v>
      </c>
      <c r="Q929" s="169">
        <v>100000</v>
      </c>
      <c r="R929" s="20"/>
      <c r="S929" s="20"/>
      <c r="T929" s="164"/>
      <c r="U929" s="154">
        <f t="shared" si="58"/>
        <v>0</v>
      </c>
    </row>
    <row r="930" spans="2:21" x14ac:dyDescent="0.2">
      <c r="B930" s="8">
        <f t="shared" si="60"/>
        <v>243</v>
      </c>
      <c r="C930" s="18"/>
      <c r="D930" s="18"/>
      <c r="E930" s="18"/>
      <c r="F930" s="152"/>
      <c r="G930" s="153">
        <v>719</v>
      </c>
      <c r="H930" s="371" t="s">
        <v>963</v>
      </c>
      <c r="I930" s="19"/>
      <c r="J930" s="19"/>
      <c r="K930" s="19"/>
      <c r="L930" s="20"/>
      <c r="M930" s="20"/>
      <c r="N930" s="164"/>
      <c r="O930" s="19"/>
      <c r="P930" s="372"/>
      <c r="Q930" s="169">
        <v>3245</v>
      </c>
      <c r="R930" s="20"/>
      <c r="S930" s="20"/>
      <c r="T930" s="164"/>
      <c r="U930" s="154">
        <f t="shared" si="58"/>
        <v>0</v>
      </c>
    </row>
    <row r="931" spans="2:21" ht="14.25" x14ac:dyDescent="0.2">
      <c r="B931" s="8">
        <f t="shared" si="60"/>
        <v>244</v>
      </c>
      <c r="C931" s="267"/>
      <c r="D931" s="267"/>
      <c r="E931" s="267">
        <v>4</v>
      </c>
      <c r="F931" s="268"/>
      <c r="G931" s="268"/>
      <c r="H931" s="267" t="s">
        <v>89</v>
      </c>
      <c r="I931" s="269"/>
      <c r="J931" s="269">
        <f>J932</f>
        <v>104199</v>
      </c>
      <c r="K931" s="269">
        <f>K932</f>
        <v>116171</v>
      </c>
      <c r="L931" s="270">
        <f>L932</f>
        <v>85058</v>
      </c>
      <c r="M931" s="270">
        <f>M932</f>
        <v>79899</v>
      </c>
      <c r="N931" s="534"/>
      <c r="O931" s="269"/>
      <c r="P931" s="269">
        <f>P932</f>
        <v>0</v>
      </c>
      <c r="Q931" s="269">
        <f>Q932</f>
        <v>0</v>
      </c>
      <c r="R931" s="270"/>
      <c r="S931" s="270"/>
      <c r="T931" s="534"/>
      <c r="U931" s="271">
        <f t="shared" si="58"/>
        <v>0</v>
      </c>
    </row>
    <row r="932" spans="2:21" x14ac:dyDescent="0.2">
      <c r="B932" s="8">
        <f t="shared" si="60"/>
        <v>245</v>
      </c>
      <c r="C932" s="280"/>
      <c r="D932" s="280"/>
      <c r="E932" s="280" t="s">
        <v>96</v>
      </c>
      <c r="F932" s="281"/>
      <c r="G932" s="281"/>
      <c r="H932" s="280" t="s">
        <v>97</v>
      </c>
      <c r="I932" s="282"/>
      <c r="J932" s="282">
        <f>J942+J935+J934+J933</f>
        <v>104199</v>
      </c>
      <c r="K932" s="282">
        <f>K942+K935+K934+K933+K943</f>
        <v>116171</v>
      </c>
      <c r="L932" s="283">
        <f>L942+L935+L934+L933+L943</f>
        <v>85058</v>
      </c>
      <c r="M932" s="283">
        <f>M942+M935+M934+M933</f>
        <v>79899</v>
      </c>
      <c r="N932" s="501"/>
      <c r="O932" s="282"/>
      <c r="P932" s="282"/>
      <c r="Q932" s="282"/>
      <c r="R932" s="283"/>
      <c r="S932" s="283"/>
      <c r="T932" s="501"/>
      <c r="U932" s="284">
        <f t="shared" si="58"/>
        <v>0</v>
      </c>
    </row>
    <row r="933" spans="2:21" x14ac:dyDescent="0.2">
      <c r="B933" s="8">
        <f t="shared" si="60"/>
        <v>246</v>
      </c>
      <c r="C933" s="24"/>
      <c r="D933" s="24"/>
      <c r="E933" s="24"/>
      <c r="F933" s="149" t="s">
        <v>129</v>
      </c>
      <c r="G933" s="150">
        <v>610</v>
      </c>
      <c r="H933" s="24" t="s">
        <v>141</v>
      </c>
      <c r="I933" s="25"/>
      <c r="J933" s="25">
        <v>55292</v>
      </c>
      <c r="K933" s="25">
        <v>39535</v>
      </c>
      <c r="L933" s="26">
        <v>54889</v>
      </c>
      <c r="M933" s="26">
        <v>51211</v>
      </c>
      <c r="N933" s="501"/>
      <c r="O933" s="25"/>
      <c r="P933" s="25"/>
      <c r="Q933" s="25"/>
      <c r="R933" s="26"/>
      <c r="S933" s="26"/>
      <c r="T933" s="501"/>
      <c r="U933" s="151">
        <f t="shared" si="58"/>
        <v>0</v>
      </c>
    </row>
    <row r="934" spans="2:21" x14ac:dyDescent="0.2">
      <c r="B934" s="8">
        <f t="shared" si="60"/>
        <v>247</v>
      </c>
      <c r="C934" s="24"/>
      <c r="D934" s="24"/>
      <c r="E934" s="24"/>
      <c r="F934" s="149" t="s">
        <v>129</v>
      </c>
      <c r="G934" s="150">
        <v>620</v>
      </c>
      <c r="H934" s="24" t="s">
        <v>134</v>
      </c>
      <c r="I934" s="25"/>
      <c r="J934" s="25">
        <v>22061</v>
      </c>
      <c r="K934" s="25">
        <v>23241</v>
      </c>
      <c r="L934" s="26">
        <v>19456</v>
      </c>
      <c r="M934" s="26">
        <v>18303</v>
      </c>
      <c r="N934" s="501"/>
      <c r="O934" s="25"/>
      <c r="P934" s="25"/>
      <c r="Q934" s="25"/>
      <c r="R934" s="26"/>
      <c r="S934" s="26"/>
      <c r="T934" s="501"/>
      <c r="U934" s="151">
        <f t="shared" si="58"/>
        <v>0</v>
      </c>
    </row>
    <row r="935" spans="2:21" x14ac:dyDescent="0.2">
      <c r="B935" s="8">
        <f t="shared" si="60"/>
        <v>248</v>
      </c>
      <c r="C935" s="24"/>
      <c r="D935" s="24"/>
      <c r="E935" s="24"/>
      <c r="F935" s="149" t="s">
        <v>129</v>
      </c>
      <c r="G935" s="150">
        <v>630</v>
      </c>
      <c r="H935" s="24" t="s">
        <v>131</v>
      </c>
      <c r="I935" s="25"/>
      <c r="J935" s="25">
        <f>J941+J940+J939+J938+J937+J936</f>
        <v>22027</v>
      </c>
      <c r="K935" s="25">
        <f>SUM(K936:K941)</f>
        <v>25732</v>
      </c>
      <c r="L935" s="26">
        <f>L941+L940+L939+L938+L937</f>
        <v>6389</v>
      </c>
      <c r="M935" s="26">
        <f>M941+M940+M939+M938+M937</f>
        <v>9777</v>
      </c>
      <c r="N935" s="501"/>
      <c r="O935" s="25"/>
      <c r="P935" s="25"/>
      <c r="Q935" s="25"/>
      <c r="R935" s="26"/>
      <c r="S935" s="26"/>
      <c r="T935" s="501"/>
      <c r="U935" s="151">
        <f t="shared" si="58"/>
        <v>0</v>
      </c>
    </row>
    <row r="936" spans="2:21" x14ac:dyDescent="0.2">
      <c r="B936" s="8">
        <f t="shared" si="60"/>
        <v>249</v>
      </c>
      <c r="C936" s="18"/>
      <c r="D936" s="18"/>
      <c r="E936" s="18"/>
      <c r="F936" s="152"/>
      <c r="G936" s="153">
        <v>631</v>
      </c>
      <c r="H936" s="18" t="s">
        <v>137</v>
      </c>
      <c r="I936" s="19"/>
      <c r="J936" s="19">
        <v>300</v>
      </c>
      <c r="K936" s="19">
        <v>300</v>
      </c>
      <c r="L936" s="20"/>
      <c r="M936" s="20"/>
      <c r="N936" s="164"/>
      <c r="O936" s="19"/>
      <c r="P936" s="19"/>
      <c r="Q936" s="19"/>
      <c r="R936" s="20"/>
      <c r="S936" s="20"/>
      <c r="T936" s="164"/>
      <c r="U936" s="154">
        <f t="shared" si="58"/>
        <v>0</v>
      </c>
    </row>
    <row r="937" spans="2:21" x14ac:dyDescent="0.2">
      <c r="B937" s="8">
        <f t="shared" si="60"/>
        <v>250</v>
      </c>
      <c r="C937" s="18"/>
      <c r="D937" s="18"/>
      <c r="E937" s="18"/>
      <c r="F937" s="152"/>
      <c r="G937" s="153">
        <v>632</v>
      </c>
      <c r="H937" s="18" t="s">
        <v>144</v>
      </c>
      <c r="I937" s="19"/>
      <c r="J937" s="19">
        <v>13665</v>
      </c>
      <c r="K937" s="19">
        <v>13665</v>
      </c>
      <c r="L937" s="20">
        <v>1906</v>
      </c>
      <c r="M937" s="20">
        <v>2667</v>
      </c>
      <c r="N937" s="164"/>
      <c r="O937" s="19"/>
      <c r="P937" s="19"/>
      <c r="Q937" s="19"/>
      <c r="R937" s="20"/>
      <c r="S937" s="20"/>
      <c r="T937" s="164"/>
      <c r="U937" s="154">
        <f t="shared" si="58"/>
        <v>0</v>
      </c>
    </row>
    <row r="938" spans="2:21" x14ac:dyDescent="0.2">
      <c r="B938" s="8">
        <f t="shared" si="60"/>
        <v>251</v>
      </c>
      <c r="C938" s="18"/>
      <c r="D938" s="18"/>
      <c r="E938" s="18"/>
      <c r="F938" s="152"/>
      <c r="G938" s="153">
        <v>633</v>
      </c>
      <c r="H938" s="18" t="s">
        <v>135</v>
      </c>
      <c r="I938" s="19"/>
      <c r="J938" s="19">
        <v>2545</v>
      </c>
      <c r="K938" s="19">
        <v>4562</v>
      </c>
      <c r="L938" s="20">
        <v>1615</v>
      </c>
      <c r="M938" s="20">
        <v>3053</v>
      </c>
      <c r="N938" s="164"/>
      <c r="O938" s="19"/>
      <c r="P938" s="19"/>
      <c r="Q938" s="19"/>
      <c r="R938" s="20"/>
      <c r="S938" s="20"/>
      <c r="T938" s="164"/>
      <c r="U938" s="154">
        <f t="shared" si="58"/>
        <v>0</v>
      </c>
    </row>
    <row r="939" spans="2:21" x14ac:dyDescent="0.2">
      <c r="B939" s="8">
        <f t="shared" si="60"/>
        <v>252</v>
      </c>
      <c r="C939" s="18"/>
      <c r="D939" s="18"/>
      <c r="E939" s="18"/>
      <c r="F939" s="152"/>
      <c r="G939" s="153">
        <v>634</v>
      </c>
      <c r="H939" s="18" t="s">
        <v>142</v>
      </c>
      <c r="I939" s="19"/>
      <c r="J939" s="19"/>
      <c r="K939" s="19"/>
      <c r="L939" s="20"/>
      <c r="M939" s="20"/>
      <c r="N939" s="164"/>
      <c r="O939" s="19"/>
      <c r="P939" s="19"/>
      <c r="Q939" s="19"/>
      <c r="R939" s="20"/>
      <c r="S939" s="20"/>
      <c r="T939" s="164"/>
      <c r="U939" s="154">
        <f t="shared" si="58"/>
        <v>0</v>
      </c>
    </row>
    <row r="940" spans="2:21" x14ac:dyDescent="0.2">
      <c r="B940" s="8">
        <f t="shared" si="60"/>
        <v>253</v>
      </c>
      <c r="C940" s="18"/>
      <c r="D940" s="18"/>
      <c r="E940" s="18"/>
      <c r="F940" s="152"/>
      <c r="G940" s="153">
        <v>635</v>
      </c>
      <c r="H940" s="18" t="s">
        <v>143</v>
      </c>
      <c r="I940" s="19"/>
      <c r="J940" s="19">
        <v>1000</v>
      </c>
      <c r="K940" s="19">
        <v>1000</v>
      </c>
      <c r="L940" s="20">
        <v>150</v>
      </c>
      <c r="M940" s="20">
        <v>76</v>
      </c>
      <c r="N940" s="164"/>
      <c r="O940" s="19"/>
      <c r="P940" s="19"/>
      <c r="Q940" s="19"/>
      <c r="R940" s="20"/>
      <c r="S940" s="20"/>
      <c r="T940" s="164"/>
      <c r="U940" s="154">
        <f t="shared" si="58"/>
        <v>0</v>
      </c>
    </row>
    <row r="941" spans="2:21" x14ac:dyDescent="0.2">
      <c r="B941" s="8">
        <f t="shared" si="60"/>
        <v>254</v>
      </c>
      <c r="C941" s="18"/>
      <c r="D941" s="18"/>
      <c r="E941" s="18"/>
      <c r="F941" s="152"/>
      <c r="G941" s="153">
        <v>637</v>
      </c>
      <c r="H941" s="18" t="s">
        <v>132</v>
      </c>
      <c r="I941" s="19"/>
      <c r="J941" s="19">
        <v>4517</v>
      </c>
      <c r="K941" s="19">
        <v>6205</v>
      </c>
      <c r="L941" s="20">
        <v>2718</v>
      </c>
      <c r="M941" s="20">
        <f>2162+233+1586</f>
        <v>3981</v>
      </c>
      <c r="N941" s="164"/>
      <c r="O941" s="19"/>
      <c r="P941" s="19"/>
      <c r="Q941" s="19"/>
      <c r="R941" s="20"/>
      <c r="S941" s="20"/>
      <c r="T941" s="164"/>
      <c r="U941" s="154">
        <f t="shared" si="58"/>
        <v>0</v>
      </c>
    </row>
    <row r="942" spans="2:21" x14ac:dyDescent="0.2">
      <c r="B942" s="8">
        <f t="shared" si="60"/>
        <v>255</v>
      </c>
      <c r="C942" s="24"/>
      <c r="D942" s="24"/>
      <c r="E942" s="24"/>
      <c r="F942" s="149" t="s">
        <v>129</v>
      </c>
      <c r="G942" s="150">
        <v>640</v>
      </c>
      <c r="H942" s="24" t="s">
        <v>139</v>
      </c>
      <c r="I942" s="25"/>
      <c r="J942" s="25">
        <v>4819</v>
      </c>
      <c r="K942" s="25">
        <v>23946</v>
      </c>
      <c r="L942" s="26">
        <v>483</v>
      </c>
      <c r="M942" s="26">
        <v>608</v>
      </c>
      <c r="N942" s="501"/>
      <c r="O942" s="25"/>
      <c r="P942" s="25"/>
      <c r="Q942" s="25"/>
      <c r="R942" s="26"/>
      <c r="S942" s="26"/>
      <c r="T942" s="501"/>
      <c r="U942" s="151">
        <f t="shared" si="58"/>
        <v>0</v>
      </c>
    </row>
    <row r="943" spans="2:21" x14ac:dyDescent="0.2">
      <c r="B943" s="8">
        <f t="shared" si="60"/>
        <v>256</v>
      </c>
      <c r="C943" s="24"/>
      <c r="D943" s="24"/>
      <c r="E943" s="24"/>
      <c r="F943" s="149"/>
      <c r="G943" s="150">
        <v>630</v>
      </c>
      <c r="H943" s="24" t="s">
        <v>534</v>
      </c>
      <c r="I943" s="25"/>
      <c r="J943" s="25"/>
      <c r="K943" s="25">
        <v>3717</v>
      </c>
      <c r="L943" s="26">
        <v>3841</v>
      </c>
      <c r="M943" s="26"/>
      <c r="N943" s="501"/>
      <c r="O943" s="25"/>
      <c r="P943" s="25"/>
      <c r="Q943" s="25"/>
      <c r="R943" s="26"/>
      <c r="S943" s="26"/>
      <c r="T943" s="501"/>
      <c r="U943" s="151">
        <f t="shared" si="58"/>
        <v>0</v>
      </c>
    </row>
    <row r="944" spans="2:21" ht="14.25" x14ac:dyDescent="0.2">
      <c r="B944" s="8">
        <f t="shared" si="60"/>
        <v>257</v>
      </c>
      <c r="C944" s="267"/>
      <c r="D944" s="267"/>
      <c r="E944" s="267">
        <v>6</v>
      </c>
      <c r="F944" s="268"/>
      <c r="G944" s="268"/>
      <c r="H944" s="267" t="s">
        <v>339</v>
      </c>
      <c r="I944" s="269">
        <f>I945+I946+I947+I954+I955+I956+I957+I964</f>
        <v>1355126</v>
      </c>
      <c r="J944" s="269">
        <f>J945+J946+J947+J954+J955+J956+J957+J964</f>
        <v>1169313</v>
      </c>
      <c r="K944" s="269">
        <f>K945+K946+K947+K954+K955+K956+K957+K964+K965</f>
        <v>1248393</v>
      </c>
      <c r="L944" s="270">
        <f>L945+L946+L947+L954+L955+L956+L957+L964+L965+L966</f>
        <v>1174243</v>
      </c>
      <c r="M944" s="270">
        <f>M945+M946+M947+M954+M955+M956+M957+M964</f>
        <v>1161286</v>
      </c>
      <c r="N944" s="534"/>
      <c r="O944" s="269">
        <f>O967</f>
        <v>21000</v>
      </c>
      <c r="P944" s="269"/>
      <c r="Q944" s="269"/>
      <c r="R944" s="270"/>
      <c r="S944" s="270">
        <f>S967</f>
        <v>53118</v>
      </c>
      <c r="T944" s="534"/>
      <c r="U944" s="271">
        <f t="shared" si="58"/>
        <v>1376126</v>
      </c>
    </row>
    <row r="945" spans="2:21" x14ac:dyDescent="0.2">
      <c r="B945" s="8">
        <f t="shared" si="60"/>
        <v>258</v>
      </c>
      <c r="C945" s="24"/>
      <c r="D945" s="24"/>
      <c r="E945" s="24"/>
      <c r="F945" s="149" t="s">
        <v>129</v>
      </c>
      <c r="G945" s="150">
        <v>610</v>
      </c>
      <c r="H945" s="24" t="s">
        <v>141</v>
      </c>
      <c r="I945" s="25">
        <v>312244</v>
      </c>
      <c r="J945" s="25">
        <v>290295</v>
      </c>
      <c r="K945" s="25">
        <v>305712</v>
      </c>
      <c r="L945" s="26">
        <v>278117</v>
      </c>
      <c r="M945" s="26">
        <v>286874</v>
      </c>
      <c r="N945" s="501"/>
      <c r="O945" s="25"/>
      <c r="P945" s="25"/>
      <c r="Q945" s="25"/>
      <c r="R945" s="26"/>
      <c r="S945" s="26"/>
      <c r="T945" s="501"/>
      <c r="U945" s="151">
        <f t="shared" si="58"/>
        <v>312244</v>
      </c>
    </row>
    <row r="946" spans="2:21" x14ac:dyDescent="0.2">
      <c r="B946" s="8">
        <f t="shared" si="60"/>
        <v>259</v>
      </c>
      <c r="C946" s="24"/>
      <c r="D946" s="24"/>
      <c r="E946" s="24"/>
      <c r="F946" s="149" t="s">
        <v>129</v>
      </c>
      <c r="G946" s="150">
        <v>620</v>
      </c>
      <c r="H946" s="24" t="s">
        <v>134</v>
      </c>
      <c r="I946" s="25">
        <v>108174</v>
      </c>
      <c r="J946" s="25">
        <v>100454</v>
      </c>
      <c r="K946" s="25">
        <v>105842</v>
      </c>
      <c r="L946" s="26">
        <v>97471</v>
      </c>
      <c r="M946" s="26">
        <v>100790</v>
      </c>
      <c r="N946" s="501"/>
      <c r="O946" s="25"/>
      <c r="P946" s="25"/>
      <c r="Q946" s="25"/>
      <c r="R946" s="26"/>
      <c r="S946" s="26"/>
      <c r="T946" s="501"/>
      <c r="U946" s="151">
        <f t="shared" si="58"/>
        <v>108174</v>
      </c>
    </row>
    <row r="947" spans="2:21" x14ac:dyDescent="0.2">
      <c r="B947" s="8">
        <f t="shared" si="60"/>
        <v>260</v>
      </c>
      <c r="C947" s="24"/>
      <c r="D947" s="24"/>
      <c r="E947" s="24"/>
      <c r="F947" s="149" t="s">
        <v>129</v>
      </c>
      <c r="G947" s="150">
        <v>630</v>
      </c>
      <c r="H947" s="24" t="s">
        <v>131</v>
      </c>
      <c r="I947" s="25">
        <f>SUM(I948:I953)</f>
        <v>128990</v>
      </c>
      <c r="J947" s="25">
        <f>J953+J952+J951+J950+J949+J948</f>
        <v>76930</v>
      </c>
      <c r="K947" s="25">
        <f>K953+K952+K951+K950+K949+K948</f>
        <v>77728</v>
      </c>
      <c r="L947" s="26">
        <f>L953+L952+L951+L950+L949+L948</f>
        <v>44502</v>
      </c>
      <c r="M947" s="26">
        <f>M953+M952+M951+M950+M949+M948</f>
        <v>56719</v>
      </c>
      <c r="N947" s="501"/>
      <c r="O947" s="25"/>
      <c r="P947" s="25"/>
      <c r="Q947" s="25"/>
      <c r="R947" s="26"/>
      <c r="S947" s="26"/>
      <c r="T947" s="501"/>
      <c r="U947" s="151">
        <f t="shared" si="58"/>
        <v>128990</v>
      </c>
    </row>
    <row r="948" spans="2:21" x14ac:dyDescent="0.2">
      <c r="B948" s="8">
        <f t="shared" si="60"/>
        <v>261</v>
      </c>
      <c r="C948" s="18"/>
      <c r="D948" s="18"/>
      <c r="E948" s="18"/>
      <c r="F948" s="152"/>
      <c r="G948" s="153">
        <v>631</v>
      </c>
      <c r="H948" s="18" t="s">
        <v>137</v>
      </c>
      <c r="I948" s="19">
        <v>433</v>
      </c>
      <c r="J948" s="19">
        <v>361</v>
      </c>
      <c r="K948" s="19">
        <v>361</v>
      </c>
      <c r="L948" s="20">
        <v>0</v>
      </c>
      <c r="M948" s="20">
        <v>0</v>
      </c>
      <c r="N948" s="164"/>
      <c r="O948" s="19"/>
      <c r="P948" s="19"/>
      <c r="Q948" s="19"/>
      <c r="R948" s="20"/>
      <c r="S948" s="20"/>
      <c r="T948" s="164"/>
      <c r="U948" s="154">
        <f t="shared" si="58"/>
        <v>433</v>
      </c>
    </row>
    <row r="949" spans="2:21" x14ac:dyDescent="0.2">
      <c r="B949" s="8">
        <f t="shared" si="60"/>
        <v>262</v>
      </c>
      <c r="C949" s="18"/>
      <c r="D949" s="18"/>
      <c r="E949" s="18"/>
      <c r="F949" s="152"/>
      <c r="G949" s="153">
        <v>632</v>
      </c>
      <c r="H949" s="18" t="s">
        <v>144</v>
      </c>
      <c r="I949" s="19">
        <v>73434</v>
      </c>
      <c r="J949" s="19">
        <v>29199</v>
      </c>
      <c r="K949" s="19">
        <v>29199</v>
      </c>
      <c r="L949" s="20">
        <v>17240</v>
      </c>
      <c r="M949" s="20">
        <v>25352</v>
      </c>
      <c r="N949" s="164"/>
      <c r="O949" s="19"/>
      <c r="P949" s="19"/>
      <c r="Q949" s="19"/>
      <c r="R949" s="20"/>
      <c r="S949" s="20"/>
      <c r="T949" s="164"/>
      <c r="U949" s="154">
        <f t="shared" ref="U949:U1000" si="62">I949+O949</f>
        <v>73434</v>
      </c>
    </row>
    <row r="950" spans="2:21" x14ac:dyDescent="0.2">
      <c r="B950" s="8">
        <f t="shared" si="60"/>
        <v>263</v>
      </c>
      <c r="C950" s="18"/>
      <c r="D950" s="18"/>
      <c r="E950" s="18"/>
      <c r="F950" s="152"/>
      <c r="G950" s="153">
        <v>633</v>
      </c>
      <c r="H950" s="18" t="s">
        <v>135</v>
      </c>
      <c r="I950" s="19">
        <v>20400</v>
      </c>
      <c r="J950" s="19">
        <v>17567</v>
      </c>
      <c r="K950" s="19">
        <v>17567</v>
      </c>
      <c r="L950" s="20">
        <v>15204</v>
      </c>
      <c r="M950" s="20">
        <v>15056</v>
      </c>
      <c r="N950" s="164"/>
      <c r="O950" s="19"/>
      <c r="P950" s="19"/>
      <c r="Q950" s="19"/>
      <c r="R950" s="20"/>
      <c r="S950" s="20"/>
      <c r="T950" s="164"/>
      <c r="U950" s="154">
        <f t="shared" si="62"/>
        <v>20400</v>
      </c>
    </row>
    <row r="951" spans="2:21" x14ac:dyDescent="0.2">
      <c r="B951" s="8">
        <f t="shared" si="60"/>
        <v>264</v>
      </c>
      <c r="C951" s="18"/>
      <c r="D951" s="18"/>
      <c r="E951" s="18"/>
      <c r="F951" s="152"/>
      <c r="G951" s="153">
        <v>634</v>
      </c>
      <c r="H951" s="18" t="s">
        <v>142</v>
      </c>
      <c r="I951" s="19">
        <v>1059</v>
      </c>
      <c r="J951" s="19">
        <v>1047</v>
      </c>
      <c r="K951" s="19">
        <v>1845</v>
      </c>
      <c r="L951" s="20">
        <v>33</v>
      </c>
      <c r="M951" s="20">
        <v>27</v>
      </c>
      <c r="N951" s="164"/>
      <c r="O951" s="19"/>
      <c r="P951" s="19"/>
      <c r="Q951" s="19"/>
      <c r="R951" s="20"/>
      <c r="S951" s="20"/>
      <c r="T951" s="164"/>
      <c r="U951" s="154">
        <f t="shared" si="62"/>
        <v>1059</v>
      </c>
    </row>
    <row r="952" spans="2:21" x14ac:dyDescent="0.2">
      <c r="B952" s="8">
        <f t="shared" si="60"/>
        <v>265</v>
      </c>
      <c r="C952" s="18"/>
      <c r="D952" s="18"/>
      <c r="E952" s="18"/>
      <c r="F952" s="152"/>
      <c r="G952" s="153">
        <v>635</v>
      </c>
      <c r="H952" s="18" t="s">
        <v>143</v>
      </c>
      <c r="I952" s="19">
        <v>10856</v>
      </c>
      <c r="J952" s="19">
        <v>9047</v>
      </c>
      <c r="K952" s="19">
        <v>9047</v>
      </c>
      <c r="L952" s="20">
        <v>1593</v>
      </c>
      <c r="M952" s="20">
        <v>6206</v>
      </c>
      <c r="N952" s="164"/>
      <c r="O952" s="19"/>
      <c r="P952" s="19"/>
      <c r="Q952" s="19"/>
      <c r="R952" s="20"/>
      <c r="S952" s="20"/>
      <c r="T952" s="164"/>
      <c r="U952" s="154">
        <f t="shared" si="62"/>
        <v>10856</v>
      </c>
    </row>
    <row r="953" spans="2:21" x14ac:dyDescent="0.2">
      <c r="B953" s="8">
        <f t="shared" si="60"/>
        <v>266</v>
      </c>
      <c r="C953" s="18"/>
      <c r="D953" s="18"/>
      <c r="E953" s="18"/>
      <c r="F953" s="152"/>
      <c r="G953" s="153">
        <v>637</v>
      </c>
      <c r="H953" s="18" t="s">
        <v>132</v>
      </c>
      <c r="I953" s="19">
        <v>22808</v>
      </c>
      <c r="J953" s="19">
        <v>19709</v>
      </c>
      <c r="K953" s="19">
        <v>19709</v>
      </c>
      <c r="L953" s="20">
        <v>10432</v>
      </c>
      <c r="M953" s="20">
        <f>10078</f>
        <v>10078</v>
      </c>
      <c r="N953" s="164"/>
      <c r="O953" s="19"/>
      <c r="P953" s="19"/>
      <c r="Q953" s="19"/>
      <c r="R953" s="20"/>
      <c r="S953" s="20"/>
      <c r="T953" s="164"/>
      <c r="U953" s="154">
        <f t="shared" si="62"/>
        <v>22808</v>
      </c>
    </row>
    <row r="954" spans="2:21" x14ac:dyDescent="0.2">
      <c r="B954" s="8">
        <f t="shared" si="60"/>
        <v>267</v>
      </c>
      <c r="C954" s="24"/>
      <c r="D954" s="24"/>
      <c r="E954" s="24"/>
      <c r="F954" s="149" t="s">
        <v>129</v>
      </c>
      <c r="G954" s="150">
        <v>640</v>
      </c>
      <c r="H954" s="24" t="s">
        <v>139</v>
      </c>
      <c r="I954" s="25">
        <v>1903</v>
      </c>
      <c r="J954" s="25">
        <v>1586</v>
      </c>
      <c r="K954" s="25">
        <v>1586</v>
      </c>
      <c r="L954" s="26">
        <v>2712</v>
      </c>
      <c r="M954" s="26">
        <v>6668</v>
      </c>
      <c r="N954" s="501"/>
      <c r="O954" s="25"/>
      <c r="P954" s="25"/>
      <c r="Q954" s="25"/>
      <c r="R954" s="26"/>
      <c r="S954" s="26"/>
      <c r="T954" s="501"/>
      <c r="U954" s="151">
        <f t="shared" si="62"/>
        <v>1903</v>
      </c>
    </row>
    <row r="955" spans="2:21" x14ac:dyDescent="0.2">
      <c r="B955" s="8">
        <f t="shared" si="60"/>
        <v>268</v>
      </c>
      <c r="C955" s="24"/>
      <c r="D955" s="24"/>
      <c r="E955" s="24"/>
      <c r="F955" s="149" t="s">
        <v>116</v>
      </c>
      <c r="G955" s="150">
        <v>610</v>
      </c>
      <c r="H955" s="24" t="s">
        <v>141</v>
      </c>
      <c r="I955" s="25">
        <v>496277</v>
      </c>
      <c r="J955" s="25">
        <v>451379</v>
      </c>
      <c r="K955" s="25">
        <v>474581</v>
      </c>
      <c r="L955" s="26">
        <v>449172</v>
      </c>
      <c r="M955" s="26">
        <v>428040</v>
      </c>
      <c r="N955" s="501"/>
      <c r="O955" s="25"/>
      <c r="P955" s="25"/>
      <c r="Q955" s="25"/>
      <c r="R955" s="26"/>
      <c r="S955" s="26"/>
      <c r="T955" s="501"/>
      <c r="U955" s="151">
        <f t="shared" si="62"/>
        <v>496277</v>
      </c>
    </row>
    <row r="956" spans="2:21" x14ac:dyDescent="0.2">
      <c r="B956" s="8">
        <f t="shared" si="60"/>
        <v>269</v>
      </c>
      <c r="C956" s="24"/>
      <c r="D956" s="24"/>
      <c r="E956" s="24"/>
      <c r="F956" s="149" t="s">
        <v>116</v>
      </c>
      <c r="G956" s="150">
        <v>620</v>
      </c>
      <c r="H956" s="24" t="s">
        <v>134</v>
      </c>
      <c r="I956" s="25">
        <v>172794</v>
      </c>
      <c r="J956" s="25">
        <v>157141</v>
      </c>
      <c r="K956" s="25">
        <v>165253</v>
      </c>
      <c r="L956" s="26">
        <v>157356</v>
      </c>
      <c r="M956" s="26">
        <v>151904</v>
      </c>
      <c r="N956" s="501"/>
      <c r="O956" s="25"/>
      <c r="P956" s="25"/>
      <c r="Q956" s="25"/>
      <c r="R956" s="26"/>
      <c r="S956" s="26"/>
      <c r="T956" s="501"/>
      <c r="U956" s="151">
        <f t="shared" si="62"/>
        <v>172794</v>
      </c>
    </row>
    <row r="957" spans="2:21" x14ac:dyDescent="0.2">
      <c r="B957" s="8">
        <f t="shared" si="60"/>
        <v>270</v>
      </c>
      <c r="C957" s="24"/>
      <c r="D957" s="24"/>
      <c r="E957" s="24"/>
      <c r="F957" s="149" t="s">
        <v>116</v>
      </c>
      <c r="G957" s="150">
        <v>630</v>
      </c>
      <c r="H957" s="24" t="s">
        <v>131</v>
      </c>
      <c r="I957" s="25">
        <f>SUM(I958:I963)</f>
        <v>132327</v>
      </c>
      <c r="J957" s="25">
        <f>J963+J962+J961+J960+J959+J958</f>
        <v>89514</v>
      </c>
      <c r="K957" s="25">
        <f>K963+K962+K961+K960+K959+K958</f>
        <v>94342</v>
      </c>
      <c r="L957" s="26">
        <f>L963+L962+L961+L960+L959+L958</f>
        <v>124232</v>
      </c>
      <c r="M957" s="26">
        <f>M963+M962+M961+M960+M959+M958</f>
        <v>129851</v>
      </c>
      <c r="N957" s="501"/>
      <c r="O957" s="25"/>
      <c r="P957" s="25"/>
      <c r="Q957" s="25"/>
      <c r="R957" s="26"/>
      <c r="S957" s="26"/>
      <c r="T957" s="501"/>
      <c r="U957" s="151">
        <f t="shared" si="62"/>
        <v>132327</v>
      </c>
    </row>
    <row r="958" spans="2:21" x14ac:dyDescent="0.2">
      <c r="B958" s="8">
        <f t="shared" si="60"/>
        <v>271</v>
      </c>
      <c r="C958" s="18"/>
      <c r="D958" s="18"/>
      <c r="E958" s="18"/>
      <c r="F958" s="152"/>
      <c r="G958" s="153">
        <v>631</v>
      </c>
      <c r="H958" s="18" t="s">
        <v>137</v>
      </c>
      <c r="I958" s="19">
        <v>359</v>
      </c>
      <c r="J958" s="19">
        <v>299</v>
      </c>
      <c r="K958" s="19">
        <v>299</v>
      </c>
      <c r="L958" s="20">
        <v>0</v>
      </c>
      <c r="M958" s="20"/>
      <c r="N958" s="164"/>
      <c r="O958" s="19"/>
      <c r="P958" s="19"/>
      <c r="Q958" s="19"/>
      <c r="R958" s="20"/>
      <c r="S958" s="20"/>
      <c r="T958" s="164"/>
      <c r="U958" s="154">
        <f t="shared" si="62"/>
        <v>359</v>
      </c>
    </row>
    <row r="959" spans="2:21" x14ac:dyDescent="0.2">
      <c r="B959" s="8">
        <f t="shared" si="60"/>
        <v>272</v>
      </c>
      <c r="C959" s="18"/>
      <c r="D959" s="18"/>
      <c r="E959" s="18"/>
      <c r="F959" s="152"/>
      <c r="G959" s="153">
        <v>632</v>
      </c>
      <c r="H959" s="18" t="s">
        <v>144</v>
      </c>
      <c r="I959" s="19">
        <v>61238</v>
      </c>
      <c r="J959" s="19">
        <v>25135</v>
      </c>
      <c r="K959" s="19">
        <v>25135</v>
      </c>
      <c r="L959" s="20">
        <v>79381</v>
      </c>
      <c r="M959" s="20">
        <v>20546</v>
      </c>
      <c r="N959" s="164"/>
      <c r="O959" s="19"/>
      <c r="P959" s="19"/>
      <c r="Q959" s="19"/>
      <c r="R959" s="20"/>
      <c r="S959" s="20"/>
      <c r="T959" s="164"/>
      <c r="U959" s="154">
        <f t="shared" si="62"/>
        <v>61238</v>
      </c>
    </row>
    <row r="960" spans="2:21" x14ac:dyDescent="0.2">
      <c r="B960" s="8">
        <f t="shared" ref="B960:B1002" si="63">B959+1</f>
        <v>273</v>
      </c>
      <c r="C960" s="18"/>
      <c r="D960" s="18"/>
      <c r="E960" s="18"/>
      <c r="F960" s="152"/>
      <c r="G960" s="153">
        <v>633</v>
      </c>
      <c r="H960" s="18" t="s">
        <v>135</v>
      </c>
      <c r="I960" s="19">
        <v>24603</v>
      </c>
      <c r="J960" s="19">
        <v>22082</v>
      </c>
      <c r="K960" s="19">
        <v>25260</v>
      </c>
      <c r="L960" s="20">
        <v>23268</v>
      </c>
      <c r="M960" s="20">
        <v>21556</v>
      </c>
      <c r="N960" s="164"/>
      <c r="O960" s="19"/>
      <c r="P960" s="19"/>
      <c r="Q960" s="19"/>
      <c r="R960" s="20"/>
      <c r="S960" s="20"/>
      <c r="T960" s="164"/>
      <c r="U960" s="154">
        <f t="shared" si="62"/>
        <v>24603</v>
      </c>
    </row>
    <row r="961" spans="2:21" x14ac:dyDescent="0.2">
      <c r="B961" s="8">
        <f t="shared" si="63"/>
        <v>274</v>
      </c>
      <c r="C961" s="18"/>
      <c r="D961" s="18"/>
      <c r="E961" s="18"/>
      <c r="F961" s="152"/>
      <c r="G961" s="153">
        <v>634</v>
      </c>
      <c r="H961" s="18" t="s">
        <v>142</v>
      </c>
      <c r="I961" s="19">
        <v>3609</v>
      </c>
      <c r="J961" s="19">
        <v>3397</v>
      </c>
      <c r="K961" s="19">
        <v>1810</v>
      </c>
      <c r="L961" s="20">
        <v>33</v>
      </c>
      <c r="M961" s="20">
        <v>1020</v>
      </c>
      <c r="N961" s="164"/>
      <c r="O961" s="19"/>
      <c r="P961" s="19"/>
      <c r="Q961" s="19"/>
      <c r="R961" s="20"/>
      <c r="S961" s="20"/>
      <c r="T961" s="164"/>
      <c r="U961" s="154">
        <f t="shared" si="62"/>
        <v>3609</v>
      </c>
    </row>
    <row r="962" spans="2:21" x14ac:dyDescent="0.2">
      <c r="B962" s="8">
        <f t="shared" si="63"/>
        <v>275</v>
      </c>
      <c r="C962" s="18"/>
      <c r="D962" s="18"/>
      <c r="E962" s="18"/>
      <c r="F962" s="152"/>
      <c r="G962" s="153">
        <v>635</v>
      </c>
      <c r="H962" s="18" t="s">
        <v>143</v>
      </c>
      <c r="I962" s="19">
        <v>8543</v>
      </c>
      <c r="J962" s="19">
        <v>7119</v>
      </c>
      <c r="K962" s="19">
        <v>7119</v>
      </c>
      <c r="L962" s="20">
        <v>7988</v>
      </c>
      <c r="M962" s="20">
        <v>56366</v>
      </c>
      <c r="N962" s="164"/>
      <c r="O962" s="19"/>
      <c r="P962" s="19"/>
      <c r="Q962" s="19"/>
      <c r="R962" s="20"/>
      <c r="S962" s="20"/>
      <c r="T962" s="164"/>
      <c r="U962" s="154">
        <f t="shared" si="62"/>
        <v>8543</v>
      </c>
    </row>
    <row r="963" spans="2:21" x14ac:dyDescent="0.2">
      <c r="B963" s="8">
        <f t="shared" si="63"/>
        <v>276</v>
      </c>
      <c r="C963" s="18"/>
      <c r="D963" s="18"/>
      <c r="E963" s="18"/>
      <c r="F963" s="152"/>
      <c r="G963" s="153">
        <v>637</v>
      </c>
      <c r="H963" s="18" t="s">
        <v>132</v>
      </c>
      <c r="I963" s="19">
        <v>33975</v>
      </c>
      <c r="J963" s="19">
        <v>31482</v>
      </c>
      <c r="K963" s="19">
        <v>34719</v>
      </c>
      <c r="L963" s="20">
        <v>13562</v>
      </c>
      <c r="M963" s="20">
        <f>11313+1080+17953+17</f>
        <v>30363</v>
      </c>
      <c r="N963" s="164"/>
      <c r="O963" s="19"/>
      <c r="P963" s="19"/>
      <c r="Q963" s="19"/>
      <c r="R963" s="20"/>
      <c r="S963" s="20"/>
      <c r="T963" s="164"/>
      <c r="U963" s="154">
        <f t="shared" si="62"/>
        <v>33975</v>
      </c>
    </row>
    <row r="964" spans="2:21" x14ac:dyDescent="0.2">
      <c r="B964" s="8">
        <f t="shared" si="63"/>
        <v>277</v>
      </c>
      <c r="C964" s="24"/>
      <c r="D964" s="24"/>
      <c r="E964" s="24"/>
      <c r="F964" s="149" t="s">
        <v>116</v>
      </c>
      <c r="G964" s="150">
        <v>640</v>
      </c>
      <c r="H964" s="24" t="s">
        <v>139</v>
      </c>
      <c r="I964" s="25">
        <v>2417</v>
      </c>
      <c r="J964" s="25">
        <v>2014</v>
      </c>
      <c r="K964" s="25">
        <v>2014</v>
      </c>
      <c r="L964" s="26">
        <v>4071</v>
      </c>
      <c r="M964" s="26">
        <v>440</v>
      </c>
      <c r="N964" s="501"/>
      <c r="O964" s="25"/>
      <c r="P964" s="25"/>
      <c r="Q964" s="25"/>
      <c r="R964" s="26"/>
      <c r="S964" s="26"/>
      <c r="T964" s="501"/>
      <c r="U964" s="151">
        <f t="shared" si="62"/>
        <v>2417</v>
      </c>
    </row>
    <row r="965" spans="2:21" x14ac:dyDescent="0.2">
      <c r="B965" s="8">
        <f t="shared" si="63"/>
        <v>278</v>
      </c>
      <c r="C965" s="24"/>
      <c r="D965" s="24"/>
      <c r="E965" s="24"/>
      <c r="F965" s="149"/>
      <c r="G965" s="150">
        <v>630</v>
      </c>
      <c r="H965" s="24" t="s">
        <v>534</v>
      </c>
      <c r="I965" s="25"/>
      <c r="J965" s="25"/>
      <c r="K965" s="25">
        <v>21335</v>
      </c>
      <c r="L965" s="26">
        <v>12932</v>
      </c>
      <c r="M965" s="26"/>
      <c r="N965" s="501"/>
      <c r="O965" s="25"/>
      <c r="P965" s="25"/>
      <c r="Q965" s="25"/>
      <c r="R965" s="26"/>
      <c r="S965" s="26"/>
      <c r="T965" s="501"/>
      <c r="U965" s="151">
        <f t="shared" si="62"/>
        <v>0</v>
      </c>
    </row>
    <row r="966" spans="2:21" x14ac:dyDescent="0.2">
      <c r="B966" s="8">
        <f t="shared" si="63"/>
        <v>279</v>
      </c>
      <c r="C966" s="24"/>
      <c r="D966" s="24"/>
      <c r="E966" s="24"/>
      <c r="F966" s="149"/>
      <c r="G966" s="150"/>
      <c r="H966" s="24" t="s">
        <v>814</v>
      </c>
      <c r="I966" s="25"/>
      <c r="J966" s="25"/>
      <c r="K966" s="25"/>
      <c r="L966" s="26">
        <v>3678</v>
      </c>
      <c r="M966" s="26"/>
      <c r="N966" s="501"/>
      <c r="O966" s="25"/>
      <c r="P966" s="25"/>
      <c r="Q966" s="25"/>
      <c r="R966" s="26"/>
      <c r="S966" s="26"/>
      <c r="T966" s="501"/>
      <c r="U966" s="151">
        <f t="shared" si="62"/>
        <v>0</v>
      </c>
    </row>
    <row r="967" spans="2:21" x14ac:dyDescent="0.2">
      <c r="B967" s="8">
        <f t="shared" si="63"/>
        <v>280</v>
      </c>
      <c r="C967" s="18"/>
      <c r="D967" s="18"/>
      <c r="E967" s="18"/>
      <c r="F967" s="149" t="s">
        <v>116</v>
      </c>
      <c r="G967" s="150">
        <v>710</v>
      </c>
      <c r="H967" s="24" t="s">
        <v>185</v>
      </c>
      <c r="I967" s="25"/>
      <c r="J967" s="25"/>
      <c r="K967" s="25"/>
      <c r="L967" s="26"/>
      <c r="M967" s="26"/>
      <c r="N967" s="501"/>
      <c r="O967" s="25">
        <f>O970+O972</f>
        <v>21000</v>
      </c>
      <c r="P967" s="25"/>
      <c r="Q967" s="25"/>
      <c r="R967" s="26"/>
      <c r="S967" s="26">
        <f>S968</f>
        <v>53118</v>
      </c>
      <c r="T967" s="501"/>
      <c r="U967" s="151">
        <f t="shared" si="62"/>
        <v>21000</v>
      </c>
    </row>
    <row r="968" spans="2:21" x14ac:dyDescent="0.2">
      <c r="B968" s="8">
        <f t="shared" si="63"/>
        <v>281</v>
      </c>
      <c r="C968" s="18"/>
      <c r="D968" s="18"/>
      <c r="E968" s="18"/>
      <c r="F968" s="152"/>
      <c r="G968" s="153">
        <v>713</v>
      </c>
      <c r="H968" s="18" t="s">
        <v>230</v>
      </c>
      <c r="I968" s="19"/>
      <c r="J968" s="19"/>
      <c r="K968" s="19"/>
      <c r="L968" s="20"/>
      <c r="M968" s="20"/>
      <c r="N968" s="164"/>
      <c r="O968" s="19"/>
      <c r="P968" s="19"/>
      <c r="Q968" s="19"/>
      <c r="R968" s="20"/>
      <c r="S968" s="20">
        <f>S969</f>
        <v>53118</v>
      </c>
      <c r="T968" s="164"/>
      <c r="U968" s="154">
        <f t="shared" si="62"/>
        <v>0</v>
      </c>
    </row>
    <row r="969" spans="2:21" s="165" customFormat="1" x14ac:dyDescent="0.2">
      <c r="B969" s="8">
        <f t="shared" si="63"/>
        <v>282</v>
      </c>
      <c r="C969" s="156"/>
      <c r="D969" s="156"/>
      <c r="E969" s="156"/>
      <c r="F969" s="272"/>
      <c r="G969" s="155"/>
      <c r="H969" s="156" t="s">
        <v>512</v>
      </c>
      <c r="I969" s="157"/>
      <c r="J969" s="157"/>
      <c r="K969" s="157"/>
      <c r="L969" s="158"/>
      <c r="M969" s="158"/>
      <c r="N969" s="535"/>
      <c r="O969" s="157"/>
      <c r="P969" s="157"/>
      <c r="Q969" s="157"/>
      <c r="R969" s="158"/>
      <c r="S969" s="158">
        <v>53118</v>
      </c>
      <c r="T969" s="535"/>
      <c r="U969" s="159">
        <f t="shared" si="62"/>
        <v>0</v>
      </c>
    </row>
    <row r="970" spans="2:21" x14ac:dyDescent="0.2">
      <c r="B970" s="8">
        <f t="shared" si="63"/>
        <v>283</v>
      </c>
      <c r="C970" s="18"/>
      <c r="D970" s="18"/>
      <c r="E970" s="18"/>
      <c r="F970" s="152"/>
      <c r="G970" s="153">
        <v>716</v>
      </c>
      <c r="H970" s="18" t="s">
        <v>226</v>
      </c>
      <c r="I970" s="19"/>
      <c r="J970" s="19"/>
      <c r="K970" s="19"/>
      <c r="L970" s="20"/>
      <c r="M970" s="20"/>
      <c r="N970" s="164"/>
      <c r="O970" s="19">
        <f>O971</f>
        <v>3000</v>
      </c>
      <c r="P970" s="19"/>
      <c r="Q970" s="19"/>
      <c r="R970" s="20"/>
      <c r="S970" s="20">
        <f>S971</f>
        <v>53118</v>
      </c>
      <c r="T970" s="164"/>
      <c r="U970" s="154">
        <f t="shared" ref="U970:U973" si="64">I970+O970</f>
        <v>3000</v>
      </c>
    </row>
    <row r="971" spans="2:21" s="165" customFormat="1" x14ac:dyDescent="0.2">
      <c r="B971" s="8">
        <f t="shared" si="63"/>
        <v>284</v>
      </c>
      <c r="C971" s="156"/>
      <c r="D971" s="156"/>
      <c r="E971" s="156"/>
      <c r="F971" s="272"/>
      <c r="G971" s="155"/>
      <c r="H971" s="156" t="s">
        <v>1182</v>
      </c>
      <c r="I971" s="157"/>
      <c r="J971" s="157"/>
      <c r="K971" s="157"/>
      <c r="L971" s="158"/>
      <c r="M971" s="158"/>
      <c r="N971" s="535"/>
      <c r="O971" s="157">
        <v>3000</v>
      </c>
      <c r="P971" s="157"/>
      <c r="Q971" s="157"/>
      <c r="R971" s="158"/>
      <c r="S971" s="158">
        <v>53118</v>
      </c>
      <c r="T971" s="535"/>
      <c r="U971" s="159">
        <f t="shared" si="64"/>
        <v>3000</v>
      </c>
    </row>
    <row r="972" spans="2:21" x14ac:dyDescent="0.2">
      <c r="B972" s="8">
        <f t="shared" si="63"/>
        <v>285</v>
      </c>
      <c r="C972" s="18"/>
      <c r="D972" s="18"/>
      <c r="E972" s="18"/>
      <c r="F972" s="152"/>
      <c r="G972" s="153">
        <v>713</v>
      </c>
      <c r="H972" s="18" t="s">
        <v>192</v>
      </c>
      <c r="I972" s="19"/>
      <c r="J972" s="19"/>
      <c r="K972" s="19"/>
      <c r="L972" s="20"/>
      <c r="M972" s="20"/>
      <c r="N972" s="164"/>
      <c r="O972" s="19">
        <f>O973</f>
        <v>18000</v>
      </c>
      <c r="P972" s="19"/>
      <c r="Q972" s="19"/>
      <c r="R972" s="20"/>
      <c r="S972" s="20">
        <f>S973</f>
        <v>53118</v>
      </c>
      <c r="T972" s="164"/>
      <c r="U972" s="154">
        <f t="shared" si="64"/>
        <v>18000</v>
      </c>
    </row>
    <row r="973" spans="2:21" s="165" customFormat="1" x14ac:dyDescent="0.2">
      <c r="B973" s="8">
        <f t="shared" si="63"/>
        <v>286</v>
      </c>
      <c r="C973" s="156"/>
      <c r="D973" s="156"/>
      <c r="E973" s="156"/>
      <c r="F973" s="272"/>
      <c r="G973" s="155"/>
      <c r="H973" s="156" t="s">
        <v>1182</v>
      </c>
      <c r="I973" s="157"/>
      <c r="J973" s="157"/>
      <c r="K973" s="157"/>
      <c r="L973" s="158"/>
      <c r="M973" s="158"/>
      <c r="N973" s="535"/>
      <c r="O973" s="157">
        <v>18000</v>
      </c>
      <c r="P973" s="157"/>
      <c r="Q973" s="157"/>
      <c r="R973" s="158"/>
      <c r="S973" s="158">
        <v>53118</v>
      </c>
      <c r="T973" s="535"/>
      <c r="U973" s="159">
        <f t="shared" si="64"/>
        <v>18000</v>
      </c>
    </row>
    <row r="974" spans="2:21" ht="14.25" x14ac:dyDescent="0.2">
      <c r="B974" s="8">
        <f>B969+1</f>
        <v>283</v>
      </c>
      <c r="C974" s="267"/>
      <c r="D974" s="267"/>
      <c r="E974" s="267">
        <v>7</v>
      </c>
      <c r="F974" s="268"/>
      <c r="G974" s="268"/>
      <c r="H974" s="267" t="s">
        <v>341</v>
      </c>
      <c r="I974" s="269">
        <f>I975+I976+I977+I982+I983+I984+I985+I992</f>
        <v>1781069</v>
      </c>
      <c r="J974" s="269">
        <f>J975+J976+J977+J982+J983+J984+J985+J992</f>
        <v>1599215</v>
      </c>
      <c r="K974" s="269">
        <f>K975+K976+K977+K982+K983+K984+K985+K992+K993</f>
        <v>1771427</v>
      </c>
      <c r="L974" s="270">
        <f>L975+L976+L977+L982+L983+L984+L985+L992+L993</f>
        <v>1588352</v>
      </c>
      <c r="M974" s="270">
        <f>M975+M976+M977+M982+M983+M984+M985+M992</f>
        <v>1531614</v>
      </c>
      <c r="N974" s="534"/>
      <c r="O974" s="269">
        <f>O994</f>
        <v>1431200</v>
      </c>
      <c r="P974" s="269">
        <f>P994</f>
        <v>524000</v>
      </c>
      <c r="Q974" s="269">
        <f>Q994</f>
        <v>586500</v>
      </c>
      <c r="R974" s="270">
        <f>R994</f>
        <v>88</v>
      </c>
      <c r="S974" s="270"/>
      <c r="T974" s="534"/>
      <c r="U974" s="271">
        <f t="shared" si="62"/>
        <v>3212269</v>
      </c>
    </row>
    <row r="975" spans="2:21" x14ac:dyDescent="0.2">
      <c r="B975" s="8">
        <f t="shared" si="63"/>
        <v>284</v>
      </c>
      <c r="C975" s="24"/>
      <c r="D975" s="24"/>
      <c r="E975" s="24"/>
      <c r="F975" s="149" t="s">
        <v>129</v>
      </c>
      <c r="G975" s="150">
        <v>610</v>
      </c>
      <c r="H975" s="24" t="s">
        <v>141</v>
      </c>
      <c r="I975" s="25">
        <v>410870</v>
      </c>
      <c r="J975" s="25">
        <v>342500</v>
      </c>
      <c r="K975" s="25">
        <v>386165</v>
      </c>
      <c r="L975" s="26">
        <v>328213</v>
      </c>
      <c r="M975" s="26">
        <v>325217</v>
      </c>
      <c r="N975" s="501"/>
      <c r="O975" s="25"/>
      <c r="P975" s="25"/>
      <c r="Q975" s="25"/>
      <c r="R975" s="26"/>
      <c r="S975" s="26"/>
      <c r="T975" s="501"/>
      <c r="U975" s="151">
        <f t="shared" si="62"/>
        <v>410870</v>
      </c>
    </row>
    <row r="976" spans="2:21" x14ac:dyDescent="0.2">
      <c r="B976" s="8">
        <f t="shared" si="63"/>
        <v>285</v>
      </c>
      <c r="C976" s="24"/>
      <c r="D976" s="24"/>
      <c r="E976" s="24"/>
      <c r="F976" s="149" t="s">
        <v>129</v>
      </c>
      <c r="G976" s="150">
        <v>620</v>
      </c>
      <c r="H976" s="24" t="s">
        <v>134</v>
      </c>
      <c r="I976" s="25">
        <v>151619</v>
      </c>
      <c r="J976" s="25">
        <v>125000</v>
      </c>
      <c r="K976" s="25">
        <v>140326</v>
      </c>
      <c r="L976" s="26">
        <v>119784</v>
      </c>
      <c r="M976" s="26">
        <v>117575</v>
      </c>
      <c r="N976" s="501"/>
      <c r="O976" s="25"/>
      <c r="P976" s="25"/>
      <c r="Q976" s="25"/>
      <c r="R976" s="26"/>
      <c r="S976" s="26"/>
      <c r="T976" s="501"/>
      <c r="U976" s="151">
        <f t="shared" si="62"/>
        <v>151619</v>
      </c>
    </row>
    <row r="977" spans="2:21" x14ac:dyDescent="0.2">
      <c r="B977" s="8">
        <f t="shared" si="63"/>
        <v>286</v>
      </c>
      <c r="C977" s="24"/>
      <c r="D977" s="24"/>
      <c r="E977" s="24"/>
      <c r="F977" s="149" t="s">
        <v>129</v>
      </c>
      <c r="G977" s="150">
        <v>630</v>
      </c>
      <c r="H977" s="24" t="s">
        <v>131</v>
      </c>
      <c r="I977" s="25">
        <f>I981+I980+I979+I978</f>
        <v>77010</v>
      </c>
      <c r="J977" s="25">
        <f>J981+J980+J979+J978</f>
        <v>58220</v>
      </c>
      <c r="K977" s="25">
        <f>K981+K980+K979+K978</f>
        <v>86622</v>
      </c>
      <c r="L977" s="26">
        <f>L981+L980+L979+L978</f>
        <v>68506</v>
      </c>
      <c r="M977" s="26">
        <f>M981+M980+M979+M978</f>
        <v>85328</v>
      </c>
      <c r="N977" s="501"/>
      <c r="O977" s="25"/>
      <c r="P977" s="25"/>
      <c r="Q977" s="25"/>
      <c r="R977" s="26"/>
      <c r="S977" s="26"/>
      <c r="T977" s="501"/>
      <c r="U977" s="151">
        <f t="shared" si="62"/>
        <v>77010</v>
      </c>
    </row>
    <row r="978" spans="2:21" x14ac:dyDescent="0.2">
      <c r="B978" s="8">
        <f t="shared" si="63"/>
        <v>287</v>
      </c>
      <c r="C978" s="18"/>
      <c r="D978" s="18"/>
      <c r="E978" s="18"/>
      <c r="F978" s="152"/>
      <c r="G978" s="153">
        <v>632</v>
      </c>
      <c r="H978" s="18" t="s">
        <v>144</v>
      </c>
      <c r="I978" s="19">
        <f>500+42000+1500+800+500</f>
        <v>45300</v>
      </c>
      <c r="J978" s="19">
        <v>17900</v>
      </c>
      <c r="K978" s="19">
        <v>31947</v>
      </c>
      <c r="L978" s="20">
        <v>29206</v>
      </c>
      <c r="M978" s="20">
        <v>22208</v>
      </c>
      <c r="N978" s="164"/>
      <c r="O978" s="19"/>
      <c r="P978" s="19"/>
      <c r="Q978" s="19"/>
      <c r="R978" s="20"/>
      <c r="S978" s="20"/>
      <c r="T978" s="164"/>
      <c r="U978" s="154">
        <f t="shared" si="62"/>
        <v>45300</v>
      </c>
    </row>
    <row r="979" spans="2:21" x14ac:dyDescent="0.2">
      <c r="B979" s="8">
        <f t="shared" si="63"/>
        <v>288</v>
      </c>
      <c r="C979" s="18"/>
      <c r="D979" s="18"/>
      <c r="E979" s="18"/>
      <c r="F979" s="152"/>
      <c r="G979" s="153">
        <v>633</v>
      </c>
      <c r="H979" s="18" t="s">
        <v>135</v>
      </c>
      <c r="I979" s="19">
        <f>800+600+50+5000</f>
        <v>6450</v>
      </c>
      <c r="J979" s="19">
        <v>12200</v>
      </c>
      <c r="K979" s="19">
        <v>22955</v>
      </c>
      <c r="L979" s="20">
        <v>13300</v>
      </c>
      <c r="M979" s="20">
        <v>32830</v>
      </c>
      <c r="N979" s="164"/>
      <c r="O979" s="19"/>
      <c r="P979" s="19"/>
      <c r="Q979" s="19"/>
      <c r="R979" s="20"/>
      <c r="S979" s="20"/>
      <c r="T979" s="164"/>
      <c r="U979" s="154">
        <f t="shared" si="62"/>
        <v>6450</v>
      </c>
    </row>
    <row r="980" spans="2:21" x14ac:dyDescent="0.2">
      <c r="B980" s="8">
        <f t="shared" si="63"/>
        <v>289</v>
      </c>
      <c r="C980" s="18"/>
      <c r="D980" s="18"/>
      <c r="E980" s="18"/>
      <c r="F980" s="152"/>
      <c r="G980" s="153">
        <v>635</v>
      </c>
      <c r="H980" s="18" t="s">
        <v>143</v>
      </c>
      <c r="I980" s="19">
        <f>750+500+6500</f>
        <v>7750</v>
      </c>
      <c r="J980" s="19">
        <v>8000</v>
      </c>
      <c r="K980" s="19">
        <v>8000</v>
      </c>
      <c r="L980" s="20">
        <v>8000</v>
      </c>
      <c r="M980" s="20">
        <v>10040</v>
      </c>
      <c r="N980" s="164"/>
      <c r="O980" s="19"/>
      <c r="P980" s="19"/>
      <c r="Q980" s="19"/>
      <c r="R980" s="20"/>
      <c r="S980" s="20"/>
      <c r="T980" s="164"/>
      <c r="U980" s="154">
        <f t="shared" si="62"/>
        <v>7750</v>
      </c>
    </row>
    <row r="981" spans="2:21" x14ac:dyDescent="0.2">
      <c r="B981" s="8">
        <f t="shared" si="63"/>
        <v>290</v>
      </c>
      <c r="C981" s="18"/>
      <c r="D981" s="18"/>
      <c r="E981" s="18"/>
      <c r="F981" s="152"/>
      <c r="G981" s="153">
        <v>637</v>
      </c>
      <c r="H981" s="18" t="s">
        <v>132</v>
      </c>
      <c r="I981" s="19">
        <f>6500+120+300+500+4300+390+180+3720+1500</f>
        <v>17510</v>
      </c>
      <c r="J981" s="19">
        <v>20120</v>
      </c>
      <c r="K981" s="19">
        <v>23720</v>
      </c>
      <c r="L981" s="20">
        <v>18000</v>
      </c>
      <c r="M981" s="20">
        <v>20250</v>
      </c>
      <c r="N981" s="164"/>
      <c r="O981" s="19"/>
      <c r="P981" s="19"/>
      <c r="Q981" s="19"/>
      <c r="R981" s="20"/>
      <c r="S981" s="20"/>
      <c r="T981" s="164"/>
      <c r="U981" s="154">
        <f t="shared" si="62"/>
        <v>17510</v>
      </c>
    </row>
    <row r="982" spans="2:21" x14ac:dyDescent="0.2">
      <c r="B982" s="8">
        <f t="shared" si="63"/>
        <v>291</v>
      </c>
      <c r="C982" s="24"/>
      <c r="D982" s="24"/>
      <c r="E982" s="24"/>
      <c r="F982" s="149" t="s">
        <v>129</v>
      </c>
      <c r="G982" s="150">
        <v>640</v>
      </c>
      <c r="H982" s="24" t="s">
        <v>139</v>
      </c>
      <c r="I982" s="25">
        <v>1750</v>
      </c>
      <c r="J982" s="25"/>
      <c r="K982" s="25">
        <v>2000</v>
      </c>
      <c r="L982" s="26">
        <v>5535</v>
      </c>
      <c r="M982" s="26">
        <v>1100</v>
      </c>
      <c r="N982" s="501"/>
      <c r="O982" s="25"/>
      <c r="P982" s="25"/>
      <c r="Q982" s="25"/>
      <c r="R982" s="26"/>
      <c r="S982" s="26"/>
      <c r="T982" s="501"/>
      <c r="U982" s="151">
        <f t="shared" si="62"/>
        <v>1750</v>
      </c>
    </row>
    <row r="983" spans="2:21" x14ac:dyDescent="0.2">
      <c r="B983" s="8">
        <f t="shared" si="63"/>
        <v>292</v>
      </c>
      <c r="C983" s="24"/>
      <c r="D983" s="24"/>
      <c r="E983" s="24"/>
      <c r="F983" s="149" t="s">
        <v>116</v>
      </c>
      <c r="G983" s="150">
        <v>610</v>
      </c>
      <c r="H983" s="24" t="s">
        <v>141</v>
      </c>
      <c r="I983" s="25">
        <f>32000+500+45077+34900+21423+43000+2000+565000</f>
        <v>743900</v>
      </c>
      <c r="J983" s="25">
        <v>701146</v>
      </c>
      <c r="K983" s="25">
        <v>731195</v>
      </c>
      <c r="L983" s="26">
        <v>664987</v>
      </c>
      <c r="M983" s="26">
        <v>664759</v>
      </c>
      <c r="N983" s="501"/>
      <c r="O983" s="25"/>
      <c r="P983" s="25"/>
      <c r="Q983" s="25"/>
      <c r="R983" s="26"/>
      <c r="S983" s="26"/>
      <c r="T983" s="501"/>
      <c r="U983" s="151">
        <f t="shared" si="62"/>
        <v>743900</v>
      </c>
    </row>
    <row r="984" spans="2:21" x14ac:dyDescent="0.2">
      <c r="B984" s="8">
        <f t="shared" si="63"/>
        <v>293</v>
      </c>
      <c r="C984" s="24"/>
      <c r="D984" s="24"/>
      <c r="E984" s="24"/>
      <c r="F984" s="149" t="s">
        <v>116</v>
      </c>
      <c r="G984" s="150">
        <v>620</v>
      </c>
      <c r="H984" s="24" t="s">
        <v>134</v>
      </c>
      <c r="I984" s="25">
        <f>32252+3270+20370+2100+54000+5200+13580+1380+6790+690+9506+1000+95060+9660+13900+1700+5432+550</f>
        <v>276440</v>
      </c>
      <c r="J984" s="25">
        <v>255849</v>
      </c>
      <c r="K984" s="25">
        <v>265373</v>
      </c>
      <c r="L984" s="26">
        <v>244378</v>
      </c>
      <c r="M984" s="26">
        <v>231015</v>
      </c>
      <c r="N984" s="501"/>
      <c r="O984" s="25"/>
      <c r="P984" s="25"/>
      <c r="Q984" s="25"/>
      <c r="R984" s="26"/>
      <c r="S984" s="26"/>
      <c r="T984" s="501"/>
      <c r="U984" s="151">
        <f t="shared" si="62"/>
        <v>276440</v>
      </c>
    </row>
    <row r="985" spans="2:21" x14ac:dyDescent="0.2">
      <c r="B985" s="8">
        <f t="shared" si="63"/>
        <v>294</v>
      </c>
      <c r="C985" s="24"/>
      <c r="D985" s="24"/>
      <c r="E985" s="24"/>
      <c r="F985" s="149" t="s">
        <v>116</v>
      </c>
      <c r="G985" s="150">
        <v>630</v>
      </c>
      <c r="H985" s="24" t="s">
        <v>131</v>
      </c>
      <c r="I985" s="25">
        <f>I991+I990+I989+I988+I987+I986</f>
        <v>117480</v>
      </c>
      <c r="J985" s="25">
        <f>J991+J990+J989+J988+J987+J986</f>
        <v>116500</v>
      </c>
      <c r="K985" s="25">
        <f>K991+K990+K989+K988+K987+K986</f>
        <v>136270</v>
      </c>
      <c r="L985" s="26">
        <f>L991+L990+L989+L988+L987+L986</f>
        <v>149854</v>
      </c>
      <c r="M985" s="26">
        <f>M991+M990+M989+M988+M987+M986</f>
        <v>104151</v>
      </c>
      <c r="N985" s="501"/>
      <c r="O985" s="25"/>
      <c r="P985" s="25"/>
      <c r="Q985" s="25"/>
      <c r="R985" s="26"/>
      <c r="S985" s="26"/>
      <c r="T985" s="501"/>
      <c r="U985" s="151">
        <f t="shared" si="62"/>
        <v>117480</v>
      </c>
    </row>
    <row r="986" spans="2:21" x14ac:dyDescent="0.2">
      <c r="B986" s="8">
        <f t="shared" si="63"/>
        <v>295</v>
      </c>
      <c r="C986" s="18"/>
      <c r="D986" s="18"/>
      <c r="E986" s="18"/>
      <c r="F986" s="152"/>
      <c r="G986" s="153">
        <v>631</v>
      </c>
      <c r="H986" s="18" t="s">
        <v>137</v>
      </c>
      <c r="I986" s="19">
        <v>900</v>
      </c>
      <c r="J986" s="19">
        <v>300</v>
      </c>
      <c r="K986" s="19">
        <v>850</v>
      </c>
      <c r="L986" s="20">
        <v>600</v>
      </c>
      <c r="M986" s="20"/>
      <c r="N986" s="164"/>
      <c r="O986" s="19"/>
      <c r="P986" s="19"/>
      <c r="Q986" s="19"/>
      <c r="R986" s="20"/>
      <c r="S986" s="20"/>
      <c r="T986" s="164"/>
      <c r="U986" s="154">
        <f t="shared" si="62"/>
        <v>900</v>
      </c>
    </row>
    <row r="987" spans="2:21" x14ac:dyDescent="0.2">
      <c r="B987" s="8">
        <f t="shared" si="63"/>
        <v>296</v>
      </c>
      <c r="C987" s="18"/>
      <c r="D987" s="18"/>
      <c r="E987" s="18"/>
      <c r="F987" s="152"/>
      <c r="G987" s="153">
        <v>632</v>
      </c>
      <c r="H987" s="18" t="s">
        <v>144</v>
      </c>
      <c r="I987" s="19">
        <f>600+40500+2200+250+300</f>
        <v>43850</v>
      </c>
      <c r="J987" s="19">
        <v>29000</v>
      </c>
      <c r="K987" s="19">
        <v>51304</v>
      </c>
      <c r="L987" s="20">
        <v>44654</v>
      </c>
      <c r="M987" s="20">
        <v>21200</v>
      </c>
      <c r="N987" s="164"/>
      <c r="O987" s="19"/>
      <c r="P987" s="19"/>
      <c r="Q987" s="19"/>
      <c r="R987" s="20"/>
      <c r="S987" s="20"/>
      <c r="T987" s="164"/>
      <c r="U987" s="154">
        <f t="shared" si="62"/>
        <v>43850</v>
      </c>
    </row>
    <row r="988" spans="2:21" x14ac:dyDescent="0.2">
      <c r="B988" s="8">
        <f t="shared" si="63"/>
        <v>297</v>
      </c>
      <c r="C988" s="18"/>
      <c r="D988" s="18"/>
      <c r="E988" s="18"/>
      <c r="F988" s="152"/>
      <c r="G988" s="153">
        <v>633</v>
      </c>
      <c r="H988" s="18" t="s">
        <v>135</v>
      </c>
      <c r="I988" s="19">
        <f>50+450+1550+7500+3750+1650</f>
        <v>14950</v>
      </c>
      <c r="J988" s="19">
        <v>13800</v>
      </c>
      <c r="K988" s="19">
        <v>19436</v>
      </c>
      <c r="L988" s="20">
        <v>39229</v>
      </c>
      <c r="M988" s="20">
        <v>37942</v>
      </c>
      <c r="N988" s="164"/>
      <c r="O988" s="19"/>
      <c r="P988" s="19"/>
      <c r="Q988" s="19"/>
      <c r="R988" s="20"/>
      <c r="S988" s="20"/>
      <c r="T988" s="164"/>
      <c r="U988" s="154">
        <f t="shared" si="62"/>
        <v>14950</v>
      </c>
    </row>
    <row r="989" spans="2:21" x14ac:dyDescent="0.2">
      <c r="B989" s="8">
        <f t="shared" si="63"/>
        <v>298</v>
      </c>
      <c r="C989" s="18"/>
      <c r="D989" s="18"/>
      <c r="E989" s="18"/>
      <c r="F989" s="152"/>
      <c r="G989" s="153">
        <v>634</v>
      </c>
      <c r="H989" s="18" t="s">
        <v>142</v>
      </c>
      <c r="I989" s="19">
        <v>1100</v>
      </c>
      <c r="J989" s="19">
        <v>1200</v>
      </c>
      <c r="K989" s="19">
        <v>1200</v>
      </c>
      <c r="L989" s="20">
        <v>0</v>
      </c>
      <c r="M989" s="20">
        <v>900</v>
      </c>
      <c r="N989" s="164"/>
      <c r="O989" s="19"/>
      <c r="P989" s="19"/>
      <c r="Q989" s="19"/>
      <c r="R989" s="20"/>
      <c r="S989" s="20"/>
      <c r="T989" s="164"/>
      <c r="U989" s="154">
        <f t="shared" si="62"/>
        <v>1100</v>
      </c>
    </row>
    <row r="990" spans="2:21" x14ac:dyDescent="0.2">
      <c r="B990" s="8">
        <f t="shared" si="63"/>
        <v>299</v>
      </c>
      <c r="C990" s="18"/>
      <c r="D990" s="18"/>
      <c r="E990" s="18"/>
      <c r="F990" s="152"/>
      <c r="G990" s="153">
        <v>635</v>
      </c>
      <c r="H990" s="18" t="s">
        <v>143</v>
      </c>
      <c r="I990" s="19">
        <f>1200+780+9800+5000</f>
        <v>16780</v>
      </c>
      <c r="J990" s="19">
        <v>15500</v>
      </c>
      <c r="K990" s="19">
        <v>16000</v>
      </c>
      <c r="L990" s="20">
        <v>17500</v>
      </c>
      <c r="M990" s="20">
        <v>13370</v>
      </c>
      <c r="N990" s="164"/>
      <c r="O990" s="19"/>
      <c r="P990" s="19"/>
      <c r="Q990" s="19"/>
      <c r="R990" s="20"/>
      <c r="S990" s="20"/>
      <c r="T990" s="164"/>
      <c r="U990" s="154">
        <f t="shared" si="62"/>
        <v>16780</v>
      </c>
    </row>
    <row r="991" spans="2:21" x14ac:dyDescent="0.2">
      <c r="B991" s="8">
        <f t="shared" si="63"/>
        <v>300</v>
      </c>
      <c r="C991" s="18"/>
      <c r="D991" s="18"/>
      <c r="E991" s="18"/>
      <c r="F991" s="152"/>
      <c r="G991" s="153">
        <v>637</v>
      </c>
      <c r="H991" s="18" t="s">
        <v>132</v>
      </c>
      <c r="I991" s="19">
        <f>18000+1000+120+700+700+650+8000+150+7000+380+1200+2000</f>
        <v>39900</v>
      </c>
      <c r="J991" s="19">
        <v>56700</v>
      </c>
      <c r="K991" s="19">
        <v>47480</v>
      </c>
      <c r="L991" s="20">
        <v>47871</v>
      </c>
      <c r="M991" s="20">
        <f>25211+1165+4363</f>
        <v>30739</v>
      </c>
      <c r="N991" s="164"/>
      <c r="O991" s="19"/>
      <c r="P991" s="19"/>
      <c r="Q991" s="19"/>
      <c r="R991" s="20"/>
      <c r="S991" s="20"/>
      <c r="T991" s="164"/>
      <c r="U991" s="154">
        <f t="shared" si="62"/>
        <v>39900</v>
      </c>
    </row>
    <row r="992" spans="2:21" x14ac:dyDescent="0.2">
      <c r="B992" s="8">
        <f t="shared" si="63"/>
        <v>301</v>
      </c>
      <c r="C992" s="24"/>
      <c r="D992" s="24"/>
      <c r="E992" s="24"/>
      <c r="F992" s="149" t="s">
        <v>116</v>
      </c>
      <c r="G992" s="150">
        <v>640</v>
      </c>
      <c r="H992" s="24" t="s">
        <v>139</v>
      </c>
      <c r="I992" s="25">
        <v>2000</v>
      </c>
      <c r="J992" s="25"/>
      <c r="K992" s="25">
        <v>7875</v>
      </c>
      <c r="L992" s="26">
        <v>7064</v>
      </c>
      <c r="M992" s="26">
        <v>2469</v>
      </c>
      <c r="N992" s="501"/>
      <c r="O992" s="25"/>
      <c r="P992" s="25"/>
      <c r="Q992" s="25"/>
      <c r="R992" s="26"/>
      <c r="S992" s="26"/>
      <c r="T992" s="501"/>
      <c r="U992" s="151">
        <f t="shared" si="62"/>
        <v>2000</v>
      </c>
    </row>
    <row r="993" spans="2:24" x14ac:dyDescent="0.2">
      <c r="B993" s="8">
        <f t="shared" si="63"/>
        <v>302</v>
      </c>
      <c r="C993" s="24"/>
      <c r="D993" s="24"/>
      <c r="E993" s="24"/>
      <c r="F993" s="149"/>
      <c r="G993" s="150">
        <v>630</v>
      </c>
      <c r="H993" s="24" t="s">
        <v>534</v>
      </c>
      <c r="I993" s="25"/>
      <c r="J993" s="25"/>
      <c r="K993" s="25">
        <v>15601</v>
      </c>
      <c r="L993" s="26">
        <v>31</v>
      </c>
      <c r="M993" s="26"/>
      <c r="N993" s="501"/>
      <c r="O993" s="25"/>
      <c r="P993" s="25"/>
      <c r="Q993" s="25"/>
      <c r="R993" s="26"/>
      <c r="S993" s="26"/>
      <c r="T993" s="501"/>
      <c r="U993" s="151">
        <f t="shared" si="62"/>
        <v>0</v>
      </c>
    </row>
    <row r="994" spans="2:24" x14ac:dyDescent="0.2">
      <c r="B994" s="8">
        <f t="shared" si="63"/>
        <v>303</v>
      </c>
      <c r="C994" s="24"/>
      <c r="D994" s="24"/>
      <c r="E994" s="24"/>
      <c r="F994" s="149" t="s">
        <v>116</v>
      </c>
      <c r="G994" s="150">
        <v>710</v>
      </c>
      <c r="H994" s="24" t="s">
        <v>185</v>
      </c>
      <c r="I994" s="25"/>
      <c r="J994" s="25"/>
      <c r="K994" s="25"/>
      <c r="L994" s="26"/>
      <c r="M994" s="26"/>
      <c r="N994" s="501"/>
      <c r="O994" s="25">
        <f>O998</f>
        <v>1431200</v>
      </c>
      <c r="P994" s="25">
        <f>P998</f>
        <v>524000</v>
      </c>
      <c r="Q994" s="25">
        <f>Q998+Q995</f>
        <v>586500</v>
      </c>
      <c r="R994" s="26">
        <f>R998</f>
        <v>88</v>
      </c>
      <c r="S994" s="26"/>
      <c r="T994" s="501"/>
      <c r="U994" s="151">
        <f t="shared" si="62"/>
        <v>1431200</v>
      </c>
    </row>
    <row r="995" spans="2:24" x14ac:dyDescent="0.2">
      <c r="B995" s="8">
        <f t="shared" si="63"/>
        <v>304</v>
      </c>
      <c r="C995" s="24"/>
      <c r="D995" s="24"/>
      <c r="E995" s="24"/>
      <c r="F995" s="149"/>
      <c r="G995" s="153">
        <v>716</v>
      </c>
      <c r="H995" s="18" t="s">
        <v>226</v>
      </c>
      <c r="I995" s="25"/>
      <c r="J995" s="25"/>
      <c r="K995" s="25"/>
      <c r="L995" s="26"/>
      <c r="M995" s="26"/>
      <c r="N995" s="501"/>
      <c r="O995" s="25"/>
      <c r="P995" s="25"/>
      <c r="Q995" s="19">
        <f>Q996+Q997</f>
        <v>7700</v>
      </c>
      <c r="R995" s="26"/>
      <c r="S995" s="26"/>
      <c r="T995" s="501"/>
      <c r="U995" s="154">
        <f t="shared" si="62"/>
        <v>0</v>
      </c>
    </row>
    <row r="996" spans="2:24" x14ac:dyDescent="0.2">
      <c r="B996" s="8">
        <f t="shared" si="63"/>
        <v>305</v>
      </c>
      <c r="C996" s="24"/>
      <c r="D996" s="24"/>
      <c r="E996" s="24"/>
      <c r="F996" s="149"/>
      <c r="G996" s="155"/>
      <c r="H996" s="156" t="s">
        <v>1107</v>
      </c>
      <c r="I996" s="25"/>
      <c r="J996" s="25"/>
      <c r="K996" s="25"/>
      <c r="L996" s="26"/>
      <c r="M996" s="26"/>
      <c r="N996" s="501"/>
      <c r="O996" s="25"/>
      <c r="P996" s="25"/>
      <c r="Q996" s="157">
        <v>5000</v>
      </c>
      <c r="R996" s="26"/>
      <c r="S996" s="26"/>
      <c r="T996" s="501"/>
      <c r="U996" s="159">
        <f t="shared" si="62"/>
        <v>0</v>
      </c>
    </row>
    <row r="997" spans="2:24" x14ac:dyDescent="0.2">
      <c r="B997" s="8">
        <f t="shared" si="63"/>
        <v>306</v>
      </c>
      <c r="C997" s="24"/>
      <c r="D997" s="24"/>
      <c r="E997" s="24"/>
      <c r="F997" s="149"/>
      <c r="G997" s="150"/>
      <c r="H997" s="156" t="s">
        <v>1108</v>
      </c>
      <c r="I997" s="25"/>
      <c r="J997" s="25"/>
      <c r="K997" s="25"/>
      <c r="L997" s="26"/>
      <c r="M997" s="26"/>
      <c r="N997" s="501"/>
      <c r="O997" s="25"/>
      <c r="P997" s="25"/>
      <c r="Q997" s="157">
        <v>2700</v>
      </c>
      <c r="R997" s="26"/>
      <c r="S997" s="26"/>
      <c r="T997" s="501"/>
      <c r="U997" s="159">
        <f t="shared" si="62"/>
        <v>0</v>
      </c>
    </row>
    <row r="998" spans="2:24" x14ac:dyDescent="0.2">
      <c r="B998" s="8">
        <f t="shared" si="63"/>
        <v>307</v>
      </c>
      <c r="C998" s="18"/>
      <c r="D998" s="18"/>
      <c r="E998" s="18"/>
      <c r="F998" s="152"/>
      <c r="G998" s="153">
        <v>717</v>
      </c>
      <c r="H998" s="18" t="s">
        <v>192</v>
      </c>
      <c r="I998" s="19"/>
      <c r="J998" s="19"/>
      <c r="K998" s="19"/>
      <c r="L998" s="20"/>
      <c r="M998" s="20"/>
      <c r="N998" s="164"/>
      <c r="O998" s="19">
        <f>SUM(O999:O1001)</f>
        <v>1431200</v>
      </c>
      <c r="P998" s="19">
        <f>SUM(P999:P1001)</f>
        <v>524000</v>
      </c>
      <c r="Q998" s="19">
        <f>SUM(Q999:Q1001)</f>
        <v>578800</v>
      </c>
      <c r="R998" s="20">
        <f>SUM(R999:R1001)</f>
        <v>88</v>
      </c>
      <c r="S998" s="20"/>
      <c r="T998" s="164"/>
      <c r="U998" s="154">
        <f t="shared" si="62"/>
        <v>1431200</v>
      </c>
    </row>
    <row r="999" spans="2:24" s="165" customFormat="1" x14ac:dyDescent="0.2">
      <c r="B999" s="8">
        <f t="shared" si="63"/>
        <v>308</v>
      </c>
      <c r="C999" s="156"/>
      <c r="D999" s="156"/>
      <c r="E999" s="156"/>
      <c r="F999" s="272"/>
      <c r="G999" s="155"/>
      <c r="H999" s="156" t="s">
        <v>1064</v>
      </c>
      <c r="I999" s="157"/>
      <c r="J999" s="157"/>
      <c r="K999" s="157"/>
      <c r="L999" s="158"/>
      <c r="M999" s="158"/>
      <c r="N999" s="535"/>
      <c r="O999" s="157">
        <v>1431200</v>
      </c>
      <c r="P999" s="157"/>
      <c r="Q999" s="157"/>
      <c r="R999" s="158"/>
      <c r="S999" s="158"/>
      <c r="T999" s="535"/>
      <c r="U999" s="159">
        <f t="shared" si="62"/>
        <v>1431200</v>
      </c>
    </row>
    <row r="1000" spans="2:24" s="165" customFormat="1" x14ac:dyDescent="0.2">
      <c r="B1000" s="8">
        <f t="shared" si="63"/>
        <v>309</v>
      </c>
      <c r="C1000" s="156"/>
      <c r="D1000" s="156"/>
      <c r="E1000" s="156"/>
      <c r="F1000" s="272"/>
      <c r="G1000" s="155"/>
      <c r="H1000" s="156" t="s">
        <v>1109</v>
      </c>
      <c r="I1000" s="157"/>
      <c r="J1000" s="157"/>
      <c r="K1000" s="157"/>
      <c r="L1000" s="158"/>
      <c r="M1000" s="158"/>
      <c r="N1000" s="535"/>
      <c r="O1000" s="157"/>
      <c r="P1000" s="157"/>
      <c r="Q1000" s="157">
        <v>25000</v>
      </c>
      <c r="R1000" s="158"/>
      <c r="S1000" s="158"/>
      <c r="T1000" s="535"/>
      <c r="U1000" s="159">
        <f t="shared" si="62"/>
        <v>0</v>
      </c>
    </row>
    <row r="1001" spans="2:24" s="165" customFormat="1" x14ac:dyDescent="0.2">
      <c r="B1001" s="8">
        <f t="shared" si="63"/>
        <v>310</v>
      </c>
      <c r="C1001" s="156"/>
      <c r="D1001" s="156"/>
      <c r="E1001" s="156"/>
      <c r="F1001" s="272"/>
      <c r="G1001" s="155"/>
      <c r="H1001" s="156" t="s">
        <v>511</v>
      </c>
      <c r="I1001" s="157"/>
      <c r="J1001" s="157"/>
      <c r="K1001" s="157"/>
      <c r="L1001" s="158"/>
      <c r="M1001" s="158"/>
      <c r="N1001" s="535"/>
      <c r="O1001" s="157"/>
      <c r="P1001" s="157">
        <v>524000</v>
      </c>
      <c r="Q1001" s="157">
        <v>553800</v>
      </c>
      <c r="R1001" s="158">
        <v>88</v>
      </c>
      <c r="S1001" s="158"/>
      <c r="T1001" s="535"/>
      <c r="U1001" s="159">
        <f t="shared" ref="U1001:U1064" si="65">I1001+O1001</f>
        <v>0</v>
      </c>
    </row>
    <row r="1002" spans="2:24" ht="14.25" x14ac:dyDescent="0.2">
      <c r="B1002" s="8">
        <f t="shared" si="63"/>
        <v>311</v>
      </c>
      <c r="C1002" s="267"/>
      <c r="D1002" s="267"/>
      <c r="E1002" s="267">
        <v>8</v>
      </c>
      <c r="F1002" s="268"/>
      <c r="G1002" s="268"/>
      <c r="H1002" s="267" t="s">
        <v>7</v>
      </c>
      <c r="I1002" s="269">
        <f>I1003+I1004+I1005+I1012+I1013+I1014+I1015+I1022</f>
        <v>2883003</v>
      </c>
      <c r="J1002" s="269">
        <f>J1003+J1004+J1005+J1012+J1013+J1014+J1015+J1022</f>
        <v>2378338</v>
      </c>
      <c r="K1002" s="269">
        <f>K1003+K1004+K1005+K1012+K1013+K1014+K1015+K1022+K1023+K1025</f>
        <v>2442833</v>
      </c>
      <c r="L1002" s="270">
        <f>L1003+L1004+L1005+L1012+L1013+L1014+L1015+L1022+L1023+L1024</f>
        <v>2208711</v>
      </c>
      <c r="M1002" s="270">
        <f>M1003+M1004+M1005+M1012+M1013+M1014+M1015+M1022</f>
        <v>2015538</v>
      </c>
      <c r="N1002" s="534"/>
      <c r="O1002" s="269"/>
      <c r="P1002" s="269"/>
      <c r="Q1002" s="269"/>
      <c r="R1002" s="270">
        <f>R1027</f>
        <v>36110</v>
      </c>
      <c r="S1002" s="270">
        <f>S1027</f>
        <v>14983</v>
      </c>
      <c r="T1002" s="534"/>
      <c r="U1002" s="271">
        <f t="shared" si="65"/>
        <v>2883003</v>
      </c>
    </row>
    <row r="1003" spans="2:24" x14ac:dyDescent="0.2">
      <c r="B1003" s="8">
        <f>B1002+1</f>
        <v>312</v>
      </c>
      <c r="C1003" s="24"/>
      <c r="D1003" s="24"/>
      <c r="E1003" s="24"/>
      <c r="F1003" s="149" t="s">
        <v>129</v>
      </c>
      <c r="G1003" s="150">
        <v>610</v>
      </c>
      <c r="H1003" s="24" t="s">
        <v>141</v>
      </c>
      <c r="I1003" s="25">
        <v>537270</v>
      </c>
      <c r="J1003" s="25">
        <v>491750</v>
      </c>
      <c r="K1003" s="25">
        <v>451550</v>
      </c>
      <c r="L1003" s="26">
        <v>436092</v>
      </c>
      <c r="M1003" s="26">
        <v>453522</v>
      </c>
      <c r="N1003" s="501"/>
      <c r="O1003" s="25"/>
      <c r="P1003" s="25"/>
      <c r="Q1003" s="25"/>
      <c r="R1003" s="26"/>
      <c r="S1003" s="26"/>
      <c r="T1003" s="501"/>
      <c r="U1003" s="151">
        <f t="shared" si="65"/>
        <v>537270</v>
      </c>
      <c r="X1003" s="2"/>
    </row>
    <row r="1004" spans="2:24" x14ac:dyDescent="0.2">
      <c r="B1004" s="8">
        <f>B1003+1</f>
        <v>313</v>
      </c>
      <c r="C1004" s="24"/>
      <c r="D1004" s="24"/>
      <c r="E1004" s="24"/>
      <c r="F1004" s="149" t="s">
        <v>129</v>
      </c>
      <c r="G1004" s="150">
        <v>620</v>
      </c>
      <c r="H1004" s="24" t="s">
        <v>134</v>
      </c>
      <c r="I1004" s="25">
        <v>189515</v>
      </c>
      <c r="J1004" s="25">
        <v>183015</v>
      </c>
      <c r="K1004" s="25">
        <v>168856</v>
      </c>
      <c r="L1004" s="26">
        <v>162585</v>
      </c>
      <c r="M1004" s="26">
        <v>165256</v>
      </c>
      <c r="N1004" s="501"/>
      <c r="O1004" s="25"/>
      <c r="P1004" s="25"/>
      <c r="Q1004" s="25"/>
      <c r="R1004" s="26"/>
      <c r="S1004" s="26"/>
      <c r="T1004" s="501"/>
      <c r="U1004" s="151">
        <f t="shared" si="65"/>
        <v>189515</v>
      </c>
    </row>
    <row r="1005" spans="2:24" x14ac:dyDescent="0.2">
      <c r="B1005" s="8">
        <f>B1004+1</f>
        <v>314</v>
      </c>
      <c r="C1005" s="24"/>
      <c r="D1005" s="24"/>
      <c r="E1005" s="24"/>
      <c r="F1005" s="149" t="s">
        <v>129</v>
      </c>
      <c r="G1005" s="150">
        <v>630</v>
      </c>
      <c r="H1005" s="24" t="s">
        <v>131</v>
      </c>
      <c r="I1005" s="25">
        <f>I1011+I1010+I1009+I1008+I1007+I1006</f>
        <v>95580</v>
      </c>
      <c r="J1005" s="25">
        <f>J1011+J1010+J1009+J1008+J1007+J1006</f>
        <v>84640</v>
      </c>
      <c r="K1005" s="25">
        <f>K1011+K1010+K1009+K1008+K1007+K1006</f>
        <v>84540</v>
      </c>
      <c r="L1005" s="26">
        <f>L1011+L1010+L1009+L1008+L1007+L1006</f>
        <v>106785</v>
      </c>
      <c r="M1005" s="26">
        <f>M1011+M1010+M1009+M1008+M1007+M1006</f>
        <v>62635</v>
      </c>
      <c r="N1005" s="501"/>
      <c r="O1005" s="25"/>
      <c r="P1005" s="25"/>
      <c r="Q1005" s="25"/>
      <c r="R1005" s="26"/>
      <c r="S1005" s="26"/>
      <c r="T1005" s="501"/>
      <c r="U1005" s="151">
        <f t="shared" si="65"/>
        <v>95580</v>
      </c>
    </row>
    <row r="1006" spans="2:24" x14ac:dyDescent="0.2">
      <c r="B1006" s="8">
        <f t="shared" ref="B1006:B1069" si="66">B1005+1</f>
        <v>315</v>
      </c>
      <c r="C1006" s="18"/>
      <c r="D1006" s="18"/>
      <c r="E1006" s="18"/>
      <c r="F1006" s="152"/>
      <c r="G1006" s="153">
        <v>631</v>
      </c>
      <c r="H1006" s="18" t="s">
        <v>137</v>
      </c>
      <c r="I1006" s="19">
        <v>100</v>
      </c>
      <c r="J1006" s="19">
        <v>50</v>
      </c>
      <c r="K1006" s="19">
        <v>50</v>
      </c>
      <c r="L1006" s="20">
        <v>34</v>
      </c>
      <c r="M1006" s="20"/>
      <c r="N1006" s="164"/>
      <c r="O1006" s="19"/>
      <c r="P1006" s="19"/>
      <c r="Q1006" s="19"/>
      <c r="R1006" s="20"/>
      <c r="S1006" s="20"/>
      <c r="T1006" s="164"/>
      <c r="U1006" s="154">
        <f t="shared" si="65"/>
        <v>100</v>
      </c>
    </row>
    <row r="1007" spans="2:24" x14ac:dyDescent="0.2">
      <c r="B1007" s="8">
        <f t="shared" si="66"/>
        <v>316</v>
      </c>
      <c r="C1007" s="18"/>
      <c r="D1007" s="18"/>
      <c r="E1007" s="18"/>
      <c r="F1007" s="152"/>
      <c r="G1007" s="153">
        <v>632</v>
      </c>
      <c r="H1007" s="18" t="s">
        <v>144</v>
      </c>
      <c r="I1007" s="19">
        <f>1500+10000+30000+1400+2000+1000+250</f>
        <v>46150</v>
      </c>
      <c r="J1007" s="19">
        <v>38750</v>
      </c>
      <c r="K1007" s="19">
        <v>38750</v>
      </c>
      <c r="L1007" s="20">
        <v>38245</v>
      </c>
      <c r="M1007" s="20">
        <v>26288</v>
      </c>
      <c r="N1007" s="164"/>
      <c r="O1007" s="19"/>
      <c r="P1007" s="19"/>
      <c r="Q1007" s="19"/>
      <c r="R1007" s="20"/>
      <c r="S1007" s="20"/>
      <c r="T1007" s="164"/>
      <c r="U1007" s="154">
        <f t="shared" si="65"/>
        <v>46150</v>
      </c>
    </row>
    <row r="1008" spans="2:24" x14ac:dyDescent="0.2">
      <c r="B1008" s="8">
        <f t="shared" si="66"/>
        <v>317</v>
      </c>
      <c r="C1008" s="18"/>
      <c r="D1008" s="18"/>
      <c r="E1008" s="18"/>
      <c r="F1008" s="152"/>
      <c r="G1008" s="153">
        <v>633</v>
      </c>
      <c r="H1008" s="18" t="s">
        <v>135</v>
      </c>
      <c r="I1008" s="19">
        <f>780+600+800+150+2000+500+200+800+300+300+250+100+1000+1200+200</f>
        <v>9180</v>
      </c>
      <c r="J1008" s="19">
        <v>8650</v>
      </c>
      <c r="K1008" s="19">
        <v>8650</v>
      </c>
      <c r="L1008" s="20">
        <v>37705</v>
      </c>
      <c r="M1008" s="20">
        <v>19046</v>
      </c>
      <c r="N1008" s="164"/>
      <c r="O1008" s="19"/>
      <c r="P1008" s="19"/>
      <c r="Q1008" s="19"/>
      <c r="R1008" s="20"/>
      <c r="S1008" s="20"/>
      <c r="T1008" s="164"/>
      <c r="U1008" s="154">
        <f t="shared" si="65"/>
        <v>9180</v>
      </c>
    </row>
    <row r="1009" spans="2:21" x14ac:dyDescent="0.2">
      <c r="B1009" s="8">
        <f t="shared" si="66"/>
        <v>318</v>
      </c>
      <c r="C1009" s="18"/>
      <c r="D1009" s="18"/>
      <c r="E1009" s="18"/>
      <c r="F1009" s="152"/>
      <c r="G1009" s="153">
        <v>635</v>
      </c>
      <c r="H1009" s="18" t="s">
        <v>143</v>
      </c>
      <c r="I1009" s="19">
        <f>4000+350+400+250+350</f>
        <v>5350</v>
      </c>
      <c r="J1009" s="19">
        <v>5350</v>
      </c>
      <c r="K1009" s="19">
        <v>5350</v>
      </c>
      <c r="L1009" s="20">
        <v>3711</v>
      </c>
      <c r="M1009" s="20">
        <v>200</v>
      </c>
      <c r="N1009" s="164"/>
      <c r="O1009" s="19"/>
      <c r="P1009" s="19"/>
      <c r="Q1009" s="19"/>
      <c r="R1009" s="20"/>
      <c r="S1009" s="20"/>
      <c r="T1009" s="164"/>
      <c r="U1009" s="154">
        <f t="shared" si="65"/>
        <v>5350</v>
      </c>
    </row>
    <row r="1010" spans="2:21" x14ac:dyDescent="0.2">
      <c r="B1010" s="8">
        <f t="shared" si="66"/>
        <v>319</v>
      </c>
      <c r="C1010" s="18"/>
      <c r="D1010" s="18"/>
      <c r="E1010" s="18"/>
      <c r="F1010" s="152"/>
      <c r="G1010" s="153">
        <v>636</v>
      </c>
      <c r="H1010" s="18" t="s">
        <v>136</v>
      </c>
      <c r="I1010" s="19">
        <v>1600</v>
      </c>
      <c r="J1010" s="19">
        <v>1600</v>
      </c>
      <c r="K1010" s="19">
        <v>1600</v>
      </c>
      <c r="L1010" s="20">
        <v>1400</v>
      </c>
      <c r="M1010" s="20">
        <v>1400</v>
      </c>
      <c r="N1010" s="164"/>
      <c r="O1010" s="19"/>
      <c r="P1010" s="19"/>
      <c r="Q1010" s="19"/>
      <c r="R1010" s="20"/>
      <c r="S1010" s="20"/>
      <c r="T1010" s="164"/>
      <c r="U1010" s="154">
        <f t="shared" si="65"/>
        <v>1600</v>
      </c>
    </row>
    <row r="1011" spans="2:21" x14ac:dyDescent="0.2">
      <c r="B1011" s="8">
        <f t="shared" si="66"/>
        <v>320</v>
      </c>
      <c r="C1011" s="18"/>
      <c r="D1011" s="18"/>
      <c r="E1011" s="18"/>
      <c r="F1011" s="152"/>
      <c r="G1011" s="153">
        <v>637</v>
      </c>
      <c r="H1011" s="18" t="s">
        <v>132</v>
      </c>
      <c r="I1011" s="19">
        <f>250+450+100+350+400+150+10000+9000+1300+8000+1200+2000</f>
        <v>33200</v>
      </c>
      <c r="J1011" s="19">
        <v>30240</v>
      </c>
      <c r="K1011" s="19">
        <v>30140</v>
      </c>
      <c r="L1011" s="20">
        <v>25690</v>
      </c>
      <c r="M1011" s="20">
        <v>15701</v>
      </c>
      <c r="N1011" s="164"/>
      <c r="O1011" s="19"/>
      <c r="P1011" s="19"/>
      <c r="Q1011" s="19"/>
      <c r="R1011" s="20"/>
      <c r="S1011" s="20"/>
      <c r="T1011" s="164"/>
      <c r="U1011" s="154">
        <f t="shared" si="65"/>
        <v>33200</v>
      </c>
    </row>
    <row r="1012" spans="2:21" x14ac:dyDescent="0.2">
      <c r="B1012" s="8">
        <f t="shared" si="66"/>
        <v>321</v>
      </c>
      <c r="C1012" s="24"/>
      <c r="D1012" s="24"/>
      <c r="E1012" s="24"/>
      <c r="F1012" s="149" t="s">
        <v>129</v>
      </c>
      <c r="G1012" s="150">
        <v>640</v>
      </c>
      <c r="H1012" s="24" t="s">
        <v>139</v>
      </c>
      <c r="I1012" s="25">
        <f>9240+1200+600+4000</f>
        <v>15040</v>
      </c>
      <c r="J1012" s="25">
        <v>14400</v>
      </c>
      <c r="K1012" s="25">
        <v>14400</v>
      </c>
      <c r="L1012" s="26">
        <v>4811</v>
      </c>
      <c r="M1012" s="26">
        <v>6408</v>
      </c>
      <c r="N1012" s="501"/>
      <c r="O1012" s="25"/>
      <c r="P1012" s="25"/>
      <c r="Q1012" s="25"/>
      <c r="R1012" s="26"/>
      <c r="S1012" s="26"/>
      <c r="T1012" s="501"/>
      <c r="U1012" s="151">
        <f t="shared" si="65"/>
        <v>15040</v>
      </c>
    </row>
    <row r="1013" spans="2:21" x14ac:dyDescent="0.2">
      <c r="B1013" s="8">
        <f t="shared" si="66"/>
        <v>322</v>
      </c>
      <c r="C1013" s="24"/>
      <c r="D1013" s="24"/>
      <c r="E1013" s="24"/>
      <c r="F1013" s="149" t="s">
        <v>116</v>
      </c>
      <c r="G1013" s="150">
        <v>610</v>
      </c>
      <c r="H1013" s="24" t="s">
        <v>141</v>
      </c>
      <c r="I1013" s="25">
        <v>1104725</v>
      </c>
      <c r="J1013" s="25">
        <v>1012690</v>
      </c>
      <c r="K1013" s="25">
        <v>983531</v>
      </c>
      <c r="L1013" s="26">
        <v>884240</v>
      </c>
      <c r="M1013" s="26">
        <v>831462</v>
      </c>
      <c r="N1013" s="501"/>
      <c r="O1013" s="25"/>
      <c r="P1013" s="25"/>
      <c r="Q1013" s="25"/>
      <c r="R1013" s="26"/>
      <c r="S1013" s="26"/>
      <c r="T1013" s="501"/>
      <c r="U1013" s="151">
        <f t="shared" si="65"/>
        <v>1104725</v>
      </c>
    </row>
    <row r="1014" spans="2:21" x14ac:dyDescent="0.2">
      <c r="B1014" s="8">
        <f t="shared" si="66"/>
        <v>323</v>
      </c>
      <c r="C1014" s="24"/>
      <c r="D1014" s="24"/>
      <c r="E1014" s="24"/>
      <c r="F1014" s="149" t="s">
        <v>116</v>
      </c>
      <c r="G1014" s="150">
        <v>620</v>
      </c>
      <c r="H1014" s="24" t="s">
        <v>134</v>
      </c>
      <c r="I1014" s="25">
        <v>399295</v>
      </c>
      <c r="J1014" s="25">
        <v>357618</v>
      </c>
      <c r="K1014" s="25">
        <v>347895</v>
      </c>
      <c r="L1014" s="26">
        <v>325411</v>
      </c>
      <c r="M1014" s="26">
        <v>305200</v>
      </c>
      <c r="N1014" s="501"/>
      <c r="O1014" s="25"/>
      <c r="P1014" s="25"/>
      <c r="Q1014" s="25"/>
      <c r="R1014" s="26"/>
      <c r="S1014" s="26"/>
      <c r="T1014" s="501"/>
      <c r="U1014" s="151">
        <f t="shared" si="65"/>
        <v>399295</v>
      </c>
    </row>
    <row r="1015" spans="2:21" x14ac:dyDescent="0.2">
      <c r="B1015" s="8">
        <f t="shared" si="66"/>
        <v>324</v>
      </c>
      <c r="C1015" s="24"/>
      <c r="D1015" s="24"/>
      <c r="E1015" s="24"/>
      <c r="F1015" s="149" t="s">
        <v>116</v>
      </c>
      <c r="G1015" s="150">
        <v>630</v>
      </c>
      <c r="H1015" s="24" t="s">
        <v>131</v>
      </c>
      <c r="I1015" s="25">
        <f>SUM(I1016:I1021)</f>
        <v>517008</v>
      </c>
      <c r="J1015" s="25">
        <f>SUM(J1016:J1021)</f>
        <v>217165</v>
      </c>
      <c r="K1015" s="25">
        <f>SUM(K1016:K1021)</f>
        <v>287659</v>
      </c>
      <c r="L1015" s="26">
        <f>SUM(L1016:L1021)</f>
        <v>225255</v>
      </c>
      <c r="M1015" s="26">
        <f>SUM(M1016:M1021)</f>
        <v>183926</v>
      </c>
      <c r="N1015" s="501"/>
      <c r="O1015" s="25"/>
      <c r="P1015" s="25"/>
      <c r="Q1015" s="25"/>
      <c r="R1015" s="26"/>
      <c r="S1015" s="26"/>
      <c r="T1015" s="501"/>
      <c r="U1015" s="151">
        <f t="shared" si="65"/>
        <v>517008</v>
      </c>
    </row>
    <row r="1016" spans="2:21" x14ac:dyDescent="0.2">
      <c r="B1016" s="8">
        <f t="shared" si="66"/>
        <v>325</v>
      </c>
      <c r="C1016" s="18"/>
      <c r="D1016" s="18"/>
      <c r="E1016" s="18"/>
      <c r="F1016" s="152"/>
      <c r="G1016" s="153">
        <v>631</v>
      </c>
      <c r="H1016" s="18" t="s">
        <v>137</v>
      </c>
      <c r="I1016" s="19">
        <v>100</v>
      </c>
      <c r="J1016" s="19">
        <v>50</v>
      </c>
      <c r="K1016" s="19">
        <v>50</v>
      </c>
      <c r="L1016" s="20"/>
      <c r="M1016" s="20"/>
      <c r="N1016" s="164"/>
      <c r="O1016" s="19"/>
      <c r="P1016" s="19"/>
      <c r="Q1016" s="19"/>
      <c r="R1016" s="20"/>
      <c r="S1016" s="20"/>
      <c r="T1016" s="164"/>
      <c r="U1016" s="154">
        <f t="shared" si="65"/>
        <v>100</v>
      </c>
    </row>
    <row r="1017" spans="2:21" x14ac:dyDescent="0.2">
      <c r="B1017" s="8">
        <f t="shared" si="66"/>
        <v>326</v>
      </c>
      <c r="C1017" s="18"/>
      <c r="D1017" s="18"/>
      <c r="E1017" s="18"/>
      <c r="F1017" s="152"/>
      <c r="G1017" s="153">
        <v>632</v>
      </c>
      <c r="H1017" s="18" t="s">
        <v>144</v>
      </c>
      <c r="I1017" s="19">
        <f>2600+2300+20000+6400+110000+2800+750+250+1600+93000</f>
        <v>239700</v>
      </c>
      <c r="J1017" s="19">
        <v>102750</v>
      </c>
      <c r="K1017" s="19">
        <v>170844</v>
      </c>
      <c r="L1017" s="20">
        <v>90030</v>
      </c>
      <c r="M1017" s="20">
        <v>78571</v>
      </c>
      <c r="N1017" s="164"/>
      <c r="O1017" s="19"/>
      <c r="P1017" s="19"/>
      <c r="Q1017" s="19"/>
      <c r="R1017" s="20"/>
      <c r="S1017" s="20"/>
      <c r="T1017" s="164"/>
      <c r="U1017" s="154">
        <f t="shared" si="65"/>
        <v>239700</v>
      </c>
    </row>
    <row r="1018" spans="2:21" x14ac:dyDescent="0.2">
      <c r="B1018" s="8">
        <f t="shared" si="66"/>
        <v>327</v>
      </c>
      <c r="C1018" s="18"/>
      <c r="D1018" s="18"/>
      <c r="E1018" s="18"/>
      <c r="F1018" s="152"/>
      <c r="G1018" s="153">
        <v>633</v>
      </c>
      <c r="H1018" s="18" t="s">
        <v>135</v>
      </c>
      <c r="I1018" s="19">
        <f>160+4000+800+800+40+300+500+200+300+100+100+139340+1000+1000+200+7753+1000</f>
        <v>157593</v>
      </c>
      <c r="J1018" s="19">
        <v>17915</v>
      </c>
      <c r="K1018" s="19">
        <v>17875</v>
      </c>
      <c r="L1018" s="20">
        <v>57695</v>
      </c>
      <c r="M1018" s="20">
        <v>29811</v>
      </c>
      <c r="N1018" s="164"/>
      <c r="O1018" s="19"/>
      <c r="P1018" s="19"/>
      <c r="Q1018" s="19"/>
      <c r="R1018" s="20"/>
      <c r="S1018" s="20"/>
      <c r="T1018" s="164"/>
      <c r="U1018" s="154">
        <f t="shared" si="65"/>
        <v>157593</v>
      </c>
    </row>
    <row r="1019" spans="2:21" x14ac:dyDescent="0.2">
      <c r="B1019" s="8">
        <f t="shared" si="66"/>
        <v>328</v>
      </c>
      <c r="C1019" s="18"/>
      <c r="D1019" s="18"/>
      <c r="E1019" s="18"/>
      <c r="F1019" s="152"/>
      <c r="G1019" s="153">
        <v>635</v>
      </c>
      <c r="H1019" s="18" t="s">
        <v>143</v>
      </c>
      <c r="I1019" s="19">
        <f>4000+2000+25250+2000+500+600+300+300</f>
        <v>34950</v>
      </c>
      <c r="J1019" s="19">
        <v>16700</v>
      </c>
      <c r="K1019" s="19">
        <v>16700</v>
      </c>
      <c r="L1019" s="20">
        <v>21146</v>
      </c>
      <c r="M1019" s="20">
        <v>29269</v>
      </c>
      <c r="N1019" s="164"/>
      <c r="O1019" s="19"/>
      <c r="P1019" s="19"/>
      <c r="Q1019" s="19"/>
      <c r="R1019" s="20"/>
      <c r="S1019" s="20"/>
      <c r="T1019" s="164"/>
      <c r="U1019" s="154">
        <f t="shared" si="65"/>
        <v>34950</v>
      </c>
    </row>
    <row r="1020" spans="2:21" x14ac:dyDescent="0.2">
      <c r="B1020" s="8">
        <f t="shared" si="66"/>
        <v>329</v>
      </c>
      <c r="C1020" s="18"/>
      <c r="D1020" s="18"/>
      <c r="E1020" s="18"/>
      <c r="F1020" s="152"/>
      <c r="G1020" s="153">
        <v>636</v>
      </c>
      <c r="H1020" s="18" t="s">
        <v>136</v>
      </c>
      <c r="I1020" s="19">
        <v>3000</v>
      </c>
      <c r="J1020" s="19">
        <v>3000</v>
      </c>
      <c r="K1020" s="19">
        <v>3000</v>
      </c>
      <c r="L1020" s="20">
        <v>2032</v>
      </c>
      <c r="M1020" s="20">
        <v>1204</v>
      </c>
      <c r="N1020" s="164"/>
      <c r="O1020" s="19"/>
      <c r="P1020" s="19"/>
      <c r="Q1020" s="19"/>
      <c r="R1020" s="20"/>
      <c r="S1020" s="20"/>
      <c r="T1020" s="164"/>
      <c r="U1020" s="154">
        <f t="shared" si="65"/>
        <v>3000</v>
      </c>
    </row>
    <row r="1021" spans="2:21" x14ac:dyDescent="0.2">
      <c r="B1021" s="8">
        <f t="shared" si="66"/>
        <v>330</v>
      </c>
      <c r="C1021" s="18"/>
      <c r="D1021" s="18"/>
      <c r="E1021" s="18"/>
      <c r="F1021" s="152"/>
      <c r="G1021" s="153">
        <v>637</v>
      </c>
      <c r="H1021" s="18" t="s">
        <v>132</v>
      </c>
      <c r="I1021" s="19">
        <f>300+5000+350+80+18000+465+800+560+160+13000+3500+20+13000+1400+11000+10000+1680+2350</f>
        <v>81665</v>
      </c>
      <c r="J1021" s="19">
        <v>76750</v>
      </c>
      <c r="K1021" s="19">
        <v>79190</v>
      </c>
      <c r="L1021" s="20">
        <f>49389+4963</f>
        <v>54352</v>
      </c>
      <c r="M1021" s="20">
        <f>35383+633+9022+33</f>
        <v>45071</v>
      </c>
      <c r="N1021" s="164"/>
      <c r="O1021" s="19"/>
      <c r="P1021" s="19"/>
      <c r="Q1021" s="19"/>
      <c r="R1021" s="20"/>
      <c r="S1021" s="20"/>
      <c r="T1021" s="164"/>
      <c r="U1021" s="154">
        <f t="shared" si="65"/>
        <v>81665</v>
      </c>
    </row>
    <row r="1022" spans="2:21" x14ac:dyDescent="0.2">
      <c r="B1022" s="8">
        <f t="shared" si="66"/>
        <v>331</v>
      </c>
      <c r="C1022" s="24"/>
      <c r="D1022" s="24"/>
      <c r="E1022" s="24"/>
      <c r="F1022" s="149" t="s">
        <v>116</v>
      </c>
      <c r="G1022" s="150">
        <v>640</v>
      </c>
      <c r="H1022" s="24" t="s">
        <v>139</v>
      </c>
      <c r="I1022" s="25">
        <f>15900+1600+270+800+6000</f>
        <v>24570</v>
      </c>
      <c r="J1022" s="25">
        <v>17060</v>
      </c>
      <c r="K1022" s="25">
        <v>17269</v>
      </c>
      <c r="L1022" s="26">
        <v>11856</v>
      </c>
      <c r="M1022" s="26">
        <v>7129</v>
      </c>
      <c r="N1022" s="501"/>
      <c r="O1022" s="25"/>
      <c r="P1022" s="25"/>
      <c r="Q1022" s="25"/>
      <c r="R1022" s="26"/>
      <c r="S1022" s="26"/>
      <c r="T1022" s="501"/>
      <c r="U1022" s="151">
        <f t="shared" si="65"/>
        <v>24570</v>
      </c>
    </row>
    <row r="1023" spans="2:21" x14ac:dyDescent="0.2">
      <c r="B1023" s="8">
        <f t="shared" si="66"/>
        <v>332</v>
      </c>
      <c r="C1023" s="24"/>
      <c r="D1023" s="24"/>
      <c r="E1023" s="24"/>
      <c r="F1023" s="149"/>
      <c r="G1023" s="150">
        <v>630</v>
      </c>
      <c r="H1023" s="24" t="s">
        <v>534</v>
      </c>
      <c r="I1023" s="25"/>
      <c r="J1023" s="25"/>
      <c r="K1023" s="25">
        <v>25387</v>
      </c>
      <c r="L1023" s="26">
        <v>51626</v>
      </c>
      <c r="M1023" s="26"/>
      <c r="N1023" s="501"/>
      <c r="O1023" s="25"/>
      <c r="P1023" s="25"/>
      <c r="Q1023" s="25"/>
      <c r="R1023" s="26"/>
      <c r="S1023" s="26"/>
      <c r="T1023" s="501"/>
      <c r="U1023" s="151">
        <f t="shared" si="65"/>
        <v>0</v>
      </c>
    </row>
    <row r="1024" spans="2:21" x14ac:dyDescent="0.2">
      <c r="B1024" s="8">
        <f t="shared" si="66"/>
        <v>333</v>
      </c>
      <c r="C1024" s="24"/>
      <c r="D1024" s="24"/>
      <c r="E1024" s="24"/>
      <c r="F1024" s="149"/>
      <c r="G1024" s="150"/>
      <c r="H1024" s="24" t="s">
        <v>814</v>
      </c>
      <c r="I1024" s="25"/>
      <c r="J1024" s="25"/>
      <c r="K1024" s="25"/>
      <c r="L1024" s="26">
        <v>50</v>
      </c>
      <c r="M1024" s="26"/>
      <c r="N1024" s="501"/>
      <c r="O1024" s="25"/>
      <c r="P1024" s="25"/>
      <c r="Q1024" s="25"/>
      <c r="R1024" s="26"/>
      <c r="S1024" s="26"/>
      <c r="T1024" s="501"/>
      <c r="U1024" s="151">
        <f t="shared" si="65"/>
        <v>0</v>
      </c>
    </row>
    <row r="1025" spans="2:21" x14ac:dyDescent="0.2">
      <c r="B1025" s="8">
        <f t="shared" si="66"/>
        <v>334</v>
      </c>
      <c r="C1025" s="24"/>
      <c r="D1025" s="24"/>
      <c r="E1025" s="24"/>
      <c r="F1025" s="149" t="s">
        <v>81</v>
      </c>
      <c r="G1025" s="150">
        <v>633</v>
      </c>
      <c r="H1025" s="24" t="s">
        <v>1040</v>
      </c>
      <c r="I1025" s="25"/>
      <c r="J1025" s="25"/>
      <c r="K1025" s="25">
        <v>61746</v>
      </c>
      <c r="L1025" s="26"/>
      <c r="M1025" s="26"/>
      <c r="N1025" s="501"/>
      <c r="O1025" s="25"/>
      <c r="P1025" s="25"/>
      <c r="Q1025" s="25"/>
      <c r="R1025" s="26"/>
      <c r="S1025" s="26"/>
      <c r="T1025" s="501"/>
      <c r="U1025" s="151">
        <f t="shared" si="65"/>
        <v>0</v>
      </c>
    </row>
    <row r="1026" spans="2:21" x14ac:dyDescent="0.2">
      <c r="B1026" s="8">
        <f t="shared" si="66"/>
        <v>335</v>
      </c>
      <c r="C1026" s="24"/>
      <c r="D1026" s="24"/>
      <c r="E1026" s="24"/>
      <c r="F1026" s="149"/>
      <c r="G1026" s="150">
        <v>642</v>
      </c>
      <c r="H1026" s="24" t="s">
        <v>1041</v>
      </c>
      <c r="I1026" s="25"/>
      <c r="J1026" s="25"/>
      <c r="K1026" s="25"/>
      <c r="L1026" s="26"/>
      <c r="M1026" s="26"/>
      <c r="N1026" s="501"/>
      <c r="O1026" s="25"/>
      <c r="P1026" s="25"/>
      <c r="Q1026" s="25"/>
      <c r="R1026" s="26"/>
      <c r="S1026" s="26"/>
      <c r="T1026" s="501"/>
      <c r="U1026" s="151">
        <f t="shared" si="65"/>
        <v>0</v>
      </c>
    </row>
    <row r="1027" spans="2:21" x14ac:dyDescent="0.2">
      <c r="B1027" s="8">
        <f t="shared" si="66"/>
        <v>336</v>
      </c>
      <c r="C1027" s="24"/>
      <c r="D1027" s="24"/>
      <c r="E1027" s="24"/>
      <c r="F1027" s="149" t="s">
        <v>129</v>
      </c>
      <c r="G1027" s="150">
        <v>710</v>
      </c>
      <c r="H1027" s="24" t="s">
        <v>185</v>
      </c>
      <c r="I1027" s="25"/>
      <c r="J1027" s="25"/>
      <c r="K1027" s="25"/>
      <c r="L1027" s="26"/>
      <c r="M1027" s="26"/>
      <c r="N1027" s="501"/>
      <c r="O1027" s="25"/>
      <c r="P1027" s="25"/>
      <c r="Q1027" s="25"/>
      <c r="R1027" s="26">
        <f>R1028</f>
        <v>36110</v>
      </c>
      <c r="S1027" s="26">
        <f>S1028</f>
        <v>14983</v>
      </c>
      <c r="T1027" s="501"/>
      <c r="U1027" s="151">
        <f t="shared" si="65"/>
        <v>0</v>
      </c>
    </row>
    <row r="1028" spans="2:21" x14ac:dyDescent="0.2">
      <c r="B1028" s="8">
        <f t="shared" si="66"/>
        <v>337</v>
      </c>
      <c r="C1028" s="24"/>
      <c r="D1028" s="24"/>
      <c r="E1028" s="24"/>
      <c r="F1028" s="149"/>
      <c r="G1028" s="153">
        <v>717</v>
      </c>
      <c r="H1028" s="18" t="s">
        <v>192</v>
      </c>
      <c r="I1028" s="19"/>
      <c r="J1028" s="19"/>
      <c r="K1028" s="19"/>
      <c r="L1028" s="20"/>
      <c r="M1028" s="20"/>
      <c r="N1028" s="164"/>
      <c r="O1028" s="19"/>
      <c r="P1028" s="19"/>
      <c r="Q1028" s="19"/>
      <c r="R1028" s="20">
        <f>SUM(R1030:R1031)</f>
        <v>36110</v>
      </c>
      <c r="S1028" s="20">
        <f>S1029</f>
        <v>14983</v>
      </c>
      <c r="T1028" s="164"/>
      <c r="U1028" s="154">
        <f t="shared" si="65"/>
        <v>0</v>
      </c>
    </row>
    <row r="1029" spans="2:21" s="165" customFormat="1" x14ac:dyDescent="0.2">
      <c r="B1029" s="8">
        <f t="shared" si="66"/>
        <v>338</v>
      </c>
      <c r="C1029" s="285"/>
      <c r="D1029" s="285"/>
      <c r="E1029" s="285"/>
      <c r="F1029" s="272"/>
      <c r="G1029" s="155">
        <v>717</v>
      </c>
      <c r="H1029" s="156" t="s">
        <v>514</v>
      </c>
      <c r="I1029" s="157"/>
      <c r="J1029" s="157"/>
      <c r="K1029" s="157"/>
      <c r="L1029" s="158"/>
      <c r="M1029" s="158"/>
      <c r="N1029" s="535"/>
      <c r="O1029" s="157"/>
      <c r="P1029" s="157"/>
      <c r="Q1029" s="157"/>
      <c r="R1029" s="158"/>
      <c r="S1029" s="158">
        <v>14983</v>
      </c>
      <c r="T1029" s="535"/>
      <c r="U1029" s="159">
        <f t="shared" si="65"/>
        <v>0</v>
      </c>
    </row>
    <row r="1030" spans="2:21" s="165" customFormat="1" x14ac:dyDescent="0.2">
      <c r="B1030" s="8">
        <f t="shared" si="66"/>
        <v>339</v>
      </c>
      <c r="C1030" s="285"/>
      <c r="D1030" s="285"/>
      <c r="E1030" s="285"/>
      <c r="F1030" s="272"/>
      <c r="G1030" s="155">
        <v>717</v>
      </c>
      <c r="H1030" s="156" t="s">
        <v>517</v>
      </c>
      <c r="I1030" s="157"/>
      <c r="J1030" s="157"/>
      <c r="K1030" s="157"/>
      <c r="L1030" s="158"/>
      <c r="M1030" s="158"/>
      <c r="N1030" s="535"/>
      <c r="O1030" s="157"/>
      <c r="P1030" s="157"/>
      <c r="Q1030" s="157"/>
      <c r="R1030" s="158">
        <v>18100</v>
      </c>
      <c r="S1030" s="158"/>
      <c r="T1030" s="535"/>
      <c r="U1030" s="159">
        <f t="shared" si="65"/>
        <v>0</v>
      </c>
    </row>
    <row r="1031" spans="2:21" s="165" customFormat="1" x14ac:dyDescent="0.2">
      <c r="B1031" s="8">
        <f t="shared" si="66"/>
        <v>340</v>
      </c>
      <c r="C1031" s="285"/>
      <c r="D1031" s="285"/>
      <c r="E1031" s="285"/>
      <c r="F1031" s="272"/>
      <c r="G1031" s="155">
        <v>717</v>
      </c>
      <c r="H1031" s="156" t="s">
        <v>548</v>
      </c>
      <c r="I1031" s="157"/>
      <c r="J1031" s="157"/>
      <c r="K1031" s="157"/>
      <c r="L1031" s="158"/>
      <c r="M1031" s="158"/>
      <c r="N1031" s="535"/>
      <c r="O1031" s="157"/>
      <c r="P1031" s="157"/>
      <c r="Q1031" s="157"/>
      <c r="R1031" s="158">
        <v>18010</v>
      </c>
      <c r="S1031" s="158"/>
      <c r="T1031" s="535"/>
      <c r="U1031" s="159">
        <f t="shared" si="65"/>
        <v>0</v>
      </c>
    </row>
    <row r="1032" spans="2:21" ht="14.25" x14ac:dyDescent="0.2">
      <c r="B1032" s="8">
        <f t="shared" si="66"/>
        <v>341</v>
      </c>
      <c r="C1032" s="267"/>
      <c r="D1032" s="267"/>
      <c r="E1032" s="267">
        <v>9</v>
      </c>
      <c r="F1032" s="268"/>
      <c r="G1032" s="268"/>
      <c r="H1032" s="267" t="s">
        <v>5</v>
      </c>
      <c r="I1032" s="269">
        <f>I1033+I1034+I1035+I1043+I1044+I1045+I1046+I1054</f>
        <v>1947299</v>
      </c>
      <c r="J1032" s="269">
        <f>J1033+J1034+J1035+J1043+J1044+J1045+J1046+J1054</f>
        <v>1620185</v>
      </c>
      <c r="K1032" s="269">
        <f>K1033+K1034+K1035+K1043+K1044+K1045+K1046+K1054+K1055</f>
        <v>1637259</v>
      </c>
      <c r="L1032" s="270">
        <f>L1033+L1034+L1035+L1043+L1044+L1045+L1046+L1054+L1055+L1056</f>
        <v>1434812</v>
      </c>
      <c r="M1032" s="270">
        <f>M1033+M1034+M1035+M1043+M1044+M1045+M1046+M1054</f>
        <v>1224471</v>
      </c>
      <c r="N1032" s="534"/>
      <c r="O1032" s="269">
        <f>O1057</f>
        <v>38000</v>
      </c>
      <c r="P1032" s="269"/>
      <c r="Q1032" s="269">
        <f>Q1057</f>
        <v>134000</v>
      </c>
      <c r="R1032" s="270">
        <f>R1057</f>
        <v>35337</v>
      </c>
      <c r="S1032" s="270">
        <f>S1057</f>
        <v>114959</v>
      </c>
      <c r="T1032" s="534"/>
      <c r="U1032" s="271">
        <f t="shared" si="65"/>
        <v>1985299</v>
      </c>
    </row>
    <row r="1033" spans="2:21" x14ac:dyDescent="0.2">
      <c r="B1033" s="8">
        <f t="shared" si="66"/>
        <v>342</v>
      </c>
      <c r="C1033" s="24"/>
      <c r="D1033" s="24"/>
      <c r="E1033" s="24"/>
      <c r="F1033" s="149" t="s">
        <v>129</v>
      </c>
      <c r="G1033" s="150">
        <v>610</v>
      </c>
      <c r="H1033" s="24" t="s">
        <v>141</v>
      </c>
      <c r="I1033" s="25">
        <f>404600+5400+35000+10000</f>
        <v>455000</v>
      </c>
      <c r="J1033" s="25">
        <v>429500</v>
      </c>
      <c r="K1033" s="25">
        <v>420000</v>
      </c>
      <c r="L1033" s="26">
        <v>340000</v>
      </c>
      <c r="M1033" s="26">
        <v>309844</v>
      </c>
      <c r="N1033" s="501"/>
      <c r="O1033" s="25"/>
      <c r="P1033" s="25"/>
      <c r="Q1033" s="25"/>
      <c r="R1033" s="26"/>
      <c r="S1033" s="26"/>
      <c r="T1033" s="501"/>
      <c r="U1033" s="151">
        <f t="shared" si="65"/>
        <v>455000</v>
      </c>
    </row>
    <row r="1034" spans="2:21" x14ac:dyDescent="0.2">
      <c r="B1034" s="8">
        <f t="shared" si="66"/>
        <v>343</v>
      </c>
      <c r="C1034" s="24"/>
      <c r="D1034" s="24"/>
      <c r="E1034" s="24"/>
      <c r="F1034" s="149" t="s">
        <v>129</v>
      </c>
      <c r="G1034" s="150">
        <v>620</v>
      </c>
      <c r="H1034" s="24" t="s">
        <v>134</v>
      </c>
      <c r="I1034" s="25">
        <f>34275+11425+6400+63980+13710+3655+4500+4570+21710</f>
        <v>164225</v>
      </c>
      <c r="J1034" s="25">
        <v>154045</v>
      </c>
      <c r="K1034" s="25">
        <v>150745</v>
      </c>
      <c r="L1034" s="26">
        <v>120130</v>
      </c>
      <c r="M1034" s="26">
        <v>111884</v>
      </c>
      <c r="N1034" s="501"/>
      <c r="O1034" s="25"/>
      <c r="P1034" s="25"/>
      <c r="Q1034" s="25"/>
      <c r="R1034" s="26"/>
      <c r="S1034" s="26"/>
      <c r="T1034" s="501"/>
      <c r="U1034" s="151">
        <f t="shared" si="65"/>
        <v>164225</v>
      </c>
    </row>
    <row r="1035" spans="2:21" x14ac:dyDescent="0.2">
      <c r="B1035" s="8">
        <f t="shared" si="66"/>
        <v>344</v>
      </c>
      <c r="C1035" s="24"/>
      <c r="D1035" s="24"/>
      <c r="E1035" s="24"/>
      <c r="F1035" s="149" t="s">
        <v>129</v>
      </c>
      <c r="G1035" s="150">
        <v>630</v>
      </c>
      <c r="H1035" s="24" t="s">
        <v>131</v>
      </c>
      <c r="I1035" s="25">
        <f>I1042+I1041+I1040+I1039+I1038+I1037+I1036</f>
        <v>107200</v>
      </c>
      <c r="J1035" s="25">
        <f>J1042+J1041+J1040+J1039+J1038+J1037+J1036</f>
        <v>99335</v>
      </c>
      <c r="K1035" s="25">
        <f>K1042+K1041+K1040+K1039+K1038+K1037+K1036</f>
        <v>103435</v>
      </c>
      <c r="L1035" s="26">
        <f>L1042+L1041+L1040+L1039+L1038+L1037+L1036</f>
        <v>81298</v>
      </c>
      <c r="M1035" s="26">
        <f>M1042+M1041+M1040+M1039+M1038+M1037+M1036</f>
        <v>78196</v>
      </c>
      <c r="N1035" s="501"/>
      <c r="O1035" s="25"/>
      <c r="P1035" s="25"/>
      <c r="Q1035" s="25"/>
      <c r="R1035" s="26"/>
      <c r="S1035" s="26"/>
      <c r="T1035" s="501"/>
      <c r="U1035" s="151">
        <f t="shared" si="65"/>
        <v>107200</v>
      </c>
    </row>
    <row r="1036" spans="2:21" x14ac:dyDescent="0.2">
      <c r="B1036" s="8">
        <f t="shared" si="66"/>
        <v>345</v>
      </c>
      <c r="C1036" s="18"/>
      <c r="D1036" s="18"/>
      <c r="E1036" s="18"/>
      <c r="F1036" s="152"/>
      <c r="G1036" s="153">
        <v>631</v>
      </c>
      <c r="H1036" s="18" t="s">
        <v>137</v>
      </c>
      <c r="I1036" s="19">
        <v>300</v>
      </c>
      <c r="J1036" s="19">
        <v>300</v>
      </c>
      <c r="K1036" s="19">
        <v>300</v>
      </c>
      <c r="L1036" s="20">
        <v>56</v>
      </c>
      <c r="M1036" s="20">
        <v>12</v>
      </c>
      <c r="N1036" s="164"/>
      <c r="O1036" s="19"/>
      <c r="P1036" s="19"/>
      <c r="Q1036" s="19"/>
      <c r="R1036" s="20"/>
      <c r="S1036" s="20"/>
      <c r="T1036" s="164"/>
      <c r="U1036" s="154">
        <f t="shared" si="65"/>
        <v>300</v>
      </c>
    </row>
    <row r="1037" spans="2:21" x14ac:dyDescent="0.2">
      <c r="B1037" s="8">
        <f t="shared" si="66"/>
        <v>346</v>
      </c>
      <c r="C1037" s="18"/>
      <c r="D1037" s="18"/>
      <c r="E1037" s="18"/>
      <c r="F1037" s="152"/>
      <c r="G1037" s="153">
        <v>632</v>
      </c>
      <c r="H1037" s="18" t="s">
        <v>144</v>
      </c>
      <c r="I1037" s="19">
        <f>400+1500+8000+50000+2500+500</f>
        <v>62900</v>
      </c>
      <c r="J1037" s="19">
        <v>53235</v>
      </c>
      <c r="K1037" s="19">
        <v>53235</v>
      </c>
      <c r="L1037" s="20">
        <v>20935</v>
      </c>
      <c r="M1037" s="20">
        <v>9800</v>
      </c>
      <c r="N1037" s="164"/>
      <c r="O1037" s="19"/>
      <c r="P1037" s="19"/>
      <c r="Q1037" s="19"/>
      <c r="R1037" s="20"/>
      <c r="S1037" s="20"/>
      <c r="T1037" s="164"/>
      <c r="U1037" s="154">
        <f t="shared" si="65"/>
        <v>62900</v>
      </c>
    </row>
    <row r="1038" spans="2:21" x14ac:dyDescent="0.2">
      <c r="B1038" s="8">
        <f t="shared" si="66"/>
        <v>347</v>
      </c>
      <c r="C1038" s="18"/>
      <c r="D1038" s="18"/>
      <c r="E1038" s="18"/>
      <c r="F1038" s="152"/>
      <c r="G1038" s="153">
        <v>633</v>
      </c>
      <c r="H1038" s="18" t="s">
        <v>135</v>
      </c>
      <c r="I1038" s="19">
        <f>6000+500+400+250</f>
        <v>7150</v>
      </c>
      <c r="J1038" s="19">
        <v>7150</v>
      </c>
      <c r="K1038" s="19">
        <v>7150</v>
      </c>
      <c r="L1038" s="20">
        <v>16715</v>
      </c>
      <c r="M1038" s="20">
        <v>26846</v>
      </c>
      <c r="N1038" s="164"/>
      <c r="O1038" s="19"/>
      <c r="P1038" s="19"/>
      <c r="Q1038" s="19"/>
      <c r="R1038" s="20"/>
      <c r="S1038" s="20"/>
      <c r="T1038" s="164"/>
      <c r="U1038" s="154">
        <f t="shared" si="65"/>
        <v>7150</v>
      </c>
    </row>
    <row r="1039" spans="2:21" x14ac:dyDescent="0.2">
      <c r="B1039" s="8">
        <f t="shared" si="66"/>
        <v>348</v>
      </c>
      <c r="C1039" s="18"/>
      <c r="D1039" s="18"/>
      <c r="E1039" s="18"/>
      <c r="F1039" s="152"/>
      <c r="G1039" s="153">
        <v>634</v>
      </c>
      <c r="H1039" s="18" t="s">
        <v>142</v>
      </c>
      <c r="I1039" s="19">
        <v>1500</v>
      </c>
      <c r="J1039" s="19">
        <v>1500</v>
      </c>
      <c r="K1039" s="19">
        <v>1500</v>
      </c>
      <c r="L1039" s="20">
        <v>816</v>
      </c>
      <c r="M1039" s="20">
        <v>408</v>
      </c>
      <c r="N1039" s="164"/>
      <c r="O1039" s="19"/>
      <c r="P1039" s="19"/>
      <c r="Q1039" s="19"/>
      <c r="R1039" s="20"/>
      <c r="S1039" s="20"/>
      <c r="T1039" s="164"/>
      <c r="U1039" s="154">
        <f t="shared" si="65"/>
        <v>1500</v>
      </c>
    </row>
    <row r="1040" spans="2:21" x14ac:dyDescent="0.2">
      <c r="B1040" s="8">
        <f t="shared" si="66"/>
        <v>349</v>
      </c>
      <c r="C1040" s="18"/>
      <c r="D1040" s="18"/>
      <c r="E1040" s="18"/>
      <c r="F1040" s="152"/>
      <c r="G1040" s="153">
        <v>635</v>
      </c>
      <c r="H1040" s="18" t="s">
        <v>143</v>
      </c>
      <c r="I1040" s="19">
        <v>2500</v>
      </c>
      <c r="J1040" s="19">
        <v>2500</v>
      </c>
      <c r="K1040" s="19">
        <v>2500</v>
      </c>
      <c r="L1040" s="20">
        <v>7500</v>
      </c>
      <c r="M1040" s="20">
        <v>10915</v>
      </c>
      <c r="N1040" s="164"/>
      <c r="O1040" s="19"/>
      <c r="P1040" s="19"/>
      <c r="Q1040" s="19"/>
      <c r="R1040" s="20"/>
      <c r="S1040" s="20"/>
      <c r="T1040" s="164"/>
      <c r="U1040" s="154">
        <f t="shared" si="65"/>
        <v>2500</v>
      </c>
    </row>
    <row r="1041" spans="2:21" x14ac:dyDescent="0.2">
      <c r="B1041" s="8">
        <f t="shared" si="66"/>
        <v>350</v>
      </c>
      <c r="C1041" s="18"/>
      <c r="D1041" s="18"/>
      <c r="E1041" s="18"/>
      <c r="F1041" s="152"/>
      <c r="G1041" s="153">
        <v>636</v>
      </c>
      <c r="H1041" s="18" t="s">
        <v>136</v>
      </c>
      <c r="I1041" s="19">
        <v>500</v>
      </c>
      <c r="J1041" s="19">
        <v>370</v>
      </c>
      <c r="K1041" s="19">
        <v>370</v>
      </c>
      <c r="L1041" s="20">
        <v>467</v>
      </c>
      <c r="M1041" s="20">
        <v>340</v>
      </c>
      <c r="N1041" s="164"/>
      <c r="O1041" s="19"/>
      <c r="P1041" s="19"/>
      <c r="Q1041" s="19"/>
      <c r="R1041" s="20"/>
      <c r="S1041" s="20"/>
      <c r="T1041" s="164"/>
      <c r="U1041" s="154">
        <f t="shared" si="65"/>
        <v>500</v>
      </c>
    </row>
    <row r="1042" spans="2:21" x14ac:dyDescent="0.2">
      <c r="B1042" s="8">
        <f t="shared" si="66"/>
        <v>351</v>
      </c>
      <c r="C1042" s="18"/>
      <c r="D1042" s="18"/>
      <c r="E1042" s="18"/>
      <c r="F1042" s="152"/>
      <c r="G1042" s="153">
        <v>637</v>
      </c>
      <c r="H1042" s="18" t="s">
        <v>132</v>
      </c>
      <c r="I1042" s="19">
        <f>480+370+3500+200+8000+1500+4700+2000+600+1000+10000</f>
        <v>32350</v>
      </c>
      <c r="J1042" s="19">
        <v>34280</v>
      </c>
      <c r="K1042" s="19">
        <v>38380</v>
      </c>
      <c r="L1042" s="20">
        <v>34809</v>
      </c>
      <c r="M1042" s="20">
        <v>29875</v>
      </c>
      <c r="N1042" s="164"/>
      <c r="O1042" s="19"/>
      <c r="P1042" s="19"/>
      <c r="Q1042" s="19"/>
      <c r="R1042" s="20"/>
      <c r="S1042" s="20"/>
      <c r="T1042" s="164"/>
      <c r="U1042" s="154">
        <f t="shared" si="65"/>
        <v>32350</v>
      </c>
    </row>
    <row r="1043" spans="2:21" x14ac:dyDescent="0.2">
      <c r="B1043" s="8">
        <f t="shared" si="66"/>
        <v>352</v>
      </c>
      <c r="C1043" s="24"/>
      <c r="D1043" s="24"/>
      <c r="E1043" s="24"/>
      <c r="F1043" s="149" t="s">
        <v>129</v>
      </c>
      <c r="G1043" s="150">
        <v>640</v>
      </c>
      <c r="H1043" s="24" t="s">
        <v>139</v>
      </c>
      <c r="I1043" s="25">
        <f>3000</f>
        <v>3000</v>
      </c>
      <c r="J1043" s="25">
        <v>3000</v>
      </c>
      <c r="K1043" s="25">
        <v>3000</v>
      </c>
      <c r="L1043" s="26">
        <v>5119</v>
      </c>
      <c r="M1043" s="26">
        <v>2610</v>
      </c>
      <c r="N1043" s="501"/>
      <c r="O1043" s="25"/>
      <c r="P1043" s="25"/>
      <c r="Q1043" s="25"/>
      <c r="R1043" s="26"/>
      <c r="S1043" s="26"/>
      <c r="T1043" s="501"/>
      <c r="U1043" s="151">
        <f t="shared" si="65"/>
        <v>3000</v>
      </c>
    </row>
    <row r="1044" spans="2:21" x14ac:dyDescent="0.2">
      <c r="B1044" s="8">
        <f t="shared" si="66"/>
        <v>353</v>
      </c>
      <c r="C1044" s="24"/>
      <c r="D1044" s="24"/>
      <c r="E1044" s="24"/>
      <c r="F1044" s="149" t="s">
        <v>116</v>
      </c>
      <c r="G1044" s="150">
        <v>610</v>
      </c>
      <c r="H1044" s="24" t="s">
        <v>141</v>
      </c>
      <c r="I1044" s="25">
        <v>788250</v>
      </c>
      <c r="J1044" s="25">
        <v>595295</v>
      </c>
      <c r="K1044" s="25">
        <v>592620</v>
      </c>
      <c r="L1044" s="26">
        <v>510878</v>
      </c>
      <c r="M1044" s="26">
        <v>437854</v>
      </c>
      <c r="N1044" s="501"/>
      <c r="O1044" s="25"/>
      <c r="P1044" s="25"/>
      <c r="Q1044" s="25"/>
      <c r="R1044" s="26"/>
      <c r="S1044" s="26"/>
      <c r="T1044" s="501"/>
      <c r="U1044" s="151">
        <f t="shared" si="65"/>
        <v>788250</v>
      </c>
    </row>
    <row r="1045" spans="2:21" x14ac:dyDescent="0.2">
      <c r="B1045" s="8">
        <f t="shared" si="66"/>
        <v>354</v>
      </c>
      <c r="C1045" s="24"/>
      <c r="D1045" s="24"/>
      <c r="E1045" s="24"/>
      <c r="F1045" s="149" t="s">
        <v>116</v>
      </c>
      <c r="G1045" s="150">
        <v>620</v>
      </c>
      <c r="H1045" s="24" t="s">
        <v>134</v>
      </c>
      <c r="I1045" s="25">
        <v>282680</v>
      </c>
      <c r="J1045" s="25">
        <v>215495</v>
      </c>
      <c r="K1045" s="25">
        <v>216418</v>
      </c>
      <c r="L1045" s="26">
        <v>180832</v>
      </c>
      <c r="M1045" s="26">
        <v>156668</v>
      </c>
      <c r="N1045" s="501"/>
      <c r="O1045" s="25"/>
      <c r="P1045" s="25"/>
      <c r="Q1045" s="25"/>
      <c r="R1045" s="26"/>
      <c r="S1045" s="26"/>
      <c r="T1045" s="501"/>
      <c r="U1045" s="151">
        <f t="shared" si="65"/>
        <v>282680</v>
      </c>
    </row>
    <row r="1046" spans="2:21" x14ac:dyDescent="0.2">
      <c r="B1046" s="8">
        <f t="shared" si="66"/>
        <v>355</v>
      </c>
      <c r="C1046" s="24"/>
      <c r="D1046" s="24"/>
      <c r="E1046" s="24"/>
      <c r="F1046" s="149" t="s">
        <v>116</v>
      </c>
      <c r="G1046" s="150">
        <v>630</v>
      </c>
      <c r="H1046" s="24" t="s">
        <v>131</v>
      </c>
      <c r="I1046" s="25">
        <f>I1053+I1052+I1051+I1049+I1048+I1047+I1050</f>
        <v>143944</v>
      </c>
      <c r="J1046" s="25">
        <f>J1053+J1052+J1051+J1049+J1048+J1047</f>
        <v>120515</v>
      </c>
      <c r="K1046" s="25">
        <f>K1053+K1052+K1051+K1049+K1048+K1047</f>
        <v>138614</v>
      </c>
      <c r="L1046" s="26">
        <f>L1053+L1052+L1051+L1049+L1048+L1047</f>
        <v>180671</v>
      </c>
      <c r="M1046" s="26">
        <f>M1053+M1052+M1051+M1049+M1048+M1047</f>
        <v>124915</v>
      </c>
      <c r="N1046" s="501"/>
      <c r="O1046" s="25"/>
      <c r="P1046" s="25"/>
      <c r="Q1046" s="25"/>
      <c r="R1046" s="26"/>
      <c r="S1046" s="26"/>
      <c r="T1046" s="501"/>
      <c r="U1046" s="151">
        <f t="shared" si="65"/>
        <v>143944</v>
      </c>
    </row>
    <row r="1047" spans="2:21" x14ac:dyDescent="0.2">
      <c r="B1047" s="8">
        <f t="shared" si="66"/>
        <v>356</v>
      </c>
      <c r="C1047" s="18"/>
      <c r="D1047" s="18"/>
      <c r="E1047" s="18"/>
      <c r="F1047" s="152"/>
      <c r="G1047" s="153">
        <v>631</v>
      </c>
      <c r="H1047" s="18" t="s">
        <v>137</v>
      </c>
      <c r="I1047" s="19">
        <v>300</v>
      </c>
      <c r="J1047" s="19">
        <v>300</v>
      </c>
      <c r="K1047" s="19">
        <v>300</v>
      </c>
      <c r="L1047" s="20">
        <v>56</v>
      </c>
      <c r="M1047" s="20">
        <v>12</v>
      </c>
      <c r="N1047" s="164"/>
      <c r="O1047" s="19"/>
      <c r="P1047" s="19"/>
      <c r="Q1047" s="19"/>
      <c r="R1047" s="20"/>
      <c r="S1047" s="20"/>
      <c r="T1047" s="164"/>
      <c r="U1047" s="154">
        <f t="shared" si="65"/>
        <v>300</v>
      </c>
    </row>
    <row r="1048" spans="2:21" x14ac:dyDescent="0.2">
      <c r="B1048" s="8">
        <f t="shared" si="66"/>
        <v>357</v>
      </c>
      <c r="C1048" s="18"/>
      <c r="D1048" s="18"/>
      <c r="E1048" s="18"/>
      <c r="F1048" s="152"/>
      <c r="G1048" s="153">
        <v>632</v>
      </c>
      <c r="H1048" s="18" t="s">
        <v>144</v>
      </c>
      <c r="I1048" s="19">
        <f>400+1500+7800+8000+50000+2500+500</f>
        <v>70700</v>
      </c>
      <c r="J1048" s="19">
        <v>57235</v>
      </c>
      <c r="K1048" s="19">
        <v>58709</v>
      </c>
      <c r="L1048" s="20">
        <v>23750</v>
      </c>
      <c r="M1048" s="20">
        <v>16110</v>
      </c>
      <c r="N1048" s="164"/>
      <c r="O1048" s="19"/>
      <c r="P1048" s="19"/>
      <c r="Q1048" s="19"/>
      <c r="R1048" s="20"/>
      <c r="S1048" s="20"/>
      <c r="T1048" s="164"/>
      <c r="U1048" s="154">
        <f t="shared" si="65"/>
        <v>70700</v>
      </c>
    </row>
    <row r="1049" spans="2:21" x14ac:dyDescent="0.2">
      <c r="B1049" s="8">
        <f t="shared" si="66"/>
        <v>358</v>
      </c>
      <c r="C1049" s="18"/>
      <c r="D1049" s="18"/>
      <c r="E1049" s="18"/>
      <c r="F1049" s="152"/>
      <c r="G1049" s="153">
        <v>633</v>
      </c>
      <c r="H1049" s="18" t="s">
        <v>135</v>
      </c>
      <c r="I1049" s="19">
        <f>8144+1000+1000+1000+3000+500+400+250</f>
        <v>15294</v>
      </c>
      <c r="J1049" s="19">
        <v>15630</v>
      </c>
      <c r="K1049" s="19">
        <v>19893</v>
      </c>
      <c r="L1049" s="20">
        <v>53174</v>
      </c>
      <c r="M1049" s="20">
        <v>28994</v>
      </c>
      <c r="N1049" s="164"/>
      <c r="O1049" s="19"/>
      <c r="P1049" s="19"/>
      <c r="Q1049" s="19"/>
      <c r="R1049" s="20"/>
      <c r="S1049" s="20"/>
      <c r="T1049" s="164"/>
      <c r="U1049" s="154">
        <f t="shared" si="65"/>
        <v>15294</v>
      </c>
    </row>
    <row r="1050" spans="2:21" x14ac:dyDescent="0.2">
      <c r="B1050" s="8">
        <f t="shared" si="66"/>
        <v>359</v>
      </c>
      <c r="C1050" s="18"/>
      <c r="D1050" s="18"/>
      <c r="E1050" s="18"/>
      <c r="F1050" s="152"/>
      <c r="G1050" s="153">
        <v>634</v>
      </c>
      <c r="H1050" s="18" t="s">
        <v>142</v>
      </c>
      <c r="I1050" s="19"/>
      <c r="J1050" s="19"/>
      <c r="K1050" s="19"/>
      <c r="L1050" s="20"/>
      <c r="M1050" s="20"/>
      <c r="N1050" s="164"/>
      <c r="O1050" s="19"/>
      <c r="P1050" s="19"/>
      <c r="Q1050" s="19"/>
      <c r="R1050" s="20"/>
      <c r="S1050" s="20"/>
      <c r="T1050" s="164"/>
      <c r="U1050" s="154">
        <f t="shared" si="65"/>
        <v>0</v>
      </c>
    </row>
    <row r="1051" spans="2:21" x14ac:dyDescent="0.2">
      <c r="B1051" s="8">
        <f t="shared" si="66"/>
        <v>360</v>
      </c>
      <c r="C1051" s="18"/>
      <c r="D1051" s="18"/>
      <c r="E1051" s="18"/>
      <c r="F1051" s="152"/>
      <c r="G1051" s="153">
        <v>635</v>
      </c>
      <c r="H1051" s="18" t="s">
        <v>143</v>
      </c>
      <c r="I1051" s="19">
        <v>10000</v>
      </c>
      <c r="J1051" s="19">
        <v>2500</v>
      </c>
      <c r="K1051" s="19">
        <v>9476</v>
      </c>
      <c r="L1051" s="20">
        <v>45500</v>
      </c>
      <c r="M1051" s="20">
        <v>10915</v>
      </c>
      <c r="N1051" s="164"/>
      <c r="O1051" s="19"/>
      <c r="P1051" s="19"/>
      <c r="Q1051" s="19"/>
      <c r="R1051" s="20"/>
      <c r="S1051" s="20"/>
      <c r="T1051" s="164"/>
      <c r="U1051" s="154">
        <f t="shared" si="65"/>
        <v>10000</v>
      </c>
    </row>
    <row r="1052" spans="2:21" x14ac:dyDescent="0.2">
      <c r="B1052" s="8">
        <f t="shared" si="66"/>
        <v>361</v>
      </c>
      <c r="C1052" s="18"/>
      <c r="D1052" s="18"/>
      <c r="E1052" s="18"/>
      <c r="F1052" s="152"/>
      <c r="G1052" s="153">
        <v>636</v>
      </c>
      <c r="H1052" s="18" t="s">
        <v>136</v>
      </c>
      <c r="I1052" s="19">
        <v>5000</v>
      </c>
      <c r="J1052" s="19">
        <v>370</v>
      </c>
      <c r="K1052" s="19">
        <v>370</v>
      </c>
      <c r="L1052" s="20">
        <v>467</v>
      </c>
      <c r="M1052" s="20">
        <v>340</v>
      </c>
      <c r="N1052" s="164"/>
      <c r="O1052" s="19"/>
      <c r="P1052" s="19"/>
      <c r="Q1052" s="19"/>
      <c r="R1052" s="20"/>
      <c r="S1052" s="20"/>
      <c r="T1052" s="164"/>
      <c r="U1052" s="154">
        <f t="shared" si="65"/>
        <v>5000</v>
      </c>
    </row>
    <row r="1053" spans="2:21" x14ac:dyDescent="0.2">
      <c r="B1053" s="8">
        <f t="shared" si="66"/>
        <v>362</v>
      </c>
      <c r="C1053" s="18"/>
      <c r="D1053" s="18"/>
      <c r="E1053" s="18"/>
      <c r="F1053" s="152"/>
      <c r="G1053" s="153">
        <v>637</v>
      </c>
      <c r="H1053" s="18" t="s">
        <v>132</v>
      </c>
      <c r="I1053" s="19">
        <f>370+6050+5250+200+8000+1500+4700+2500+2000+600+1000+10000+480</f>
        <v>42650</v>
      </c>
      <c r="J1053" s="19">
        <v>44480</v>
      </c>
      <c r="K1053" s="19">
        <v>49866</v>
      </c>
      <c r="L1053" s="20">
        <v>57724</v>
      </c>
      <c r="M1053" s="20">
        <f>59143+3457+5911+33</f>
        <v>68544</v>
      </c>
      <c r="N1053" s="164"/>
      <c r="O1053" s="19"/>
      <c r="P1053" s="19"/>
      <c r="Q1053" s="19"/>
      <c r="R1053" s="20"/>
      <c r="S1053" s="20"/>
      <c r="T1053" s="164"/>
      <c r="U1053" s="154">
        <f t="shared" si="65"/>
        <v>42650</v>
      </c>
    </row>
    <row r="1054" spans="2:21" x14ac:dyDescent="0.2">
      <c r="B1054" s="8">
        <f t="shared" si="66"/>
        <v>363</v>
      </c>
      <c r="C1054" s="24"/>
      <c r="D1054" s="24"/>
      <c r="E1054" s="24"/>
      <c r="F1054" s="149" t="s">
        <v>116</v>
      </c>
      <c r="G1054" s="150">
        <v>640</v>
      </c>
      <c r="H1054" s="24" t="s">
        <v>139</v>
      </c>
      <c r="I1054" s="25">
        <v>3000</v>
      </c>
      <c r="J1054" s="25">
        <v>3000</v>
      </c>
      <c r="K1054" s="25">
        <v>3210</v>
      </c>
      <c r="L1054" s="26">
        <v>5456</v>
      </c>
      <c r="M1054" s="26">
        <v>2500</v>
      </c>
      <c r="N1054" s="501"/>
      <c r="O1054" s="25"/>
      <c r="P1054" s="25"/>
      <c r="Q1054" s="25"/>
      <c r="R1054" s="26"/>
      <c r="S1054" s="26"/>
      <c r="T1054" s="501"/>
      <c r="U1054" s="151">
        <f t="shared" si="65"/>
        <v>3000</v>
      </c>
    </row>
    <row r="1055" spans="2:21" x14ac:dyDescent="0.2">
      <c r="B1055" s="8">
        <f t="shared" si="66"/>
        <v>364</v>
      </c>
      <c r="C1055" s="24"/>
      <c r="D1055" s="24"/>
      <c r="E1055" s="24"/>
      <c r="F1055" s="149"/>
      <c r="G1055" s="150">
        <v>600</v>
      </c>
      <c r="H1055" s="24" t="s">
        <v>534</v>
      </c>
      <c r="I1055" s="25"/>
      <c r="J1055" s="25"/>
      <c r="K1055" s="25">
        <v>9217</v>
      </c>
      <c r="L1055" s="26">
        <v>10395</v>
      </c>
      <c r="M1055" s="26"/>
      <c r="N1055" s="501"/>
      <c r="O1055" s="25"/>
      <c r="P1055" s="25"/>
      <c r="Q1055" s="25"/>
      <c r="R1055" s="26"/>
      <c r="S1055" s="26"/>
      <c r="T1055" s="501"/>
      <c r="U1055" s="151">
        <f t="shared" si="65"/>
        <v>0</v>
      </c>
    </row>
    <row r="1056" spans="2:21" x14ac:dyDescent="0.2">
      <c r="B1056" s="8">
        <f t="shared" si="66"/>
        <v>365</v>
      </c>
      <c r="C1056" s="24"/>
      <c r="D1056" s="24"/>
      <c r="E1056" s="24"/>
      <c r="F1056" s="149"/>
      <c r="G1056" s="150"/>
      <c r="H1056" s="24" t="s">
        <v>814</v>
      </c>
      <c r="I1056" s="25"/>
      <c r="J1056" s="25"/>
      <c r="K1056" s="25"/>
      <c r="L1056" s="26">
        <v>33</v>
      </c>
      <c r="M1056" s="26"/>
      <c r="N1056" s="501"/>
      <c r="O1056" s="25"/>
      <c r="P1056" s="25"/>
      <c r="Q1056" s="25"/>
      <c r="R1056" s="26"/>
      <c r="S1056" s="26"/>
      <c r="T1056" s="501"/>
      <c r="U1056" s="151">
        <f t="shared" si="65"/>
        <v>0</v>
      </c>
    </row>
    <row r="1057" spans="2:24" x14ac:dyDescent="0.2">
      <c r="B1057" s="8">
        <f t="shared" si="66"/>
        <v>366</v>
      </c>
      <c r="C1057" s="24"/>
      <c r="D1057" s="24"/>
      <c r="E1057" s="24"/>
      <c r="F1057" s="149" t="s">
        <v>116</v>
      </c>
      <c r="G1057" s="150">
        <v>710</v>
      </c>
      <c r="H1057" s="24" t="s">
        <v>185</v>
      </c>
      <c r="I1057" s="25"/>
      <c r="J1057" s="25"/>
      <c r="K1057" s="25"/>
      <c r="L1057" s="26"/>
      <c r="M1057" s="26"/>
      <c r="N1057" s="501"/>
      <c r="O1057" s="25">
        <f>O1058+O1060+O1062</f>
        <v>38000</v>
      </c>
      <c r="P1057" s="25"/>
      <c r="Q1057" s="25">
        <f>Q1058+Q1060+Q1062</f>
        <v>134000</v>
      </c>
      <c r="R1057" s="26">
        <f>R1058+R1060+R1062</f>
        <v>35337</v>
      </c>
      <c r="S1057" s="26">
        <f>S1058+S1060+S1062</f>
        <v>114959</v>
      </c>
      <c r="T1057" s="501"/>
      <c r="U1057" s="151">
        <f t="shared" si="65"/>
        <v>38000</v>
      </c>
    </row>
    <row r="1058" spans="2:24" x14ac:dyDescent="0.2">
      <c r="B1058" s="8">
        <f t="shared" si="66"/>
        <v>367</v>
      </c>
      <c r="C1058" s="18"/>
      <c r="D1058" s="18"/>
      <c r="E1058" s="18"/>
      <c r="F1058" s="152"/>
      <c r="G1058" s="153">
        <v>713</v>
      </c>
      <c r="H1058" s="18" t="s">
        <v>230</v>
      </c>
      <c r="I1058" s="19"/>
      <c r="J1058" s="19"/>
      <c r="K1058" s="19"/>
      <c r="L1058" s="20"/>
      <c r="M1058" s="20"/>
      <c r="N1058" s="164"/>
      <c r="O1058" s="19"/>
      <c r="P1058" s="19"/>
      <c r="Q1058" s="19"/>
      <c r="R1058" s="20"/>
      <c r="S1058" s="20">
        <f>S1059</f>
        <v>100069</v>
      </c>
      <c r="T1058" s="164"/>
      <c r="U1058" s="154">
        <f t="shared" si="65"/>
        <v>0</v>
      </c>
    </row>
    <row r="1059" spans="2:24" s="165" customFormat="1" x14ac:dyDescent="0.2">
      <c r="B1059" s="8">
        <f t="shared" si="66"/>
        <v>368</v>
      </c>
      <c r="C1059" s="156"/>
      <c r="D1059" s="156"/>
      <c r="E1059" s="156"/>
      <c r="F1059" s="272"/>
      <c r="G1059" s="155"/>
      <c r="H1059" s="156" t="s">
        <v>512</v>
      </c>
      <c r="I1059" s="157"/>
      <c r="J1059" s="157"/>
      <c r="K1059" s="157"/>
      <c r="L1059" s="158"/>
      <c r="M1059" s="158"/>
      <c r="N1059" s="535"/>
      <c r="O1059" s="157"/>
      <c r="P1059" s="157"/>
      <c r="Q1059" s="157"/>
      <c r="R1059" s="158"/>
      <c r="S1059" s="158">
        <v>100069</v>
      </c>
      <c r="T1059" s="535"/>
      <c r="U1059" s="159">
        <f t="shared" si="65"/>
        <v>0</v>
      </c>
    </row>
    <row r="1060" spans="2:24" x14ac:dyDescent="0.2">
      <c r="B1060" s="8">
        <f t="shared" si="66"/>
        <v>369</v>
      </c>
      <c r="C1060" s="18"/>
      <c r="D1060" s="18"/>
      <c r="E1060" s="18"/>
      <c r="F1060" s="152"/>
      <c r="G1060" s="153">
        <v>716</v>
      </c>
      <c r="H1060" s="18" t="s">
        <v>226</v>
      </c>
      <c r="I1060" s="19"/>
      <c r="J1060" s="19"/>
      <c r="K1060" s="19"/>
      <c r="L1060" s="20"/>
      <c r="M1060" s="20"/>
      <c r="N1060" s="164"/>
      <c r="O1060" s="19">
        <f>O1061</f>
        <v>38000</v>
      </c>
      <c r="P1060" s="19"/>
      <c r="Q1060" s="19">
        <f>Q1061</f>
        <v>38000</v>
      </c>
      <c r="R1060" s="20">
        <f>R1061</f>
        <v>1168</v>
      </c>
      <c r="S1060" s="20"/>
      <c r="T1060" s="164"/>
      <c r="U1060" s="154">
        <f t="shared" si="65"/>
        <v>38000</v>
      </c>
    </row>
    <row r="1061" spans="2:24" s="165" customFormat="1" x14ac:dyDescent="0.2">
      <c r="B1061" s="8">
        <f t="shared" si="66"/>
        <v>370</v>
      </c>
      <c r="C1061" s="156"/>
      <c r="D1061" s="156"/>
      <c r="E1061" s="156"/>
      <c r="F1061" s="272"/>
      <c r="G1061" s="155"/>
      <c r="H1061" s="156" t="s">
        <v>781</v>
      </c>
      <c r="I1061" s="157"/>
      <c r="J1061" s="157"/>
      <c r="K1061" s="157"/>
      <c r="L1061" s="158"/>
      <c r="M1061" s="158"/>
      <c r="N1061" s="535"/>
      <c r="O1061" s="157">
        <v>38000</v>
      </c>
      <c r="P1061" s="157"/>
      <c r="Q1061" s="157">
        <v>38000</v>
      </c>
      <c r="R1061" s="158">
        <v>1168</v>
      </c>
      <c r="S1061" s="158"/>
      <c r="T1061" s="535"/>
      <c r="U1061" s="159">
        <f t="shared" si="65"/>
        <v>38000</v>
      </c>
    </row>
    <row r="1062" spans="2:24" x14ac:dyDescent="0.2">
      <c r="B1062" s="8">
        <f t="shared" si="66"/>
        <v>371</v>
      </c>
      <c r="C1062" s="18"/>
      <c r="D1062" s="18"/>
      <c r="E1062" s="18"/>
      <c r="F1062" s="152"/>
      <c r="G1062" s="153">
        <v>717</v>
      </c>
      <c r="H1062" s="18" t="s">
        <v>192</v>
      </c>
      <c r="I1062" s="19"/>
      <c r="J1062" s="19"/>
      <c r="K1062" s="19"/>
      <c r="L1062" s="20"/>
      <c r="M1062" s="20"/>
      <c r="N1062" s="164"/>
      <c r="O1062" s="19"/>
      <c r="P1062" s="19"/>
      <c r="Q1062" s="19">
        <f>SUM(Q1063:Q1066)</f>
        <v>96000</v>
      </c>
      <c r="R1062" s="20">
        <f>SUM(R1063:R1067)</f>
        <v>34169</v>
      </c>
      <c r="S1062" s="20">
        <f>SUM(S1063:S1066)</f>
        <v>14890</v>
      </c>
      <c r="T1062" s="164"/>
      <c r="U1062" s="154">
        <f t="shared" si="65"/>
        <v>0</v>
      </c>
    </row>
    <row r="1063" spans="2:24" s="165" customFormat="1" x14ac:dyDescent="0.2">
      <c r="B1063" s="8">
        <f t="shared" si="66"/>
        <v>372</v>
      </c>
      <c r="C1063" s="156"/>
      <c r="D1063" s="156"/>
      <c r="E1063" s="156"/>
      <c r="F1063" s="272"/>
      <c r="G1063" s="155"/>
      <c r="H1063" s="156" t="s">
        <v>512</v>
      </c>
      <c r="I1063" s="157"/>
      <c r="J1063" s="157"/>
      <c r="K1063" s="157"/>
      <c r="L1063" s="158"/>
      <c r="M1063" s="158"/>
      <c r="N1063" s="535"/>
      <c r="O1063" s="157"/>
      <c r="P1063" s="157"/>
      <c r="Q1063" s="157"/>
      <c r="R1063" s="158"/>
      <c r="S1063" s="158">
        <v>9997</v>
      </c>
      <c r="T1063" s="535"/>
      <c r="U1063" s="159">
        <f t="shared" si="65"/>
        <v>0</v>
      </c>
    </row>
    <row r="1064" spans="2:24" s="165" customFormat="1" x14ac:dyDescent="0.2">
      <c r="B1064" s="8">
        <f t="shared" si="66"/>
        <v>373</v>
      </c>
      <c r="C1064" s="156"/>
      <c r="D1064" s="156"/>
      <c r="E1064" s="156"/>
      <c r="F1064" s="272"/>
      <c r="G1064" s="155"/>
      <c r="H1064" s="156" t="s">
        <v>781</v>
      </c>
      <c r="I1064" s="157"/>
      <c r="J1064" s="157"/>
      <c r="K1064" s="157"/>
      <c r="L1064" s="158"/>
      <c r="M1064" s="158"/>
      <c r="N1064" s="535"/>
      <c r="O1064" s="157"/>
      <c r="P1064" s="157"/>
      <c r="Q1064" s="157">
        <v>70000</v>
      </c>
      <c r="R1064" s="158">
        <v>28999</v>
      </c>
      <c r="S1064" s="158"/>
      <c r="T1064" s="535"/>
      <c r="U1064" s="159">
        <f t="shared" si="65"/>
        <v>0</v>
      </c>
    </row>
    <row r="1065" spans="2:24" s="165" customFormat="1" x14ac:dyDescent="0.2">
      <c r="B1065" s="8">
        <f t="shared" si="66"/>
        <v>374</v>
      </c>
      <c r="C1065" s="156"/>
      <c r="D1065" s="156"/>
      <c r="E1065" s="156"/>
      <c r="F1065" s="272"/>
      <c r="G1065" s="155"/>
      <c r="H1065" s="156" t="s">
        <v>1000</v>
      </c>
      <c r="I1065" s="157"/>
      <c r="J1065" s="157"/>
      <c r="K1065" s="157"/>
      <c r="L1065" s="158"/>
      <c r="M1065" s="158"/>
      <c r="N1065" s="535"/>
      <c r="O1065" s="157"/>
      <c r="P1065" s="157"/>
      <c r="Q1065" s="157">
        <v>26000</v>
      </c>
      <c r="R1065" s="158"/>
      <c r="S1065" s="158"/>
      <c r="T1065" s="535"/>
      <c r="U1065" s="159">
        <f t="shared" ref="U1065:U1131" si="67">I1065+O1065</f>
        <v>0</v>
      </c>
    </row>
    <row r="1066" spans="2:24" s="165" customFormat="1" x14ac:dyDescent="0.2">
      <c r="B1066" s="8">
        <f t="shared" si="66"/>
        <v>375</v>
      </c>
      <c r="C1066" s="156"/>
      <c r="D1066" s="156"/>
      <c r="E1066" s="156"/>
      <c r="F1066" s="272"/>
      <c r="G1066" s="155"/>
      <c r="H1066" s="156" t="s">
        <v>537</v>
      </c>
      <c r="I1066" s="157"/>
      <c r="J1066" s="157"/>
      <c r="K1066" s="157"/>
      <c r="L1066" s="158"/>
      <c r="M1066" s="158"/>
      <c r="N1066" s="535"/>
      <c r="O1066" s="157"/>
      <c r="P1066" s="157"/>
      <c r="Q1066" s="157"/>
      <c r="R1066" s="158"/>
      <c r="S1066" s="158">
        <v>4893</v>
      </c>
      <c r="T1066" s="535"/>
      <c r="U1066" s="159">
        <f t="shared" si="67"/>
        <v>0</v>
      </c>
    </row>
    <row r="1067" spans="2:24" s="165" customFormat="1" x14ac:dyDescent="0.2">
      <c r="B1067" s="8">
        <f t="shared" si="66"/>
        <v>376</v>
      </c>
      <c r="C1067" s="156"/>
      <c r="D1067" s="156"/>
      <c r="E1067" s="156"/>
      <c r="F1067" s="272"/>
      <c r="G1067" s="155"/>
      <c r="H1067" s="156" t="s">
        <v>546</v>
      </c>
      <c r="I1067" s="157"/>
      <c r="J1067" s="157"/>
      <c r="K1067" s="157"/>
      <c r="L1067" s="158"/>
      <c r="M1067" s="158"/>
      <c r="N1067" s="535"/>
      <c r="O1067" s="157"/>
      <c r="P1067" s="157"/>
      <c r="Q1067" s="157"/>
      <c r="R1067" s="158">
        <v>5170</v>
      </c>
      <c r="S1067" s="158"/>
      <c r="T1067" s="535"/>
      <c r="U1067" s="159">
        <f t="shared" si="67"/>
        <v>0</v>
      </c>
    </row>
    <row r="1068" spans="2:24" ht="14.25" x14ac:dyDescent="0.2">
      <c r="B1068" s="8">
        <f t="shared" si="66"/>
        <v>377</v>
      </c>
      <c r="C1068" s="267"/>
      <c r="D1068" s="267"/>
      <c r="E1068" s="267">
        <v>10</v>
      </c>
      <c r="F1068" s="268"/>
      <c r="G1068" s="268"/>
      <c r="H1068" s="267" t="s">
        <v>0</v>
      </c>
      <c r="I1068" s="269">
        <f>I1069+I1070+I1071+I1079+I1080+I1082+I1090+I1081</f>
        <v>1561550</v>
      </c>
      <c r="J1068" s="269">
        <f>J1069+J1070+J1071+J1079+J1080+J1081+J1090+J1082</f>
        <v>1217635</v>
      </c>
      <c r="K1068" s="269">
        <f>K1069+K1070+K1071+K1079+K1080+K1081+K1090+K1082+K1091</f>
        <v>1444473</v>
      </c>
      <c r="L1068" s="270">
        <f>L1069+L1070+L1071+L1079+L1080+L1081+L1090+L1082+L1091</f>
        <v>1155699</v>
      </c>
      <c r="M1068" s="270">
        <f>M1069+M1070+M1071+M1079+M1080+M1081+M1090+M1082</f>
        <v>954013</v>
      </c>
      <c r="N1068" s="534"/>
      <c r="O1068" s="269">
        <f>O1092</f>
        <v>511641</v>
      </c>
      <c r="P1068" s="269">
        <f>P1092</f>
        <v>643000</v>
      </c>
      <c r="Q1068" s="269">
        <f>Q1092</f>
        <v>585425</v>
      </c>
      <c r="R1068" s="270">
        <f>R1092</f>
        <v>13186</v>
      </c>
      <c r="S1068" s="270">
        <f>S1092</f>
        <v>94470</v>
      </c>
      <c r="T1068" s="534"/>
      <c r="U1068" s="271">
        <f t="shared" si="67"/>
        <v>2073191</v>
      </c>
    </row>
    <row r="1069" spans="2:24" x14ac:dyDescent="0.2">
      <c r="B1069" s="8">
        <f t="shared" si="66"/>
        <v>378</v>
      </c>
      <c r="C1069" s="24"/>
      <c r="D1069" s="24"/>
      <c r="E1069" s="24"/>
      <c r="F1069" s="149" t="s">
        <v>129</v>
      </c>
      <c r="G1069" s="150">
        <v>610</v>
      </c>
      <c r="H1069" s="24" t="s">
        <v>141</v>
      </c>
      <c r="I1069" s="25">
        <v>275400</v>
      </c>
      <c r="J1069" s="25">
        <v>215000</v>
      </c>
      <c r="K1069" s="25">
        <v>265500</v>
      </c>
      <c r="L1069" s="26">
        <v>312308</v>
      </c>
      <c r="M1069" s="26">
        <v>272033</v>
      </c>
      <c r="N1069" s="501"/>
      <c r="O1069" s="25"/>
      <c r="P1069" s="25"/>
      <c r="Q1069" s="25"/>
      <c r="R1069" s="26"/>
      <c r="S1069" s="26"/>
      <c r="T1069" s="501"/>
      <c r="U1069" s="151">
        <f t="shared" si="67"/>
        <v>275400</v>
      </c>
    </row>
    <row r="1070" spans="2:24" x14ac:dyDescent="0.2">
      <c r="B1070" s="8">
        <f>B1069+1</f>
        <v>379</v>
      </c>
      <c r="C1070" s="24"/>
      <c r="D1070" s="24"/>
      <c r="E1070" s="24"/>
      <c r="F1070" s="149" t="s">
        <v>129</v>
      </c>
      <c r="G1070" s="150">
        <v>620</v>
      </c>
      <c r="H1070" s="24" t="s">
        <v>134</v>
      </c>
      <c r="I1070" s="25">
        <f>9910+3300+15690+2645+3000+46245+4625+5500+5500+22050</f>
        <v>118465</v>
      </c>
      <c r="J1070" s="25">
        <v>78995</v>
      </c>
      <c r="K1070" s="25">
        <v>96695</v>
      </c>
      <c r="L1070" s="26">
        <v>109213</v>
      </c>
      <c r="M1070" s="26">
        <v>97796</v>
      </c>
      <c r="N1070" s="501"/>
      <c r="O1070" s="25"/>
      <c r="P1070" s="25"/>
      <c r="Q1070" s="25"/>
      <c r="R1070" s="26"/>
      <c r="S1070" s="26"/>
      <c r="T1070" s="501"/>
      <c r="U1070" s="151">
        <f t="shared" si="67"/>
        <v>118465</v>
      </c>
    </row>
    <row r="1071" spans="2:24" x14ac:dyDescent="0.2">
      <c r="B1071" s="8">
        <f>B1070+1</f>
        <v>380</v>
      </c>
      <c r="C1071" s="24"/>
      <c r="D1071" s="24"/>
      <c r="E1071" s="24"/>
      <c r="F1071" s="149" t="s">
        <v>129</v>
      </c>
      <c r="G1071" s="150">
        <v>630</v>
      </c>
      <c r="H1071" s="24" t="s">
        <v>131</v>
      </c>
      <c r="I1071" s="25">
        <f>SUM(I1072:I1078)</f>
        <v>59380</v>
      </c>
      <c r="J1071" s="25">
        <f>J1078+J1077+J1076+J1075+J1074+J1073+J1072</f>
        <v>44450</v>
      </c>
      <c r="K1071" s="25">
        <f>K1078+K1077+K1076+K1075+K1074+K1073+K1072</f>
        <v>43850</v>
      </c>
      <c r="L1071" s="26">
        <f>L1078+L1077+L1076+L1075+L1074+L1073+L1072</f>
        <v>56011</v>
      </c>
      <c r="M1071" s="26">
        <f>M1078+M1077+M1076+M1075+M1074+M1073+M1072</f>
        <v>36369</v>
      </c>
      <c r="N1071" s="501"/>
      <c r="O1071" s="25"/>
      <c r="P1071" s="25"/>
      <c r="Q1071" s="25"/>
      <c r="R1071" s="26"/>
      <c r="S1071" s="26"/>
      <c r="T1071" s="501"/>
      <c r="U1071" s="151">
        <f t="shared" si="67"/>
        <v>59380</v>
      </c>
      <c r="X1071" s="2"/>
    </row>
    <row r="1072" spans="2:24" x14ac:dyDescent="0.2">
      <c r="B1072" s="8">
        <f>B1071+1</f>
        <v>381</v>
      </c>
      <c r="C1072" s="18"/>
      <c r="D1072" s="18"/>
      <c r="E1072" s="18"/>
      <c r="F1072" s="152"/>
      <c r="G1072" s="153">
        <v>631</v>
      </c>
      <c r="H1072" s="18" t="s">
        <v>137</v>
      </c>
      <c r="I1072" s="19">
        <v>100</v>
      </c>
      <c r="J1072" s="19">
        <v>100</v>
      </c>
      <c r="K1072" s="19">
        <v>100</v>
      </c>
      <c r="L1072" s="20">
        <v>14</v>
      </c>
      <c r="M1072" s="20"/>
      <c r="N1072" s="164"/>
      <c r="O1072" s="19"/>
      <c r="P1072" s="19"/>
      <c r="Q1072" s="19"/>
      <c r="R1072" s="20"/>
      <c r="S1072" s="20"/>
      <c r="T1072" s="164"/>
      <c r="U1072" s="154">
        <f t="shared" si="67"/>
        <v>100</v>
      </c>
      <c r="X1072" s="2"/>
    </row>
    <row r="1073" spans="2:21" x14ac:dyDescent="0.2">
      <c r="B1073" s="8">
        <f>B1072+1</f>
        <v>382</v>
      </c>
      <c r="C1073" s="18"/>
      <c r="D1073" s="18"/>
      <c r="E1073" s="18"/>
      <c r="F1073" s="152"/>
      <c r="G1073" s="153">
        <v>632</v>
      </c>
      <c r="H1073" s="18" t="s">
        <v>144</v>
      </c>
      <c r="I1073" s="19">
        <v>37720</v>
      </c>
      <c r="J1073" s="19">
        <v>23650</v>
      </c>
      <c r="K1073" s="19">
        <v>23650</v>
      </c>
      <c r="L1073" s="20">
        <v>21895</v>
      </c>
      <c r="M1073" s="20">
        <v>13000</v>
      </c>
      <c r="N1073" s="164"/>
      <c r="O1073" s="19"/>
      <c r="P1073" s="19"/>
      <c r="Q1073" s="19"/>
      <c r="R1073" s="20"/>
      <c r="S1073" s="20"/>
      <c r="T1073" s="164"/>
      <c r="U1073" s="154">
        <f t="shared" si="67"/>
        <v>37720</v>
      </c>
    </row>
    <row r="1074" spans="2:21" x14ac:dyDescent="0.2">
      <c r="B1074" s="8">
        <f>B1073+1</f>
        <v>383</v>
      </c>
      <c r="C1074" s="18"/>
      <c r="D1074" s="18"/>
      <c r="E1074" s="18"/>
      <c r="F1074" s="152"/>
      <c r="G1074" s="153">
        <v>633</v>
      </c>
      <c r="H1074" s="18" t="s">
        <v>135</v>
      </c>
      <c r="I1074" s="19">
        <f>1500+1000+400+500+600+500+100+500</f>
        <v>5100</v>
      </c>
      <c r="J1074" s="19">
        <v>5600</v>
      </c>
      <c r="K1074" s="19">
        <v>5600</v>
      </c>
      <c r="L1074" s="20">
        <v>13847</v>
      </c>
      <c r="M1074" s="20">
        <v>12959</v>
      </c>
      <c r="N1074" s="164"/>
      <c r="O1074" s="19"/>
      <c r="P1074" s="19"/>
      <c r="Q1074" s="19"/>
      <c r="R1074" s="20"/>
      <c r="S1074" s="20"/>
      <c r="T1074" s="164"/>
      <c r="U1074" s="154">
        <f t="shared" si="67"/>
        <v>5100</v>
      </c>
    </row>
    <row r="1075" spans="2:21" x14ac:dyDescent="0.2">
      <c r="B1075" s="8">
        <f t="shared" ref="B1075:B1116" si="68">B1074+1</f>
        <v>384</v>
      </c>
      <c r="C1075" s="18"/>
      <c r="D1075" s="18"/>
      <c r="E1075" s="18"/>
      <c r="F1075" s="152"/>
      <c r="G1075" s="153">
        <v>634</v>
      </c>
      <c r="H1075" s="18" t="s">
        <v>142</v>
      </c>
      <c r="I1075" s="19">
        <v>1500</v>
      </c>
      <c r="J1075" s="19">
        <v>1500</v>
      </c>
      <c r="K1075" s="19">
        <v>1500</v>
      </c>
      <c r="L1075" s="20"/>
      <c r="M1075" s="20">
        <v>720</v>
      </c>
      <c r="N1075" s="164"/>
      <c r="O1075" s="19"/>
      <c r="P1075" s="19"/>
      <c r="Q1075" s="19"/>
      <c r="R1075" s="20"/>
      <c r="S1075" s="20"/>
      <c r="T1075" s="164"/>
      <c r="U1075" s="154">
        <f t="shared" si="67"/>
        <v>1500</v>
      </c>
    </row>
    <row r="1076" spans="2:21" x14ac:dyDescent="0.2">
      <c r="B1076" s="8">
        <f t="shared" si="68"/>
        <v>385</v>
      </c>
      <c r="C1076" s="18"/>
      <c r="D1076" s="18"/>
      <c r="E1076" s="18"/>
      <c r="F1076" s="152"/>
      <c r="G1076" s="153">
        <v>635</v>
      </c>
      <c r="H1076" s="18" t="s">
        <v>143</v>
      </c>
      <c r="I1076" s="19">
        <f>100+200+1000</f>
        <v>1300</v>
      </c>
      <c r="J1076" s="19">
        <v>1300</v>
      </c>
      <c r="K1076" s="19">
        <v>1300</v>
      </c>
      <c r="L1076" s="20">
        <v>1135</v>
      </c>
      <c r="M1076" s="20">
        <v>959</v>
      </c>
      <c r="N1076" s="164"/>
      <c r="O1076" s="19"/>
      <c r="P1076" s="19"/>
      <c r="Q1076" s="19"/>
      <c r="R1076" s="20"/>
      <c r="S1076" s="20"/>
      <c r="T1076" s="164"/>
      <c r="U1076" s="154">
        <f t="shared" si="67"/>
        <v>1300</v>
      </c>
    </row>
    <row r="1077" spans="2:21" x14ac:dyDescent="0.2">
      <c r="B1077" s="8">
        <f t="shared" si="68"/>
        <v>386</v>
      </c>
      <c r="C1077" s="18"/>
      <c r="D1077" s="18"/>
      <c r="E1077" s="18"/>
      <c r="F1077" s="152"/>
      <c r="G1077" s="153">
        <v>636</v>
      </c>
      <c r="H1077" s="18" t="s">
        <v>136</v>
      </c>
      <c r="J1077" s="19"/>
      <c r="K1077" s="19"/>
      <c r="L1077" s="20">
        <v>0</v>
      </c>
      <c r="M1077" s="20">
        <v>14</v>
      </c>
      <c r="N1077" s="164"/>
      <c r="O1077" s="19"/>
      <c r="P1077" s="19"/>
      <c r="Q1077" s="19"/>
      <c r="R1077" s="20"/>
      <c r="S1077" s="20"/>
      <c r="T1077" s="164"/>
      <c r="U1077" s="154">
        <f t="shared" si="67"/>
        <v>0</v>
      </c>
    </row>
    <row r="1078" spans="2:21" x14ac:dyDescent="0.2">
      <c r="B1078" s="8">
        <f t="shared" si="68"/>
        <v>387</v>
      </c>
      <c r="C1078" s="18"/>
      <c r="D1078" s="18"/>
      <c r="E1078" s="18"/>
      <c r="F1078" s="152"/>
      <c r="G1078" s="153">
        <v>637</v>
      </c>
      <c r="H1078" s="18" t="s">
        <v>132</v>
      </c>
      <c r="I1078" s="19">
        <f>3500+600+1500+700+3500+1000+560+300+1500+500</f>
        <v>13660</v>
      </c>
      <c r="J1078" s="19">
        <v>12300</v>
      </c>
      <c r="K1078" s="19">
        <v>11700</v>
      </c>
      <c r="L1078" s="20">
        <v>19120</v>
      </c>
      <c r="M1078" s="20">
        <v>8717</v>
      </c>
      <c r="N1078" s="164"/>
      <c r="O1078" s="19"/>
      <c r="P1078" s="19"/>
      <c r="Q1078" s="19"/>
      <c r="R1078" s="20"/>
      <c r="S1078" s="20"/>
      <c r="T1078" s="164"/>
      <c r="U1078" s="154">
        <f t="shared" si="67"/>
        <v>13660</v>
      </c>
    </row>
    <row r="1079" spans="2:21" x14ac:dyDescent="0.2">
      <c r="B1079" s="8">
        <f t="shared" si="68"/>
        <v>388</v>
      </c>
      <c r="C1079" s="24"/>
      <c r="D1079" s="24"/>
      <c r="E1079" s="24"/>
      <c r="F1079" s="149" t="s">
        <v>129</v>
      </c>
      <c r="G1079" s="150">
        <v>640</v>
      </c>
      <c r="H1079" s="24" t="s">
        <v>139</v>
      </c>
      <c r="I1079" s="25">
        <f>500+8265</f>
        <v>8765</v>
      </c>
      <c r="J1079" s="25">
        <v>500</v>
      </c>
      <c r="K1079" s="25">
        <v>500</v>
      </c>
      <c r="L1079" s="26">
        <v>2565</v>
      </c>
      <c r="M1079" s="26">
        <v>90</v>
      </c>
      <c r="N1079" s="501"/>
      <c r="O1079" s="25"/>
      <c r="P1079" s="25"/>
      <c r="Q1079" s="25"/>
      <c r="R1079" s="26"/>
      <c r="S1079" s="26"/>
      <c r="T1079" s="501"/>
      <c r="U1079" s="151">
        <f t="shared" si="67"/>
        <v>8765</v>
      </c>
    </row>
    <row r="1080" spans="2:21" x14ac:dyDescent="0.2">
      <c r="B1080" s="8">
        <f t="shared" si="68"/>
        <v>389</v>
      </c>
      <c r="C1080" s="24"/>
      <c r="D1080" s="24"/>
      <c r="E1080" s="24"/>
      <c r="F1080" s="149" t="s">
        <v>116</v>
      </c>
      <c r="G1080" s="150">
        <v>610</v>
      </c>
      <c r="H1080" s="24" t="s">
        <v>141</v>
      </c>
      <c r="I1080" s="25">
        <v>654915</v>
      </c>
      <c r="J1080" s="25">
        <v>484360</v>
      </c>
      <c r="K1080" s="25">
        <v>494493</v>
      </c>
      <c r="L1080" s="26">
        <v>363293</v>
      </c>
      <c r="M1080" s="26">
        <v>304463</v>
      </c>
      <c r="N1080" s="501"/>
      <c r="O1080" s="25"/>
      <c r="P1080" s="25"/>
      <c r="Q1080" s="25"/>
      <c r="R1080" s="26"/>
      <c r="S1080" s="26"/>
      <c r="T1080" s="501"/>
      <c r="U1080" s="151">
        <f t="shared" si="67"/>
        <v>654915</v>
      </c>
    </row>
    <row r="1081" spans="2:21" x14ac:dyDescent="0.2">
      <c r="B1081" s="8">
        <f t="shared" si="68"/>
        <v>390</v>
      </c>
      <c r="C1081" s="24"/>
      <c r="D1081" s="24"/>
      <c r="E1081" s="24"/>
      <c r="F1081" s="149" t="s">
        <v>116</v>
      </c>
      <c r="G1081" s="150">
        <v>620</v>
      </c>
      <c r="H1081" s="24" t="s">
        <v>134</v>
      </c>
      <c r="I1081" s="25">
        <v>241424</v>
      </c>
      <c r="J1081" s="25">
        <v>176095</v>
      </c>
      <c r="K1081" s="25">
        <v>179623</v>
      </c>
      <c r="L1081" s="26">
        <v>131062</v>
      </c>
      <c r="M1081" s="26">
        <v>107462</v>
      </c>
      <c r="N1081" s="501"/>
      <c r="O1081" s="25"/>
      <c r="P1081" s="25"/>
      <c r="Q1081" s="25"/>
      <c r="R1081" s="26"/>
      <c r="S1081" s="26"/>
      <c r="T1081" s="501"/>
      <c r="U1081" s="151">
        <f t="shared" si="67"/>
        <v>241424</v>
      </c>
    </row>
    <row r="1082" spans="2:21" x14ac:dyDescent="0.2">
      <c r="B1082" s="8">
        <f t="shared" si="68"/>
        <v>391</v>
      </c>
      <c r="C1082" s="24"/>
      <c r="D1082" s="24"/>
      <c r="E1082" s="24"/>
      <c r="F1082" s="149" t="s">
        <v>116</v>
      </c>
      <c r="G1082" s="150">
        <v>630</v>
      </c>
      <c r="H1082" s="24" t="s">
        <v>131</v>
      </c>
      <c r="I1082" s="25">
        <f>I1089+I1088+I1087+I1085+I1084+I1083+I1086</f>
        <v>174401</v>
      </c>
      <c r="J1082" s="25">
        <f>J1089+J1088+J1087+J1085+J1084+J1083</f>
        <v>195835</v>
      </c>
      <c r="K1082" s="25">
        <f>K1089+K1088+K1087+K1085+K1084+K1083</f>
        <v>280174</v>
      </c>
      <c r="L1082" s="26">
        <f>L1089+L1088+L1087+L1085+L1084+L1083+L1086</f>
        <v>176624</v>
      </c>
      <c r="M1082" s="26">
        <f>M1089+M1088+M1087+M1085+M1084+M1083</f>
        <v>132027</v>
      </c>
      <c r="N1082" s="501"/>
      <c r="O1082" s="25"/>
      <c r="P1082" s="25"/>
      <c r="Q1082" s="25"/>
      <c r="R1082" s="26"/>
      <c r="S1082" s="26"/>
      <c r="T1082" s="501"/>
      <c r="U1082" s="151">
        <f t="shared" si="67"/>
        <v>174401</v>
      </c>
    </row>
    <row r="1083" spans="2:21" x14ac:dyDescent="0.2">
      <c r="B1083" s="8">
        <f t="shared" si="68"/>
        <v>392</v>
      </c>
      <c r="C1083" s="18"/>
      <c r="D1083" s="18"/>
      <c r="E1083" s="18"/>
      <c r="F1083" s="152"/>
      <c r="G1083" s="153">
        <v>631</v>
      </c>
      <c r="H1083" s="18" t="s">
        <v>137</v>
      </c>
      <c r="I1083" s="19">
        <v>100</v>
      </c>
      <c r="J1083" s="19">
        <v>100</v>
      </c>
      <c r="K1083" s="19">
        <v>100</v>
      </c>
      <c r="L1083" s="20">
        <v>14</v>
      </c>
      <c r="M1083" s="20">
        <v>39</v>
      </c>
      <c r="N1083" s="164"/>
      <c r="O1083" s="19"/>
      <c r="P1083" s="19"/>
      <c r="Q1083" s="19"/>
      <c r="R1083" s="20"/>
      <c r="S1083" s="20"/>
      <c r="T1083" s="164"/>
      <c r="U1083" s="154">
        <f t="shared" si="67"/>
        <v>100</v>
      </c>
    </row>
    <row r="1084" spans="2:21" x14ac:dyDescent="0.2">
      <c r="B1084" s="8">
        <f t="shared" si="68"/>
        <v>393</v>
      </c>
      <c r="C1084" s="18"/>
      <c r="D1084" s="18"/>
      <c r="E1084" s="18"/>
      <c r="F1084" s="152"/>
      <c r="G1084" s="153">
        <v>632</v>
      </c>
      <c r="H1084" s="18" t="s">
        <v>144</v>
      </c>
      <c r="I1084" s="19">
        <f>1000+100+70000+10000+30000+4000+7100+120</f>
        <v>122320</v>
      </c>
      <c r="J1084" s="19">
        <v>155650</v>
      </c>
      <c r="K1084" s="19">
        <v>175470</v>
      </c>
      <c r="L1084" s="20">
        <v>122276</v>
      </c>
      <c r="M1084" s="20">
        <v>74585</v>
      </c>
      <c r="N1084" s="164"/>
      <c r="O1084" s="19"/>
      <c r="P1084" s="19"/>
      <c r="Q1084" s="19"/>
      <c r="R1084" s="20"/>
      <c r="S1084" s="20"/>
      <c r="T1084" s="164"/>
      <c r="U1084" s="154">
        <f t="shared" si="67"/>
        <v>122320</v>
      </c>
    </row>
    <row r="1085" spans="2:21" x14ac:dyDescent="0.2">
      <c r="B1085" s="8">
        <f t="shared" si="68"/>
        <v>394</v>
      </c>
      <c r="C1085" s="18"/>
      <c r="D1085" s="18"/>
      <c r="E1085" s="18"/>
      <c r="F1085" s="152"/>
      <c r="G1085" s="153">
        <v>633</v>
      </c>
      <c r="H1085" s="18" t="s">
        <v>135</v>
      </c>
      <c r="I1085" s="19">
        <v>22256</v>
      </c>
      <c r="J1085" s="19">
        <v>11360</v>
      </c>
      <c r="K1085" s="19">
        <v>63217</v>
      </c>
      <c r="L1085" s="20">
        <v>20310</v>
      </c>
      <c r="M1085" s="20">
        <v>21633</v>
      </c>
      <c r="N1085" s="164"/>
      <c r="O1085" s="19"/>
      <c r="P1085" s="19"/>
      <c r="Q1085" s="19"/>
      <c r="R1085" s="20"/>
      <c r="S1085" s="20"/>
      <c r="T1085" s="164"/>
      <c r="U1085" s="154">
        <f t="shared" si="67"/>
        <v>22256</v>
      </c>
    </row>
    <row r="1086" spans="2:21" x14ac:dyDescent="0.2">
      <c r="B1086" s="8">
        <f t="shared" si="68"/>
        <v>395</v>
      </c>
      <c r="C1086" s="18"/>
      <c r="D1086" s="18"/>
      <c r="E1086" s="18"/>
      <c r="F1086" s="152"/>
      <c r="G1086" s="153">
        <v>634</v>
      </c>
      <c r="H1086" s="18" t="s">
        <v>142</v>
      </c>
      <c r="I1086" s="19"/>
      <c r="J1086" s="19"/>
      <c r="K1086" s="19"/>
      <c r="L1086" s="20">
        <v>384</v>
      </c>
      <c r="M1086" s="20"/>
      <c r="N1086" s="164"/>
      <c r="O1086" s="19"/>
      <c r="P1086" s="19"/>
      <c r="Q1086" s="19"/>
      <c r="R1086" s="20"/>
      <c r="S1086" s="20"/>
      <c r="T1086" s="164"/>
      <c r="U1086" s="154">
        <f t="shared" si="67"/>
        <v>0</v>
      </c>
    </row>
    <row r="1087" spans="2:21" x14ac:dyDescent="0.2">
      <c r="B1087" s="8">
        <f t="shared" si="68"/>
        <v>396</v>
      </c>
      <c r="C1087" s="18"/>
      <c r="D1087" s="18"/>
      <c r="E1087" s="18"/>
      <c r="F1087" s="152"/>
      <c r="G1087" s="153">
        <v>635</v>
      </c>
      <c r="H1087" s="18" t="s">
        <v>143</v>
      </c>
      <c r="I1087" s="19">
        <f>100+200+1000</f>
        <v>1300</v>
      </c>
      <c r="J1087" s="19">
        <v>1300</v>
      </c>
      <c r="K1087" s="19">
        <v>4900</v>
      </c>
      <c r="L1087" s="20">
        <v>2500</v>
      </c>
      <c r="M1087" s="20">
        <v>19781</v>
      </c>
      <c r="N1087" s="164"/>
      <c r="O1087" s="19"/>
      <c r="P1087" s="19"/>
      <c r="Q1087" s="19"/>
      <c r="R1087" s="20"/>
      <c r="S1087" s="20"/>
      <c r="T1087" s="164"/>
      <c r="U1087" s="154">
        <f t="shared" si="67"/>
        <v>1300</v>
      </c>
    </row>
    <row r="1088" spans="2:21" x14ac:dyDescent="0.2">
      <c r="B1088" s="8">
        <f t="shared" si="68"/>
        <v>397</v>
      </c>
      <c r="C1088" s="18"/>
      <c r="D1088" s="18"/>
      <c r="E1088" s="18"/>
      <c r="F1088" s="152"/>
      <c r="G1088" s="153">
        <v>636</v>
      </c>
      <c r="H1088" s="18" t="s">
        <v>136</v>
      </c>
      <c r="I1088" s="19"/>
      <c r="J1088" s="19"/>
      <c r="K1088" s="19"/>
      <c r="L1088" s="20">
        <v>50</v>
      </c>
      <c r="M1088" s="20">
        <v>15</v>
      </c>
      <c r="N1088" s="164"/>
      <c r="O1088" s="19"/>
      <c r="P1088" s="19"/>
      <c r="Q1088" s="19"/>
      <c r="R1088" s="20"/>
      <c r="S1088" s="20"/>
      <c r="T1088" s="164"/>
      <c r="U1088" s="154">
        <f t="shared" si="67"/>
        <v>0</v>
      </c>
    </row>
    <row r="1089" spans="2:21" x14ac:dyDescent="0.2">
      <c r="B1089" s="8">
        <f t="shared" si="68"/>
        <v>398</v>
      </c>
      <c r="C1089" s="18"/>
      <c r="D1089" s="18"/>
      <c r="E1089" s="18"/>
      <c r="F1089" s="152"/>
      <c r="G1089" s="153">
        <v>637</v>
      </c>
      <c r="H1089" s="18" t="s">
        <v>132</v>
      </c>
      <c r="I1089" s="19">
        <f>12375+5250+600+1500+400+2000+2500+1000+500+300+1500+500</f>
        <v>28425</v>
      </c>
      <c r="J1089" s="19">
        <v>27425</v>
      </c>
      <c r="K1089" s="19">
        <v>36487</v>
      </c>
      <c r="L1089" s="20">
        <v>31090</v>
      </c>
      <c r="M1089" s="20">
        <f>11283+1554+3137</f>
        <v>15974</v>
      </c>
      <c r="N1089" s="164"/>
      <c r="O1089" s="19"/>
      <c r="P1089" s="19"/>
      <c r="Q1089" s="19"/>
      <c r="R1089" s="20"/>
      <c r="S1089" s="20"/>
      <c r="T1089" s="164"/>
      <c r="U1089" s="154">
        <f t="shared" si="67"/>
        <v>28425</v>
      </c>
    </row>
    <row r="1090" spans="2:21" x14ac:dyDescent="0.2">
      <c r="B1090" s="8">
        <f t="shared" si="68"/>
        <v>399</v>
      </c>
      <c r="C1090" s="24"/>
      <c r="D1090" s="24"/>
      <c r="E1090" s="24"/>
      <c r="F1090" s="149" t="s">
        <v>116</v>
      </c>
      <c r="G1090" s="150">
        <v>640</v>
      </c>
      <c r="H1090" s="24" t="s">
        <v>139</v>
      </c>
      <c r="I1090" s="25">
        <f>17900+10400+500</f>
        <v>28800</v>
      </c>
      <c r="J1090" s="25">
        <v>22400</v>
      </c>
      <c r="K1090" s="25">
        <v>22400</v>
      </c>
      <c r="L1090" s="26">
        <v>3315</v>
      </c>
      <c r="M1090" s="26">
        <v>3773</v>
      </c>
      <c r="N1090" s="501"/>
      <c r="O1090" s="25"/>
      <c r="P1090" s="25"/>
      <c r="Q1090" s="25"/>
      <c r="R1090" s="26"/>
      <c r="S1090" s="26"/>
      <c r="T1090" s="501"/>
      <c r="U1090" s="151">
        <f t="shared" si="67"/>
        <v>28800</v>
      </c>
    </row>
    <row r="1091" spans="2:21" x14ac:dyDescent="0.2">
      <c r="B1091" s="8">
        <f t="shared" si="68"/>
        <v>400</v>
      </c>
      <c r="C1091" s="24"/>
      <c r="D1091" s="24"/>
      <c r="E1091" s="24"/>
      <c r="F1091" s="149"/>
      <c r="G1091" s="150">
        <v>630</v>
      </c>
      <c r="H1091" s="24" t="s">
        <v>534</v>
      </c>
      <c r="I1091" s="25"/>
      <c r="J1091" s="25"/>
      <c r="K1091" s="25">
        <v>61238</v>
      </c>
      <c r="L1091" s="26">
        <v>1308</v>
      </c>
      <c r="M1091" s="26"/>
      <c r="N1091" s="501"/>
      <c r="O1091" s="25"/>
      <c r="P1091" s="25"/>
      <c r="Q1091" s="25"/>
      <c r="R1091" s="26"/>
      <c r="S1091" s="26"/>
      <c r="T1091" s="501"/>
      <c r="U1091" s="151">
        <f t="shared" si="67"/>
        <v>0</v>
      </c>
    </row>
    <row r="1092" spans="2:21" x14ac:dyDescent="0.2">
      <c r="B1092" s="8">
        <f t="shared" si="68"/>
        <v>401</v>
      </c>
      <c r="C1092" s="24"/>
      <c r="D1092" s="24"/>
      <c r="E1092" s="24"/>
      <c r="F1092" s="149" t="s">
        <v>116</v>
      </c>
      <c r="G1092" s="150">
        <v>710</v>
      </c>
      <c r="H1092" s="24" t="s">
        <v>185</v>
      </c>
      <c r="I1092" s="25"/>
      <c r="J1092" s="25"/>
      <c r="K1092" s="25"/>
      <c r="L1092" s="26"/>
      <c r="M1092" s="26"/>
      <c r="N1092" s="501"/>
      <c r="O1092" s="25">
        <f>O1102+O1097</f>
        <v>511641</v>
      </c>
      <c r="P1092" s="25">
        <f>P1093+P1097+P1102</f>
        <v>643000</v>
      </c>
      <c r="Q1092" s="25">
        <f>Q1093+Q1097+Q1102</f>
        <v>585425</v>
      </c>
      <c r="R1092" s="26">
        <f>R1093+R1097+R1107</f>
        <v>13186</v>
      </c>
      <c r="S1092" s="26">
        <f>S1093+S1097+S1107</f>
        <v>94470</v>
      </c>
      <c r="T1092" s="501"/>
      <c r="U1092" s="151">
        <f t="shared" si="67"/>
        <v>511641</v>
      </c>
    </row>
    <row r="1093" spans="2:21" x14ac:dyDescent="0.2">
      <c r="B1093" s="8">
        <f t="shared" si="68"/>
        <v>402</v>
      </c>
      <c r="C1093" s="24"/>
      <c r="D1093" s="24"/>
      <c r="E1093" s="24"/>
      <c r="F1093" s="152"/>
      <c r="G1093" s="153">
        <v>713</v>
      </c>
      <c r="H1093" s="18" t="s">
        <v>230</v>
      </c>
      <c r="I1093" s="19"/>
      <c r="J1093" s="19"/>
      <c r="K1093" s="19"/>
      <c r="L1093" s="20"/>
      <c r="M1093" s="20"/>
      <c r="N1093" s="164"/>
      <c r="O1093" s="19"/>
      <c r="P1093" s="19"/>
      <c r="Q1093" s="19">
        <f>Q1094+Q1095+Q1096</f>
        <v>7000</v>
      </c>
      <c r="R1093" s="20">
        <f>R1096</f>
        <v>3926</v>
      </c>
      <c r="S1093" s="20">
        <f>S1094</f>
        <v>38611</v>
      </c>
      <c r="T1093" s="164"/>
      <c r="U1093" s="154">
        <f t="shared" si="67"/>
        <v>0</v>
      </c>
    </row>
    <row r="1094" spans="2:21" s="165" customFormat="1" x14ac:dyDescent="0.2">
      <c r="B1094" s="8">
        <f t="shared" si="68"/>
        <v>403</v>
      </c>
      <c r="C1094" s="285"/>
      <c r="D1094" s="285"/>
      <c r="E1094" s="285"/>
      <c r="F1094" s="272"/>
      <c r="G1094" s="155"/>
      <c r="H1094" s="156" t="s">
        <v>512</v>
      </c>
      <c r="I1094" s="157"/>
      <c r="J1094" s="157"/>
      <c r="K1094" s="157"/>
      <c r="L1094" s="158"/>
      <c r="M1094" s="158"/>
      <c r="N1094" s="535"/>
      <c r="O1094" s="157"/>
      <c r="P1094" s="157"/>
      <c r="Q1094" s="157"/>
      <c r="R1094" s="158"/>
      <c r="S1094" s="158">
        <v>38611</v>
      </c>
      <c r="T1094" s="535"/>
      <c r="U1094" s="159">
        <f t="shared" si="67"/>
        <v>0</v>
      </c>
    </row>
    <row r="1095" spans="2:21" s="165" customFormat="1" x14ac:dyDescent="0.2">
      <c r="B1095" s="8">
        <f t="shared" si="68"/>
        <v>404</v>
      </c>
      <c r="C1095" s="285"/>
      <c r="D1095" s="285"/>
      <c r="E1095" s="285"/>
      <c r="F1095" s="272"/>
      <c r="G1095" s="155"/>
      <c r="H1095" s="156" t="s">
        <v>1110</v>
      </c>
      <c r="I1095" s="157"/>
      <c r="J1095" s="157"/>
      <c r="K1095" s="157"/>
      <c r="L1095" s="158"/>
      <c r="M1095" s="158"/>
      <c r="N1095" s="535"/>
      <c r="O1095" s="157"/>
      <c r="P1095" s="157"/>
      <c r="Q1095" s="157">
        <v>7000</v>
      </c>
      <c r="R1095" s="158"/>
      <c r="S1095" s="158"/>
      <c r="T1095" s="535"/>
      <c r="U1095" s="159">
        <f t="shared" si="67"/>
        <v>0</v>
      </c>
    </row>
    <row r="1096" spans="2:21" s="165" customFormat="1" x14ac:dyDescent="0.2">
      <c r="B1096" s="8">
        <f t="shared" si="68"/>
        <v>405</v>
      </c>
      <c r="C1096" s="285"/>
      <c r="D1096" s="285"/>
      <c r="E1096" s="285"/>
      <c r="F1096" s="272"/>
      <c r="G1096" s="155"/>
      <c r="H1096" s="156" t="s">
        <v>377</v>
      </c>
      <c r="I1096" s="157"/>
      <c r="J1096" s="157"/>
      <c r="K1096" s="157"/>
      <c r="L1096" s="158"/>
      <c r="M1096" s="158"/>
      <c r="N1096" s="535"/>
      <c r="O1096" s="157"/>
      <c r="P1096" s="157"/>
      <c r="Q1096" s="157"/>
      <c r="R1096" s="158">
        <v>3926</v>
      </c>
      <c r="S1096" s="158"/>
      <c r="T1096" s="535"/>
      <c r="U1096" s="159">
        <f t="shared" si="67"/>
        <v>0</v>
      </c>
    </row>
    <row r="1097" spans="2:21" x14ac:dyDescent="0.2">
      <c r="B1097" s="8">
        <f t="shared" si="68"/>
        <v>406</v>
      </c>
      <c r="C1097" s="24"/>
      <c r="D1097" s="24"/>
      <c r="E1097" s="24"/>
      <c r="F1097" s="152"/>
      <c r="G1097" s="153">
        <v>716</v>
      </c>
      <c r="H1097" s="18" t="s">
        <v>226</v>
      </c>
      <c r="I1097" s="19"/>
      <c r="J1097" s="19"/>
      <c r="K1097" s="19"/>
      <c r="L1097" s="20"/>
      <c r="M1097" s="20"/>
      <c r="N1097" s="164"/>
      <c r="O1097" s="19">
        <f>O1101</f>
        <v>100000</v>
      </c>
      <c r="P1097" s="19">
        <f>SUM(P1098:P1100)</f>
        <v>25000</v>
      </c>
      <c r="Q1097" s="19">
        <f>Q1100</f>
        <v>29484</v>
      </c>
      <c r="R1097" s="20">
        <f>R1099</f>
        <v>9260</v>
      </c>
      <c r="S1097" s="20">
        <f>S1098</f>
        <v>27900</v>
      </c>
      <c r="T1097" s="164"/>
      <c r="U1097" s="154">
        <f t="shared" si="67"/>
        <v>100000</v>
      </c>
    </row>
    <row r="1098" spans="2:21" s="165" customFormat="1" x14ac:dyDescent="0.2">
      <c r="B1098" s="8">
        <f t="shared" si="68"/>
        <v>407</v>
      </c>
      <c r="C1098" s="285"/>
      <c r="D1098" s="285"/>
      <c r="E1098" s="285"/>
      <c r="F1098" s="272"/>
      <c r="G1098" s="155"/>
      <c r="H1098" s="156" t="s">
        <v>513</v>
      </c>
      <c r="I1098" s="157"/>
      <c r="J1098" s="157"/>
      <c r="K1098" s="157"/>
      <c r="L1098" s="158"/>
      <c r="M1098" s="158"/>
      <c r="N1098" s="535"/>
      <c r="O1098" s="157"/>
      <c r="P1098" s="157"/>
      <c r="Q1098" s="157"/>
      <c r="R1098" s="158"/>
      <c r="S1098" s="158">
        <v>27900</v>
      </c>
      <c r="T1098" s="535"/>
      <c r="U1098" s="159">
        <f t="shared" si="67"/>
        <v>0</v>
      </c>
    </row>
    <row r="1099" spans="2:21" s="165" customFormat="1" x14ac:dyDescent="0.2">
      <c r="B1099" s="8">
        <f t="shared" si="68"/>
        <v>408</v>
      </c>
      <c r="C1099" s="285"/>
      <c r="D1099" s="285"/>
      <c r="E1099" s="285"/>
      <c r="F1099" s="272"/>
      <c r="G1099" s="155"/>
      <c r="H1099" s="156" t="s">
        <v>515</v>
      </c>
      <c r="I1099" s="157"/>
      <c r="J1099" s="157"/>
      <c r="K1099" s="157"/>
      <c r="L1099" s="158"/>
      <c r="M1099" s="158"/>
      <c r="N1099" s="535"/>
      <c r="O1099" s="157"/>
      <c r="P1099" s="157"/>
      <c r="Q1099" s="157"/>
      <c r="R1099" s="158">
        <v>9260</v>
      </c>
      <c r="S1099" s="158"/>
      <c r="T1099" s="535"/>
      <c r="U1099" s="159">
        <f t="shared" si="67"/>
        <v>0</v>
      </c>
    </row>
    <row r="1100" spans="2:21" s="165" customFormat="1" x14ac:dyDescent="0.2">
      <c r="B1100" s="8">
        <f t="shared" si="68"/>
        <v>409</v>
      </c>
      <c r="C1100" s="285"/>
      <c r="D1100" s="285"/>
      <c r="E1100" s="285"/>
      <c r="F1100" s="272"/>
      <c r="G1100" s="155"/>
      <c r="H1100" s="156" t="s">
        <v>913</v>
      </c>
      <c r="I1100" s="157"/>
      <c r="J1100" s="157"/>
      <c r="K1100" s="157"/>
      <c r="L1100" s="158"/>
      <c r="M1100" s="158"/>
      <c r="N1100" s="535"/>
      <c r="O1100" s="157"/>
      <c r="P1100" s="157">
        <v>25000</v>
      </c>
      <c r="Q1100" s="157">
        <v>29484</v>
      </c>
      <c r="R1100" s="158"/>
      <c r="S1100" s="158"/>
      <c r="T1100" s="535"/>
      <c r="U1100" s="159">
        <f t="shared" si="67"/>
        <v>0</v>
      </c>
    </row>
    <row r="1101" spans="2:21" s="165" customFormat="1" x14ac:dyDescent="0.2">
      <c r="B1101" s="8">
        <f t="shared" si="68"/>
        <v>410</v>
      </c>
      <c r="C1101" s="285"/>
      <c r="D1101" s="285"/>
      <c r="E1101" s="285"/>
      <c r="F1101" s="272"/>
      <c r="G1101" s="155"/>
      <c r="H1101" s="156" t="s">
        <v>1198</v>
      </c>
      <c r="I1101" s="157"/>
      <c r="J1101" s="157"/>
      <c r="K1101" s="157"/>
      <c r="L1101" s="158"/>
      <c r="M1101" s="158"/>
      <c r="N1101" s="535"/>
      <c r="O1101" s="157">
        <v>100000</v>
      </c>
      <c r="P1101" s="157"/>
      <c r="Q1101" s="157"/>
      <c r="R1101" s="158"/>
      <c r="S1101" s="158"/>
      <c r="T1101" s="535"/>
      <c r="U1101" s="159"/>
    </row>
    <row r="1102" spans="2:21" x14ac:dyDescent="0.2">
      <c r="B1102" s="8">
        <f t="shared" si="68"/>
        <v>411</v>
      </c>
      <c r="C1102" s="18"/>
      <c r="D1102" s="18"/>
      <c r="E1102" s="18"/>
      <c r="F1102" s="152"/>
      <c r="G1102" s="153">
        <v>717</v>
      </c>
      <c r="H1102" s="18" t="s">
        <v>192</v>
      </c>
      <c r="I1102" s="19"/>
      <c r="J1102" s="19"/>
      <c r="K1102" s="19"/>
      <c r="L1102" s="20"/>
      <c r="M1102" s="20"/>
      <c r="N1102" s="164"/>
      <c r="O1102" s="19">
        <f>O1104</f>
        <v>411641</v>
      </c>
      <c r="P1102" s="19">
        <f>SUM(P1103:P1106)</f>
        <v>618000</v>
      </c>
      <c r="Q1102" s="19">
        <f>SUM(Q1103:Q1106)</f>
        <v>548941</v>
      </c>
      <c r="R1102" s="20"/>
      <c r="S1102" s="20">
        <f>SUM(S1107:S1107)</f>
        <v>27959</v>
      </c>
      <c r="T1102" s="164"/>
      <c r="U1102" s="154">
        <f t="shared" si="67"/>
        <v>411641</v>
      </c>
    </row>
    <row r="1103" spans="2:21" s="165" customFormat="1" x14ac:dyDescent="0.2">
      <c r="B1103" s="8">
        <f t="shared" si="68"/>
        <v>412</v>
      </c>
      <c r="C1103" s="156"/>
      <c r="D1103" s="156"/>
      <c r="E1103" s="156"/>
      <c r="F1103" s="272"/>
      <c r="G1103" s="155"/>
      <c r="H1103" s="156" t="s">
        <v>515</v>
      </c>
      <c r="I1103" s="157"/>
      <c r="J1103" s="157"/>
      <c r="K1103" s="157"/>
      <c r="L1103" s="158"/>
      <c r="M1103" s="158"/>
      <c r="N1103" s="535"/>
      <c r="O1103" s="157"/>
      <c r="P1103" s="157">
        <v>68000</v>
      </c>
      <c r="Q1103" s="157">
        <v>104000</v>
      </c>
      <c r="R1103" s="158"/>
      <c r="S1103" s="158"/>
      <c r="T1103" s="535"/>
      <c r="U1103" s="159">
        <f t="shared" si="67"/>
        <v>0</v>
      </c>
    </row>
    <row r="1104" spans="2:21" s="165" customFormat="1" x14ac:dyDescent="0.2">
      <c r="B1104" s="8">
        <f t="shared" si="68"/>
        <v>413</v>
      </c>
      <c r="C1104" s="156"/>
      <c r="D1104" s="156"/>
      <c r="E1104" s="156"/>
      <c r="F1104" s="272"/>
      <c r="G1104" s="155"/>
      <c r="H1104" s="156" t="s">
        <v>913</v>
      </c>
      <c r="I1104" s="157"/>
      <c r="J1104" s="157"/>
      <c r="K1104" s="157"/>
      <c r="L1104" s="158"/>
      <c r="M1104" s="158"/>
      <c r="N1104" s="535"/>
      <c r="O1104" s="157">
        <f>395641+16000</f>
        <v>411641</v>
      </c>
      <c r="P1104" s="157">
        <v>550000</v>
      </c>
      <c r="Q1104" s="157">
        <v>395641</v>
      </c>
      <c r="R1104" s="158"/>
      <c r="S1104" s="158"/>
      <c r="T1104" s="535"/>
      <c r="U1104" s="159">
        <f t="shared" si="67"/>
        <v>411641</v>
      </c>
    </row>
    <row r="1105" spans="2:21" s="165" customFormat="1" x14ac:dyDescent="0.2">
      <c r="B1105" s="8">
        <f t="shared" si="68"/>
        <v>414</v>
      </c>
      <c r="C1105" s="156"/>
      <c r="D1105" s="156"/>
      <c r="E1105" s="156"/>
      <c r="F1105" s="272"/>
      <c r="G1105" s="155"/>
      <c r="H1105" s="156" t="s">
        <v>1111</v>
      </c>
      <c r="I1105" s="157"/>
      <c r="J1105" s="157"/>
      <c r="K1105" s="157"/>
      <c r="L1105" s="158"/>
      <c r="M1105" s="158"/>
      <c r="N1105" s="535"/>
      <c r="O1105" s="157"/>
      <c r="P1105" s="157"/>
      <c r="Q1105" s="157">
        <v>6000</v>
      </c>
      <c r="R1105" s="158"/>
      <c r="S1105" s="158"/>
      <c r="T1105" s="535"/>
      <c r="U1105" s="159">
        <f t="shared" si="67"/>
        <v>0</v>
      </c>
    </row>
    <row r="1106" spans="2:21" s="165" customFormat="1" x14ac:dyDescent="0.2">
      <c r="B1106" s="8">
        <f t="shared" si="68"/>
        <v>415</v>
      </c>
      <c r="C1106" s="156"/>
      <c r="D1106" s="156"/>
      <c r="E1106" s="156"/>
      <c r="F1106" s="272"/>
      <c r="G1106" s="155"/>
      <c r="H1106" s="156" t="s">
        <v>1001</v>
      </c>
      <c r="I1106" s="157"/>
      <c r="J1106" s="157"/>
      <c r="K1106" s="157"/>
      <c r="L1106" s="158"/>
      <c r="M1106" s="158"/>
      <c r="N1106" s="535"/>
      <c r="O1106" s="157"/>
      <c r="P1106" s="157"/>
      <c r="Q1106" s="157">
        <v>43300</v>
      </c>
      <c r="R1106" s="158"/>
      <c r="S1106" s="158"/>
      <c r="T1106" s="535"/>
      <c r="U1106" s="159">
        <f t="shared" si="67"/>
        <v>0</v>
      </c>
    </row>
    <row r="1107" spans="2:21" s="165" customFormat="1" x14ac:dyDescent="0.2">
      <c r="B1107" s="8">
        <f t="shared" si="68"/>
        <v>416</v>
      </c>
      <c r="C1107" s="156"/>
      <c r="D1107" s="156"/>
      <c r="E1107" s="156"/>
      <c r="F1107" s="272"/>
      <c r="G1107" s="155"/>
      <c r="H1107" s="156" t="s">
        <v>512</v>
      </c>
      <c r="I1107" s="157"/>
      <c r="J1107" s="157"/>
      <c r="K1107" s="157"/>
      <c r="L1107" s="158"/>
      <c r="M1107" s="158"/>
      <c r="N1107" s="535"/>
      <c r="O1107" s="157"/>
      <c r="P1107" s="157"/>
      <c r="Q1107" s="157"/>
      <c r="R1107" s="158"/>
      <c r="S1107" s="158">
        <v>27959</v>
      </c>
      <c r="T1107" s="535"/>
      <c r="U1107" s="159">
        <f t="shared" si="67"/>
        <v>0</v>
      </c>
    </row>
    <row r="1108" spans="2:21" ht="14.25" x14ac:dyDescent="0.2">
      <c r="B1108" s="8">
        <f t="shared" si="68"/>
        <v>417</v>
      </c>
      <c r="C1108" s="267"/>
      <c r="D1108" s="267"/>
      <c r="E1108" s="267">
        <v>11</v>
      </c>
      <c r="F1108" s="268"/>
      <c r="G1108" s="268"/>
      <c r="H1108" s="267" t="s">
        <v>8</v>
      </c>
      <c r="I1108" s="269">
        <f>I1109+I1110+I1111+I1118+I1119+I1120+I1121+I1129</f>
        <v>2517910</v>
      </c>
      <c r="J1108" s="269">
        <f>J1109+J1110+J1111+J1118+J1119+J1120+J1121+J1129</f>
        <v>2316007</v>
      </c>
      <c r="K1108" s="269">
        <f>K1109+K1110+K1111+K1118+K1119+K1120+K1121+K1129+K1130</f>
        <v>2349807</v>
      </c>
      <c r="L1108" s="270">
        <f>L1109+L1110+L1111+L1118+L1119+L1120+L1121+L1129+L1130+L1131</f>
        <v>2124292</v>
      </c>
      <c r="M1108" s="270">
        <f>M1109+M1110+M1111+M1118+M1119+M1120+M1121+M1129</f>
        <v>1786844</v>
      </c>
      <c r="N1108" s="534"/>
      <c r="O1108" s="269">
        <f>O1132</f>
        <v>82620</v>
      </c>
      <c r="P1108" s="269">
        <f>P1132</f>
        <v>98600</v>
      </c>
      <c r="Q1108" s="269">
        <f>Q1132</f>
        <v>121451</v>
      </c>
      <c r="R1108" s="270">
        <f>R1132</f>
        <v>40000</v>
      </c>
      <c r="S1108" s="270"/>
      <c r="T1108" s="534"/>
      <c r="U1108" s="271">
        <f t="shared" si="67"/>
        <v>2600530</v>
      </c>
    </row>
    <row r="1109" spans="2:21" x14ac:dyDescent="0.2">
      <c r="B1109" s="8">
        <f t="shared" si="68"/>
        <v>418</v>
      </c>
      <c r="C1109" s="24"/>
      <c r="D1109" s="24"/>
      <c r="E1109" s="24"/>
      <c r="F1109" s="149" t="s">
        <v>129</v>
      </c>
      <c r="G1109" s="150">
        <v>610</v>
      </c>
      <c r="H1109" s="24" t="s">
        <v>141</v>
      </c>
      <c r="I1109" s="25">
        <v>505240</v>
      </c>
      <c r="J1109" s="25">
        <v>470246</v>
      </c>
      <c r="K1109" s="25">
        <v>443012</v>
      </c>
      <c r="L1109" s="26">
        <v>433771</v>
      </c>
      <c r="M1109" s="26">
        <v>424340</v>
      </c>
      <c r="N1109" s="501"/>
      <c r="O1109" s="25"/>
      <c r="P1109" s="25"/>
      <c r="Q1109" s="25"/>
      <c r="R1109" s="26"/>
      <c r="S1109" s="26"/>
      <c r="T1109" s="501"/>
      <c r="U1109" s="151">
        <f t="shared" si="67"/>
        <v>505240</v>
      </c>
    </row>
    <row r="1110" spans="2:21" x14ac:dyDescent="0.2">
      <c r="B1110" s="8">
        <f t="shared" si="68"/>
        <v>419</v>
      </c>
      <c r="C1110" s="24"/>
      <c r="D1110" s="24"/>
      <c r="E1110" s="24"/>
      <c r="F1110" s="149" t="s">
        <v>129</v>
      </c>
      <c r="G1110" s="150">
        <v>620</v>
      </c>
      <c r="H1110" s="24" t="s">
        <v>134</v>
      </c>
      <c r="I1110" s="25">
        <v>186536</v>
      </c>
      <c r="J1110" s="25">
        <v>176867</v>
      </c>
      <c r="K1110" s="25">
        <v>167334</v>
      </c>
      <c r="L1110" s="26">
        <v>152552</v>
      </c>
      <c r="M1110" s="26">
        <v>148272</v>
      </c>
      <c r="N1110" s="501"/>
      <c r="O1110" s="25"/>
      <c r="P1110" s="25"/>
      <c r="Q1110" s="25"/>
      <c r="R1110" s="26"/>
      <c r="S1110" s="26"/>
      <c r="T1110" s="501"/>
      <c r="U1110" s="151">
        <f t="shared" si="67"/>
        <v>186536</v>
      </c>
    </row>
    <row r="1111" spans="2:21" x14ac:dyDescent="0.2">
      <c r="B1111" s="8">
        <f t="shared" si="68"/>
        <v>420</v>
      </c>
      <c r="C1111" s="24"/>
      <c r="D1111" s="24"/>
      <c r="E1111" s="24"/>
      <c r="F1111" s="149" t="s">
        <v>129</v>
      </c>
      <c r="G1111" s="150">
        <v>630</v>
      </c>
      <c r="H1111" s="24" t="s">
        <v>131</v>
      </c>
      <c r="I1111" s="25">
        <f>SUM(I1112:I1117)</f>
        <v>115044</v>
      </c>
      <c r="J1111" s="25">
        <f>SUM(J1112:J1117)</f>
        <v>119582</v>
      </c>
      <c r="K1111" s="25">
        <f>SUM(K1112:K1117)</f>
        <v>96582</v>
      </c>
      <c r="L1111" s="26">
        <f>SUM(L1112:L1117)</f>
        <v>80454</v>
      </c>
      <c r="M1111" s="26">
        <f>SUM(M1112:M1117)</f>
        <v>74265</v>
      </c>
      <c r="N1111" s="501"/>
      <c r="O1111" s="25"/>
      <c r="P1111" s="25"/>
      <c r="Q1111" s="25"/>
      <c r="R1111" s="26"/>
      <c r="S1111" s="26"/>
      <c r="T1111" s="501"/>
      <c r="U1111" s="151">
        <f t="shared" si="67"/>
        <v>115044</v>
      </c>
    </row>
    <row r="1112" spans="2:21" x14ac:dyDescent="0.2">
      <c r="B1112" s="8">
        <f t="shared" si="68"/>
        <v>421</v>
      </c>
      <c r="C1112" s="18"/>
      <c r="D1112" s="18"/>
      <c r="E1112" s="18"/>
      <c r="F1112" s="152"/>
      <c r="G1112" s="153">
        <v>631</v>
      </c>
      <c r="H1112" s="18" t="s">
        <v>137</v>
      </c>
      <c r="I1112" s="19"/>
      <c r="J1112" s="19">
        <v>7</v>
      </c>
      <c r="K1112" s="19">
        <v>7</v>
      </c>
      <c r="L1112" s="20">
        <v>40</v>
      </c>
      <c r="M1112" s="20">
        <v>4</v>
      </c>
      <c r="N1112" s="164"/>
      <c r="O1112" s="19"/>
      <c r="P1112" s="19"/>
      <c r="Q1112" s="19"/>
      <c r="R1112" s="20"/>
      <c r="S1112" s="20"/>
      <c r="T1112" s="164"/>
      <c r="U1112" s="154">
        <f t="shared" si="67"/>
        <v>0</v>
      </c>
    </row>
    <row r="1113" spans="2:21" x14ac:dyDescent="0.2">
      <c r="B1113" s="8">
        <f t="shared" si="68"/>
        <v>422</v>
      </c>
      <c r="C1113" s="18"/>
      <c r="D1113" s="18"/>
      <c r="E1113" s="18"/>
      <c r="F1113" s="152"/>
      <c r="G1113" s="153">
        <v>632</v>
      </c>
      <c r="H1113" s="18" t="s">
        <v>144</v>
      </c>
      <c r="I1113" s="19">
        <f>720+280+180+1280+2720+2400+2000+20000+7600</f>
        <v>37180</v>
      </c>
      <c r="J1113" s="19">
        <v>53570</v>
      </c>
      <c r="K1113" s="19">
        <v>35570</v>
      </c>
      <c r="L1113" s="20">
        <v>20366</v>
      </c>
      <c r="M1113" s="20">
        <v>15953</v>
      </c>
      <c r="N1113" s="164"/>
      <c r="O1113" s="19"/>
      <c r="P1113" s="19"/>
      <c r="Q1113" s="19"/>
      <c r="R1113" s="20"/>
      <c r="S1113" s="20"/>
      <c r="T1113" s="164"/>
      <c r="U1113" s="154">
        <f t="shared" si="67"/>
        <v>37180</v>
      </c>
    </row>
    <row r="1114" spans="2:21" x14ac:dyDescent="0.2">
      <c r="B1114" s="8">
        <f t="shared" si="68"/>
        <v>423</v>
      </c>
      <c r="C1114" s="18"/>
      <c r="D1114" s="18"/>
      <c r="E1114" s="18"/>
      <c r="F1114" s="152"/>
      <c r="G1114" s="153">
        <v>633</v>
      </c>
      <c r="H1114" s="18" t="s">
        <v>135</v>
      </c>
      <c r="I1114" s="19">
        <f>2800+130+100+300+650+1500+1000+2000+1000+2500+2000+500+1800+980+850+2800+300+520+2000+435</f>
        <v>24165</v>
      </c>
      <c r="J1114" s="19">
        <v>19465</v>
      </c>
      <c r="K1114" s="19">
        <v>19465</v>
      </c>
      <c r="L1114" s="20">
        <v>30212</v>
      </c>
      <c r="M1114" s="20">
        <v>27015</v>
      </c>
      <c r="N1114" s="164"/>
      <c r="O1114" s="19"/>
      <c r="P1114" s="19"/>
      <c r="Q1114" s="19"/>
      <c r="R1114" s="20"/>
      <c r="S1114" s="20"/>
      <c r="T1114" s="164"/>
      <c r="U1114" s="154">
        <f t="shared" si="67"/>
        <v>24165</v>
      </c>
    </row>
    <row r="1115" spans="2:21" x14ac:dyDescent="0.2">
      <c r="B1115" s="8">
        <f t="shared" si="68"/>
        <v>424</v>
      </c>
      <c r="C1115" s="18"/>
      <c r="D1115" s="18"/>
      <c r="E1115" s="18"/>
      <c r="F1115" s="152"/>
      <c r="G1115" s="153">
        <v>635</v>
      </c>
      <c r="H1115" s="18" t="s">
        <v>143</v>
      </c>
      <c r="I1115" s="19">
        <f>1680+1800+500+2400+2800+1140+100+600+350+200</f>
        <v>11570</v>
      </c>
      <c r="J1115" s="19">
        <v>12037</v>
      </c>
      <c r="K1115" s="19">
        <v>8037</v>
      </c>
      <c r="L1115" s="20">
        <v>5922</v>
      </c>
      <c r="M1115" s="20">
        <v>6686</v>
      </c>
      <c r="N1115" s="164"/>
      <c r="O1115" s="19"/>
      <c r="P1115" s="19"/>
      <c r="Q1115" s="19"/>
      <c r="R1115" s="20"/>
      <c r="S1115" s="20"/>
      <c r="T1115" s="164"/>
      <c r="U1115" s="154">
        <f t="shared" si="67"/>
        <v>11570</v>
      </c>
    </row>
    <row r="1116" spans="2:21" x14ac:dyDescent="0.2">
      <c r="B1116" s="8">
        <f t="shared" si="68"/>
        <v>425</v>
      </c>
      <c r="C1116" s="18"/>
      <c r="D1116" s="18"/>
      <c r="E1116" s="18"/>
      <c r="F1116" s="152"/>
      <c r="G1116" s="153">
        <v>636</v>
      </c>
      <c r="H1116" s="18" t="s">
        <v>136</v>
      </c>
      <c r="I1116" s="19">
        <v>1700</v>
      </c>
      <c r="J1116" s="19">
        <v>1600</v>
      </c>
      <c r="K1116" s="19">
        <v>1600</v>
      </c>
      <c r="L1116" s="20">
        <v>1500</v>
      </c>
      <c r="M1116" s="20">
        <v>551</v>
      </c>
      <c r="N1116" s="164"/>
      <c r="O1116" s="19"/>
      <c r="P1116" s="19"/>
      <c r="Q1116" s="19"/>
      <c r="R1116" s="20"/>
      <c r="S1116" s="20"/>
      <c r="T1116" s="164"/>
      <c r="U1116" s="154">
        <f t="shared" si="67"/>
        <v>1700</v>
      </c>
    </row>
    <row r="1117" spans="2:21" x14ac:dyDescent="0.2">
      <c r="B1117" s="8">
        <f t="shared" ref="B1117:B1182" si="69">B1116+1</f>
        <v>426</v>
      </c>
      <c r="C1117" s="18"/>
      <c r="D1117" s="18"/>
      <c r="E1117" s="18"/>
      <c r="F1117" s="152"/>
      <c r="G1117" s="153">
        <v>637</v>
      </c>
      <c r="H1117" s="18" t="s">
        <v>132</v>
      </c>
      <c r="I1117" s="19">
        <v>40429</v>
      </c>
      <c r="J1117" s="19">
        <v>32903</v>
      </c>
      <c r="K1117" s="19">
        <v>31903</v>
      </c>
      <c r="L1117" s="20">
        <v>22414</v>
      </c>
      <c r="M1117" s="20">
        <f>24056</f>
        <v>24056</v>
      </c>
      <c r="N1117" s="164"/>
      <c r="O1117" s="19"/>
      <c r="P1117" s="19"/>
      <c r="Q1117" s="19"/>
      <c r="R1117" s="20"/>
      <c r="S1117" s="20"/>
      <c r="T1117" s="164"/>
      <c r="U1117" s="154">
        <f t="shared" si="67"/>
        <v>40429</v>
      </c>
    </row>
    <row r="1118" spans="2:21" x14ac:dyDescent="0.2">
      <c r="B1118" s="8">
        <f t="shared" si="69"/>
        <v>427</v>
      </c>
      <c r="C1118" s="24"/>
      <c r="D1118" s="24"/>
      <c r="E1118" s="24"/>
      <c r="F1118" s="149" t="s">
        <v>129</v>
      </c>
      <c r="G1118" s="150">
        <v>640</v>
      </c>
      <c r="H1118" s="24" t="s">
        <v>139</v>
      </c>
      <c r="I1118" s="25">
        <f>5400+900+4000</f>
        <v>10300</v>
      </c>
      <c r="J1118" s="25">
        <v>9550</v>
      </c>
      <c r="K1118" s="25">
        <v>9550</v>
      </c>
      <c r="L1118" s="26">
        <v>15938</v>
      </c>
      <c r="M1118" s="26">
        <v>3740</v>
      </c>
      <c r="N1118" s="501"/>
      <c r="O1118" s="25"/>
      <c r="P1118" s="25"/>
      <c r="Q1118" s="25"/>
      <c r="R1118" s="26"/>
      <c r="S1118" s="26"/>
      <c r="T1118" s="501"/>
      <c r="U1118" s="151">
        <f t="shared" si="67"/>
        <v>10300</v>
      </c>
    </row>
    <row r="1119" spans="2:21" x14ac:dyDescent="0.2">
      <c r="B1119" s="8">
        <f t="shared" si="69"/>
        <v>428</v>
      </c>
      <c r="C1119" s="24"/>
      <c r="D1119" s="24"/>
      <c r="E1119" s="24"/>
      <c r="F1119" s="149" t="s">
        <v>116</v>
      </c>
      <c r="G1119" s="150">
        <v>610</v>
      </c>
      <c r="H1119" s="24" t="s">
        <v>141</v>
      </c>
      <c r="I1119" s="25">
        <v>904045</v>
      </c>
      <c r="J1119" s="25">
        <v>892341</v>
      </c>
      <c r="K1119" s="25">
        <v>902060</v>
      </c>
      <c r="L1119" s="26">
        <v>804219</v>
      </c>
      <c r="M1119" s="26">
        <v>689390</v>
      </c>
      <c r="N1119" s="501"/>
      <c r="O1119" s="25"/>
      <c r="P1119" s="25"/>
      <c r="Q1119" s="25"/>
      <c r="R1119" s="26"/>
      <c r="S1119" s="26"/>
      <c r="T1119" s="501"/>
      <c r="U1119" s="151">
        <f t="shared" si="67"/>
        <v>904045</v>
      </c>
    </row>
    <row r="1120" spans="2:21" x14ac:dyDescent="0.2">
      <c r="B1120" s="8">
        <f t="shared" si="69"/>
        <v>429</v>
      </c>
      <c r="C1120" s="24"/>
      <c r="D1120" s="24"/>
      <c r="E1120" s="24"/>
      <c r="F1120" s="149" t="s">
        <v>116</v>
      </c>
      <c r="G1120" s="150">
        <v>620</v>
      </c>
      <c r="H1120" s="24" t="s">
        <v>134</v>
      </c>
      <c r="I1120" s="25">
        <v>346433</v>
      </c>
      <c r="J1120" s="25">
        <v>336870</v>
      </c>
      <c r="K1120" s="25">
        <v>340272</v>
      </c>
      <c r="L1120" s="26">
        <v>284280</v>
      </c>
      <c r="M1120" s="26">
        <v>247134</v>
      </c>
      <c r="N1120" s="501"/>
      <c r="O1120" s="25"/>
      <c r="P1120" s="25"/>
      <c r="Q1120" s="25"/>
      <c r="R1120" s="26"/>
      <c r="S1120" s="26"/>
      <c r="T1120" s="501"/>
      <c r="U1120" s="151">
        <f t="shared" si="67"/>
        <v>346433</v>
      </c>
    </row>
    <row r="1121" spans="2:21" x14ac:dyDescent="0.2">
      <c r="B1121" s="8">
        <f t="shared" si="69"/>
        <v>430</v>
      </c>
      <c r="C1121" s="24"/>
      <c r="D1121" s="24"/>
      <c r="E1121" s="24"/>
      <c r="F1121" s="149" t="s">
        <v>116</v>
      </c>
      <c r="G1121" s="150">
        <v>630</v>
      </c>
      <c r="H1121" s="24" t="s">
        <v>131</v>
      </c>
      <c r="I1121" s="25">
        <f>I1128+I1127+I1126+I1125+I1124+I1123+I1122</f>
        <v>438312</v>
      </c>
      <c r="J1121" s="25">
        <f>J1128+J1127+J1126+J1125+J1124+J1123+J1122</f>
        <v>297371</v>
      </c>
      <c r="K1121" s="25">
        <f>SUM(K1122:K1128)</f>
        <v>298995</v>
      </c>
      <c r="L1121" s="26">
        <f>L1128+L1127+L1126+L1125+L1124+L1123+L1122</f>
        <v>300291</v>
      </c>
      <c r="M1121" s="26">
        <f>M1128+M1127+M1126+M1125+M1124+M1123+M1122</f>
        <v>195243</v>
      </c>
      <c r="N1121" s="501"/>
      <c r="O1121" s="25"/>
      <c r="P1121" s="25"/>
      <c r="Q1121" s="25"/>
      <c r="R1121" s="26"/>
      <c r="S1121" s="26"/>
      <c r="T1121" s="501"/>
      <c r="U1121" s="151">
        <f t="shared" si="67"/>
        <v>438312</v>
      </c>
    </row>
    <row r="1122" spans="2:21" x14ac:dyDescent="0.2">
      <c r="B1122" s="8">
        <f t="shared" si="69"/>
        <v>431</v>
      </c>
      <c r="C1122" s="18"/>
      <c r="D1122" s="18"/>
      <c r="E1122" s="18"/>
      <c r="F1122" s="152"/>
      <c r="G1122" s="153">
        <v>631</v>
      </c>
      <c r="H1122" s="18" t="s">
        <v>137</v>
      </c>
      <c r="I1122" s="19"/>
      <c r="J1122" s="19">
        <v>10</v>
      </c>
      <c r="K1122" s="19">
        <v>10</v>
      </c>
      <c r="L1122" s="20">
        <v>125</v>
      </c>
      <c r="M1122" s="20">
        <v>6</v>
      </c>
      <c r="N1122" s="164"/>
      <c r="O1122" s="19"/>
      <c r="P1122" s="19"/>
      <c r="Q1122" s="19"/>
      <c r="R1122" s="20"/>
      <c r="S1122" s="20"/>
      <c r="T1122" s="164"/>
      <c r="U1122" s="154">
        <f t="shared" si="67"/>
        <v>0</v>
      </c>
    </row>
    <row r="1123" spans="2:21" x14ac:dyDescent="0.2">
      <c r="B1123" s="8">
        <f t="shared" si="69"/>
        <v>432</v>
      </c>
      <c r="C1123" s="18"/>
      <c r="D1123" s="18"/>
      <c r="E1123" s="18"/>
      <c r="F1123" s="152"/>
      <c r="G1123" s="153">
        <v>632</v>
      </c>
      <c r="H1123" s="18" t="s">
        <v>144</v>
      </c>
      <c r="I1123" s="19">
        <f>925+520+350+2000+3080+3000+20000+2422+14060+154300+30276+30000+17400</f>
        <v>278333</v>
      </c>
      <c r="J1123" s="19">
        <v>155439</v>
      </c>
      <c r="K1123" s="19">
        <v>164163</v>
      </c>
      <c r="L1123" s="20">
        <v>166712</v>
      </c>
      <c r="M1123" s="20">
        <v>38773</v>
      </c>
      <c r="N1123" s="164"/>
      <c r="O1123" s="19"/>
      <c r="P1123" s="19"/>
      <c r="Q1123" s="19"/>
      <c r="R1123" s="20"/>
      <c r="S1123" s="20"/>
      <c r="T1123" s="164"/>
      <c r="U1123" s="154">
        <f t="shared" si="67"/>
        <v>278333</v>
      </c>
    </row>
    <row r="1124" spans="2:21" x14ac:dyDescent="0.2">
      <c r="B1124" s="8">
        <f t="shared" si="69"/>
        <v>433</v>
      </c>
      <c r="C1124" s="18"/>
      <c r="D1124" s="18"/>
      <c r="E1124" s="18"/>
      <c r="F1124" s="152"/>
      <c r="G1124" s="153">
        <v>633</v>
      </c>
      <c r="H1124" s="18" t="s">
        <v>135</v>
      </c>
      <c r="I1124" s="19">
        <v>50160</v>
      </c>
      <c r="J1124" s="19">
        <v>32435</v>
      </c>
      <c r="K1124" s="19">
        <v>32735</v>
      </c>
      <c r="L1124" s="20">
        <v>58331</v>
      </c>
      <c r="M1124" s="20">
        <v>67882</v>
      </c>
      <c r="N1124" s="164"/>
      <c r="O1124" s="19"/>
      <c r="P1124" s="19"/>
      <c r="Q1124" s="19"/>
      <c r="R1124" s="20"/>
      <c r="S1124" s="20"/>
      <c r="T1124" s="164"/>
      <c r="U1124" s="154">
        <f t="shared" si="67"/>
        <v>50160</v>
      </c>
    </row>
    <row r="1125" spans="2:21" x14ac:dyDescent="0.2">
      <c r="B1125" s="8">
        <f t="shared" si="69"/>
        <v>434</v>
      </c>
      <c r="C1125" s="18"/>
      <c r="D1125" s="18"/>
      <c r="E1125" s="18"/>
      <c r="F1125" s="152"/>
      <c r="G1125" s="153">
        <v>634</v>
      </c>
      <c r="H1125" s="18" t="s">
        <v>142</v>
      </c>
      <c r="I1125" s="19">
        <v>1610</v>
      </c>
      <c r="J1125" s="19">
        <v>1610</v>
      </c>
      <c r="K1125" s="19">
        <v>1610</v>
      </c>
      <c r="L1125" s="20">
        <v>0</v>
      </c>
      <c r="M1125" s="20">
        <v>1550</v>
      </c>
      <c r="N1125" s="164"/>
      <c r="O1125" s="19"/>
      <c r="P1125" s="19"/>
      <c r="Q1125" s="19"/>
      <c r="R1125" s="20"/>
      <c r="S1125" s="20"/>
      <c r="T1125" s="164"/>
      <c r="U1125" s="154">
        <f t="shared" si="67"/>
        <v>1610</v>
      </c>
    </row>
    <row r="1126" spans="2:21" x14ac:dyDescent="0.2">
      <c r="B1126" s="8">
        <f t="shared" si="69"/>
        <v>435</v>
      </c>
      <c r="C1126" s="18"/>
      <c r="D1126" s="18"/>
      <c r="E1126" s="18"/>
      <c r="F1126" s="152"/>
      <c r="G1126" s="153">
        <v>635</v>
      </c>
      <c r="H1126" s="18" t="s">
        <v>143</v>
      </c>
      <c r="I1126" s="19">
        <f>3360+4000+500+3600+4200+1900+150+800+530+300+5000</f>
        <v>24340</v>
      </c>
      <c r="J1126" s="19">
        <v>21051</v>
      </c>
      <c r="K1126" s="19">
        <v>23051</v>
      </c>
      <c r="L1126" s="20">
        <v>18968</v>
      </c>
      <c r="M1126" s="20">
        <v>18112</v>
      </c>
      <c r="N1126" s="164"/>
      <c r="O1126" s="19"/>
      <c r="P1126" s="19"/>
      <c r="Q1126" s="19"/>
      <c r="R1126" s="20"/>
      <c r="S1126" s="20"/>
      <c r="T1126" s="164"/>
      <c r="U1126" s="154">
        <f t="shared" si="67"/>
        <v>24340</v>
      </c>
    </row>
    <row r="1127" spans="2:21" x14ac:dyDescent="0.2">
      <c r="B1127" s="8">
        <f t="shared" si="69"/>
        <v>436</v>
      </c>
      <c r="C1127" s="18"/>
      <c r="D1127" s="18"/>
      <c r="E1127" s="18"/>
      <c r="F1127" s="152"/>
      <c r="G1127" s="153">
        <v>636</v>
      </c>
      <c r="H1127" s="18" t="s">
        <v>136</v>
      </c>
      <c r="I1127" s="19">
        <v>2600</v>
      </c>
      <c r="J1127" s="19">
        <v>2400</v>
      </c>
      <c r="K1127" s="19">
        <v>2400</v>
      </c>
      <c r="L1127" s="20">
        <v>2626</v>
      </c>
      <c r="M1127" s="20">
        <v>1815</v>
      </c>
      <c r="N1127" s="164"/>
      <c r="O1127" s="19"/>
      <c r="P1127" s="19"/>
      <c r="Q1127" s="19"/>
      <c r="R1127" s="20"/>
      <c r="S1127" s="20"/>
      <c r="T1127" s="164"/>
      <c r="U1127" s="154">
        <f t="shared" si="67"/>
        <v>2600</v>
      </c>
    </row>
    <row r="1128" spans="2:21" x14ac:dyDescent="0.2">
      <c r="B1128" s="8">
        <f t="shared" si="69"/>
        <v>437</v>
      </c>
      <c r="C1128" s="18"/>
      <c r="D1128" s="18"/>
      <c r="E1128" s="18"/>
      <c r="F1128" s="152"/>
      <c r="G1128" s="153">
        <v>637</v>
      </c>
      <c r="H1128" s="18" t="s">
        <v>132</v>
      </c>
      <c r="I1128" s="19">
        <v>81269</v>
      </c>
      <c r="J1128" s="19">
        <v>84426</v>
      </c>
      <c r="K1128" s="19">
        <v>75026</v>
      </c>
      <c r="L1128" s="20">
        <v>53529</v>
      </c>
      <c r="M1128" s="20">
        <f>38645+3884+24526+50</f>
        <v>67105</v>
      </c>
      <c r="N1128" s="164"/>
      <c r="O1128" s="19"/>
      <c r="P1128" s="19"/>
      <c r="Q1128" s="19"/>
      <c r="R1128" s="20"/>
      <c r="S1128" s="20"/>
      <c r="T1128" s="164"/>
      <c r="U1128" s="154">
        <f t="shared" si="67"/>
        <v>81269</v>
      </c>
    </row>
    <row r="1129" spans="2:21" x14ac:dyDescent="0.2">
      <c r="B1129" s="8">
        <f t="shared" si="69"/>
        <v>438</v>
      </c>
      <c r="C1129" s="24"/>
      <c r="D1129" s="24"/>
      <c r="E1129" s="24"/>
      <c r="F1129" s="149" t="s">
        <v>116</v>
      </c>
      <c r="G1129" s="150">
        <v>640</v>
      </c>
      <c r="H1129" s="24" t="s">
        <v>139</v>
      </c>
      <c r="I1129" s="25">
        <f>1300+4750+1250+30+470+3500+100+100+450+50</f>
        <v>12000</v>
      </c>
      <c r="J1129" s="25">
        <v>13180</v>
      </c>
      <c r="K1129" s="25">
        <v>14480</v>
      </c>
      <c r="L1129" s="26">
        <v>8804</v>
      </c>
      <c r="M1129" s="26">
        <v>4460</v>
      </c>
      <c r="N1129" s="501"/>
      <c r="O1129" s="25"/>
      <c r="P1129" s="25"/>
      <c r="Q1129" s="25"/>
      <c r="R1129" s="26"/>
      <c r="S1129" s="26"/>
      <c r="T1129" s="501"/>
      <c r="U1129" s="151">
        <f t="shared" si="67"/>
        <v>12000</v>
      </c>
    </row>
    <row r="1130" spans="2:21" x14ac:dyDescent="0.2">
      <c r="B1130" s="8">
        <f t="shared" si="69"/>
        <v>439</v>
      </c>
      <c r="C1130" s="24"/>
      <c r="D1130" s="24"/>
      <c r="E1130" s="24"/>
      <c r="F1130" s="149"/>
      <c r="G1130" s="150"/>
      <c r="H1130" s="24" t="s">
        <v>534</v>
      </c>
      <c r="I1130" s="25"/>
      <c r="J1130" s="25"/>
      <c r="K1130" s="25">
        <v>77522</v>
      </c>
      <c r="L1130" s="26">
        <v>43917</v>
      </c>
      <c r="M1130" s="26"/>
      <c r="N1130" s="501"/>
      <c r="O1130" s="25"/>
      <c r="P1130" s="25"/>
      <c r="Q1130" s="25"/>
      <c r="R1130" s="26"/>
      <c r="S1130" s="26"/>
      <c r="T1130" s="501"/>
      <c r="U1130" s="151">
        <f t="shared" si="67"/>
        <v>0</v>
      </c>
    </row>
    <row r="1131" spans="2:21" x14ac:dyDescent="0.2">
      <c r="B1131" s="8">
        <f t="shared" si="69"/>
        <v>440</v>
      </c>
      <c r="C1131" s="24"/>
      <c r="D1131" s="24"/>
      <c r="E1131" s="24"/>
      <c r="F1131" s="149"/>
      <c r="G1131" s="150"/>
      <c r="H1131" s="24" t="s">
        <v>814</v>
      </c>
      <c r="I1131" s="25"/>
      <c r="J1131" s="25"/>
      <c r="K1131" s="25"/>
      <c r="L1131" s="26">
        <v>66</v>
      </c>
      <c r="M1131" s="26"/>
      <c r="N1131" s="501"/>
      <c r="O1131" s="25"/>
      <c r="P1131" s="25"/>
      <c r="Q1131" s="25"/>
      <c r="R1131" s="26"/>
      <c r="S1131" s="26"/>
      <c r="T1131" s="501"/>
      <c r="U1131" s="151">
        <f t="shared" si="67"/>
        <v>0</v>
      </c>
    </row>
    <row r="1132" spans="2:21" x14ac:dyDescent="0.2">
      <c r="B1132" s="8">
        <f t="shared" si="69"/>
        <v>441</v>
      </c>
      <c r="C1132" s="24"/>
      <c r="D1132" s="24"/>
      <c r="E1132" s="24"/>
      <c r="F1132" s="149" t="s">
        <v>116</v>
      </c>
      <c r="G1132" s="150">
        <v>710</v>
      </c>
      <c r="H1132" s="24" t="s">
        <v>185</v>
      </c>
      <c r="I1132" s="25"/>
      <c r="J1132" s="25"/>
      <c r="K1132" s="25"/>
      <c r="L1132" s="26"/>
      <c r="M1132" s="26"/>
      <c r="N1132" s="501"/>
      <c r="O1132" s="25">
        <f>O1135</f>
        <v>82620</v>
      </c>
      <c r="P1132" s="25">
        <f>P1133+P1135</f>
        <v>98600</v>
      </c>
      <c r="Q1132" s="25">
        <f>Q1133+Q1135</f>
        <v>121451</v>
      </c>
      <c r="R1132" s="26">
        <f>R1135</f>
        <v>40000</v>
      </c>
      <c r="S1132" s="26"/>
      <c r="T1132" s="501"/>
      <c r="U1132" s="151">
        <f t="shared" ref="U1132:U1200" si="70">I1132+O1132</f>
        <v>82620</v>
      </c>
    </row>
    <row r="1133" spans="2:21" s="165" customFormat="1" x14ac:dyDescent="0.2">
      <c r="B1133" s="8">
        <f t="shared" si="69"/>
        <v>442</v>
      </c>
      <c r="C1133" s="156"/>
      <c r="D1133" s="156"/>
      <c r="E1133" s="156"/>
      <c r="F1133" s="272"/>
      <c r="G1133" s="155">
        <v>716</v>
      </c>
      <c r="H1133" s="18" t="s">
        <v>226</v>
      </c>
      <c r="I1133" s="19"/>
      <c r="J1133" s="19"/>
      <c r="K1133" s="19"/>
      <c r="L1133" s="20"/>
      <c r="M1133" s="20"/>
      <c r="N1133" s="164"/>
      <c r="O1133" s="19"/>
      <c r="P1133" s="19">
        <f>P1134</f>
        <v>3600</v>
      </c>
      <c r="Q1133" s="19">
        <f>Q1134</f>
        <v>7840</v>
      </c>
      <c r="R1133" s="158"/>
      <c r="S1133" s="158"/>
      <c r="T1133" s="535"/>
      <c r="U1133" s="159">
        <f t="shared" si="70"/>
        <v>0</v>
      </c>
    </row>
    <row r="1134" spans="2:21" s="165" customFormat="1" x14ac:dyDescent="0.2">
      <c r="B1134" s="8">
        <f t="shared" si="69"/>
        <v>443</v>
      </c>
      <c r="C1134" s="156"/>
      <c r="D1134" s="156"/>
      <c r="E1134" s="156"/>
      <c r="F1134" s="272"/>
      <c r="G1134" s="155"/>
      <c r="H1134" s="156" t="s">
        <v>914</v>
      </c>
      <c r="I1134" s="157"/>
      <c r="J1134" s="157"/>
      <c r="K1134" s="157"/>
      <c r="L1134" s="158"/>
      <c r="M1134" s="158"/>
      <c r="N1134" s="535"/>
      <c r="O1134" s="157"/>
      <c r="P1134" s="157">
        <v>3600</v>
      </c>
      <c r="Q1134" s="157">
        <v>7840</v>
      </c>
      <c r="R1134" s="158"/>
      <c r="S1134" s="158"/>
      <c r="T1134" s="535"/>
      <c r="U1134" s="159">
        <f t="shared" si="70"/>
        <v>0</v>
      </c>
    </row>
    <row r="1135" spans="2:21" x14ac:dyDescent="0.2">
      <c r="B1135" s="8">
        <f t="shared" si="69"/>
        <v>444</v>
      </c>
      <c r="C1135" s="18"/>
      <c r="D1135" s="18"/>
      <c r="E1135" s="18"/>
      <c r="F1135" s="152"/>
      <c r="G1135" s="153">
        <v>717</v>
      </c>
      <c r="H1135" s="18" t="s">
        <v>192</v>
      </c>
      <c r="I1135" s="19"/>
      <c r="J1135" s="19"/>
      <c r="K1135" s="19"/>
      <c r="L1135" s="20"/>
      <c r="M1135" s="20"/>
      <c r="N1135" s="164"/>
      <c r="O1135" s="19">
        <f>SUM(O1136:O1138)</f>
        <v>82620</v>
      </c>
      <c r="P1135" s="19">
        <f>SUM(P1136:P1136)</f>
        <v>95000</v>
      </c>
      <c r="Q1135" s="19">
        <f>Q1136+Q1137</f>
        <v>113611</v>
      </c>
      <c r="R1135" s="20">
        <f>SUM(R1136:R1138)</f>
        <v>40000</v>
      </c>
      <c r="S1135" s="20"/>
      <c r="T1135" s="164"/>
      <c r="U1135" s="154">
        <f t="shared" si="70"/>
        <v>82620</v>
      </c>
    </row>
    <row r="1136" spans="2:21" s="165" customFormat="1" x14ac:dyDescent="0.2">
      <c r="B1136" s="8">
        <f t="shared" si="69"/>
        <v>445</v>
      </c>
      <c r="C1136" s="156"/>
      <c r="D1136" s="156"/>
      <c r="E1136" s="156"/>
      <c r="F1136" s="272"/>
      <c r="G1136" s="155"/>
      <c r="H1136" s="156" t="s">
        <v>914</v>
      </c>
      <c r="I1136" s="157"/>
      <c r="J1136" s="157"/>
      <c r="K1136" s="157"/>
      <c r="L1136" s="158"/>
      <c r="M1136" s="158"/>
      <c r="N1136" s="535"/>
      <c r="O1136" s="157">
        <f>98620-16000</f>
        <v>82620</v>
      </c>
      <c r="P1136" s="157">
        <v>95000</v>
      </c>
      <c r="Q1136" s="157">
        <v>98611</v>
      </c>
      <c r="R1136" s="158"/>
      <c r="S1136" s="158"/>
      <c r="T1136" s="535"/>
      <c r="U1136" s="159">
        <f t="shared" si="70"/>
        <v>82620</v>
      </c>
    </row>
    <row r="1137" spans="2:24" s="165" customFormat="1" x14ac:dyDescent="0.2">
      <c r="B1137" s="8">
        <f t="shared" si="69"/>
        <v>446</v>
      </c>
      <c r="C1137" s="156"/>
      <c r="D1137" s="156"/>
      <c r="E1137" s="156"/>
      <c r="F1137" s="272"/>
      <c r="G1137" s="155"/>
      <c r="H1137" s="156" t="s">
        <v>1112</v>
      </c>
      <c r="I1137" s="157"/>
      <c r="J1137" s="157"/>
      <c r="K1137" s="157"/>
      <c r="L1137" s="158"/>
      <c r="M1137" s="158"/>
      <c r="N1137" s="535"/>
      <c r="O1137" s="157"/>
      <c r="P1137" s="157"/>
      <c r="Q1137" s="157">
        <v>15000</v>
      </c>
      <c r="R1137" s="158"/>
      <c r="S1137" s="158"/>
      <c r="T1137" s="535"/>
      <c r="U1137" s="159">
        <f t="shared" si="70"/>
        <v>0</v>
      </c>
    </row>
    <row r="1138" spans="2:24" s="165" customFormat="1" x14ac:dyDescent="0.2">
      <c r="B1138" s="8">
        <f t="shared" si="69"/>
        <v>447</v>
      </c>
      <c r="C1138" s="156"/>
      <c r="D1138" s="156"/>
      <c r="E1138" s="156"/>
      <c r="F1138" s="272"/>
      <c r="G1138" s="155"/>
      <c r="H1138" s="156" t="s">
        <v>730</v>
      </c>
      <c r="I1138" s="157"/>
      <c r="J1138" s="157"/>
      <c r="K1138" s="157"/>
      <c r="L1138" s="158"/>
      <c r="M1138" s="158"/>
      <c r="N1138" s="535"/>
      <c r="O1138" s="157"/>
      <c r="P1138" s="157"/>
      <c r="Q1138" s="157"/>
      <c r="R1138" s="158">
        <v>40000</v>
      </c>
      <c r="S1138" s="158"/>
      <c r="T1138" s="535"/>
      <c r="U1138" s="159">
        <f t="shared" si="70"/>
        <v>0</v>
      </c>
    </row>
    <row r="1139" spans="2:24" ht="14.25" x14ac:dyDescent="0.2">
      <c r="B1139" s="8">
        <f t="shared" si="69"/>
        <v>448</v>
      </c>
      <c r="C1139" s="267"/>
      <c r="D1139" s="267"/>
      <c r="E1139" s="267">
        <v>12</v>
      </c>
      <c r="F1139" s="268"/>
      <c r="G1139" s="268"/>
      <c r="H1139" s="267" t="s">
        <v>6</v>
      </c>
      <c r="I1139" s="269">
        <f>I1140+I1141+I1142+I1149+I1150+I1151+I1152+I1159</f>
        <v>2370377</v>
      </c>
      <c r="J1139" s="269">
        <f>J1140+J1141+J1142+J1149+J1150+J1151+J1152+J1159</f>
        <v>2272506</v>
      </c>
      <c r="K1139" s="269">
        <f>K1140+K1141+K1142+K1149+K1150+K1151+K1152+K1159+K1161</f>
        <v>2370472</v>
      </c>
      <c r="L1139" s="270">
        <f>L1140+L1141+L1142+L1149+L1150+L1151+L1152+L1159+L1160+L1161</f>
        <v>2120983</v>
      </c>
      <c r="M1139" s="270">
        <f>M1140+M1141+M1142+M1149+M1150+M1151+M1152+M1159</f>
        <v>1827311</v>
      </c>
      <c r="N1139" s="534">
        <f t="shared" ref="N1139:S1139" si="71">N1162</f>
        <v>0</v>
      </c>
      <c r="O1139" s="269">
        <f>O1162</f>
        <v>36000</v>
      </c>
      <c r="P1139" s="269">
        <f t="shared" si="71"/>
        <v>0</v>
      </c>
      <c r="Q1139" s="269">
        <f t="shared" si="71"/>
        <v>0</v>
      </c>
      <c r="R1139" s="270">
        <f>R1162</f>
        <v>105198</v>
      </c>
      <c r="S1139" s="270">
        <f t="shared" si="71"/>
        <v>36990</v>
      </c>
      <c r="T1139" s="534"/>
      <c r="U1139" s="271">
        <f t="shared" si="70"/>
        <v>2406377</v>
      </c>
    </row>
    <row r="1140" spans="2:24" x14ac:dyDescent="0.2">
      <c r="B1140" s="8">
        <f t="shared" si="69"/>
        <v>449</v>
      </c>
      <c r="C1140" s="24"/>
      <c r="D1140" s="24"/>
      <c r="E1140" s="24"/>
      <c r="F1140" s="149" t="s">
        <v>129</v>
      </c>
      <c r="G1140" s="150">
        <v>610</v>
      </c>
      <c r="H1140" s="24" t="s">
        <v>141</v>
      </c>
      <c r="I1140" s="25">
        <f>4320+30000+38000+14000+18000+7800+7200+533000+30100</f>
        <v>682420</v>
      </c>
      <c r="J1140" s="25">
        <v>645444</v>
      </c>
      <c r="K1140" s="25">
        <v>664049</v>
      </c>
      <c r="L1140" s="26">
        <v>584779</v>
      </c>
      <c r="M1140" s="26">
        <v>543346</v>
      </c>
      <c r="N1140" s="501"/>
      <c r="O1140" s="25"/>
      <c r="P1140" s="25"/>
      <c r="Q1140" s="25"/>
      <c r="R1140" s="26"/>
      <c r="S1140" s="26"/>
      <c r="T1140" s="501"/>
      <c r="U1140" s="151">
        <f t="shared" si="70"/>
        <v>682420</v>
      </c>
    </row>
    <row r="1141" spans="2:24" x14ac:dyDescent="0.2">
      <c r="B1141" s="8">
        <f t="shared" si="69"/>
        <v>450</v>
      </c>
      <c r="C1141" s="24"/>
      <c r="D1141" s="24"/>
      <c r="E1141" s="24"/>
      <c r="F1141" s="149" t="s">
        <v>129</v>
      </c>
      <c r="G1141" s="150">
        <v>620</v>
      </c>
      <c r="H1141" s="24" t="s">
        <v>134</v>
      </c>
      <c r="I1141" s="25">
        <f>30000+7000+19000+7000+5000+88000+9000+51310+2000+10020</f>
        <v>228330</v>
      </c>
      <c r="J1141" s="25">
        <v>233736</v>
      </c>
      <c r="K1141" s="25">
        <v>234559</v>
      </c>
      <c r="L1141" s="26">
        <v>194262</v>
      </c>
      <c r="M1141" s="26">
        <v>196414</v>
      </c>
      <c r="N1141" s="501"/>
      <c r="O1141" s="25"/>
      <c r="P1141" s="25"/>
      <c r="Q1141" s="25"/>
      <c r="R1141" s="26"/>
      <c r="S1141" s="26"/>
      <c r="T1141" s="501"/>
      <c r="U1141" s="151">
        <f t="shared" si="70"/>
        <v>228330</v>
      </c>
      <c r="X1141" s="2"/>
    </row>
    <row r="1142" spans="2:24" x14ac:dyDescent="0.2">
      <c r="B1142" s="8">
        <f t="shared" si="69"/>
        <v>451</v>
      </c>
      <c r="C1142" s="24"/>
      <c r="D1142" s="24"/>
      <c r="E1142" s="24"/>
      <c r="F1142" s="149" t="s">
        <v>129</v>
      </c>
      <c r="G1142" s="150">
        <v>630</v>
      </c>
      <c r="H1142" s="24" t="s">
        <v>131</v>
      </c>
      <c r="I1142" s="25">
        <f>I1148+I1147+I1146+I1145+I1144+I1143</f>
        <v>94970</v>
      </c>
      <c r="J1142" s="25">
        <f>J1148+J1147+J1146+J1145+J1144+J1143</f>
        <v>100520</v>
      </c>
      <c r="K1142" s="25">
        <f>K1148+K1147+K1146+K1145+K1144+K1143</f>
        <v>94602</v>
      </c>
      <c r="L1142" s="26">
        <f>SUM(L1143:L1148)</f>
        <v>93988</v>
      </c>
      <c r="M1142" s="26">
        <f>SUM(M1143:M1148)</f>
        <v>65201</v>
      </c>
      <c r="N1142" s="501"/>
      <c r="O1142" s="25"/>
      <c r="P1142" s="25"/>
      <c r="Q1142" s="25"/>
      <c r="R1142" s="26"/>
      <c r="S1142" s="26"/>
      <c r="T1142" s="501"/>
      <c r="U1142" s="151">
        <f t="shared" si="70"/>
        <v>94970</v>
      </c>
      <c r="X1142" s="2"/>
    </row>
    <row r="1143" spans="2:24" x14ac:dyDescent="0.2">
      <c r="B1143" s="8">
        <f t="shared" si="69"/>
        <v>452</v>
      </c>
      <c r="C1143" s="18"/>
      <c r="D1143" s="18"/>
      <c r="E1143" s="18"/>
      <c r="F1143" s="152"/>
      <c r="G1143" s="153">
        <v>631</v>
      </c>
      <c r="H1143" s="18" t="s">
        <v>137</v>
      </c>
      <c r="I1143" s="19">
        <v>1400</v>
      </c>
      <c r="J1143" s="19">
        <v>1400</v>
      </c>
      <c r="K1143" s="19">
        <v>1400</v>
      </c>
      <c r="L1143" s="20">
        <v>583</v>
      </c>
      <c r="M1143" s="20"/>
      <c r="N1143" s="164"/>
      <c r="O1143" s="19"/>
      <c r="P1143" s="19"/>
      <c r="Q1143" s="19"/>
      <c r="R1143" s="20"/>
      <c r="S1143" s="20"/>
      <c r="T1143" s="164"/>
      <c r="U1143" s="154">
        <f t="shared" si="70"/>
        <v>1400</v>
      </c>
    </row>
    <row r="1144" spans="2:24" x14ac:dyDescent="0.2">
      <c r="B1144" s="8">
        <f t="shared" si="69"/>
        <v>453</v>
      </c>
      <c r="C1144" s="18"/>
      <c r="D1144" s="18"/>
      <c r="E1144" s="18"/>
      <c r="F1144" s="152"/>
      <c r="G1144" s="153">
        <v>632</v>
      </c>
      <c r="H1144" s="18" t="s">
        <v>144</v>
      </c>
      <c r="I1144" s="19">
        <v>39770</v>
      </c>
      <c r="J1144" s="19">
        <v>40900</v>
      </c>
      <c r="K1144" s="19">
        <v>40900</v>
      </c>
      <c r="L1144" s="20">
        <v>17681</v>
      </c>
      <c r="M1144" s="20">
        <v>11984</v>
      </c>
      <c r="N1144" s="164"/>
      <c r="O1144" s="19"/>
      <c r="P1144" s="19"/>
      <c r="Q1144" s="19"/>
      <c r="R1144" s="20"/>
      <c r="S1144" s="20"/>
      <c r="T1144" s="164"/>
      <c r="U1144" s="154">
        <f t="shared" si="70"/>
        <v>39770</v>
      </c>
    </row>
    <row r="1145" spans="2:24" x14ac:dyDescent="0.2">
      <c r="B1145" s="8">
        <f t="shared" si="69"/>
        <v>454</v>
      </c>
      <c r="C1145" s="18"/>
      <c r="D1145" s="18"/>
      <c r="E1145" s="18"/>
      <c r="F1145" s="152"/>
      <c r="G1145" s="153">
        <v>633</v>
      </c>
      <c r="H1145" s="18" t="s">
        <v>135</v>
      </c>
      <c r="I1145" s="19">
        <f>21850+700+300</f>
        <v>22850</v>
      </c>
      <c r="J1145" s="19">
        <v>28600</v>
      </c>
      <c r="K1145" s="19">
        <v>28682</v>
      </c>
      <c r="L1145" s="20">
        <v>23983</v>
      </c>
      <c r="M1145" s="20">
        <v>22639</v>
      </c>
      <c r="N1145" s="164"/>
      <c r="O1145" s="19"/>
      <c r="P1145" s="19"/>
      <c r="Q1145" s="19"/>
      <c r="R1145" s="20"/>
      <c r="S1145" s="20"/>
      <c r="T1145" s="164"/>
      <c r="U1145" s="154">
        <f t="shared" si="70"/>
        <v>22850</v>
      </c>
    </row>
    <row r="1146" spans="2:24" x14ac:dyDescent="0.2">
      <c r="B1146" s="8">
        <f t="shared" si="69"/>
        <v>455</v>
      </c>
      <c r="C1146" s="18"/>
      <c r="D1146" s="18"/>
      <c r="E1146" s="18"/>
      <c r="F1146" s="152"/>
      <c r="G1146" s="153">
        <v>635</v>
      </c>
      <c r="H1146" s="18" t="s">
        <v>143</v>
      </c>
      <c r="I1146" s="19">
        <f>700+2600</f>
        <v>3300</v>
      </c>
      <c r="J1146" s="19">
        <v>3200</v>
      </c>
      <c r="K1146" s="19">
        <v>2200</v>
      </c>
      <c r="L1146" s="20">
        <v>18163</v>
      </c>
      <c r="M1146" s="20">
        <v>3200</v>
      </c>
      <c r="N1146" s="164"/>
      <c r="O1146" s="19"/>
      <c r="P1146" s="19"/>
      <c r="Q1146" s="19"/>
      <c r="R1146" s="20"/>
      <c r="S1146" s="20"/>
      <c r="T1146" s="164"/>
      <c r="U1146" s="154">
        <f t="shared" si="70"/>
        <v>3300</v>
      </c>
    </row>
    <row r="1147" spans="2:24" x14ac:dyDescent="0.2">
      <c r="B1147" s="8">
        <f t="shared" si="69"/>
        <v>456</v>
      </c>
      <c r="C1147" s="18"/>
      <c r="D1147" s="18"/>
      <c r="E1147" s="18"/>
      <c r="F1147" s="152"/>
      <c r="G1147" s="153">
        <v>636</v>
      </c>
      <c r="H1147" s="18" t="s">
        <v>136</v>
      </c>
      <c r="I1147" s="19">
        <v>3500</v>
      </c>
      <c r="J1147" s="19">
        <v>3000</v>
      </c>
      <c r="K1147" s="19">
        <v>3000</v>
      </c>
      <c r="L1147" s="20">
        <v>3000</v>
      </c>
      <c r="M1147" s="20">
        <v>3000</v>
      </c>
      <c r="N1147" s="164"/>
      <c r="O1147" s="19"/>
      <c r="P1147" s="19"/>
      <c r="Q1147" s="19"/>
      <c r="R1147" s="20"/>
      <c r="S1147" s="20"/>
      <c r="T1147" s="164"/>
      <c r="U1147" s="154">
        <f t="shared" si="70"/>
        <v>3500</v>
      </c>
    </row>
    <row r="1148" spans="2:24" x14ac:dyDescent="0.2">
      <c r="B1148" s="8">
        <f t="shared" si="69"/>
        <v>457</v>
      </c>
      <c r="C1148" s="18"/>
      <c r="D1148" s="18"/>
      <c r="E1148" s="18"/>
      <c r="F1148" s="152"/>
      <c r="G1148" s="153">
        <v>637</v>
      </c>
      <c r="H1148" s="18" t="s">
        <v>132</v>
      </c>
      <c r="I1148" s="19">
        <f>500+800+2000+2700+6200+1400+4200+6000+350</f>
        <v>24150</v>
      </c>
      <c r="J1148" s="19">
        <v>23420</v>
      </c>
      <c r="K1148" s="19">
        <v>18420</v>
      </c>
      <c r="L1148" s="20">
        <v>30578</v>
      </c>
      <c r="M1148" s="20">
        <v>24378</v>
      </c>
      <c r="N1148" s="164"/>
      <c r="O1148" s="19"/>
      <c r="P1148" s="19"/>
      <c r="Q1148" s="19"/>
      <c r="R1148" s="20"/>
      <c r="S1148" s="20"/>
      <c r="T1148" s="164"/>
      <c r="U1148" s="154">
        <f t="shared" si="70"/>
        <v>24150</v>
      </c>
    </row>
    <row r="1149" spans="2:24" x14ac:dyDescent="0.2">
      <c r="B1149" s="8">
        <f t="shared" si="69"/>
        <v>458</v>
      </c>
      <c r="C1149" s="24"/>
      <c r="D1149" s="24"/>
      <c r="E1149" s="24"/>
      <c r="F1149" s="149" t="s">
        <v>129</v>
      </c>
      <c r="G1149" s="150">
        <v>640</v>
      </c>
      <c r="H1149" s="24" t="s">
        <v>139</v>
      </c>
      <c r="I1149" s="25">
        <f>7000+10000</f>
        <v>17000</v>
      </c>
      <c r="J1149" s="25">
        <v>14500</v>
      </c>
      <c r="K1149" s="25">
        <v>16500</v>
      </c>
      <c r="L1149" s="26">
        <v>14116</v>
      </c>
      <c r="M1149" s="26">
        <v>8774</v>
      </c>
      <c r="N1149" s="501"/>
      <c r="O1149" s="25"/>
      <c r="P1149" s="25"/>
      <c r="Q1149" s="25"/>
      <c r="R1149" s="26"/>
      <c r="S1149" s="26"/>
      <c r="T1149" s="501"/>
      <c r="U1149" s="151">
        <f t="shared" si="70"/>
        <v>17000</v>
      </c>
    </row>
    <row r="1150" spans="2:24" x14ac:dyDescent="0.2">
      <c r="B1150" s="8">
        <f t="shared" si="69"/>
        <v>459</v>
      </c>
      <c r="C1150" s="24"/>
      <c r="D1150" s="24"/>
      <c r="E1150" s="24"/>
      <c r="F1150" s="149" t="s">
        <v>116</v>
      </c>
      <c r="G1150" s="150">
        <v>610</v>
      </c>
      <c r="H1150" s="24" t="s">
        <v>141</v>
      </c>
      <c r="I1150" s="25">
        <f>75815+640000+28800+9360+18000+38000+14000+6500+4212+26400</f>
        <v>861087</v>
      </c>
      <c r="J1150" s="25">
        <v>788894</v>
      </c>
      <c r="K1150" s="25">
        <v>788944</v>
      </c>
      <c r="L1150" s="26">
        <v>668804</v>
      </c>
      <c r="M1150" s="26">
        <v>618441</v>
      </c>
      <c r="N1150" s="501"/>
      <c r="O1150" s="25"/>
      <c r="P1150" s="25"/>
      <c r="Q1150" s="25"/>
      <c r="R1150" s="26"/>
      <c r="S1150" s="26"/>
      <c r="T1150" s="501"/>
      <c r="U1150" s="151">
        <f t="shared" si="70"/>
        <v>861087</v>
      </c>
    </row>
    <row r="1151" spans="2:24" x14ac:dyDescent="0.2">
      <c r="B1151" s="8">
        <f t="shared" si="69"/>
        <v>460</v>
      </c>
      <c r="C1151" s="24"/>
      <c r="D1151" s="24"/>
      <c r="E1151" s="24"/>
      <c r="F1151" s="149" t="s">
        <v>116</v>
      </c>
      <c r="G1151" s="150">
        <v>620</v>
      </c>
      <c r="H1151" s="24" t="s">
        <v>134</v>
      </c>
      <c r="I1151" s="25">
        <f>26700+85500+2000+9000+89000+5000+19000+7000+31000+7000+9300</f>
        <v>290500</v>
      </c>
      <c r="J1151" s="25">
        <v>281392</v>
      </c>
      <c r="K1151" s="25">
        <v>281410</v>
      </c>
      <c r="L1151" s="26">
        <v>244787</v>
      </c>
      <c r="M1151" s="26">
        <v>223343</v>
      </c>
      <c r="N1151" s="501"/>
      <c r="O1151" s="25"/>
      <c r="P1151" s="25"/>
      <c r="Q1151" s="25"/>
      <c r="R1151" s="26"/>
      <c r="S1151" s="26"/>
      <c r="T1151" s="501"/>
      <c r="U1151" s="151">
        <f t="shared" si="70"/>
        <v>290500</v>
      </c>
    </row>
    <row r="1152" spans="2:24" x14ac:dyDescent="0.2">
      <c r="B1152" s="8">
        <f t="shared" si="69"/>
        <v>461</v>
      </c>
      <c r="C1152" s="24"/>
      <c r="D1152" s="24"/>
      <c r="E1152" s="24"/>
      <c r="F1152" s="149" t="s">
        <v>116</v>
      </c>
      <c r="G1152" s="150">
        <v>630</v>
      </c>
      <c r="H1152" s="24" t="s">
        <v>131</v>
      </c>
      <c r="I1152" s="25">
        <f>I1158+I1157+I1156+I1155+I1154+I1153</f>
        <v>174870</v>
      </c>
      <c r="J1152" s="25">
        <f>J1158+J1157+J1156+J1155+J1154+J1153</f>
        <v>189820</v>
      </c>
      <c r="K1152" s="25">
        <f>K1158+K1157+K1156+K1155+K1154+K1153</f>
        <v>235528</v>
      </c>
      <c r="L1152" s="26">
        <f>SUM(L1153:L1158)</f>
        <v>191442</v>
      </c>
      <c r="M1152" s="26">
        <f>SUM(M1153:M1158)</f>
        <v>161127</v>
      </c>
      <c r="N1152" s="501"/>
      <c r="O1152" s="25"/>
      <c r="P1152" s="25"/>
      <c r="Q1152" s="25"/>
      <c r="R1152" s="26"/>
      <c r="S1152" s="26"/>
      <c r="T1152" s="501"/>
      <c r="U1152" s="151">
        <f t="shared" si="70"/>
        <v>174870</v>
      </c>
    </row>
    <row r="1153" spans="2:21" x14ac:dyDescent="0.2">
      <c r="B1153" s="8">
        <f t="shared" si="69"/>
        <v>462</v>
      </c>
      <c r="C1153" s="18"/>
      <c r="D1153" s="18"/>
      <c r="E1153" s="18"/>
      <c r="F1153" s="152"/>
      <c r="G1153" s="153">
        <v>631</v>
      </c>
      <c r="H1153" s="18" t="s">
        <v>137</v>
      </c>
      <c r="I1153" s="19">
        <v>1400</v>
      </c>
      <c r="J1153" s="19">
        <v>1400</v>
      </c>
      <c r="K1153" s="19">
        <v>1400</v>
      </c>
      <c r="L1153" s="20">
        <v>1090</v>
      </c>
      <c r="M1153" s="20">
        <v>89</v>
      </c>
      <c r="N1153" s="164"/>
      <c r="O1153" s="19"/>
      <c r="P1153" s="19"/>
      <c r="Q1153" s="19"/>
      <c r="R1153" s="20"/>
      <c r="S1153" s="20"/>
      <c r="T1153" s="164"/>
      <c r="U1153" s="154">
        <f t="shared" si="70"/>
        <v>1400</v>
      </c>
    </row>
    <row r="1154" spans="2:21" x14ac:dyDescent="0.2">
      <c r="B1154" s="8">
        <f t="shared" si="69"/>
        <v>463</v>
      </c>
      <c r="C1154" s="18"/>
      <c r="D1154" s="18"/>
      <c r="E1154" s="18"/>
      <c r="F1154" s="152"/>
      <c r="G1154" s="153">
        <v>632</v>
      </c>
      <c r="H1154" s="18" t="s">
        <v>144</v>
      </c>
      <c r="I1154" s="19">
        <v>39670</v>
      </c>
      <c r="J1154" s="19">
        <v>40900</v>
      </c>
      <c r="K1154" s="19">
        <v>40900</v>
      </c>
      <c r="L1154" s="20">
        <v>58756</v>
      </c>
      <c r="M1154" s="20">
        <v>18556</v>
      </c>
      <c r="N1154" s="164"/>
      <c r="O1154" s="19"/>
      <c r="P1154" s="19"/>
      <c r="Q1154" s="19"/>
      <c r="R1154" s="20"/>
      <c r="S1154" s="20"/>
      <c r="T1154" s="164"/>
      <c r="U1154" s="154">
        <f t="shared" si="70"/>
        <v>39670</v>
      </c>
    </row>
    <row r="1155" spans="2:21" x14ac:dyDescent="0.2">
      <c r="B1155" s="8">
        <f t="shared" si="69"/>
        <v>464</v>
      </c>
      <c r="C1155" s="18"/>
      <c r="D1155" s="18"/>
      <c r="E1155" s="18"/>
      <c r="F1155" s="152"/>
      <c r="G1155" s="153">
        <v>633</v>
      </c>
      <c r="H1155" s="18" t="s">
        <v>135</v>
      </c>
      <c r="I1155" s="19">
        <v>22250</v>
      </c>
      <c r="J1155" s="19">
        <v>27350</v>
      </c>
      <c r="K1155" s="19">
        <v>42877</v>
      </c>
      <c r="L1155" s="20">
        <v>62490</v>
      </c>
      <c r="M1155" s="20">
        <v>54797</v>
      </c>
      <c r="N1155" s="164"/>
      <c r="O1155" s="19"/>
      <c r="P1155" s="19"/>
      <c r="Q1155" s="19"/>
      <c r="R1155" s="20"/>
      <c r="S1155" s="20"/>
      <c r="T1155" s="164"/>
      <c r="U1155" s="154">
        <f t="shared" si="70"/>
        <v>22250</v>
      </c>
    </row>
    <row r="1156" spans="2:21" x14ac:dyDescent="0.2">
      <c r="B1156" s="8">
        <f t="shared" si="69"/>
        <v>465</v>
      </c>
      <c r="C1156" s="18"/>
      <c r="D1156" s="18"/>
      <c r="E1156" s="18"/>
      <c r="F1156" s="152"/>
      <c r="G1156" s="153">
        <v>635</v>
      </c>
      <c r="H1156" s="18" t="s">
        <v>143</v>
      </c>
      <c r="I1156" s="19">
        <v>18700</v>
      </c>
      <c r="J1156" s="19">
        <v>34800</v>
      </c>
      <c r="K1156" s="19">
        <v>34800</v>
      </c>
      <c r="L1156" s="20">
        <v>45511</v>
      </c>
      <c r="M1156" s="20">
        <v>28560</v>
      </c>
      <c r="N1156" s="164"/>
      <c r="O1156" s="19"/>
      <c r="P1156" s="19"/>
      <c r="Q1156" s="19"/>
      <c r="R1156" s="20"/>
      <c r="S1156" s="20"/>
      <c r="T1156" s="164"/>
      <c r="U1156" s="154">
        <f t="shared" si="70"/>
        <v>18700</v>
      </c>
    </row>
    <row r="1157" spans="2:21" x14ac:dyDescent="0.2">
      <c r="B1157" s="8">
        <f t="shared" si="69"/>
        <v>466</v>
      </c>
      <c r="C1157" s="18"/>
      <c r="D1157" s="18"/>
      <c r="E1157" s="18"/>
      <c r="F1157" s="152"/>
      <c r="G1157" s="153">
        <v>636</v>
      </c>
      <c r="H1157" s="18" t="s">
        <v>136</v>
      </c>
      <c r="I1157" s="19">
        <v>3000</v>
      </c>
      <c r="J1157" s="19">
        <v>3000</v>
      </c>
      <c r="K1157" s="19">
        <v>3000</v>
      </c>
      <c r="L1157" s="20">
        <v>2927</v>
      </c>
      <c r="M1157" s="20">
        <v>2060</v>
      </c>
      <c r="N1157" s="164"/>
      <c r="O1157" s="19"/>
      <c r="P1157" s="19"/>
      <c r="Q1157" s="19"/>
      <c r="R1157" s="20"/>
      <c r="S1157" s="20"/>
      <c r="T1157" s="164"/>
      <c r="U1157" s="154">
        <f t="shared" si="70"/>
        <v>3000</v>
      </c>
    </row>
    <row r="1158" spans="2:21" x14ac:dyDescent="0.2">
      <c r="B1158" s="8">
        <f t="shared" si="69"/>
        <v>467</v>
      </c>
      <c r="C1158" s="18"/>
      <c r="D1158" s="18"/>
      <c r="E1158" s="18"/>
      <c r="F1158" s="152"/>
      <c r="G1158" s="153">
        <v>637</v>
      </c>
      <c r="H1158" s="18" t="s">
        <v>132</v>
      </c>
      <c r="I1158" s="19">
        <f>1400+4000+700+26000+6000+400+200+17600+7000+800+1500+2000+19250+2550+450</f>
        <v>89850</v>
      </c>
      <c r="J1158" s="19">
        <v>82370</v>
      </c>
      <c r="K1158" s="19">
        <v>112551</v>
      </c>
      <c r="L1158" s="20">
        <v>20668</v>
      </c>
      <c r="M1158" s="20">
        <f>32850+819+23363+33</f>
        <v>57065</v>
      </c>
      <c r="N1158" s="164"/>
      <c r="O1158" s="19"/>
      <c r="P1158" s="19"/>
      <c r="Q1158" s="19"/>
      <c r="R1158" s="20"/>
      <c r="S1158" s="20"/>
      <c r="T1158" s="164"/>
      <c r="U1158" s="154">
        <f t="shared" si="70"/>
        <v>89850</v>
      </c>
    </row>
    <row r="1159" spans="2:21" x14ac:dyDescent="0.2">
      <c r="B1159" s="8">
        <f t="shared" si="69"/>
        <v>468</v>
      </c>
      <c r="C1159" s="24"/>
      <c r="D1159" s="24"/>
      <c r="E1159" s="24"/>
      <c r="F1159" s="149" t="s">
        <v>116</v>
      </c>
      <c r="G1159" s="150">
        <v>640</v>
      </c>
      <c r="H1159" s="24" t="s">
        <v>139</v>
      </c>
      <c r="I1159" s="25">
        <f>3200+10500+7500</f>
        <v>21200</v>
      </c>
      <c r="J1159" s="25">
        <v>18200</v>
      </c>
      <c r="K1159" s="25">
        <v>20000</v>
      </c>
      <c r="L1159" s="26">
        <v>44804</v>
      </c>
      <c r="M1159" s="26">
        <v>10665</v>
      </c>
      <c r="N1159" s="501"/>
      <c r="O1159" s="25"/>
      <c r="P1159" s="25"/>
      <c r="Q1159" s="25"/>
      <c r="R1159" s="26"/>
      <c r="S1159" s="26"/>
      <c r="T1159" s="501"/>
      <c r="U1159" s="151">
        <f t="shared" si="70"/>
        <v>21200</v>
      </c>
    </row>
    <row r="1160" spans="2:21" x14ac:dyDescent="0.2">
      <c r="B1160" s="8">
        <f t="shared" si="69"/>
        <v>469</v>
      </c>
      <c r="C1160" s="24"/>
      <c r="D1160" s="24"/>
      <c r="E1160" s="24"/>
      <c r="F1160" s="149"/>
      <c r="G1160" s="150">
        <v>633</v>
      </c>
      <c r="H1160" s="24" t="s">
        <v>815</v>
      </c>
      <c r="I1160" s="25"/>
      <c r="J1160" s="25"/>
      <c r="K1160" s="25"/>
      <c r="L1160" s="26">
        <f>20278+66</f>
        <v>20344</v>
      </c>
      <c r="M1160" s="26"/>
      <c r="N1160" s="501"/>
      <c r="O1160" s="25"/>
      <c r="P1160" s="25"/>
      <c r="Q1160" s="25"/>
      <c r="R1160" s="26"/>
      <c r="S1160" s="26"/>
      <c r="T1160" s="501"/>
      <c r="U1160" s="151">
        <f t="shared" si="70"/>
        <v>0</v>
      </c>
    </row>
    <row r="1161" spans="2:21" x14ac:dyDescent="0.2">
      <c r="B1161" s="8">
        <f t="shared" si="69"/>
        <v>470</v>
      </c>
      <c r="C1161" s="24"/>
      <c r="D1161" s="24"/>
      <c r="E1161" s="24"/>
      <c r="F1161" s="149"/>
      <c r="G1161" s="150">
        <v>630</v>
      </c>
      <c r="H1161" s="24" t="s">
        <v>534</v>
      </c>
      <c r="I1161" s="25"/>
      <c r="J1161" s="25"/>
      <c r="K1161" s="25">
        <v>34880</v>
      </c>
      <c r="L1161" s="26">
        <v>63657</v>
      </c>
      <c r="M1161" s="26"/>
      <c r="N1161" s="501"/>
      <c r="O1161" s="25"/>
      <c r="P1161" s="25"/>
      <c r="Q1161" s="25"/>
      <c r="R1161" s="26"/>
      <c r="S1161" s="26"/>
      <c r="T1161" s="501"/>
      <c r="U1161" s="151">
        <f t="shared" si="70"/>
        <v>0</v>
      </c>
    </row>
    <row r="1162" spans="2:21" x14ac:dyDescent="0.2">
      <c r="B1162" s="8">
        <f t="shared" si="69"/>
        <v>471</v>
      </c>
      <c r="C1162" s="24"/>
      <c r="D1162" s="24"/>
      <c r="E1162" s="24"/>
      <c r="F1162" s="149" t="s">
        <v>116</v>
      </c>
      <c r="G1162" s="150">
        <v>710</v>
      </c>
      <c r="H1162" s="24" t="s">
        <v>185</v>
      </c>
      <c r="I1162" s="25"/>
      <c r="J1162" s="25"/>
      <c r="K1162" s="25"/>
      <c r="L1162" s="26"/>
      <c r="M1162" s="26"/>
      <c r="N1162" s="501"/>
      <c r="O1162" s="25">
        <f>O1165</f>
        <v>36000</v>
      </c>
      <c r="P1162" s="25"/>
      <c r="Q1162" s="25"/>
      <c r="R1162" s="26">
        <f>R1163+R1165</f>
        <v>105198</v>
      </c>
      <c r="S1162" s="26">
        <f>S1163+S1165</f>
        <v>36990</v>
      </c>
      <c r="T1162" s="501"/>
      <c r="U1162" s="151">
        <f t="shared" si="70"/>
        <v>36000</v>
      </c>
    </row>
    <row r="1163" spans="2:21" x14ac:dyDescent="0.2">
      <c r="B1163" s="8">
        <f t="shared" si="69"/>
        <v>472</v>
      </c>
      <c r="C1163" s="24"/>
      <c r="D1163" s="24"/>
      <c r="E1163" s="24"/>
      <c r="F1163" s="149"/>
      <c r="G1163" s="153">
        <v>713</v>
      </c>
      <c r="H1163" s="18" t="s">
        <v>230</v>
      </c>
      <c r="I1163" s="19"/>
      <c r="J1163" s="19"/>
      <c r="K1163" s="19"/>
      <c r="L1163" s="20"/>
      <c r="M1163" s="20"/>
      <c r="N1163" s="164"/>
      <c r="O1163" s="19"/>
      <c r="P1163" s="19"/>
      <c r="Q1163" s="19"/>
      <c r="R1163" s="20"/>
      <c r="S1163" s="20">
        <f>S1164</f>
        <v>2110</v>
      </c>
      <c r="T1163" s="164"/>
      <c r="U1163" s="154">
        <f t="shared" si="70"/>
        <v>0</v>
      </c>
    </row>
    <row r="1164" spans="2:21" s="165" customFormat="1" x14ac:dyDescent="0.2">
      <c r="B1164" s="8">
        <f t="shared" si="69"/>
        <v>473</v>
      </c>
      <c r="C1164" s="156"/>
      <c r="D1164" s="156"/>
      <c r="E1164" s="156"/>
      <c r="F1164" s="272"/>
      <c r="G1164" s="155"/>
      <c r="H1164" s="156" t="s">
        <v>673</v>
      </c>
      <c r="I1164" s="157"/>
      <c r="J1164" s="157"/>
      <c r="K1164" s="157"/>
      <c r="L1164" s="158"/>
      <c r="M1164" s="158"/>
      <c r="N1164" s="535"/>
      <c r="O1164" s="157"/>
      <c r="P1164" s="157"/>
      <c r="Q1164" s="157"/>
      <c r="R1164" s="158"/>
      <c r="S1164" s="158">
        <v>2110</v>
      </c>
      <c r="T1164" s="535"/>
      <c r="U1164" s="159">
        <f t="shared" si="70"/>
        <v>0</v>
      </c>
    </row>
    <row r="1165" spans="2:21" x14ac:dyDescent="0.2">
      <c r="B1165" s="8">
        <f t="shared" si="69"/>
        <v>474</v>
      </c>
      <c r="C1165" s="18"/>
      <c r="D1165" s="18"/>
      <c r="E1165" s="18"/>
      <c r="F1165" s="152"/>
      <c r="G1165" s="153">
        <v>717</v>
      </c>
      <c r="H1165" s="18" t="s">
        <v>192</v>
      </c>
      <c r="I1165" s="19"/>
      <c r="J1165" s="19"/>
      <c r="K1165" s="19"/>
      <c r="L1165" s="20"/>
      <c r="M1165" s="20"/>
      <c r="N1165" s="164"/>
      <c r="O1165" s="19">
        <f>SUM(O1166:O1169)</f>
        <v>36000</v>
      </c>
      <c r="P1165" s="19"/>
      <c r="Q1165" s="19"/>
      <c r="R1165" s="20">
        <f>SUM(R1166:R1167)</f>
        <v>105198</v>
      </c>
      <c r="S1165" s="20">
        <f>S1169</f>
        <v>34880</v>
      </c>
      <c r="T1165" s="164"/>
      <c r="U1165" s="154">
        <f t="shared" si="70"/>
        <v>36000</v>
      </c>
    </row>
    <row r="1166" spans="2:21" s="165" customFormat="1" x14ac:dyDescent="0.2">
      <c r="B1166" s="8">
        <f t="shared" si="69"/>
        <v>475</v>
      </c>
      <c r="C1166" s="156"/>
      <c r="D1166" s="156"/>
      <c r="E1166" s="156"/>
      <c r="F1166" s="272"/>
      <c r="G1166" s="155"/>
      <c r="H1166" s="156" t="s">
        <v>731</v>
      </c>
      <c r="I1166" s="157"/>
      <c r="J1166" s="157"/>
      <c r="K1166" s="157"/>
      <c r="L1166" s="158"/>
      <c r="M1166" s="158"/>
      <c r="N1166" s="535"/>
      <c r="O1166" s="157"/>
      <c r="P1166" s="157"/>
      <c r="Q1166" s="157"/>
      <c r="R1166" s="158">
        <v>94987</v>
      </c>
      <c r="S1166" s="158"/>
      <c r="T1166" s="535"/>
      <c r="U1166" s="159">
        <f t="shared" si="70"/>
        <v>0</v>
      </c>
    </row>
    <row r="1167" spans="2:21" s="165" customFormat="1" x14ac:dyDescent="0.2">
      <c r="B1167" s="8">
        <f t="shared" si="69"/>
        <v>476</v>
      </c>
      <c r="C1167" s="156"/>
      <c r="D1167" s="156"/>
      <c r="E1167" s="156"/>
      <c r="F1167" s="272"/>
      <c r="G1167" s="155"/>
      <c r="H1167" s="156" t="s">
        <v>820</v>
      </c>
      <c r="I1167" s="157"/>
      <c r="J1167" s="157"/>
      <c r="K1167" s="157"/>
      <c r="L1167" s="158"/>
      <c r="M1167" s="158"/>
      <c r="N1167" s="535"/>
      <c r="O1167" s="157"/>
      <c r="P1167" s="157"/>
      <c r="Q1167" s="157"/>
      <c r="R1167" s="158">
        <v>10211</v>
      </c>
      <c r="S1167" s="158"/>
      <c r="T1167" s="535"/>
      <c r="U1167" s="159">
        <f t="shared" si="70"/>
        <v>0</v>
      </c>
    </row>
    <row r="1168" spans="2:21" s="165" customFormat="1" x14ac:dyDescent="0.2">
      <c r="B1168" s="8"/>
      <c r="C1168" s="156"/>
      <c r="D1168" s="156"/>
      <c r="E1168" s="156"/>
      <c r="F1168" s="272"/>
      <c r="G1168" s="155"/>
      <c r="H1168" s="156" t="s">
        <v>1197</v>
      </c>
      <c r="I1168" s="157"/>
      <c r="J1168" s="157"/>
      <c r="K1168" s="157"/>
      <c r="L1168" s="158"/>
      <c r="M1168" s="158"/>
      <c r="N1168" s="535"/>
      <c r="O1168" s="157">
        <v>36000</v>
      </c>
      <c r="P1168" s="157"/>
      <c r="Q1168" s="157"/>
      <c r="R1168" s="158"/>
      <c r="S1168" s="158"/>
      <c r="T1168" s="535"/>
      <c r="U1168" s="159">
        <f t="shared" si="70"/>
        <v>36000</v>
      </c>
    </row>
    <row r="1169" spans="2:24" s="165" customFormat="1" x14ac:dyDescent="0.2">
      <c r="B1169" s="8">
        <f>B1167+1</f>
        <v>477</v>
      </c>
      <c r="C1169" s="156"/>
      <c r="D1169" s="156"/>
      <c r="E1169" s="156"/>
      <c r="F1169" s="272"/>
      <c r="G1169" s="155"/>
      <c r="H1169" s="156" t="s">
        <v>518</v>
      </c>
      <c r="I1169" s="157"/>
      <c r="J1169" s="157"/>
      <c r="K1169" s="157"/>
      <c r="L1169" s="158"/>
      <c r="M1169" s="158"/>
      <c r="N1169" s="535"/>
      <c r="O1169" s="157"/>
      <c r="P1169" s="157"/>
      <c r="Q1169" s="157"/>
      <c r="R1169" s="158"/>
      <c r="S1169" s="158">
        <v>34880</v>
      </c>
      <c r="T1169" s="535"/>
      <c r="U1169" s="159">
        <f t="shared" si="70"/>
        <v>0</v>
      </c>
    </row>
    <row r="1170" spans="2:24" ht="14.25" x14ac:dyDescent="0.2">
      <c r="B1170" s="8">
        <f t="shared" si="69"/>
        <v>478</v>
      </c>
      <c r="C1170" s="267"/>
      <c r="D1170" s="267"/>
      <c r="E1170" s="267">
        <v>13</v>
      </c>
      <c r="F1170" s="268"/>
      <c r="G1170" s="268"/>
      <c r="H1170" s="267" t="s">
        <v>14</v>
      </c>
      <c r="I1170" s="269">
        <f>I1171+I1172+I1173+I1179+I1180+I1181+I1182+I1187</f>
        <v>984699</v>
      </c>
      <c r="J1170" s="269">
        <f>J1171+J1172+J1173+J1179+J1180+J1181+J1182+J1187</f>
        <v>787963</v>
      </c>
      <c r="K1170" s="269">
        <f>K1171+K1172+K1173+K1179+K1180+K1181+K1182+K1187+K1188</f>
        <v>754635</v>
      </c>
      <c r="L1170" s="270">
        <f>L1171+L1172+L1173+L1179+L1180+L1181+L1182+L1187+L1188+L1189</f>
        <v>695020</v>
      </c>
      <c r="M1170" s="270">
        <f>M1171+M1172+M1173+M1179+M1180+M1181+M1182+M1187</f>
        <v>650893</v>
      </c>
      <c r="N1170" s="534"/>
      <c r="O1170" s="269">
        <f>O1190</f>
        <v>144000</v>
      </c>
      <c r="P1170" s="269">
        <f>P1190</f>
        <v>0</v>
      </c>
      <c r="Q1170" s="269">
        <f>Q1190</f>
        <v>30500</v>
      </c>
      <c r="R1170" s="270">
        <f>R1190</f>
        <v>161511</v>
      </c>
      <c r="S1170" s="270">
        <f>S1190</f>
        <v>16742</v>
      </c>
      <c r="T1170" s="534"/>
      <c r="U1170" s="271">
        <f t="shared" si="70"/>
        <v>1128699</v>
      </c>
    </row>
    <row r="1171" spans="2:24" x14ac:dyDescent="0.2">
      <c r="B1171" s="8">
        <f t="shared" si="69"/>
        <v>479</v>
      </c>
      <c r="C1171" s="24"/>
      <c r="D1171" s="24"/>
      <c r="E1171" s="24"/>
      <c r="F1171" s="149" t="s">
        <v>129</v>
      </c>
      <c r="G1171" s="150">
        <v>610</v>
      </c>
      <c r="H1171" s="24" t="s">
        <v>141</v>
      </c>
      <c r="I1171" s="25">
        <v>210436</v>
      </c>
      <c r="J1171" s="25">
        <v>167022</v>
      </c>
      <c r="K1171" s="25">
        <v>157674</v>
      </c>
      <c r="L1171" s="26">
        <v>130552</v>
      </c>
      <c r="M1171" s="26">
        <v>115740</v>
      </c>
      <c r="N1171" s="501"/>
      <c r="O1171" s="25"/>
      <c r="P1171" s="25"/>
      <c r="Q1171" s="25"/>
      <c r="R1171" s="26"/>
      <c r="S1171" s="26"/>
      <c r="T1171" s="501"/>
      <c r="U1171" s="151">
        <f t="shared" si="70"/>
        <v>210436</v>
      </c>
      <c r="X1171" s="2"/>
    </row>
    <row r="1172" spans="2:24" x14ac:dyDescent="0.2">
      <c r="B1172" s="8">
        <f t="shared" si="69"/>
        <v>480</v>
      </c>
      <c r="C1172" s="24"/>
      <c r="D1172" s="24"/>
      <c r="E1172" s="24"/>
      <c r="F1172" s="149" t="s">
        <v>129</v>
      </c>
      <c r="G1172" s="150">
        <v>620</v>
      </c>
      <c r="H1172" s="24" t="s">
        <v>134</v>
      </c>
      <c r="I1172" s="25">
        <v>74987</v>
      </c>
      <c r="J1172" s="25">
        <v>58341</v>
      </c>
      <c r="K1172" s="25">
        <v>55106</v>
      </c>
      <c r="L1172" s="26">
        <v>44786</v>
      </c>
      <c r="M1172" s="26">
        <v>40327</v>
      </c>
      <c r="N1172" s="501"/>
      <c r="O1172" s="25"/>
      <c r="P1172" s="25"/>
      <c r="Q1172" s="25"/>
      <c r="R1172" s="26"/>
      <c r="S1172" s="26"/>
      <c r="T1172" s="501"/>
      <c r="U1172" s="151">
        <f t="shared" si="70"/>
        <v>74987</v>
      </c>
    </row>
    <row r="1173" spans="2:24" x14ac:dyDescent="0.2">
      <c r="B1173" s="8">
        <f t="shared" si="69"/>
        <v>481</v>
      </c>
      <c r="C1173" s="24"/>
      <c r="D1173" s="24"/>
      <c r="E1173" s="24"/>
      <c r="F1173" s="149" t="s">
        <v>129</v>
      </c>
      <c r="G1173" s="150">
        <v>630</v>
      </c>
      <c r="H1173" s="24" t="s">
        <v>131</v>
      </c>
      <c r="I1173" s="25">
        <f>I1178+I1177+I1176+I1175+I1174</f>
        <v>67510</v>
      </c>
      <c r="J1173" s="25">
        <f>J1178+J1177+J1176+J1175+J1174</f>
        <v>41600</v>
      </c>
      <c r="K1173" s="25">
        <f>K1178+K1177+K1176+K1175+K1174</f>
        <v>34801</v>
      </c>
      <c r="L1173" s="26">
        <f>L1178+L1177+L1176+L1175+L1174</f>
        <v>48623</v>
      </c>
      <c r="M1173" s="26">
        <f>M1178+M1177+M1176+M1175+M1174</f>
        <v>35416</v>
      </c>
      <c r="N1173" s="501"/>
      <c r="O1173" s="25"/>
      <c r="P1173" s="25"/>
      <c r="Q1173" s="25"/>
      <c r="R1173" s="26"/>
      <c r="S1173" s="26"/>
      <c r="T1173" s="501"/>
      <c r="U1173" s="151">
        <f t="shared" si="70"/>
        <v>67510</v>
      </c>
    </row>
    <row r="1174" spans="2:24" x14ac:dyDescent="0.2">
      <c r="B1174" s="8">
        <f t="shared" si="69"/>
        <v>482</v>
      </c>
      <c r="C1174" s="18"/>
      <c r="D1174" s="18"/>
      <c r="E1174" s="18"/>
      <c r="F1174" s="152"/>
      <c r="G1174" s="153">
        <v>632</v>
      </c>
      <c r="H1174" s="18" t="s">
        <v>144</v>
      </c>
      <c r="I1174" s="19">
        <f>150+250+250+2000+6300+35500+600+800+4000</f>
        <v>49850</v>
      </c>
      <c r="J1174" s="19">
        <v>28450</v>
      </c>
      <c r="K1174" s="19">
        <v>22101</v>
      </c>
      <c r="L1174" s="20">
        <v>23914</v>
      </c>
      <c r="M1174" s="20">
        <v>16379</v>
      </c>
      <c r="N1174" s="164"/>
      <c r="O1174" s="19"/>
      <c r="P1174" s="19"/>
      <c r="Q1174" s="19"/>
      <c r="R1174" s="20"/>
      <c r="S1174" s="20"/>
      <c r="T1174" s="164"/>
      <c r="U1174" s="154">
        <f t="shared" si="70"/>
        <v>49850</v>
      </c>
    </row>
    <row r="1175" spans="2:24" x14ac:dyDescent="0.2">
      <c r="B1175" s="8">
        <f t="shared" si="69"/>
        <v>483</v>
      </c>
      <c r="C1175" s="18"/>
      <c r="D1175" s="18"/>
      <c r="E1175" s="18"/>
      <c r="F1175" s="152"/>
      <c r="G1175" s="153">
        <v>633</v>
      </c>
      <c r="H1175" s="18" t="s">
        <v>135</v>
      </c>
      <c r="I1175" s="19">
        <f>300+1000+350+300+150+700+1200+600+150</f>
        <v>4750</v>
      </c>
      <c r="J1175" s="19">
        <v>4800</v>
      </c>
      <c r="K1175" s="19">
        <v>4350</v>
      </c>
      <c r="L1175" s="20">
        <v>11023</v>
      </c>
      <c r="M1175" s="20">
        <v>8071</v>
      </c>
      <c r="N1175" s="164"/>
      <c r="O1175" s="19"/>
      <c r="P1175" s="19"/>
      <c r="Q1175" s="19"/>
      <c r="R1175" s="20"/>
      <c r="S1175" s="20"/>
      <c r="T1175" s="164"/>
      <c r="U1175" s="154">
        <f t="shared" si="70"/>
        <v>4750</v>
      </c>
    </row>
    <row r="1176" spans="2:24" x14ac:dyDescent="0.2">
      <c r="B1176" s="8">
        <f t="shared" si="69"/>
        <v>484</v>
      </c>
      <c r="C1176" s="18"/>
      <c r="D1176" s="18"/>
      <c r="E1176" s="18"/>
      <c r="F1176" s="152"/>
      <c r="G1176" s="153">
        <v>634</v>
      </c>
      <c r="H1176" s="18" t="s">
        <v>142</v>
      </c>
      <c r="I1176" s="19">
        <v>1400</v>
      </c>
      <c r="J1176" s="19">
        <v>600</v>
      </c>
      <c r="K1176" s="19">
        <v>600</v>
      </c>
      <c r="L1176" s="20">
        <v>0</v>
      </c>
      <c r="M1176" s="20">
        <v>640</v>
      </c>
      <c r="N1176" s="164"/>
      <c r="O1176" s="19"/>
      <c r="P1176" s="19"/>
      <c r="Q1176" s="19"/>
      <c r="R1176" s="20"/>
      <c r="S1176" s="20"/>
      <c r="T1176" s="164"/>
      <c r="U1176" s="154">
        <f t="shared" si="70"/>
        <v>1400</v>
      </c>
    </row>
    <row r="1177" spans="2:24" x14ac:dyDescent="0.2">
      <c r="B1177" s="8">
        <f t="shared" si="69"/>
        <v>485</v>
      </c>
      <c r="C1177" s="18"/>
      <c r="D1177" s="18"/>
      <c r="E1177" s="18"/>
      <c r="F1177" s="152"/>
      <c r="G1177" s="153">
        <v>635</v>
      </c>
      <c r="H1177" s="18" t="s">
        <v>143</v>
      </c>
      <c r="I1177" s="19"/>
      <c r="J1177" s="19"/>
      <c r="K1177" s="19"/>
      <c r="L1177" s="20">
        <v>4578</v>
      </c>
      <c r="M1177" s="20">
        <v>2600</v>
      </c>
      <c r="N1177" s="164"/>
      <c r="O1177" s="19"/>
      <c r="P1177" s="19"/>
      <c r="Q1177" s="19"/>
      <c r="R1177" s="20"/>
      <c r="S1177" s="20"/>
      <c r="T1177" s="164"/>
      <c r="U1177" s="154">
        <f t="shared" si="70"/>
        <v>0</v>
      </c>
    </row>
    <row r="1178" spans="2:24" x14ac:dyDescent="0.2">
      <c r="B1178" s="8">
        <f t="shared" si="69"/>
        <v>486</v>
      </c>
      <c r="C1178" s="18"/>
      <c r="D1178" s="18"/>
      <c r="E1178" s="18"/>
      <c r="F1178" s="152"/>
      <c r="G1178" s="153">
        <v>637</v>
      </c>
      <c r="H1178" s="18" t="s">
        <v>132</v>
      </c>
      <c r="I1178" s="19">
        <f>1150+6000+260+2600+600+900</f>
        <v>11510</v>
      </c>
      <c r="J1178" s="19">
        <v>7750</v>
      </c>
      <c r="K1178" s="19">
        <v>7750</v>
      </c>
      <c r="L1178" s="20">
        <v>9108</v>
      </c>
      <c r="M1178" s="20">
        <v>7726</v>
      </c>
      <c r="N1178" s="164"/>
      <c r="O1178" s="19"/>
      <c r="P1178" s="19"/>
      <c r="Q1178" s="19"/>
      <c r="R1178" s="20"/>
      <c r="S1178" s="20"/>
      <c r="T1178" s="164"/>
      <c r="U1178" s="154">
        <f t="shared" si="70"/>
        <v>11510</v>
      </c>
    </row>
    <row r="1179" spans="2:24" x14ac:dyDescent="0.2">
      <c r="B1179" s="8">
        <f t="shared" si="69"/>
        <v>487</v>
      </c>
      <c r="C1179" s="24"/>
      <c r="D1179" s="24"/>
      <c r="E1179" s="24"/>
      <c r="F1179" s="149" t="s">
        <v>129</v>
      </c>
      <c r="G1179" s="150">
        <v>640</v>
      </c>
      <c r="H1179" s="24" t="s">
        <v>139</v>
      </c>
      <c r="I1179" s="25">
        <f>4081+600+500</f>
        <v>5181</v>
      </c>
      <c r="J1179" s="25">
        <v>900</v>
      </c>
      <c r="K1179" s="25">
        <v>900</v>
      </c>
      <c r="L1179" s="26">
        <v>1570</v>
      </c>
      <c r="M1179" s="26">
        <v>2840</v>
      </c>
      <c r="N1179" s="501"/>
      <c r="O1179" s="25"/>
      <c r="P1179" s="25"/>
      <c r="Q1179" s="25"/>
      <c r="R1179" s="26"/>
      <c r="S1179" s="26"/>
      <c r="T1179" s="501"/>
      <c r="U1179" s="151">
        <f t="shared" si="70"/>
        <v>5181</v>
      </c>
    </row>
    <row r="1180" spans="2:24" x14ac:dyDescent="0.2">
      <c r="B1180" s="8">
        <f t="shared" si="69"/>
        <v>488</v>
      </c>
      <c r="C1180" s="24"/>
      <c r="D1180" s="24"/>
      <c r="E1180" s="24"/>
      <c r="F1180" s="149" t="s">
        <v>116</v>
      </c>
      <c r="G1180" s="150">
        <v>610</v>
      </c>
      <c r="H1180" s="24" t="s">
        <v>141</v>
      </c>
      <c r="I1180" s="25">
        <v>353116</v>
      </c>
      <c r="J1180" s="25">
        <v>296689</v>
      </c>
      <c r="K1180" s="25">
        <v>277758</v>
      </c>
      <c r="L1180" s="26">
        <v>275154</v>
      </c>
      <c r="M1180" s="26">
        <v>272612</v>
      </c>
      <c r="N1180" s="501"/>
      <c r="O1180" s="25"/>
      <c r="P1180" s="25"/>
      <c r="Q1180" s="25"/>
      <c r="R1180" s="26"/>
      <c r="S1180" s="26"/>
      <c r="T1180" s="501"/>
      <c r="U1180" s="151">
        <f t="shared" si="70"/>
        <v>353116</v>
      </c>
    </row>
    <row r="1181" spans="2:24" x14ac:dyDescent="0.2">
      <c r="B1181" s="8">
        <f t="shared" si="69"/>
        <v>489</v>
      </c>
      <c r="C1181" s="24"/>
      <c r="D1181" s="24"/>
      <c r="E1181" s="24"/>
      <c r="F1181" s="149" t="s">
        <v>116</v>
      </c>
      <c r="G1181" s="150">
        <v>620</v>
      </c>
      <c r="H1181" s="24" t="s">
        <v>134</v>
      </c>
      <c r="I1181" s="25">
        <v>124679</v>
      </c>
      <c r="J1181" s="25">
        <v>103709</v>
      </c>
      <c r="K1181" s="25">
        <v>95686</v>
      </c>
      <c r="L1181" s="26">
        <v>96305</v>
      </c>
      <c r="M1181" s="26">
        <v>94971</v>
      </c>
      <c r="N1181" s="501"/>
      <c r="O1181" s="25"/>
      <c r="P1181" s="25"/>
      <c r="Q1181" s="25"/>
      <c r="R1181" s="26"/>
      <c r="S1181" s="26"/>
      <c r="T1181" s="501"/>
      <c r="U1181" s="151">
        <f t="shared" si="70"/>
        <v>124679</v>
      </c>
    </row>
    <row r="1182" spans="2:24" x14ac:dyDescent="0.2">
      <c r="B1182" s="8">
        <f t="shared" si="69"/>
        <v>490</v>
      </c>
      <c r="C1182" s="24"/>
      <c r="D1182" s="24"/>
      <c r="E1182" s="24"/>
      <c r="F1182" s="149" t="s">
        <v>116</v>
      </c>
      <c r="G1182" s="150">
        <v>630</v>
      </c>
      <c r="H1182" s="24" t="s">
        <v>131</v>
      </c>
      <c r="I1182" s="25">
        <f>SUM(I1183:I1186)</f>
        <v>144300</v>
      </c>
      <c r="J1182" s="25">
        <f>SUM(J1183:J1186)</f>
        <v>111710</v>
      </c>
      <c r="K1182" s="25">
        <f>SUM(K1183:K1186)</f>
        <v>110360</v>
      </c>
      <c r="L1182" s="26">
        <f>SUM(L1183:L1186)</f>
        <v>92817</v>
      </c>
      <c r="M1182" s="26">
        <f>SUM(M1183:M1186)</f>
        <v>86118</v>
      </c>
      <c r="N1182" s="501"/>
      <c r="O1182" s="25"/>
      <c r="P1182" s="25"/>
      <c r="Q1182" s="25"/>
      <c r="R1182" s="26"/>
      <c r="S1182" s="26"/>
      <c r="T1182" s="501"/>
      <c r="U1182" s="151">
        <f t="shared" si="70"/>
        <v>144300</v>
      </c>
    </row>
    <row r="1183" spans="2:24" x14ac:dyDescent="0.2">
      <c r="B1183" s="8">
        <f t="shared" ref="B1183:B1205" si="72">B1182+1</f>
        <v>491</v>
      </c>
      <c r="C1183" s="18"/>
      <c r="D1183" s="18"/>
      <c r="E1183" s="18"/>
      <c r="F1183" s="152"/>
      <c r="G1183" s="153">
        <v>632</v>
      </c>
      <c r="H1183" s="18" t="s">
        <v>144</v>
      </c>
      <c r="I1183" s="19">
        <f>120+300+250+5000+37500+40000+3000+600+600+1600</f>
        <v>88970</v>
      </c>
      <c r="J1183" s="19">
        <v>59200</v>
      </c>
      <c r="K1183" s="19">
        <v>59200</v>
      </c>
      <c r="L1183" s="20">
        <v>35400</v>
      </c>
      <c r="M1183" s="20">
        <v>22211</v>
      </c>
      <c r="N1183" s="164"/>
      <c r="O1183" s="19"/>
      <c r="P1183" s="19"/>
      <c r="Q1183" s="19"/>
      <c r="R1183" s="20"/>
      <c r="S1183" s="20"/>
      <c r="T1183" s="164"/>
      <c r="U1183" s="154">
        <f t="shared" si="70"/>
        <v>88970</v>
      </c>
    </row>
    <row r="1184" spans="2:24" x14ac:dyDescent="0.2">
      <c r="B1184" s="8">
        <f t="shared" si="72"/>
        <v>492</v>
      </c>
      <c r="C1184" s="18"/>
      <c r="D1184" s="18"/>
      <c r="E1184" s="18"/>
      <c r="F1184" s="152"/>
      <c r="G1184" s="153">
        <v>633</v>
      </c>
      <c r="H1184" s="18" t="s">
        <v>135</v>
      </c>
      <c r="I1184" s="19">
        <f>500+2000+600+400+300+250+350+1200+200+300</f>
        <v>6100</v>
      </c>
      <c r="J1184" s="19">
        <v>4800</v>
      </c>
      <c r="K1184" s="19">
        <v>4800</v>
      </c>
      <c r="L1184" s="20">
        <v>16904</v>
      </c>
      <c r="M1184" s="20">
        <v>34072</v>
      </c>
      <c r="N1184" s="164"/>
      <c r="O1184" s="19"/>
      <c r="P1184" s="19"/>
      <c r="Q1184" s="19"/>
      <c r="R1184" s="20"/>
      <c r="S1184" s="20"/>
      <c r="T1184" s="164"/>
      <c r="U1184" s="154">
        <f t="shared" si="70"/>
        <v>6100</v>
      </c>
    </row>
    <row r="1185" spans="2:21" x14ac:dyDescent="0.2">
      <c r="B1185" s="8">
        <f t="shared" si="72"/>
        <v>493</v>
      </c>
      <c r="C1185" s="18"/>
      <c r="D1185" s="18"/>
      <c r="E1185" s="18"/>
      <c r="F1185" s="152"/>
      <c r="G1185" s="153">
        <v>635</v>
      </c>
      <c r="H1185" s="18" t="s">
        <v>143</v>
      </c>
      <c r="I1185" s="19">
        <f>20000+4000+650</f>
        <v>24650</v>
      </c>
      <c r="J1185" s="19">
        <v>24500</v>
      </c>
      <c r="K1185" s="19">
        <v>24500</v>
      </c>
      <c r="L1185" s="20">
        <v>28124</v>
      </c>
      <c r="M1185" s="20">
        <v>16000</v>
      </c>
      <c r="N1185" s="164"/>
      <c r="O1185" s="19"/>
      <c r="P1185" s="19"/>
      <c r="Q1185" s="19"/>
      <c r="R1185" s="20"/>
      <c r="S1185" s="20"/>
      <c r="T1185" s="164"/>
      <c r="U1185" s="154">
        <f t="shared" si="70"/>
        <v>24650</v>
      </c>
    </row>
    <row r="1186" spans="2:21" x14ac:dyDescent="0.2">
      <c r="B1186" s="8">
        <f t="shared" si="72"/>
        <v>494</v>
      </c>
      <c r="C1186" s="18"/>
      <c r="D1186" s="18"/>
      <c r="E1186" s="18"/>
      <c r="F1186" s="152"/>
      <c r="G1186" s="153">
        <v>637</v>
      </c>
      <c r="H1186" s="18" t="s">
        <v>132</v>
      </c>
      <c r="I1186" s="19">
        <f>850+80+7000+500+1500+150+10450+1400+650+2000</f>
        <v>24580</v>
      </c>
      <c r="J1186" s="19">
        <v>23210</v>
      </c>
      <c r="K1186" s="19">
        <v>21860</v>
      </c>
      <c r="L1186" s="20">
        <v>12389</v>
      </c>
      <c r="M1186" s="20">
        <f>7692+1481+4629+33</f>
        <v>13835</v>
      </c>
      <c r="N1186" s="164"/>
      <c r="O1186" s="19"/>
      <c r="P1186" s="19"/>
      <c r="Q1186" s="19"/>
      <c r="R1186" s="20"/>
      <c r="S1186" s="20"/>
      <c r="T1186" s="164"/>
      <c r="U1186" s="154">
        <f t="shared" si="70"/>
        <v>24580</v>
      </c>
    </row>
    <row r="1187" spans="2:21" x14ac:dyDescent="0.2">
      <c r="B1187" s="8">
        <f t="shared" si="72"/>
        <v>495</v>
      </c>
      <c r="C1187" s="24"/>
      <c r="D1187" s="24"/>
      <c r="E1187" s="24"/>
      <c r="F1187" s="149" t="s">
        <v>116</v>
      </c>
      <c r="G1187" s="150">
        <v>640</v>
      </c>
      <c r="H1187" s="24" t="s">
        <v>139</v>
      </c>
      <c r="I1187" s="25">
        <f>3590+500+400</f>
        <v>4490</v>
      </c>
      <c r="J1187" s="25">
        <v>7992</v>
      </c>
      <c r="K1187" s="25">
        <v>7992</v>
      </c>
      <c r="L1187" s="26">
        <v>996</v>
      </c>
      <c r="M1187" s="26">
        <v>2869</v>
      </c>
      <c r="N1187" s="501"/>
      <c r="O1187" s="25"/>
      <c r="P1187" s="25"/>
      <c r="Q1187" s="25"/>
      <c r="R1187" s="26"/>
      <c r="S1187" s="26"/>
      <c r="T1187" s="501"/>
      <c r="U1187" s="151">
        <f t="shared" si="70"/>
        <v>4490</v>
      </c>
    </row>
    <row r="1188" spans="2:21" x14ac:dyDescent="0.2">
      <c r="B1188" s="8">
        <f t="shared" si="72"/>
        <v>496</v>
      </c>
      <c r="C1188" s="24"/>
      <c r="D1188" s="24"/>
      <c r="E1188" s="24"/>
      <c r="F1188" s="149"/>
      <c r="G1188" s="150">
        <v>630</v>
      </c>
      <c r="H1188" s="24" t="s">
        <v>534</v>
      </c>
      <c r="I1188" s="25"/>
      <c r="J1188" s="25"/>
      <c r="K1188" s="25">
        <v>14358</v>
      </c>
      <c r="L1188" s="26">
        <v>4151</v>
      </c>
      <c r="M1188" s="26"/>
      <c r="N1188" s="501"/>
      <c r="O1188" s="25"/>
      <c r="P1188" s="25"/>
      <c r="Q1188" s="25"/>
      <c r="R1188" s="26"/>
      <c r="S1188" s="26"/>
      <c r="T1188" s="501"/>
      <c r="U1188" s="151">
        <f t="shared" si="70"/>
        <v>0</v>
      </c>
    </row>
    <row r="1189" spans="2:21" x14ac:dyDescent="0.2">
      <c r="B1189" s="8">
        <f t="shared" si="72"/>
        <v>497</v>
      </c>
      <c r="C1189" s="24"/>
      <c r="D1189" s="24"/>
      <c r="E1189" s="24"/>
      <c r="F1189" s="149"/>
      <c r="G1189" s="150"/>
      <c r="H1189" s="24" t="s">
        <v>814</v>
      </c>
      <c r="I1189" s="25"/>
      <c r="J1189" s="25"/>
      <c r="K1189" s="25"/>
      <c r="L1189" s="26">
        <v>66</v>
      </c>
      <c r="M1189" s="26"/>
      <c r="N1189" s="501"/>
      <c r="O1189" s="25"/>
      <c r="P1189" s="25"/>
      <c r="Q1189" s="25"/>
      <c r="R1189" s="26"/>
      <c r="S1189" s="26"/>
      <c r="T1189" s="501"/>
      <c r="U1189" s="151">
        <f t="shared" si="70"/>
        <v>0</v>
      </c>
    </row>
    <row r="1190" spans="2:21" x14ac:dyDescent="0.2">
      <c r="B1190" s="8">
        <f t="shared" si="72"/>
        <v>498</v>
      </c>
      <c r="C1190" s="24"/>
      <c r="D1190" s="24"/>
      <c r="E1190" s="24"/>
      <c r="F1190" s="149" t="s">
        <v>116</v>
      </c>
      <c r="G1190" s="150">
        <v>710</v>
      </c>
      <c r="H1190" s="24" t="s">
        <v>185</v>
      </c>
      <c r="I1190" s="25"/>
      <c r="J1190" s="25"/>
      <c r="K1190" s="25"/>
      <c r="L1190" s="26"/>
      <c r="M1190" s="26"/>
      <c r="N1190" s="501"/>
      <c r="O1190" s="25">
        <f>O1191</f>
        <v>144000</v>
      </c>
      <c r="P1190" s="25"/>
      <c r="Q1190" s="25">
        <f>Q1191</f>
        <v>30500</v>
      </c>
      <c r="R1190" s="26">
        <f>R1191</f>
        <v>161511</v>
      </c>
      <c r="S1190" s="26">
        <f>S1191</f>
        <v>16742</v>
      </c>
      <c r="T1190" s="501"/>
      <c r="U1190" s="151">
        <f t="shared" si="70"/>
        <v>144000</v>
      </c>
    </row>
    <row r="1191" spans="2:21" x14ac:dyDescent="0.2">
      <c r="B1191" s="8">
        <f t="shared" si="72"/>
        <v>499</v>
      </c>
      <c r="C1191" s="18"/>
      <c r="D1191" s="18"/>
      <c r="E1191" s="18"/>
      <c r="F1191" s="152"/>
      <c r="G1191" s="153">
        <v>717</v>
      </c>
      <c r="H1191" s="18" t="s">
        <v>192</v>
      </c>
      <c r="I1191" s="19"/>
      <c r="J1191" s="19"/>
      <c r="K1191" s="19"/>
      <c r="L1191" s="20"/>
      <c r="M1191" s="20"/>
      <c r="N1191" s="164"/>
      <c r="O1191" s="19">
        <f>SUM(O1193:O1198)</f>
        <v>144000</v>
      </c>
      <c r="P1191" s="19"/>
      <c r="Q1191" s="19">
        <f>Q1192</f>
        <v>30500</v>
      </c>
      <c r="R1191" s="20">
        <f>SUM(R1192:R1198)</f>
        <v>161511</v>
      </c>
      <c r="S1191" s="20">
        <f>SUM(S1192:S1198)</f>
        <v>16742</v>
      </c>
      <c r="T1191" s="164"/>
      <c r="U1191" s="154">
        <f t="shared" si="70"/>
        <v>144000</v>
      </c>
    </row>
    <row r="1192" spans="2:21" s="165" customFormat="1" x14ac:dyDescent="0.2">
      <c r="B1192" s="8">
        <f t="shared" si="72"/>
        <v>500</v>
      </c>
      <c r="C1192" s="156"/>
      <c r="D1192" s="156"/>
      <c r="E1192" s="156"/>
      <c r="F1192" s="272"/>
      <c r="G1192" s="155"/>
      <c r="H1192" s="156" t="s">
        <v>520</v>
      </c>
      <c r="I1192" s="157"/>
      <c r="J1192" s="157"/>
      <c r="K1192" s="157"/>
      <c r="L1192" s="158"/>
      <c r="M1192" s="158"/>
      <c r="N1192" s="535"/>
      <c r="O1192" s="157"/>
      <c r="P1192" s="157"/>
      <c r="Q1192" s="157">
        <f>Q1194</f>
        <v>30500</v>
      </c>
      <c r="R1192" s="158">
        <v>122368</v>
      </c>
      <c r="S1192" s="158"/>
      <c r="T1192" s="535"/>
      <c r="U1192" s="159">
        <f t="shared" si="70"/>
        <v>0</v>
      </c>
    </row>
    <row r="1193" spans="2:21" s="165" customFormat="1" x14ac:dyDescent="0.2">
      <c r="B1193" s="8">
        <f t="shared" si="72"/>
        <v>501</v>
      </c>
      <c r="C1193" s="156"/>
      <c r="D1193" s="156"/>
      <c r="E1193" s="156"/>
      <c r="F1193" s="272"/>
      <c r="G1193" s="155"/>
      <c r="H1193" s="156" t="s">
        <v>732</v>
      </c>
      <c r="I1193" s="157"/>
      <c r="J1193" s="157"/>
      <c r="K1193" s="157"/>
      <c r="L1193" s="158"/>
      <c r="M1193" s="158"/>
      <c r="N1193" s="535"/>
      <c r="O1193" s="157"/>
      <c r="P1193" s="157"/>
      <c r="Q1193" s="157"/>
      <c r="R1193" s="158">
        <v>14143</v>
      </c>
      <c r="S1193" s="158"/>
      <c r="T1193" s="535"/>
      <c r="U1193" s="159">
        <f t="shared" si="70"/>
        <v>0</v>
      </c>
    </row>
    <row r="1194" spans="2:21" s="165" customFormat="1" x14ac:dyDescent="0.2">
      <c r="B1194" s="8">
        <f t="shared" si="72"/>
        <v>502</v>
      </c>
      <c r="C1194" s="156"/>
      <c r="D1194" s="156"/>
      <c r="E1194" s="156"/>
      <c r="F1194" s="272"/>
      <c r="G1194" s="155"/>
      <c r="H1194" s="156" t="s">
        <v>727</v>
      </c>
      <c r="I1194" s="157"/>
      <c r="J1194" s="157"/>
      <c r="K1194" s="157"/>
      <c r="L1194" s="158"/>
      <c r="M1194" s="158"/>
      <c r="N1194" s="535"/>
      <c r="O1194" s="157"/>
      <c r="P1194" s="157"/>
      <c r="Q1194" s="157">
        <v>30500</v>
      </c>
      <c r="R1194" s="158"/>
      <c r="S1194" s="158"/>
      <c r="T1194" s="535"/>
      <c r="U1194" s="159">
        <f t="shared" si="70"/>
        <v>0</v>
      </c>
    </row>
    <row r="1195" spans="2:21" s="165" customFormat="1" x14ac:dyDescent="0.2">
      <c r="B1195" s="8">
        <f t="shared" si="72"/>
        <v>503</v>
      </c>
      <c r="C1195" s="156"/>
      <c r="D1195" s="156"/>
      <c r="E1195" s="156"/>
      <c r="F1195" s="272"/>
      <c r="G1195" s="155"/>
      <c r="H1195" s="156" t="s">
        <v>578</v>
      </c>
      <c r="I1195" s="157"/>
      <c r="J1195" s="157"/>
      <c r="K1195" s="157"/>
      <c r="L1195" s="158"/>
      <c r="M1195" s="158"/>
      <c r="N1195" s="535"/>
      <c r="O1195" s="157">
        <v>65000</v>
      </c>
      <c r="P1195" s="157"/>
      <c r="Q1195" s="157"/>
      <c r="R1195" s="158"/>
      <c r="S1195" s="158"/>
      <c r="T1195" s="535"/>
      <c r="U1195" s="159">
        <f t="shared" si="70"/>
        <v>65000</v>
      </c>
    </row>
    <row r="1196" spans="2:21" s="165" customFormat="1" x14ac:dyDescent="0.2">
      <c r="B1196" s="8">
        <f t="shared" si="72"/>
        <v>504</v>
      </c>
      <c r="C1196" s="156"/>
      <c r="D1196" s="156"/>
      <c r="E1196" s="156"/>
      <c r="F1196" s="272"/>
      <c r="G1196" s="155"/>
      <c r="H1196" s="156" t="s">
        <v>1169</v>
      </c>
      <c r="I1196" s="157"/>
      <c r="J1196" s="157"/>
      <c r="K1196" s="157"/>
      <c r="L1196" s="158"/>
      <c r="M1196" s="158"/>
      <c r="N1196" s="535"/>
      <c r="O1196" s="157">
        <v>52000</v>
      </c>
      <c r="P1196" s="157"/>
      <c r="Q1196" s="157"/>
      <c r="R1196" s="158"/>
      <c r="S1196" s="158"/>
      <c r="T1196" s="535"/>
      <c r="U1196" s="159">
        <f t="shared" si="70"/>
        <v>52000</v>
      </c>
    </row>
    <row r="1197" spans="2:21" s="165" customFormat="1" x14ac:dyDescent="0.2">
      <c r="B1197" s="8">
        <f t="shared" si="72"/>
        <v>505</v>
      </c>
      <c r="C1197" s="156"/>
      <c r="D1197" s="156"/>
      <c r="E1197" s="156"/>
      <c r="F1197" s="272"/>
      <c r="G1197" s="155"/>
      <c r="H1197" s="156" t="s">
        <v>1174</v>
      </c>
      <c r="I1197" s="157"/>
      <c r="J1197" s="157"/>
      <c r="K1197" s="157"/>
      <c r="L1197" s="158"/>
      <c r="M1197" s="158"/>
      <c r="N1197" s="535"/>
      <c r="O1197" s="157">
        <v>27000</v>
      </c>
      <c r="P1197" s="157"/>
      <c r="Q1197" s="157"/>
      <c r="R1197" s="158"/>
      <c r="S1197" s="158"/>
      <c r="T1197" s="535"/>
      <c r="U1197" s="159">
        <f t="shared" si="70"/>
        <v>27000</v>
      </c>
    </row>
    <row r="1198" spans="2:21" s="165" customFormat="1" x14ac:dyDescent="0.2">
      <c r="B1198" s="8">
        <f t="shared" si="72"/>
        <v>506</v>
      </c>
      <c r="C1198" s="156"/>
      <c r="D1198" s="156"/>
      <c r="E1198" s="156"/>
      <c r="F1198" s="272"/>
      <c r="G1198" s="155"/>
      <c r="H1198" s="156" t="s">
        <v>516</v>
      </c>
      <c r="I1198" s="157"/>
      <c r="J1198" s="157"/>
      <c r="K1198" s="157"/>
      <c r="L1198" s="158"/>
      <c r="M1198" s="158"/>
      <c r="N1198" s="535"/>
      <c r="O1198" s="157"/>
      <c r="P1198" s="157"/>
      <c r="Q1198" s="157"/>
      <c r="R1198" s="158">
        <v>25000</v>
      </c>
      <c r="S1198" s="158">
        <v>16742</v>
      </c>
      <c r="T1198" s="535"/>
      <c r="U1198" s="159">
        <f t="shared" si="70"/>
        <v>0</v>
      </c>
    </row>
    <row r="1199" spans="2:21" ht="15.75" x14ac:dyDescent="0.25">
      <c r="B1199" s="8">
        <f t="shared" si="72"/>
        <v>507</v>
      </c>
      <c r="C1199" s="141">
        <v>3</v>
      </c>
      <c r="D1199" s="677" t="s">
        <v>169</v>
      </c>
      <c r="E1199" s="678"/>
      <c r="F1199" s="678"/>
      <c r="G1199" s="678"/>
      <c r="H1199" s="678"/>
      <c r="I1199" s="142">
        <f>I1200+I1211+I1226+I1244+I1253+I1262+I1271+I1280+I1289+I1298+I1307+I1235</f>
        <v>5561741</v>
      </c>
      <c r="J1199" s="142">
        <f>J1200+J1211+J1226+J1244+J1253+J1262+J1271+J1280+J1289+J1298+J1307+J1235</f>
        <v>4721894</v>
      </c>
      <c r="K1199" s="142">
        <f>K1200+K1211+K1226+K1244+K1253+K1262+K1271+K1280+K1289+K1298+K1307+K1235</f>
        <v>4868638</v>
      </c>
      <c r="L1199" s="143">
        <f>L1200+L1211+L1226+L1244+L1253+L1262+L1271+L1280+L1289+L1298+L1307+L1235</f>
        <v>4071522</v>
      </c>
      <c r="M1199" s="143">
        <f>M1200+M1211+M1226+M1244+M1253+M1262+M1271+M1280+M1289+M1298+M1307+M1235</f>
        <v>3505291</v>
      </c>
      <c r="N1199" s="533"/>
      <c r="O1199" s="142">
        <f>O1307</f>
        <v>60000</v>
      </c>
      <c r="P1199" s="142"/>
      <c r="Q1199" s="142">
        <f>Q1211+Q1226+Q1235+Q1244+Q1253+Q1262+Q1271+Q1280+Q1289+Q1298+Q1307</f>
        <v>5800</v>
      </c>
      <c r="R1199" s="143">
        <f>R1211+R1307</f>
        <v>42889</v>
      </c>
      <c r="S1199" s="143"/>
      <c r="T1199" s="533"/>
      <c r="U1199" s="144">
        <f t="shared" si="70"/>
        <v>5621741</v>
      </c>
    </row>
    <row r="1200" spans="2:21" x14ac:dyDescent="0.2">
      <c r="B1200" s="8">
        <f t="shared" si="72"/>
        <v>508</v>
      </c>
      <c r="C1200" s="24"/>
      <c r="D1200" s="24"/>
      <c r="E1200" s="24"/>
      <c r="F1200" s="149" t="s">
        <v>168</v>
      </c>
      <c r="G1200" s="150">
        <v>640</v>
      </c>
      <c r="H1200" s="24" t="s">
        <v>139</v>
      </c>
      <c r="I1200" s="25">
        <f>SUM(I1201:I1210)</f>
        <v>1223739</v>
      </c>
      <c r="J1200" s="25">
        <f>SUM(J1201:J1210)</f>
        <v>1102904</v>
      </c>
      <c r="K1200" s="25">
        <f>SUM(K1201:K1210)</f>
        <v>1219627</v>
      </c>
      <c r="L1200" s="26">
        <f>SUM(L1201:L1210)</f>
        <v>887250</v>
      </c>
      <c r="M1200" s="26">
        <f>SUM(M1201:M1210)</f>
        <v>663938</v>
      </c>
      <c r="N1200" s="501"/>
      <c r="O1200" s="25"/>
      <c r="P1200" s="25"/>
      <c r="Q1200" s="25"/>
      <c r="R1200" s="26"/>
      <c r="S1200" s="26"/>
      <c r="T1200" s="501"/>
      <c r="U1200" s="151">
        <f t="shared" si="70"/>
        <v>1223739</v>
      </c>
    </row>
    <row r="1201" spans="2:21" x14ac:dyDescent="0.2">
      <c r="B1201" s="8">
        <f t="shared" si="72"/>
        <v>509</v>
      </c>
      <c r="C1201" s="120"/>
      <c r="D1201" s="120"/>
      <c r="E1201" s="120"/>
      <c r="F1201" s="155"/>
      <c r="G1201" s="155"/>
      <c r="H1201" s="156" t="s">
        <v>613</v>
      </c>
      <c r="I1201" s="157">
        <v>9438</v>
      </c>
      <c r="J1201" s="157">
        <v>8228</v>
      </c>
      <c r="K1201" s="157">
        <v>8019</v>
      </c>
      <c r="L1201" s="158">
        <v>6002</v>
      </c>
      <c r="M1201" s="158">
        <v>6136</v>
      </c>
      <c r="N1201" s="535"/>
      <c r="O1201" s="157"/>
      <c r="P1201" s="157"/>
      <c r="Q1201" s="157"/>
      <c r="R1201" s="158"/>
      <c r="S1201" s="158"/>
      <c r="T1201" s="535"/>
      <c r="U1201" s="159">
        <f t="shared" ref="U1201:U1264" si="73">I1201+O1201</f>
        <v>9438</v>
      </c>
    </row>
    <row r="1202" spans="2:21" x14ac:dyDescent="0.2">
      <c r="B1202" s="8">
        <f t="shared" si="72"/>
        <v>510</v>
      </c>
      <c r="C1202" s="120"/>
      <c r="D1202" s="120"/>
      <c r="E1202" s="120"/>
      <c r="F1202" s="155"/>
      <c r="G1202" s="155"/>
      <c r="H1202" s="156" t="s">
        <v>614</v>
      </c>
      <c r="I1202" s="157">
        <v>51480</v>
      </c>
      <c r="J1202" s="157">
        <v>50820</v>
      </c>
      <c r="K1202" s="157">
        <v>49530</v>
      </c>
      <c r="L1202" s="158">
        <v>41227</v>
      </c>
      <c r="M1202" s="158">
        <v>33470</v>
      </c>
      <c r="N1202" s="535"/>
      <c r="O1202" s="157"/>
      <c r="P1202" s="157"/>
      <c r="Q1202" s="157"/>
      <c r="R1202" s="158"/>
      <c r="S1202" s="158"/>
      <c r="T1202" s="535"/>
      <c r="U1202" s="159">
        <f t="shared" si="73"/>
        <v>51480</v>
      </c>
    </row>
    <row r="1203" spans="2:21" x14ac:dyDescent="0.2">
      <c r="B1203" s="8">
        <f t="shared" si="72"/>
        <v>511</v>
      </c>
      <c r="C1203" s="120"/>
      <c r="D1203" s="120"/>
      <c r="E1203" s="120"/>
      <c r="F1203" s="155"/>
      <c r="G1203" s="155"/>
      <c r="H1203" s="156" t="s">
        <v>615</v>
      </c>
      <c r="I1203" s="157">
        <v>0</v>
      </c>
      <c r="J1203" s="157">
        <v>3267</v>
      </c>
      <c r="K1203" s="157">
        <v>3184</v>
      </c>
      <c r="L1203" s="158">
        <v>4335</v>
      </c>
      <c r="M1203" s="158">
        <v>3159</v>
      </c>
      <c r="N1203" s="535"/>
      <c r="O1203" s="157"/>
      <c r="P1203" s="157"/>
      <c r="Q1203" s="157"/>
      <c r="R1203" s="158"/>
      <c r="S1203" s="158"/>
      <c r="T1203" s="535"/>
      <c r="U1203" s="159">
        <f t="shared" si="73"/>
        <v>0</v>
      </c>
    </row>
    <row r="1204" spans="2:21" x14ac:dyDescent="0.2">
      <c r="B1204" s="8">
        <f t="shared" si="72"/>
        <v>512</v>
      </c>
      <c r="C1204" s="120"/>
      <c r="D1204" s="120"/>
      <c r="E1204" s="120"/>
      <c r="F1204" s="155"/>
      <c r="G1204" s="155"/>
      <c r="H1204" s="156" t="s">
        <v>616</v>
      </c>
      <c r="I1204" s="157">
        <v>71280</v>
      </c>
      <c r="J1204" s="157">
        <v>68640</v>
      </c>
      <c r="K1204" s="157">
        <v>66897</v>
      </c>
      <c r="L1204" s="158">
        <v>60021</v>
      </c>
      <c r="M1204" s="158">
        <v>45282</v>
      </c>
      <c r="N1204" s="535"/>
      <c r="O1204" s="157"/>
      <c r="P1204" s="157"/>
      <c r="Q1204" s="157"/>
      <c r="R1204" s="158"/>
      <c r="S1204" s="158"/>
      <c r="T1204" s="535"/>
      <c r="U1204" s="159">
        <f t="shared" si="73"/>
        <v>71280</v>
      </c>
    </row>
    <row r="1205" spans="2:21" x14ac:dyDescent="0.2">
      <c r="B1205" s="8">
        <f t="shared" si="72"/>
        <v>513</v>
      </c>
      <c r="C1205" s="120"/>
      <c r="D1205" s="120"/>
      <c r="E1205" s="120"/>
      <c r="F1205" s="155"/>
      <c r="G1205" s="155"/>
      <c r="H1205" s="156" t="s">
        <v>617</v>
      </c>
      <c r="I1205" s="157">
        <v>246675</v>
      </c>
      <c r="J1205" s="157">
        <v>246741</v>
      </c>
      <c r="K1205" s="157">
        <v>240476</v>
      </c>
      <c r="L1205" s="158">
        <v>201768</v>
      </c>
      <c r="M1205" s="158">
        <v>154697</v>
      </c>
      <c r="N1205" s="535"/>
      <c r="O1205" s="157"/>
      <c r="P1205" s="157"/>
      <c r="Q1205" s="157"/>
      <c r="R1205" s="158"/>
      <c r="S1205" s="158"/>
      <c r="T1205" s="535"/>
      <c r="U1205" s="159">
        <f t="shared" si="73"/>
        <v>246675</v>
      </c>
    </row>
    <row r="1206" spans="2:21" x14ac:dyDescent="0.2">
      <c r="B1206" s="8">
        <f t="shared" ref="B1206:B1249" si="74">B1205+1</f>
        <v>514</v>
      </c>
      <c r="C1206" s="120"/>
      <c r="D1206" s="120"/>
      <c r="E1206" s="120"/>
      <c r="F1206" s="155"/>
      <c r="G1206" s="155"/>
      <c r="H1206" s="156" t="s">
        <v>618</v>
      </c>
      <c r="I1206" s="157">
        <v>725835</v>
      </c>
      <c r="J1206" s="157">
        <v>603372</v>
      </c>
      <c r="K1206" s="157">
        <v>588050</v>
      </c>
      <c r="L1206" s="158">
        <v>485350</v>
      </c>
      <c r="M1206" s="158">
        <v>385633</v>
      </c>
      <c r="N1206" s="535"/>
      <c r="O1206" s="157"/>
      <c r="P1206" s="157"/>
      <c r="Q1206" s="157"/>
      <c r="R1206" s="158"/>
      <c r="S1206" s="158"/>
      <c r="T1206" s="535"/>
      <c r="U1206" s="159">
        <f t="shared" si="73"/>
        <v>725835</v>
      </c>
    </row>
    <row r="1207" spans="2:21" x14ac:dyDescent="0.2">
      <c r="B1207" s="8">
        <f t="shared" si="74"/>
        <v>515</v>
      </c>
      <c r="C1207" s="120"/>
      <c r="D1207" s="120"/>
      <c r="E1207" s="120"/>
      <c r="F1207" s="155"/>
      <c r="G1207" s="155"/>
      <c r="H1207" s="156" t="s">
        <v>940</v>
      </c>
      <c r="I1207" s="157">
        <v>0</v>
      </c>
      <c r="J1207" s="157"/>
      <c r="K1207" s="157">
        <v>144729</v>
      </c>
      <c r="L1207" s="158"/>
      <c r="M1207" s="158"/>
      <c r="N1207" s="535"/>
      <c r="O1207" s="157"/>
      <c r="P1207" s="157"/>
      <c r="Q1207" s="157"/>
      <c r="R1207" s="158"/>
      <c r="S1207" s="158"/>
      <c r="T1207" s="535"/>
      <c r="U1207" s="159">
        <f t="shared" si="73"/>
        <v>0</v>
      </c>
    </row>
    <row r="1208" spans="2:21" x14ac:dyDescent="0.2">
      <c r="B1208" s="8">
        <f t="shared" si="74"/>
        <v>516</v>
      </c>
      <c r="C1208" s="120"/>
      <c r="D1208" s="120"/>
      <c r="E1208" s="120"/>
      <c r="F1208" s="155"/>
      <c r="G1208" s="155"/>
      <c r="H1208" s="156" t="s">
        <v>619</v>
      </c>
      <c r="I1208" s="157">
        <v>29271</v>
      </c>
      <c r="J1208" s="157">
        <v>33000</v>
      </c>
      <c r="K1208" s="157">
        <v>32162</v>
      </c>
      <c r="L1208" s="158">
        <v>29859</v>
      </c>
      <c r="M1208" s="158">
        <v>28178</v>
      </c>
      <c r="N1208" s="535"/>
      <c r="O1208" s="157"/>
      <c r="P1208" s="157"/>
      <c r="Q1208" s="157"/>
      <c r="R1208" s="158"/>
      <c r="S1208" s="158"/>
      <c r="T1208" s="535"/>
      <c r="U1208" s="159">
        <f t="shared" si="73"/>
        <v>29271</v>
      </c>
    </row>
    <row r="1209" spans="2:21" x14ac:dyDescent="0.2">
      <c r="B1209" s="8">
        <f t="shared" si="74"/>
        <v>517</v>
      </c>
      <c r="C1209" s="120"/>
      <c r="D1209" s="120"/>
      <c r="E1209" s="120"/>
      <c r="F1209" s="155"/>
      <c r="G1209" s="155"/>
      <c r="H1209" s="156" t="s">
        <v>394</v>
      </c>
      <c r="I1209" s="157">
        <v>15840</v>
      </c>
      <c r="J1209" s="157">
        <v>16500</v>
      </c>
      <c r="K1209" s="157">
        <v>16081</v>
      </c>
      <c r="L1209" s="158">
        <v>12126</v>
      </c>
      <c r="M1209" s="158">
        <v>7383</v>
      </c>
      <c r="N1209" s="535"/>
      <c r="O1209" s="157"/>
      <c r="P1209" s="157"/>
      <c r="Q1209" s="157"/>
      <c r="R1209" s="158"/>
      <c r="S1209" s="158"/>
      <c r="T1209" s="535"/>
      <c r="U1209" s="159">
        <f t="shared" si="73"/>
        <v>15840</v>
      </c>
    </row>
    <row r="1210" spans="2:21" x14ac:dyDescent="0.2">
      <c r="B1210" s="8">
        <f t="shared" si="74"/>
        <v>518</v>
      </c>
      <c r="C1210" s="120"/>
      <c r="D1210" s="120"/>
      <c r="E1210" s="120"/>
      <c r="F1210" s="155"/>
      <c r="G1210" s="155"/>
      <c r="H1210" s="156" t="s">
        <v>627</v>
      </c>
      <c r="I1210" s="157">
        <v>73920</v>
      </c>
      <c r="J1210" s="157">
        <v>72336</v>
      </c>
      <c r="K1210" s="157">
        <v>70499</v>
      </c>
      <c r="L1210" s="158">
        <v>46562</v>
      </c>
      <c r="M1210" s="158"/>
      <c r="N1210" s="535"/>
      <c r="O1210" s="157"/>
      <c r="P1210" s="157"/>
      <c r="Q1210" s="157"/>
      <c r="R1210" s="158"/>
      <c r="S1210" s="158"/>
      <c r="T1210" s="535"/>
      <c r="U1210" s="159">
        <f t="shared" si="73"/>
        <v>73920</v>
      </c>
    </row>
    <row r="1211" spans="2:21" ht="14.25" x14ac:dyDescent="0.2">
      <c r="B1211" s="8">
        <f t="shared" si="74"/>
        <v>519</v>
      </c>
      <c r="C1211" s="267"/>
      <c r="D1211" s="267"/>
      <c r="E1211" s="267">
        <v>1</v>
      </c>
      <c r="F1211" s="268"/>
      <c r="G1211" s="268"/>
      <c r="H1211" s="267" t="s">
        <v>53</v>
      </c>
      <c r="I1211" s="269">
        <f>I1212+I1213+I1214+I1222</f>
        <v>328133</v>
      </c>
      <c r="J1211" s="269">
        <f>J1212+J1213+J1214+J1222</f>
        <v>287563</v>
      </c>
      <c r="K1211" s="269">
        <f>K1212+K1213+K1214+K1222</f>
        <v>295827</v>
      </c>
      <c r="L1211" s="270">
        <f>L1212+L1213+L1214+L1222</f>
        <v>246763</v>
      </c>
      <c r="M1211" s="270">
        <f>M1212+M1213+M1214+M1222</f>
        <v>221851</v>
      </c>
      <c r="N1211" s="534"/>
      <c r="O1211" s="269"/>
      <c r="P1211" s="269"/>
      <c r="Q1211" s="269"/>
      <c r="R1211" s="270">
        <f>R1223</f>
        <v>31000</v>
      </c>
      <c r="S1211" s="270"/>
      <c r="T1211" s="534"/>
      <c r="U1211" s="271">
        <f t="shared" si="73"/>
        <v>328133</v>
      </c>
    </row>
    <row r="1212" spans="2:21" x14ac:dyDescent="0.2">
      <c r="B1212" s="8">
        <f t="shared" si="74"/>
        <v>520</v>
      </c>
      <c r="C1212" s="24"/>
      <c r="D1212" s="24"/>
      <c r="E1212" s="24"/>
      <c r="F1212" s="149" t="s">
        <v>168</v>
      </c>
      <c r="G1212" s="150">
        <v>610</v>
      </c>
      <c r="H1212" s="24" t="s">
        <v>141</v>
      </c>
      <c r="I1212" s="25">
        <f>115850+19800+14000+3300+24850</f>
        <v>177800</v>
      </c>
      <c r="J1212" s="25">
        <v>153420</v>
      </c>
      <c r="K1212" s="25">
        <v>153420</v>
      </c>
      <c r="L1212" s="26">
        <v>129814</v>
      </c>
      <c r="M1212" s="26">
        <v>119704</v>
      </c>
      <c r="N1212" s="501"/>
      <c r="O1212" s="25"/>
      <c r="P1212" s="25"/>
      <c r="Q1212" s="25"/>
      <c r="R1212" s="26"/>
      <c r="S1212" s="26"/>
      <c r="T1212" s="501"/>
      <c r="U1212" s="151">
        <f t="shared" si="73"/>
        <v>177800</v>
      </c>
    </row>
    <row r="1213" spans="2:21" x14ac:dyDescent="0.2">
      <c r="B1213" s="8">
        <f t="shared" si="74"/>
        <v>521</v>
      </c>
      <c r="C1213" s="24"/>
      <c r="D1213" s="24"/>
      <c r="E1213" s="24"/>
      <c r="F1213" s="149" t="s">
        <v>168</v>
      </c>
      <c r="G1213" s="150">
        <v>620</v>
      </c>
      <c r="H1213" s="24" t="s">
        <v>134</v>
      </c>
      <c r="I1213" s="25">
        <f>8230+10000+2970+26210+3180+5290+1770+8495</f>
        <v>66145</v>
      </c>
      <c r="J1213" s="25">
        <v>57150</v>
      </c>
      <c r="K1213" s="25">
        <v>57367</v>
      </c>
      <c r="L1213" s="26">
        <v>46805</v>
      </c>
      <c r="M1213" s="26">
        <v>42454</v>
      </c>
      <c r="N1213" s="501"/>
      <c r="O1213" s="25"/>
      <c r="P1213" s="25"/>
      <c r="Q1213" s="25"/>
      <c r="R1213" s="26"/>
      <c r="S1213" s="26"/>
      <c r="T1213" s="501"/>
      <c r="U1213" s="151">
        <f t="shared" si="73"/>
        <v>66145</v>
      </c>
    </row>
    <row r="1214" spans="2:21" x14ac:dyDescent="0.2">
      <c r="B1214" s="8">
        <f t="shared" si="74"/>
        <v>522</v>
      </c>
      <c r="C1214" s="24"/>
      <c r="D1214" s="24"/>
      <c r="E1214" s="24"/>
      <c r="F1214" s="149" t="s">
        <v>168</v>
      </c>
      <c r="G1214" s="150">
        <v>630</v>
      </c>
      <c r="H1214" s="24" t="s">
        <v>131</v>
      </c>
      <c r="I1214" s="25">
        <f>I1221+I1220+I1219+I1218+I1217+I1216+I1215</f>
        <v>83588</v>
      </c>
      <c r="J1214" s="25">
        <f>J1221+J1220+J1219+J1218+J1217+J1216+J1215</f>
        <v>76393</v>
      </c>
      <c r="K1214" s="25">
        <f>K1221+K1220+K1219+K1218+K1217+K1216+K1215</f>
        <v>84440</v>
      </c>
      <c r="L1214" s="26">
        <f>L1221+L1220+L1219+L1218+L1217+L1216+L1215</f>
        <v>69105</v>
      </c>
      <c r="M1214" s="26">
        <f>M1221+M1220+M1219+M1218+M1217+M1216+M1215</f>
        <v>58869</v>
      </c>
      <c r="N1214" s="501"/>
      <c r="O1214" s="25"/>
      <c r="P1214" s="25"/>
      <c r="Q1214" s="25"/>
      <c r="R1214" s="26"/>
      <c r="S1214" s="26"/>
      <c r="T1214" s="501"/>
      <c r="U1214" s="151">
        <f t="shared" si="73"/>
        <v>83588</v>
      </c>
    </row>
    <row r="1215" spans="2:21" x14ac:dyDescent="0.2">
      <c r="B1215" s="8">
        <f t="shared" si="74"/>
        <v>523</v>
      </c>
      <c r="C1215" s="18"/>
      <c r="D1215" s="18"/>
      <c r="E1215" s="18"/>
      <c r="F1215" s="152"/>
      <c r="G1215" s="153">
        <v>631</v>
      </c>
      <c r="H1215" s="18" t="s">
        <v>137</v>
      </c>
      <c r="I1215" s="19">
        <v>200</v>
      </c>
      <c r="J1215" s="19">
        <v>200</v>
      </c>
      <c r="K1215" s="19">
        <v>200</v>
      </c>
      <c r="L1215" s="20">
        <v>137</v>
      </c>
      <c r="M1215" s="20">
        <v>11</v>
      </c>
      <c r="N1215" s="164"/>
      <c r="O1215" s="19"/>
      <c r="P1215" s="19"/>
      <c r="Q1215" s="19"/>
      <c r="R1215" s="20"/>
      <c r="S1215" s="20"/>
      <c r="T1215" s="164"/>
      <c r="U1215" s="154">
        <f t="shared" si="73"/>
        <v>200</v>
      </c>
    </row>
    <row r="1216" spans="2:21" x14ac:dyDescent="0.2">
      <c r="B1216" s="8">
        <f t="shared" si="74"/>
        <v>524</v>
      </c>
      <c r="C1216" s="18"/>
      <c r="D1216" s="18"/>
      <c r="E1216" s="18"/>
      <c r="F1216" s="152"/>
      <c r="G1216" s="153">
        <v>632</v>
      </c>
      <c r="H1216" s="18" t="s">
        <v>144</v>
      </c>
      <c r="I1216" s="19">
        <f>9500+1500+1000</f>
        <v>12000</v>
      </c>
      <c r="J1216" s="19">
        <v>11100</v>
      </c>
      <c r="K1216" s="19">
        <v>9600</v>
      </c>
      <c r="L1216" s="20">
        <v>8096</v>
      </c>
      <c r="M1216" s="20">
        <v>6668</v>
      </c>
      <c r="N1216" s="164"/>
      <c r="O1216" s="19"/>
      <c r="P1216" s="19"/>
      <c r="Q1216" s="19"/>
      <c r="R1216" s="20"/>
      <c r="S1216" s="20"/>
      <c r="T1216" s="164"/>
      <c r="U1216" s="154">
        <f t="shared" si="73"/>
        <v>12000</v>
      </c>
    </row>
    <row r="1217" spans="2:21" x14ac:dyDescent="0.2">
      <c r="B1217" s="8">
        <f t="shared" si="74"/>
        <v>525</v>
      </c>
      <c r="C1217" s="18"/>
      <c r="D1217" s="18"/>
      <c r="E1217" s="18"/>
      <c r="F1217" s="152"/>
      <c r="G1217" s="153">
        <v>633</v>
      </c>
      <c r="H1217" s="18" t="s">
        <v>135</v>
      </c>
      <c r="I1217" s="19">
        <f>4000+2000+800+5000+3000+1000+500-2200</f>
        <v>14100</v>
      </c>
      <c r="J1217" s="19">
        <v>13800</v>
      </c>
      <c r="K1217" s="19">
        <v>17024</v>
      </c>
      <c r="L1217" s="20">
        <v>15178</v>
      </c>
      <c r="M1217" s="20">
        <v>21878</v>
      </c>
      <c r="N1217" s="164"/>
      <c r="O1217" s="19"/>
      <c r="P1217" s="19"/>
      <c r="Q1217" s="19"/>
      <c r="R1217" s="20"/>
      <c r="S1217" s="20"/>
      <c r="T1217" s="164"/>
      <c r="U1217" s="154">
        <f t="shared" si="73"/>
        <v>14100</v>
      </c>
    </row>
    <row r="1218" spans="2:21" x14ac:dyDescent="0.2">
      <c r="B1218" s="8">
        <f t="shared" si="74"/>
        <v>526</v>
      </c>
      <c r="C1218" s="18"/>
      <c r="D1218" s="18"/>
      <c r="E1218" s="18"/>
      <c r="F1218" s="152"/>
      <c r="G1218" s="153">
        <v>634</v>
      </c>
      <c r="H1218" s="18" t="s">
        <v>142</v>
      </c>
      <c r="I1218" s="19">
        <v>100</v>
      </c>
      <c r="J1218" s="19">
        <v>100</v>
      </c>
      <c r="K1218" s="19">
        <v>100</v>
      </c>
      <c r="L1218" s="20">
        <v>51</v>
      </c>
      <c r="M1218" s="20">
        <v>29</v>
      </c>
      <c r="N1218" s="164"/>
      <c r="O1218" s="19"/>
      <c r="P1218" s="19"/>
      <c r="Q1218" s="19"/>
      <c r="R1218" s="20"/>
      <c r="S1218" s="20"/>
      <c r="T1218" s="164"/>
      <c r="U1218" s="154">
        <f t="shared" si="73"/>
        <v>100</v>
      </c>
    </row>
    <row r="1219" spans="2:21" x14ac:dyDescent="0.2">
      <c r="B1219" s="8">
        <f t="shared" si="74"/>
        <v>527</v>
      </c>
      <c r="C1219" s="18"/>
      <c r="D1219" s="18"/>
      <c r="E1219" s="18"/>
      <c r="F1219" s="152"/>
      <c r="G1219" s="153">
        <v>635</v>
      </c>
      <c r="H1219" s="18" t="s">
        <v>143</v>
      </c>
      <c r="I1219" s="19">
        <f>2000+500+2000</f>
        <v>4500</v>
      </c>
      <c r="J1219" s="19">
        <v>3800</v>
      </c>
      <c r="K1219" s="19">
        <v>5300</v>
      </c>
      <c r="L1219" s="20">
        <v>4553</v>
      </c>
      <c r="M1219" s="20">
        <v>2035</v>
      </c>
      <c r="N1219" s="164"/>
      <c r="O1219" s="19"/>
      <c r="P1219" s="19"/>
      <c r="Q1219" s="19"/>
      <c r="R1219" s="20"/>
      <c r="S1219" s="20"/>
      <c r="T1219" s="164"/>
      <c r="U1219" s="154">
        <f t="shared" si="73"/>
        <v>4500</v>
      </c>
    </row>
    <row r="1220" spans="2:21" x14ac:dyDescent="0.2">
      <c r="B1220" s="8">
        <f t="shared" si="74"/>
        <v>528</v>
      </c>
      <c r="C1220" s="18"/>
      <c r="D1220" s="18"/>
      <c r="E1220" s="18"/>
      <c r="F1220" s="152"/>
      <c r="G1220" s="153">
        <v>636</v>
      </c>
      <c r="H1220" s="18" t="s">
        <v>136</v>
      </c>
      <c r="I1220" s="19">
        <f>500+1500</f>
        <v>2000</v>
      </c>
      <c r="J1220" s="19">
        <v>2000</v>
      </c>
      <c r="K1220" s="19">
        <v>2000</v>
      </c>
      <c r="L1220" s="20">
        <v>1340</v>
      </c>
      <c r="M1220" s="20">
        <v>781</v>
      </c>
      <c r="N1220" s="164"/>
      <c r="O1220" s="19"/>
      <c r="P1220" s="19"/>
      <c r="Q1220" s="19"/>
      <c r="R1220" s="20"/>
      <c r="S1220" s="20"/>
      <c r="T1220" s="164"/>
      <c r="U1220" s="154">
        <f t="shared" si="73"/>
        <v>2000</v>
      </c>
    </row>
    <row r="1221" spans="2:21" x14ac:dyDescent="0.2">
      <c r="B1221" s="8">
        <f t="shared" si="74"/>
        <v>529</v>
      </c>
      <c r="C1221" s="18"/>
      <c r="D1221" s="18"/>
      <c r="E1221" s="18"/>
      <c r="F1221" s="152"/>
      <c r="G1221" s="153">
        <v>637</v>
      </c>
      <c r="H1221" s="18" t="s">
        <v>132</v>
      </c>
      <c r="I1221" s="19">
        <f>1000+27000+200+4000+2888+600+5000+200+1500+10000+500-2200</f>
        <v>50688</v>
      </c>
      <c r="J1221" s="19">
        <v>45393</v>
      </c>
      <c r="K1221" s="19">
        <v>50216</v>
      </c>
      <c r="L1221" s="20">
        <v>39750</v>
      </c>
      <c r="M1221" s="20">
        <f>26845+622</f>
        <v>27467</v>
      </c>
      <c r="N1221" s="164"/>
      <c r="O1221" s="19"/>
      <c r="P1221" s="19"/>
      <c r="Q1221" s="19"/>
      <c r="R1221" s="20"/>
      <c r="S1221" s="20"/>
      <c r="T1221" s="164"/>
      <c r="U1221" s="154">
        <f t="shared" si="73"/>
        <v>50688</v>
      </c>
    </row>
    <row r="1222" spans="2:21" x14ac:dyDescent="0.2">
      <c r="B1222" s="8">
        <f t="shared" si="74"/>
        <v>530</v>
      </c>
      <c r="C1222" s="24"/>
      <c r="D1222" s="24"/>
      <c r="E1222" s="24"/>
      <c r="F1222" s="149" t="s">
        <v>168</v>
      </c>
      <c r="G1222" s="150">
        <v>640</v>
      </c>
      <c r="H1222" s="24" t="s">
        <v>139</v>
      </c>
      <c r="I1222" s="25">
        <v>600</v>
      </c>
      <c r="J1222" s="25">
        <v>600</v>
      </c>
      <c r="K1222" s="25">
        <v>600</v>
      </c>
      <c r="L1222" s="26">
        <v>1039</v>
      </c>
      <c r="M1222" s="26">
        <v>824</v>
      </c>
      <c r="N1222" s="501"/>
      <c r="O1222" s="25"/>
      <c r="P1222" s="25"/>
      <c r="Q1222" s="25"/>
      <c r="R1222" s="26"/>
      <c r="S1222" s="26"/>
      <c r="T1222" s="501"/>
      <c r="U1222" s="151">
        <f t="shared" si="73"/>
        <v>600</v>
      </c>
    </row>
    <row r="1223" spans="2:21" x14ac:dyDescent="0.2">
      <c r="B1223" s="8">
        <f t="shared" si="74"/>
        <v>531</v>
      </c>
      <c r="C1223" s="24"/>
      <c r="D1223" s="24"/>
      <c r="E1223" s="24"/>
      <c r="F1223" s="149" t="s">
        <v>168</v>
      </c>
      <c r="G1223" s="150">
        <v>710</v>
      </c>
      <c r="H1223" s="24" t="s">
        <v>185</v>
      </c>
      <c r="I1223" s="25"/>
      <c r="J1223" s="25"/>
      <c r="K1223" s="25"/>
      <c r="L1223" s="26"/>
      <c r="M1223" s="26"/>
      <c r="N1223" s="501"/>
      <c r="O1223" s="25"/>
      <c r="P1223" s="25"/>
      <c r="Q1223" s="25"/>
      <c r="R1223" s="26">
        <f>R1224</f>
        <v>31000</v>
      </c>
      <c r="S1223" s="26"/>
      <c r="T1223" s="501"/>
      <c r="U1223" s="151">
        <f t="shared" si="73"/>
        <v>0</v>
      </c>
    </row>
    <row r="1224" spans="2:21" x14ac:dyDescent="0.2">
      <c r="B1224" s="8">
        <f t="shared" si="74"/>
        <v>532</v>
      </c>
      <c r="C1224" s="18"/>
      <c r="D1224" s="18"/>
      <c r="E1224" s="18"/>
      <c r="F1224" s="152"/>
      <c r="G1224" s="153">
        <v>717</v>
      </c>
      <c r="H1224" s="18" t="s">
        <v>192</v>
      </c>
      <c r="I1224" s="19"/>
      <c r="J1224" s="19"/>
      <c r="K1224" s="19"/>
      <c r="L1224" s="20"/>
      <c r="M1224" s="20"/>
      <c r="N1224" s="164"/>
      <c r="O1224" s="19"/>
      <c r="P1224" s="19"/>
      <c r="Q1224" s="19"/>
      <c r="R1224" s="20">
        <f>R1225</f>
        <v>31000</v>
      </c>
      <c r="S1224" s="20"/>
      <c r="T1224" s="164"/>
      <c r="U1224" s="154">
        <f t="shared" si="73"/>
        <v>0</v>
      </c>
    </row>
    <row r="1225" spans="2:21" s="165" customFormat="1" x14ac:dyDescent="0.2">
      <c r="B1225" s="8">
        <f t="shared" si="74"/>
        <v>533</v>
      </c>
      <c r="C1225" s="156"/>
      <c r="D1225" s="156"/>
      <c r="E1225" s="156"/>
      <c r="F1225" s="272"/>
      <c r="G1225" s="155"/>
      <c r="H1225" s="156" t="s">
        <v>538</v>
      </c>
      <c r="I1225" s="157"/>
      <c r="J1225" s="157"/>
      <c r="K1225" s="157"/>
      <c r="L1225" s="158"/>
      <c r="M1225" s="158"/>
      <c r="N1225" s="535"/>
      <c r="O1225" s="157"/>
      <c r="P1225" s="157"/>
      <c r="Q1225" s="157"/>
      <c r="R1225" s="158">
        <v>31000</v>
      </c>
      <c r="S1225" s="158"/>
      <c r="T1225" s="535"/>
      <c r="U1225" s="159">
        <f t="shared" si="73"/>
        <v>0</v>
      </c>
    </row>
    <row r="1226" spans="2:21" ht="14.25" x14ac:dyDescent="0.2">
      <c r="B1226" s="8">
        <f t="shared" si="74"/>
        <v>534</v>
      </c>
      <c r="C1226" s="267"/>
      <c r="D1226" s="267"/>
      <c r="E1226" s="267">
        <v>4</v>
      </c>
      <c r="F1226" s="268"/>
      <c r="G1226" s="268"/>
      <c r="H1226" s="267" t="s">
        <v>89</v>
      </c>
      <c r="I1226" s="269"/>
      <c r="J1226" s="269">
        <f>J1227</f>
        <v>22738</v>
      </c>
      <c r="K1226" s="269">
        <f>K1227</f>
        <v>22738</v>
      </c>
      <c r="L1226" s="270">
        <f>L1227</f>
        <v>20651</v>
      </c>
      <c r="M1226" s="270">
        <f>M1227</f>
        <v>19886</v>
      </c>
      <c r="N1226" s="534"/>
      <c r="O1226" s="269"/>
      <c r="P1226" s="269"/>
      <c r="Q1226" s="269"/>
      <c r="R1226" s="270"/>
      <c r="S1226" s="270"/>
      <c r="T1226" s="534"/>
      <c r="U1226" s="271">
        <f t="shared" si="73"/>
        <v>0</v>
      </c>
    </row>
    <row r="1227" spans="2:21" x14ac:dyDescent="0.2">
      <c r="B1227" s="8">
        <f t="shared" si="74"/>
        <v>535</v>
      </c>
      <c r="C1227" s="280"/>
      <c r="D1227" s="280"/>
      <c r="E1227" s="280" t="s">
        <v>96</v>
      </c>
      <c r="F1227" s="281"/>
      <c r="G1227" s="281"/>
      <c r="H1227" s="280" t="s">
        <v>97</v>
      </c>
      <c r="I1227" s="282"/>
      <c r="J1227" s="282">
        <f>J1234+J1230+J1229+J1228</f>
        <v>22738</v>
      </c>
      <c r="K1227" s="282">
        <f>K1234+K1230+K1229+K1228</f>
        <v>22738</v>
      </c>
      <c r="L1227" s="283">
        <f>L1234+L1230+L1229+L1228</f>
        <v>20651</v>
      </c>
      <c r="M1227" s="283">
        <f>M1234+M1230+M1229+M1228</f>
        <v>19886</v>
      </c>
      <c r="N1227" s="501"/>
      <c r="O1227" s="282"/>
      <c r="P1227" s="282"/>
      <c r="Q1227" s="282"/>
      <c r="R1227" s="283"/>
      <c r="S1227" s="283"/>
      <c r="T1227" s="501"/>
      <c r="U1227" s="284">
        <f t="shared" si="73"/>
        <v>0</v>
      </c>
    </row>
    <row r="1228" spans="2:21" x14ac:dyDescent="0.2">
      <c r="B1228" s="8">
        <f t="shared" si="74"/>
        <v>536</v>
      </c>
      <c r="C1228" s="24"/>
      <c r="D1228" s="24"/>
      <c r="E1228" s="24"/>
      <c r="F1228" s="149" t="s">
        <v>168</v>
      </c>
      <c r="G1228" s="150">
        <v>610</v>
      </c>
      <c r="H1228" s="24" t="s">
        <v>141</v>
      </c>
      <c r="I1228" s="25"/>
      <c r="J1228" s="25">
        <v>15319</v>
      </c>
      <c r="K1228" s="25">
        <v>11019</v>
      </c>
      <c r="L1228" s="26">
        <v>14335</v>
      </c>
      <c r="M1228" s="26">
        <v>13904</v>
      </c>
      <c r="N1228" s="501"/>
      <c r="O1228" s="25"/>
      <c r="P1228" s="25"/>
      <c r="Q1228" s="25"/>
      <c r="R1228" s="26"/>
      <c r="S1228" s="26"/>
      <c r="T1228" s="501"/>
      <c r="U1228" s="151">
        <f t="shared" si="73"/>
        <v>0</v>
      </c>
    </row>
    <row r="1229" spans="2:21" x14ac:dyDescent="0.2">
      <c r="B1229" s="8">
        <f t="shared" si="74"/>
        <v>537</v>
      </c>
      <c r="C1229" s="24"/>
      <c r="D1229" s="24"/>
      <c r="E1229" s="24"/>
      <c r="F1229" s="149" t="s">
        <v>168</v>
      </c>
      <c r="G1229" s="150">
        <v>620</v>
      </c>
      <c r="H1229" s="24" t="s">
        <v>134</v>
      </c>
      <c r="I1229" s="25"/>
      <c r="J1229" s="25">
        <v>5661</v>
      </c>
      <c r="K1229" s="25">
        <v>5661</v>
      </c>
      <c r="L1229" s="26">
        <v>5217</v>
      </c>
      <c r="M1229" s="26">
        <v>5187</v>
      </c>
      <c r="N1229" s="501"/>
      <c r="O1229" s="25"/>
      <c r="P1229" s="25"/>
      <c r="Q1229" s="25"/>
      <c r="R1229" s="26"/>
      <c r="S1229" s="26"/>
      <c r="T1229" s="501"/>
      <c r="U1229" s="151">
        <f t="shared" si="73"/>
        <v>0</v>
      </c>
    </row>
    <row r="1230" spans="2:21" x14ac:dyDescent="0.2">
      <c r="B1230" s="8">
        <f t="shared" si="74"/>
        <v>538</v>
      </c>
      <c r="C1230" s="24"/>
      <c r="D1230" s="24"/>
      <c r="E1230" s="24"/>
      <c r="F1230" s="149"/>
      <c r="G1230" s="150">
        <v>630</v>
      </c>
      <c r="H1230" s="24" t="s">
        <v>131</v>
      </c>
      <c r="I1230" s="25"/>
      <c r="J1230" s="25">
        <f>J1233+J1232+J1231</f>
        <v>1308</v>
      </c>
      <c r="K1230" s="25">
        <f>K1233+K1232+K1231</f>
        <v>1308</v>
      </c>
      <c r="L1230" s="26">
        <f>L1233+L1232+L1231</f>
        <v>815</v>
      </c>
      <c r="M1230" s="26">
        <f>M1233+M1232+M1231</f>
        <v>795</v>
      </c>
      <c r="N1230" s="501"/>
      <c r="O1230" s="25"/>
      <c r="P1230" s="25"/>
      <c r="Q1230" s="25"/>
      <c r="R1230" s="26"/>
      <c r="S1230" s="26"/>
      <c r="T1230" s="501"/>
      <c r="U1230" s="151">
        <f t="shared" si="73"/>
        <v>0</v>
      </c>
    </row>
    <row r="1231" spans="2:21" x14ac:dyDescent="0.2">
      <c r="B1231" s="8">
        <f t="shared" si="74"/>
        <v>539</v>
      </c>
      <c r="C1231" s="18"/>
      <c r="D1231" s="18"/>
      <c r="E1231" s="18"/>
      <c r="F1231" s="152"/>
      <c r="G1231" s="153">
        <v>632</v>
      </c>
      <c r="H1231" s="18" t="s">
        <v>144</v>
      </c>
      <c r="I1231" s="19"/>
      <c r="J1231" s="19">
        <v>620</v>
      </c>
      <c r="K1231" s="19">
        <v>620</v>
      </c>
      <c r="L1231" s="20">
        <v>620</v>
      </c>
      <c r="M1231" s="20">
        <v>620</v>
      </c>
      <c r="N1231" s="164"/>
      <c r="O1231" s="19"/>
      <c r="P1231" s="19"/>
      <c r="Q1231" s="19"/>
      <c r="R1231" s="20"/>
      <c r="S1231" s="20"/>
      <c r="T1231" s="164"/>
      <c r="U1231" s="154">
        <f t="shared" si="73"/>
        <v>0</v>
      </c>
    </row>
    <row r="1232" spans="2:21" x14ac:dyDescent="0.2">
      <c r="B1232" s="8">
        <f t="shared" si="74"/>
        <v>540</v>
      </c>
      <c r="C1232" s="18"/>
      <c r="D1232" s="18"/>
      <c r="E1232" s="18"/>
      <c r="F1232" s="152"/>
      <c r="G1232" s="153">
        <v>633</v>
      </c>
      <c r="H1232" s="18" t="s">
        <v>135</v>
      </c>
      <c r="I1232" s="19"/>
      <c r="J1232" s="19">
        <v>440</v>
      </c>
      <c r="K1232" s="19">
        <v>440</v>
      </c>
      <c r="L1232" s="20">
        <v>0</v>
      </c>
      <c r="M1232" s="20">
        <v>11</v>
      </c>
      <c r="N1232" s="164"/>
      <c r="O1232" s="19"/>
      <c r="P1232" s="19"/>
      <c r="Q1232" s="19"/>
      <c r="R1232" s="20"/>
      <c r="S1232" s="20"/>
      <c r="T1232" s="164"/>
      <c r="U1232" s="154">
        <f t="shared" si="73"/>
        <v>0</v>
      </c>
    </row>
    <row r="1233" spans="2:21" x14ac:dyDescent="0.2">
      <c r="B1233" s="8">
        <f t="shared" si="74"/>
        <v>541</v>
      </c>
      <c r="C1233" s="18"/>
      <c r="D1233" s="18"/>
      <c r="E1233" s="18"/>
      <c r="F1233" s="152"/>
      <c r="G1233" s="153">
        <v>637</v>
      </c>
      <c r="H1233" s="18" t="s">
        <v>132</v>
      </c>
      <c r="I1233" s="19"/>
      <c r="J1233" s="19">
        <v>248</v>
      </c>
      <c r="K1233" s="19">
        <v>248</v>
      </c>
      <c r="L1233" s="20">
        <v>195</v>
      </c>
      <c r="M1233" s="20">
        <v>164</v>
      </c>
      <c r="N1233" s="164"/>
      <c r="O1233" s="19"/>
      <c r="P1233" s="19"/>
      <c r="Q1233" s="19"/>
      <c r="R1233" s="20"/>
      <c r="S1233" s="20"/>
      <c r="T1233" s="164"/>
      <c r="U1233" s="154">
        <f t="shared" si="73"/>
        <v>0</v>
      </c>
    </row>
    <row r="1234" spans="2:21" x14ac:dyDescent="0.2">
      <c r="B1234" s="8">
        <f t="shared" si="74"/>
        <v>542</v>
      </c>
      <c r="C1234" s="24"/>
      <c r="D1234" s="24"/>
      <c r="E1234" s="24"/>
      <c r="F1234" s="149" t="s">
        <v>168</v>
      </c>
      <c r="G1234" s="150">
        <v>640</v>
      </c>
      <c r="H1234" s="24" t="s">
        <v>139</v>
      </c>
      <c r="I1234" s="25"/>
      <c r="J1234" s="25">
        <v>450</v>
      </c>
      <c r="K1234" s="25">
        <v>4750</v>
      </c>
      <c r="L1234" s="26">
        <v>284</v>
      </c>
      <c r="M1234" s="26">
        <v>0</v>
      </c>
      <c r="N1234" s="501"/>
      <c r="O1234" s="25"/>
      <c r="P1234" s="25"/>
      <c r="Q1234" s="25"/>
      <c r="R1234" s="26"/>
      <c r="S1234" s="26"/>
      <c r="T1234" s="501"/>
      <c r="U1234" s="151">
        <f t="shared" si="73"/>
        <v>0</v>
      </c>
    </row>
    <row r="1235" spans="2:21" ht="14.25" x14ac:dyDescent="0.2">
      <c r="B1235" s="8">
        <f t="shared" si="74"/>
        <v>543</v>
      </c>
      <c r="C1235" s="267"/>
      <c r="D1235" s="267"/>
      <c r="E1235" s="267">
        <v>6</v>
      </c>
      <c r="F1235" s="268"/>
      <c r="G1235" s="268"/>
      <c r="H1235" s="267" t="s">
        <v>339</v>
      </c>
      <c r="I1235" s="269">
        <f>I1236+I1237+I1238+I1243</f>
        <v>280829</v>
      </c>
      <c r="J1235" s="269">
        <f>J1236+J1237+J1238+J1243</f>
        <v>207324</v>
      </c>
      <c r="K1235" s="269">
        <f>K1236+K1237+K1238+K1243</f>
        <v>207324</v>
      </c>
      <c r="L1235" s="270">
        <f>L1236+L1237+L1238+L1243</f>
        <v>175551</v>
      </c>
      <c r="M1235" s="270">
        <f>M1236+M1237+M1238+M1243</f>
        <v>157070</v>
      </c>
      <c r="N1235" s="534"/>
      <c r="O1235" s="269"/>
      <c r="P1235" s="269"/>
      <c r="Q1235" s="269"/>
      <c r="R1235" s="270"/>
      <c r="S1235" s="270"/>
      <c r="T1235" s="534"/>
      <c r="U1235" s="271">
        <f t="shared" si="73"/>
        <v>280829</v>
      </c>
    </row>
    <row r="1236" spans="2:21" x14ac:dyDescent="0.2">
      <c r="B1236" s="8">
        <f t="shared" si="74"/>
        <v>544</v>
      </c>
      <c r="C1236" s="24"/>
      <c r="D1236" s="24"/>
      <c r="E1236" s="24"/>
      <c r="F1236" s="149" t="s">
        <v>168</v>
      </c>
      <c r="G1236" s="150">
        <v>610</v>
      </c>
      <c r="H1236" s="24" t="s">
        <v>141</v>
      </c>
      <c r="I1236" s="25">
        <f>4000+600+1200+139589+2600</f>
        <v>147989</v>
      </c>
      <c r="J1236" s="25">
        <v>132680</v>
      </c>
      <c r="K1236" s="25">
        <v>132680</v>
      </c>
      <c r="L1236" s="26">
        <v>109521</v>
      </c>
      <c r="M1236" s="26">
        <v>99695</v>
      </c>
      <c r="N1236" s="501"/>
      <c r="O1236" s="25"/>
      <c r="P1236" s="25"/>
      <c r="Q1236" s="25"/>
      <c r="R1236" s="26"/>
      <c r="S1236" s="26"/>
      <c r="T1236" s="501"/>
      <c r="U1236" s="151">
        <f t="shared" si="73"/>
        <v>147989</v>
      </c>
    </row>
    <row r="1237" spans="2:21" x14ac:dyDescent="0.2">
      <c r="B1237" s="8">
        <f t="shared" si="74"/>
        <v>545</v>
      </c>
      <c r="C1237" s="24"/>
      <c r="D1237" s="24"/>
      <c r="E1237" s="24"/>
      <c r="F1237" s="149" t="s">
        <v>168</v>
      </c>
      <c r="G1237" s="150">
        <v>620</v>
      </c>
      <c r="H1237" s="24" t="s">
        <v>134</v>
      </c>
      <c r="I1237" s="25">
        <v>48982</v>
      </c>
      <c r="J1237" s="25">
        <v>43913</v>
      </c>
      <c r="K1237" s="25">
        <v>43913</v>
      </c>
      <c r="L1237" s="26">
        <v>38536</v>
      </c>
      <c r="M1237" s="26">
        <v>35069</v>
      </c>
      <c r="N1237" s="501"/>
      <c r="O1237" s="25"/>
      <c r="P1237" s="25"/>
      <c r="Q1237" s="25"/>
      <c r="R1237" s="26"/>
      <c r="S1237" s="26"/>
      <c r="T1237" s="501"/>
      <c r="U1237" s="151">
        <f t="shared" si="73"/>
        <v>48982</v>
      </c>
    </row>
    <row r="1238" spans="2:21" x14ac:dyDescent="0.2">
      <c r="B1238" s="8">
        <f t="shared" si="74"/>
        <v>546</v>
      </c>
      <c r="C1238" s="24"/>
      <c r="D1238" s="24"/>
      <c r="E1238" s="24"/>
      <c r="F1238" s="149" t="s">
        <v>168</v>
      </c>
      <c r="G1238" s="150">
        <v>630</v>
      </c>
      <c r="H1238" s="24" t="s">
        <v>131</v>
      </c>
      <c r="I1238" s="25">
        <f>SUM(I1239:I1242)</f>
        <v>83138</v>
      </c>
      <c r="J1238" s="25">
        <f>J1242+J1241+J1240+J1239</f>
        <v>27363</v>
      </c>
      <c r="K1238" s="25">
        <f>K1242+K1241+K1240+K1239</f>
        <v>27363</v>
      </c>
      <c r="L1238" s="26">
        <f>L1242+L1241+L1240+L1239</f>
        <v>26899</v>
      </c>
      <c r="M1238" s="26">
        <f>M1242+M1241+M1240+M1239</f>
        <v>21813</v>
      </c>
      <c r="N1238" s="501"/>
      <c r="O1238" s="25"/>
      <c r="P1238" s="25"/>
      <c r="Q1238" s="25"/>
      <c r="R1238" s="26"/>
      <c r="S1238" s="26"/>
      <c r="T1238" s="501"/>
      <c r="U1238" s="151">
        <f t="shared" si="73"/>
        <v>83138</v>
      </c>
    </row>
    <row r="1239" spans="2:21" x14ac:dyDescent="0.2">
      <c r="B1239" s="8">
        <f t="shared" si="74"/>
        <v>547</v>
      </c>
      <c r="C1239" s="18"/>
      <c r="D1239" s="18"/>
      <c r="E1239" s="18"/>
      <c r="F1239" s="152"/>
      <c r="G1239" s="153">
        <v>632</v>
      </c>
      <c r="H1239" s="18" t="s">
        <v>144</v>
      </c>
      <c r="I1239" s="19">
        <f>66139+9207+500+500+1000-3376</f>
        <v>73970</v>
      </c>
      <c r="J1239" s="19">
        <v>18890</v>
      </c>
      <c r="K1239" s="19">
        <v>18890</v>
      </c>
      <c r="L1239" s="20">
        <v>15742</v>
      </c>
      <c r="M1239" s="20">
        <v>14311</v>
      </c>
      <c r="N1239" s="164"/>
      <c r="O1239" s="19"/>
      <c r="P1239" s="19"/>
      <c r="Q1239" s="19"/>
      <c r="R1239" s="20"/>
      <c r="S1239" s="20"/>
      <c r="T1239" s="164"/>
      <c r="U1239" s="154">
        <f t="shared" si="73"/>
        <v>73970</v>
      </c>
    </row>
    <row r="1240" spans="2:21" x14ac:dyDescent="0.2">
      <c r="B1240" s="8">
        <f t="shared" si="74"/>
        <v>548</v>
      </c>
      <c r="C1240" s="18"/>
      <c r="D1240" s="18"/>
      <c r="E1240" s="18"/>
      <c r="F1240" s="152"/>
      <c r="G1240" s="153">
        <v>633</v>
      </c>
      <c r="H1240" s="18" t="s">
        <v>135</v>
      </c>
      <c r="I1240" s="19">
        <f>800+150+500+2398+1970-1000</f>
        <v>4818</v>
      </c>
      <c r="J1240" s="19">
        <v>4848</v>
      </c>
      <c r="K1240" s="19">
        <v>4848</v>
      </c>
      <c r="L1240" s="20">
        <v>7873</v>
      </c>
      <c r="M1240" s="20">
        <v>4430</v>
      </c>
      <c r="N1240" s="164"/>
      <c r="O1240" s="19"/>
      <c r="P1240" s="19"/>
      <c r="Q1240" s="19"/>
      <c r="R1240" s="20"/>
      <c r="S1240" s="20"/>
      <c r="T1240" s="164"/>
      <c r="U1240" s="154">
        <f t="shared" si="73"/>
        <v>4818</v>
      </c>
    </row>
    <row r="1241" spans="2:21" x14ac:dyDescent="0.2">
      <c r="B1241" s="8">
        <f t="shared" si="74"/>
        <v>549</v>
      </c>
      <c r="C1241" s="18"/>
      <c r="D1241" s="18"/>
      <c r="E1241" s="18"/>
      <c r="F1241" s="152"/>
      <c r="G1241" s="153">
        <v>635</v>
      </c>
      <c r="H1241" s="18" t="s">
        <v>143</v>
      </c>
      <c r="I1241" s="19">
        <f>871</f>
        <v>871</v>
      </c>
      <c r="J1241" s="19">
        <v>726</v>
      </c>
      <c r="K1241" s="19">
        <v>726</v>
      </c>
      <c r="L1241" s="20">
        <v>211</v>
      </c>
      <c r="M1241" s="20">
        <v>550</v>
      </c>
      <c r="N1241" s="164"/>
      <c r="O1241" s="19"/>
      <c r="P1241" s="19"/>
      <c r="Q1241" s="19"/>
      <c r="R1241" s="20"/>
      <c r="S1241" s="20"/>
      <c r="T1241" s="164"/>
      <c r="U1241" s="154">
        <f t="shared" si="73"/>
        <v>871</v>
      </c>
    </row>
    <row r="1242" spans="2:21" x14ac:dyDescent="0.2">
      <c r="B1242" s="8">
        <f t="shared" si="74"/>
        <v>550</v>
      </c>
      <c r="C1242" s="18"/>
      <c r="D1242" s="18"/>
      <c r="E1242" s="18"/>
      <c r="F1242" s="152"/>
      <c r="G1242" s="153">
        <v>637</v>
      </c>
      <c r="H1242" s="18" t="s">
        <v>132</v>
      </c>
      <c r="I1242" s="19">
        <f>580+400+1070+1429</f>
        <v>3479</v>
      </c>
      <c r="J1242" s="19">
        <v>2899</v>
      </c>
      <c r="K1242" s="19">
        <v>2899</v>
      </c>
      <c r="L1242" s="20">
        <v>3073</v>
      </c>
      <c r="M1242" s="20">
        <v>2522</v>
      </c>
      <c r="N1242" s="164"/>
      <c r="O1242" s="19"/>
      <c r="P1242" s="19"/>
      <c r="Q1242" s="19"/>
      <c r="R1242" s="20"/>
      <c r="S1242" s="20"/>
      <c r="T1242" s="164"/>
      <c r="U1242" s="154">
        <f t="shared" si="73"/>
        <v>3479</v>
      </c>
    </row>
    <row r="1243" spans="2:21" x14ac:dyDescent="0.2">
      <c r="B1243" s="8">
        <f t="shared" si="74"/>
        <v>551</v>
      </c>
      <c r="C1243" s="24"/>
      <c r="D1243" s="24"/>
      <c r="E1243" s="24"/>
      <c r="F1243" s="149" t="s">
        <v>168</v>
      </c>
      <c r="G1243" s="150">
        <v>640</v>
      </c>
      <c r="H1243" s="24" t="s">
        <v>139</v>
      </c>
      <c r="I1243" s="25">
        <v>720</v>
      </c>
      <c r="J1243" s="25">
        <v>3368</v>
      </c>
      <c r="K1243" s="25">
        <v>3368</v>
      </c>
      <c r="L1243" s="26">
        <v>595</v>
      </c>
      <c r="M1243" s="26">
        <v>493</v>
      </c>
      <c r="N1243" s="501"/>
      <c r="O1243" s="25"/>
      <c r="P1243" s="25"/>
      <c r="Q1243" s="25"/>
      <c r="R1243" s="26"/>
      <c r="S1243" s="26"/>
      <c r="T1243" s="501"/>
      <c r="U1243" s="151">
        <f t="shared" si="73"/>
        <v>720</v>
      </c>
    </row>
    <row r="1244" spans="2:21" ht="14.25" x14ac:dyDescent="0.2">
      <c r="B1244" s="8">
        <f t="shared" si="74"/>
        <v>552</v>
      </c>
      <c r="C1244" s="267"/>
      <c r="D1244" s="267"/>
      <c r="E1244" s="267">
        <v>7</v>
      </c>
      <c r="F1244" s="268"/>
      <c r="G1244" s="268"/>
      <c r="H1244" s="267" t="s">
        <v>341</v>
      </c>
      <c r="I1244" s="269">
        <f>I1245+I1246+I1247+I1252</f>
        <v>227348</v>
      </c>
      <c r="J1244" s="269">
        <f>J1245+J1246+J1247+J1252</f>
        <v>190567</v>
      </c>
      <c r="K1244" s="269">
        <f>K1245+K1246+K1247+K1252</f>
        <v>190567</v>
      </c>
      <c r="L1244" s="270">
        <f>L1245+L1246+L1247+L1252</f>
        <v>171750</v>
      </c>
      <c r="M1244" s="270">
        <f>M1245+M1246+M1247+M1252</f>
        <v>165482</v>
      </c>
      <c r="N1244" s="534"/>
      <c r="O1244" s="269"/>
      <c r="P1244" s="269"/>
      <c r="Q1244" s="269"/>
      <c r="R1244" s="270"/>
      <c r="S1244" s="270"/>
      <c r="T1244" s="534"/>
      <c r="U1244" s="271">
        <f t="shared" si="73"/>
        <v>227348</v>
      </c>
    </row>
    <row r="1245" spans="2:21" x14ac:dyDescent="0.2">
      <c r="B1245" s="8">
        <f t="shared" si="74"/>
        <v>553</v>
      </c>
      <c r="C1245" s="24"/>
      <c r="D1245" s="24"/>
      <c r="E1245" s="24"/>
      <c r="F1245" s="149" t="s">
        <v>168</v>
      </c>
      <c r="G1245" s="150">
        <v>610</v>
      </c>
      <c r="H1245" s="24" t="s">
        <v>141</v>
      </c>
      <c r="I1245" s="25">
        <f>22400+2000+3000+129500</f>
        <v>156900</v>
      </c>
      <c r="J1245" s="25">
        <v>127957</v>
      </c>
      <c r="K1245" s="25">
        <v>126657</v>
      </c>
      <c r="L1245" s="26">
        <v>116600</v>
      </c>
      <c r="M1245" s="26">
        <v>113890</v>
      </c>
      <c r="N1245" s="501"/>
      <c r="O1245" s="25"/>
      <c r="P1245" s="25"/>
      <c r="Q1245" s="25"/>
      <c r="R1245" s="26"/>
      <c r="S1245" s="26"/>
      <c r="T1245" s="501"/>
      <c r="U1245" s="151">
        <f t="shared" si="73"/>
        <v>156900</v>
      </c>
    </row>
    <row r="1246" spans="2:21" x14ac:dyDescent="0.2">
      <c r="B1246" s="8">
        <f t="shared" si="74"/>
        <v>554</v>
      </c>
      <c r="C1246" s="24"/>
      <c r="D1246" s="24"/>
      <c r="E1246" s="24"/>
      <c r="F1246" s="149" t="s">
        <v>168</v>
      </c>
      <c r="G1246" s="150">
        <v>620</v>
      </c>
      <c r="H1246" s="24" t="s">
        <v>134</v>
      </c>
      <c r="I1246" s="25">
        <f>7400+4700+15690+3130+1569+21000+2200+1250</f>
        <v>56939</v>
      </c>
      <c r="J1246" s="25">
        <v>49500</v>
      </c>
      <c r="K1246" s="25">
        <v>49500</v>
      </c>
      <c r="L1246" s="26">
        <v>43100</v>
      </c>
      <c r="M1246" s="26">
        <v>41226</v>
      </c>
      <c r="N1246" s="501"/>
      <c r="O1246" s="25"/>
      <c r="P1246" s="25"/>
      <c r="Q1246" s="25"/>
      <c r="R1246" s="26"/>
      <c r="S1246" s="26"/>
      <c r="T1246" s="501"/>
      <c r="U1246" s="151">
        <f t="shared" si="73"/>
        <v>56939</v>
      </c>
    </row>
    <row r="1247" spans="2:21" x14ac:dyDescent="0.2">
      <c r="B1247" s="8">
        <f t="shared" si="74"/>
        <v>555</v>
      </c>
      <c r="C1247" s="24"/>
      <c r="D1247" s="24"/>
      <c r="E1247" s="24"/>
      <c r="F1247" s="149" t="s">
        <v>168</v>
      </c>
      <c r="G1247" s="150">
        <v>630</v>
      </c>
      <c r="H1247" s="24" t="s">
        <v>131</v>
      </c>
      <c r="I1247" s="25">
        <f>SUM(I1248:I1252)</f>
        <v>13509</v>
      </c>
      <c r="J1247" s="25">
        <f>J1251+J1249+J1248</f>
        <v>13110</v>
      </c>
      <c r="K1247" s="25">
        <f>K1251+K1249+K1248</f>
        <v>13110</v>
      </c>
      <c r="L1247" s="26">
        <f>SUM(L1248:L1251)</f>
        <v>10100</v>
      </c>
      <c r="M1247" s="26">
        <f>SUM(M1248:M1251)</f>
        <v>9700</v>
      </c>
      <c r="N1247" s="501"/>
      <c r="O1247" s="25"/>
      <c r="P1247" s="25"/>
      <c r="Q1247" s="25"/>
      <c r="R1247" s="26"/>
      <c r="S1247" s="26"/>
      <c r="T1247" s="501"/>
      <c r="U1247" s="151">
        <f t="shared" si="73"/>
        <v>13509</v>
      </c>
    </row>
    <row r="1248" spans="2:21" x14ac:dyDescent="0.2">
      <c r="B1248" s="8">
        <f t="shared" si="74"/>
        <v>556</v>
      </c>
      <c r="C1248" s="18"/>
      <c r="D1248" s="18"/>
      <c r="E1248" s="18"/>
      <c r="F1248" s="152"/>
      <c r="G1248" s="153">
        <v>632</v>
      </c>
      <c r="H1248" s="18" t="s">
        <v>144</v>
      </c>
      <c r="I1248" s="19">
        <v>5000</v>
      </c>
      <c r="J1248" s="19">
        <v>5000</v>
      </c>
      <c r="K1248" s="19">
        <v>5000</v>
      </c>
      <c r="L1248" s="20">
        <v>4500</v>
      </c>
      <c r="M1248" s="20">
        <v>2500</v>
      </c>
      <c r="N1248" s="164"/>
      <c r="O1248" s="19"/>
      <c r="P1248" s="19"/>
      <c r="Q1248" s="19"/>
      <c r="R1248" s="20"/>
      <c r="S1248" s="20"/>
      <c r="T1248" s="164"/>
      <c r="U1248" s="154">
        <f t="shared" si="73"/>
        <v>5000</v>
      </c>
    </row>
    <row r="1249" spans="2:21" x14ac:dyDescent="0.2">
      <c r="B1249" s="8">
        <f t="shared" si="74"/>
        <v>557</v>
      </c>
      <c r="C1249" s="18"/>
      <c r="D1249" s="18"/>
      <c r="E1249" s="18"/>
      <c r="F1249" s="152"/>
      <c r="G1249" s="153">
        <v>633</v>
      </c>
      <c r="H1249" s="18" t="s">
        <v>135</v>
      </c>
      <c r="I1249" s="19">
        <f>3500+1500-711</f>
        <v>4289</v>
      </c>
      <c r="J1249" s="19">
        <v>3910</v>
      </c>
      <c r="K1249" s="19">
        <v>3910</v>
      </c>
      <c r="L1249" s="20">
        <v>2300</v>
      </c>
      <c r="M1249" s="20">
        <v>2100</v>
      </c>
      <c r="N1249" s="164"/>
      <c r="O1249" s="19"/>
      <c r="P1249" s="19"/>
      <c r="Q1249" s="19"/>
      <c r="R1249" s="20"/>
      <c r="S1249" s="20"/>
      <c r="T1249" s="164"/>
      <c r="U1249" s="154">
        <f t="shared" si="73"/>
        <v>4289</v>
      </c>
    </row>
    <row r="1250" spans="2:21" x14ac:dyDescent="0.2">
      <c r="B1250" s="8">
        <f t="shared" ref="B1250:B1313" si="75">B1249+1</f>
        <v>558</v>
      </c>
      <c r="C1250" s="18"/>
      <c r="D1250" s="18"/>
      <c r="E1250" s="18"/>
      <c r="F1250" s="152"/>
      <c r="G1250" s="153">
        <v>635</v>
      </c>
      <c r="H1250" s="18" t="s">
        <v>143</v>
      </c>
      <c r="I1250" s="19"/>
      <c r="J1250" s="19"/>
      <c r="K1250" s="19"/>
      <c r="L1250" s="20"/>
      <c r="M1250" s="20">
        <v>3000</v>
      </c>
      <c r="N1250" s="164"/>
      <c r="O1250" s="19"/>
      <c r="P1250" s="19"/>
      <c r="Q1250" s="19"/>
      <c r="R1250" s="20"/>
      <c r="S1250" s="20"/>
      <c r="T1250" s="164"/>
      <c r="U1250" s="154">
        <f t="shared" si="73"/>
        <v>0</v>
      </c>
    </row>
    <row r="1251" spans="2:21" x14ac:dyDescent="0.2">
      <c r="B1251" s="8">
        <f t="shared" si="75"/>
        <v>559</v>
      </c>
      <c r="C1251" s="18"/>
      <c r="D1251" s="18"/>
      <c r="E1251" s="18"/>
      <c r="F1251" s="152"/>
      <c r="G1251" s="153">
        <v>637</v>
      </c>
      <c r="H1251" s="18" t="s">
        <v>132</v>
      </c>
      <c r="I1251" s="19">
        <f>1500+1520+1200</f>
        <v>4220</v>
      </c>
      <c r="J1251" s="19">
        <v>4200</v>
      </c>
      <c r="K1251" s="19">
        <v>4200</v>
      </c>
      <c r="L1251" s="20">
        <v>3300</v>
      </c>
      <c r="M1251" s="20">
        <v>2100</v>
      </c>
      <c r="N1251" s="164"/>
      <c r="O1251" s="19"/>
      <c r="P1251" s="19"/>
      <c r="Q1251" s="19"/>
      <c r="R1251" s="20"/>
      <c r="S1251" s="20"/>
      <c r="T1251" s="164"/>
      <c r="U1251" s="154">
        <f t="shared" si="73"/>
        <v>4220</v>
      </c>
    </row>
    <row r="1252" spans="2:21" x14ac:dyDescent="0.2">
      <c r="B1252" s="8">
        <f t="shared" si="75"/>
        <v>560</v>
      </c>
      <c r="C1252" s="24"/>
      <c r="D1252" s="24"/>
      <c r="E1252" s="24"/>
      <c r="F1252" s="149" t="s">
        <v>168</v>
      </c>
      <c r="G1252" s="150">
        <v>640</v>
      </c>
      <c r="H1252" s="24" t="s">
        <v>139</v>
      </c>
      <c r="I1252" s="25"/>
      <c r="J1252" s="25"/>
      <c r="K1252" s="25">
        <v>1300</v>
      </c>
      <c r="L1252" s="26">
        <v>1950</v>
      </c>
      <c r="M1252" s="26">
        <v>666</v>
      </c>
      <c r="N1252" s="501"/>
      <c r="O1252" s="25"/>
      <c r="P1252" s="25"/>
      <c r="Q1252" s="25"/>
      <c r="R1252" s="26"/>
      <c r="S1252" s="26"/>
      <c r="T1252" s="501"/>
      <c r="U1252" s="151">
        <f t="shared" si="73"/>
        <v>0</v>
      </c>
    </row>
    <row r="1253" spans="2:21" ht="14.25" x14ac:dyDescent="0.2">
      <c r="B1253" s="8">
        <f t="shared" si="75"/>
        <v>561</v>
      </c>
      <c r="C1253" s="267"/>
      <c r="D1253" s="267"/>
      <c r="E1253" s="267">
        <v>8</v>
      </c>
      <c r="F1253" s="268"/>
      <c r="G1253" s="268"/>
      <c r="H1253" s="267" t="s">
        <v>7</v>
      </c>
      <c r="I1253" s="269">
        <f>I1254+I1255+I1256+I1261</f>
        <v>452377</v>
      </c>
      <c r="J1253" s="269">
        <f>J1254+J1255+J1256+J1261</f>
        <v>368675</v>
      </c>
      <c r="K1253" s="269">
        <f>K1254+K1255+K1256+K1261</f>
        <v>368675</v>
      </c>
      <c r="L1253" s="270">
        <f>L1254+L1255+L1256+L1261</f>
        <v>336355</v>
      </c>
      <c r="M1253" s="270">
        <f>M1254+M1255+M1256+M1261</f>
        <v>307856</v>
      </c>
      <c r="N1253" s="534"/>
      <c r="O1253" s="269"/>
      <c r="P1253" s="269"/>
      <c r="Q1253" s="269"/>
      <c r="R1253" s="270"/>
      <c r="S1253" s="270"/>
      <c r="T1253" s="534"/>
      <c r="U1253" s="271">
        <f t="shared" si="73"/>
        <v>452377</v>
      </c>
    </row>
    <row r="1254" spans="2:21" x14ac:dyDescent="0.2">
      <c r="B1254" s="8">
        <f t="shared" si="75"/>
        <v>562</v>
      </c>
      <c r="C1254" s="24"/>
      <c r="D1254" s="24"/>
      <c r="E1254" s="24"/>
      <c r="F1254" s="149" t="s">
        <v>168</v>
      </c>
      <c r="G1254" s="150">
        <v>610</v>
      </c>
      <c r="H1254" s="24" t="s">
        <v>141</v>
      </c>
      <c r="I1254" s="25">
        <v>284820</v>
      </c>
      <c r="J1254" s="25">
        <v>240360</v>
      </c>
      <c r="K1254" s="25">
        <v>240360</v>
      </c>
      <c r="L1254" s="26">
        <v>226005</v>
      </c>
      <c r="M1254" s="26">
        <v>195734</v>
      </c>
      <c r="N1254" s="501"/>
      <c r="O1254" s="25"/>
      <c r="P1254" s="25"/>
      <c r="Q1254" s="25"/>
      <c r="R1254" s="26"/>
      <c r="S1254" s="26"/>
      <c r="T1254" s="501"/>
      <c r="U1254" s="151">
        <f t="shared" si="73"/>
        <v>284820</v>
      </c>
    </row>
    <row r="1255" spans="2:21" x14ac:dyDescent="0.2">
      <c r="B1255" s="8">
        <f t="shared" si="75"/>
        <v>563</v>
      </c>
      <c r="C1255" s="24"/>
      <c r="D1255" s="24"/>
      <c r="E1255" s="24"/>
      <c r="F1255" s="149" t="s">
        <v>168</v>
      </c>
      <c r="G1255" s="150">
        <v>620</v>
      </c>
      <c r="H1255" s="24" t="s">
        <v>134</v>
      </c>
      <c r="I1255" s="25">
        <v>101250</v>
      </c>
      <c r="J1255" s="25">
        <v>85935</v>
      </c>
      <c r="K1255" s="25">
        <v>85935</v>
      </c>
      <c r="L1255" s="26">
        <v>80347</v>
      </c>
      <c r="M1255" s="26">
        <v>71472</v>
      </c>
      <c r="N1255" s="501"/>
      <c r="O1255" s="25"/>
      <c r="P1255" s="25"/>
      <c r="Q1255" s="25"/>
      <c r="R1255" s="26"/>
      <c r="S1255" s="26"/>
      <c r="T1255" s="501"/>
      <c r="U1255" s="151">
        <f t="shared" si="73"/>
        <v>101250</v>
      </c>
    </row>
    <row r="1256" spans="2:21" x14ac:dyDescent="0.2">
      <c r="B1256" s="8">
        <f t="shared" si="75"/>
        <v>564</v>
      </c>
      <c r="C1256" s="24"/>
      <c r="D1256" s="24"/>
      <c r="E1256" s="24"/>
      <c r="F1256" s="149" t="s">
        <v>168</v>
      </c>
      <c r="G1256" s="150">
        <v>630</v>
      </c>
      <c r="H1256" s="24" t="s">
        <v>131</v>
      </c>
      <c r="I1256" s="25">
        <f>SUM(I1257:I1260)</f>
        <v>60667</v>
      </c>
      <c r="J1256" s="25">
        <f>J1260+J1259+J1258+J1257</f>
        <v>33410</v>
      </c>
      <c r="K1256" s="25">
        <f>K1260+K1259+K1258+K1257</f>
        <v>33410</v>
      </c>
      <c r="L1256" s="26">
        <f>L1260+L1259+L1258+L1257</f>
        <v>27550</v>
      </c>
      <c r="M1256" s="26">
        <f>M1260+M1259+M1258+M1257</f>
        <v>39210</v>
      </c>
      <c r="N1256" s="501"/>
      <c r="O1256" s="25"/>
      <c r="P1256" s="25"/>
      <c r="Q1256" s="25"/>
      <c r="R1256" s="26"/>
      <c r="S1256" s="26"/>
      <c r="T1256" s="501"/>
      <c r="U1256" s="151">
        <f t="shared" si="73"/>
        <v>60667</v>
      </c>
    </row>
    <row r="1257" spans="2:21" x14ac:dyDescent="0.2">
      <c r="B1257" s="8">
        <f t="shared" si="75"/>
        <v>565</v>
      </c>
      <c r="C1257" s="18"/>
      <c r="D1257" s="18"/>
      <c r="E1257" s="18"/>
      <c r="F1257" s="152"/>
      <c r="G1257" s="153">
        <v>632</v>
      </c>
      <c r="H1257" s="18" t="s">
        <v>144</v>
      </c>
      <c r="I1257" s="19">
        <f>50300-3193</f>
        <v>47107</v>
      </c>
      <c r="J1257" s="19">
        <v>22100</v>
      </c>
      <c r="K1257" s="19">
        <v>22100</v>
      </c>
      <c r="L1257" s="20">
        <v>17900</v>
      </c>
      <c r="M1257" s="20">
        <v>15600</v>
      </c>
      <c r="N1257" s="164"/>
      <c r="O1257" s="19"/>
      <c r="P1257" s="19"/>
      <c r="Q1257" s="19"/>
      <c r="R1257" s="20"/>
      <c r="S1257" s="20"/>
      <c r="T1257" s="164"/>
      <c r="U1257" s="154">
        <f t="shared" si="73"/>
        <v>47107</v>
      </c>
    </row>
    <row r="1258" spans="2:21" x14ac:dyDescent="0.2">
      <c r="B1258" s="8">
        <f t="shared" si="75"/>
        <v>566</v>
      </c>
      <c r="C1258" s="18"/>
      <c r="D1258" s="18"/>
      <c r="E1258" s="18"/>
      <c r="F1258" s="152"/>
      <c r="G1258" s="153">
        <v>633</v>
      </c>
      <c r="H1258" s="18" t="s">
        <v>135</v>
      </c>
      <c r="I1258" s="19">
        <v>2700</v>
      </c>
      <c r="J1258" s="19">
        <v>2200</v>
      </c>
      <c r="K1258" s="19">
        <v>2200</v>
      </c>
      <c r="L1258" s="20">
        <v>2400</v>
      </c>
      <c r="M1258" s="20">
        <v>2260</v>
      </c>
      <c r="N1258" s="164"/>
      <c r="O1258" s="19"/>
      <c r="P1258" s="19"/>
      <c r="Q1258" s="19"/>
      <c r="R1258" s="20"/>
      <c r="S1258" s="20"/>
      <c r="T1258" s="164"/>
      <c r="U1258" s="154">
        <f t="shared" si="73"/>
        <v>2700</v>
      </c>
    </row>
    <row r="1259" spans="2:21" x14ac:dyDescent="0.2">
      <c r="B1259" s="8">
        <f t="shared" si="75"/>
        <v>567</v>
      </c>
      <c r="C1259" s="18"/>
      <c r="D1259" s="18"/>
      <c r="E1259" s="18"/>
      <c r="F1259" s="152"/>
      <c r="G1259" s="153">
        <v>635</v>
      </c>
      <c r="H1259" s="18" t="s">
        <v>143</v>
      </c>
      <c r="I1259" s="19">
        <v>1000</v>
      </c>
      <c r="J1259" s="19">
        <v>1000</v>
      </c>
      <c r="K1259" s="19">
        <v>1000</v>
      </c>
      <c r="L1259" s="20">
        <v>1000</v>
      </c>
      <c r="M1259" s="20">
        <v>12000</v>
      </c>
      <c r="N1259" s="164"/>
      <c r="O1259" s="19"/>
      <c r="P1259" s="19"/>
      <c r="Q1259" s="19"/>
      <c r="R1259" s="20"/>
      <c r="S1259" s="20"/>
      <c r="T1259" s="164"/>
      <c r="U1259" s="154">
        <f t="shared" si="73"/>
        <v>1000</v>
      </c>
    </row>
    <row r="1260" spans="2:21" x14ac:dyDescent="0.2">
      <c r="B1260" s="8">
        <f t="shared" si="75"/>
        <v>568</v>
      </c>
      <c r="C1260" s="18"/>
      <c r="D1260" s="18"/>
      <c r="E1260" s="18"/>
      <c r="F1260" s="152"/>
      <c r="G1260" s="153">
        <v>637</v>
      </c>
      <c r="H1260" s="18" t="s">
        <v>132</v>
      </c>
      <c r="I1260" s="19">
        <v>9860</v>
      </c>
      <c r="J1260" s="19">
        <v>8110</v>
      </c>
      <c r="K1260" s="19">
        <v>8110</v>
      </c>
      <c r="L1260" s="20">
        <v>6250</v>
      </c>
      <c r="M1260" s="20">
        <v>9350</v>
      </c>
      <c r="N1260" s="164"/>
      <c r="O1260" s="19"/>
      <c r="P1260" s="19"/>
      <c r="Q1260" s="19"/>
      <c r="R1260" s="20"/>
      <c r="S1260" s="20"/>
      <c r="T1260" s="164"/>
      <c r="U1260" s="154">
        <f t="shared" si="73"/>
        <v>9860</v>
      </c>
    </row>
    <row r="1261" spans="2:21" x14ac:dyDescent="0.2">
      <c r="B1261" s="8">
        <f t="shared" si="75"/>
        <v>569</v>
      </c>
      <c r="C1261" s="24"/>
      <c r="D1261" s="24"/>
      <c r="E1261" s="24"/>
      <c r="F1261" s="149" t="s">
        <v>168</v>
      </c>
      <c r="G1261" s="150">
        <v>640</v>
      </c>
      <c r="H1261" s="24" t="s">
        <v>139</v>
      </c>
      <c r="I1261" s="25">
        <v>5640</v>
      </c>
      <c r="J1261" s="25">
        <v>8970</v>
      </c>
      <c r="K1261" s="25">
        <v>8970</v>
      </c>
      <c r="L1261" s="26">
        <v>2453</v>
      </c>
      <c r="M1261" s="26">
        <v>1440</v>
      </c>
      <c r="N1261" s="501"/>
      <c r="O1261" s="25"/>
      <c r="P1261" s="25"/>
      <c r="Q1261" s="25"/>
      <c r="R1261" s="26"/>
      <c r="S1261" s="26"/>
      <c r="T1261" s="501"/>
      <c r="U1261" s="151">
        <f t="shared" si="73"/>
        <v>5640</v>
      </c>
    </row>
    <row r="1262" spans="2:21" ht="14.25" x14ac:dyDescent="0.2">
      <c r="B1262" s="8">
        <f t="shared" si="75"/>
        <v>570</v>
      </c>
      <c r="C1262" s="267"/>
      <c r="D1262" s="267"/>
      <c r="E1262" s="267">
        <v>9</v>
      </c>
      <c r="F1262" s="268"/>
      <c r="G1262" s="268"/>
      <c r="H1262" s="267" t="s">
        <v>5</v>
      </c>
      <c r="I1262" s="269">
        <f>I1263+I1264+I1265+I1270</f>
        <v>309305</v>
      </c>
      <c r="J1262" s="269">
        <f>J1263+J1264+J1265+J1270</f>
        <v>259405</v>
      </c>
      <c r="K1262" s="269">
        <f>K1263+K1264+K1265+K1270</f>
        <v>259405</v>
      </c>
      <c r="L1262" s="270">
        <f>L1263+L1264+L1265+L1270</f>
        <v>170630</v>
      </c>
      <c r="M1262" s="270">
        <f>M1263+M1264+M1265+M1270</f>
        <v>135397</v>
      </c>
      <c r="N1262" s="534"/>
      <c r="O1262" s="269"/>
      <c r="P1262" s="269"/>
      <c r="Q1262" s="269"/>
      <c r="R1262" s="270"/>
      <c r="S1262" s="270"/>
      <c r="T1262" s="534"/>
      <c r="U1262" s="271">
        <f t="shared" si="73"/>
        <v>309305</v>
      </c>
    </row>
    <row r="1263" spans="2:21" x14ac:dyDescent="0.2">
      <c r="B1263" s="8">
        <f t="shared" si="75"/>
        <v>571</v>
      </c>
      <c r="C1263" s="24"/>
      <c r="D1263" s="24"/>
      <c r="E1263" s="24"/>
      <c r="F1263" s="149" t="s">
        <v>168</v>
      </c>
      <c r="G1263" s="150">
        <v>610</v>
      </c>
      <c r="H1263" s="24" t="s">
        <v>141</v>
      </c>
      <c r="I1263" s="25">
        <v>201975</v>
      </c>
      <c r="J1263" s="25">
        <v>170630</v>
      </c>
      <c r="K1263" s="25">
        <v>170630</v>
      </c>
      <c r="L1263" s="26">
        <v>113700</v>
      </c>
      <c r="M1263" s="26">
        <v>86000</v>
      </c>
      <c r="N1263" s="501"/>
      <c r="O1263" s="25"/>
      <c r="P1263" s="25"/>
      <c r="Q1263" s="25"/>
      <c r="R1263" s="26"/>
      <c r="S1263" s="26"/>
      <c r="T1263" s="501"/>
      <c r="U1263" s="151">
        <f t="shared" si="73"/>
        <v>201975</v>
      </c>
    </row>
    <row r="1264" spans="2:21" x14ac:dyDescent="0.2">
      <c r="B1264" s="8">
        <f t="shared" si="75"/>
        <v>572</v>
      </c>
      <c r="C1264" s="24"/>
      <c r="D1264" s="24"/>
      <c r="E1264" s="24"/>
      <c r="F1264" s="149" t="s">
        <v>168</v>
      </c>
      <c r="G1264" s="150">
        <v>620</v>
      </c>
      <c r="H1264" s="24" t="s">
        <v>134</v>
      </c>
      <c r="I1264" s="25">
        <v>71635</v>
      </c>
      <c r="J1264" s="25">
        <v>61455</v>
      </c>
      <c r="K1264" s="25">
        <v>61455</v>
      </c>
      <c r="L1264" s="26">
        <v>40550</v>
      </c>
      <c r="M1264" s="26">
        <v>29796</v>
      </c>
      <c r="N1264" s="501"/>
      <c r="O1264" s="25"/>
      <c r="P1264" s="25"/>
      <c r="Q1264" s="25"/>
      <c r="R1264" s="26"/>
      <c r="S1264" s="26"/>
      <c r="T1264" s="501"/>
      <c r="U1264" s="151">
        <f t="shared" si="73"/>
        <v>71635</v>
      </c>
    </row>
    <row r="1265" spans="2:21" x14ac:dyDescent="0.2">
      <c r="B1265" s="8">
        <f t="shared" si="75"/>
        <v>573</v>
      </c>
      <c r="C1265" s="24"/>
      <c r="D1265" s="24"/>
      <c r="E1265" s="24"/>
      <c r="F1265" s="149" t="s">
        <v>168</v>
      </c>
      <c r="G1265" s="150">
        <v>630</v>
      </c>
      <c r="H1265" s="24" t="s">
        <v>131</v>
      </c>
      <c r="I1265" s="25">
        <f>SUM(I1266:I1269)</f>
        <v>32395</v>
      </c>
      <c r="J1265" s="25">
        <f>J1269+J1268+J1267+J1266</f>
        <v>24320</v>
      </c>
      <c r="K1265" s="25">
        <f>K1269+K1268+K1267+K1266</f>
        <v>24320</v>
      </c>
      <c r="L1265" s="26">
        <f>L1269+L1268+L1267+L1266</f>
        <v>6997</v>
      </c>
      <c r="M1265" s="26">
        <f>M1269+M1268+M1267+M1266</f>
        <v>18750</v>
      </c>
      <c r="N1265" s="501"/>
      <c r="O1265" s="25"/>
      <c r="P1265" s="25"/>
      <c r="Q1265" s="25"/>
      <c r="R1265" s="26"/>
      <c r="S1265" s="26"/>
      <c r="T1265" s="501"/>
      <c r="U1265" s="151">
        <f t="shared" ref="U1265:U1328" si="76">I1265+O1265</f>
        <v>32395</v>
      </c>
    </row>
    <row r="1266" spans="2:21" x14ac:dyDescent="0.2">
      <c r="B1266" s="8">
        <f t="shared" si="75"/>
        <v>574</v>
      </c>
      <c r="C1266" s="18"/>
      <c r="D1266" s="18"/>
      <c r="E1266" s="18"/>
      <c r="F1266" s="152"/>
      <c r="G1266" s="153">
        <v>632</v>
      </c>
      <c r="H1266" s="18" t="s">
        <v>144</v>
      </c>
      <c r="I1266" s="19">
        <v>16000</v>
      </c>
      <c r="J1266" s="19">
        <v>8500</v>
      </c>
      <c r="K1266" s="19">
        <v>8500</v>
      </c>
      <c r="L1266" s="20">
        <v>2780</v>
      </c>
      <c r="M1266" s="20">
        <v>2100</v>
      </c>
      <c r="N1266" s="164"/>
      <c r="O1266" s="19"/>
      <c r="P1266" s="19"/>
      <c r="Q1266" s="19"/>
      <c r="R1266" s="20"/>
      <c r="S1266" s="20"/>
      <c r="T1266" s="164"/>
      <c r="U1266" s="154">
        <f t="shared" si="76"/>
        <v>16000</v>
      </c>
    </row>
    <row r="1267" spans="2:21" x14ac:dyDescent="0.2">
      <c r="B1267" s="8">
        <f t="shared" si="75"/>
        <v>575</v>
      </c>
      <c r="C1267" s="18"/>
      <c r="D1267" s="18"/>
      <c r="E1267" s="18"/>
      <c r="F1267" s="152"/>
      <c r="G1267" s="153">
        <v>633</v>
      </c>
      <c r="H1267" s="18" t="s">
        <v>135</v>
      </c>
      <c r="I1267" s="19">
        <v>2600</v>
      </c>
      <c r="J1267" s="19">
        <v>2600</v>
      </c>
      <c r="K1267" s="19">
        <v>2600</v>
      </c>
      <c r="L1267" s="20">
        <v>1711</v>
      </c>
      <c r="M1267" s="20">
        <v>430</v>
      </c>
      <c r="N1267" s="164"/>
      <c r="O1267" s="19"/>
      <c r="P1267" s="19"/>
      <c r="Q1267" s="19"/>
      <c r="R1267" s="20"/>
      <c r="S1267" s="20"/>
      <c r="T1267" s="164"/>
      <c r="U1267" s="154">
        <f t="shared" si="76"/>
        <v>2600</v>
      </c>
    </row>
    <row r="1268" spans="2:21" x14ac:dyDescent="0.2">
      <c r="B1268" s="8">
        <f t="shared" si="75"/>
        <v>576</v>
      </c>
      <c r="C1268" s="18"/>
      <c r="D1268" s="18"/>
      <c r="E1268" s="18"/>
      <c r="F1268" s="152"/>
      <c r="G1268" s="153">
        <v>635</v>
      </c>
      <c r="H1268" s="18" t="s">
        <v>143</v>
      </c>
      <c r="I1268" s="19">
        <f>10000-1705</f>
        <v>8295</v>
      </c>
      <c r="J1268" s="19">
        <v>8720</v>
      </c>
      <c r="K1268" s="19">
        <v>8720</v>
      </c>
      <c r="L1268" s="20">
        <v>0</v>
      </c>
      <c r="M1268" s="20">
        <v>3120</v>
      </c>
      <c r="N1268" s="164"/>
      <c r="O1268" s="19"/>
      <c r="P1268" s="19"/>
      <c r="Q1268" s="19"/>
      <c r="R1268" s="20"/>
      <c r="S1268" s="20"/>
      <c r="T1268" s="164"/>
      <c r="U1268" s="154">
        <f t="shared" si="76"/>
        <v>8295</v>
      </c>
    </row>
    <row r="1269" spans="2:21" x14ac:dyDescent="0.2">
      <c r="B1269" s="8">
        <f t="shared" si="75"/>
        <v>577</v>
      </c>
      <c r="C1269" s="18"/>
      <c r="D1269" s="18"/>
      <c r="E1269" s="18"/>
      <c r="F1269" s="152"/>
      <c r="G1269" s="153">
        <v>637</v>
      </c>
      <c r="H1269" s="18" t="s">
        <v>132</v>
      </c>
      <c r="I1269" s="19">
        <v>5500</v>
      </c>
      <c r="J1269" s="19">
        <v>4500</v>
      </c>
      <c r="K1269" s="19">
        <v>4500</v>
      </c>
      <c r="L1269" s="20">
        <v>2506</v>
      </c>
      <c r="M1269" s="20">
        <v>13100</v>
      </c>
      <c r="N1269" s="164"/>
      <c r="O1269" s="19"/>
      <c r="P1269" s="19"/>
      <c r="Q1269" s="19"/>
      <c r="R1269" s="20"/>
      <c r="S1269" s="20"/>
      <c r="T1269" s="164"/>
      <c r="U1269" s="154">
        <f t="shared" si="76"/>
        <v>5500</v>
      </c>
    </row>
    <row r="1270" spans="2:21" x14ac:dyDescent="0.2">
      <c r="B1270" s="8">
        <f t="shared" si="75"/>
        <v>578</v>
      </c>
      <c r="C1270" s="24"/>
      <c r="D1270" s="24"/>
      <c r="E1270" s="24"/>
      <c r="F1270" s="149" t="s">
        <v>168</v>
      </c>
      <c r="G1270" s="150">
        <v>640</v>
      </c>
      <c r="H1270" s="24" t="s">
        <v>139</v>
      </c>
      <c r="I1270" s="25">
        <v>3300</v>
      </c>
      <c r="J1270" s="25">
        <v>3000</v>
      </c>
      <c r="K1270" s="25">
        <v>3000</v>
      </c>
      <c r="L1270" s="26">
        <v>9383</v>
      </c>
      <c r="M1270" s="26">
        <v>851</v>
      </c>
      <c r="N1270" s="501"/>
      <c r="O1270" s="25"/>
      <c r="P1270" s="25"/>
      <c r="Q1270" s="25"/>
      <c r="R1270" s="26"/>
      <c r="S1270" s="26"/>
      <c r="T1270" s="501"/>
      <c r="U1270" s="151">
        <f t="shared" si="76"/>
        <v>3300</v>
      </c>
    </row>
    <row r="1271" spans="2:21" ht="14.25" x14ac:dyDescent="0.2">
      <c r="B1271" s="8">
        <f t="shared" si="75"/>
        <v>579</v>
      </c>
      <c r="C1271" s="267"/>
      <c r="D1271" s="267"/>
      <c r="E1271" s="267">
        <v>10</v>
      </c>
      <c r="F1271" s="268"/>
      <c r="G1271" s="268"/>
      <c r="H1271" s="267" t="s">
        <v>0</v>
      </c>
      <c r="I1271" s="269">
        <f>SUM(I1272+I1273+I1274+I1279)</f>
        <v>153331</v>
      </c>
      <c r="J1271" s="269">
        <f>J1272+J1273+J1274+J1279</f>
        <v>147725</v>
      </c>
      <c r="K1271" s="269">
        <f>K1272+K1273+K1274+K1279</f>
        <v>147725</v>
      </c>
      <c r="L1271" s="270">
        <f>L1272+L1273+L1274+L1279</f>
        <v>141555</v>
      </c>
      <c r="M1271" s="270">
        <f>M1272+M1273+M1274+M1279</f>
        <v>123457</v>
      </c>
      <c r="N1271" s="534"/>
      <c r="O1271" s="269"/>
      <c r="P1271" s="269"/>
      <c r="Q1271" s="269"/>
      <c r="R1271" s="270"/>
      <c r="S1271" s="270"/>
      <c r="T1271" s="534"/>
      <c r="U1271" s="271">
        <f t="shared" si="76"/>
        <v>153331</v>
      </c>
    </row>
    <row r="1272" spans="2:21" x14ac:dyDescent="0.2">
      <c r="B1272" s="8">
        <f t="shared" si="75"/>
        <v>580</v>
      </c>
      <c r="C1272" s="24"/>
      <c r="D1272" s="24"/>
      <c r="E1272" s="24"/>
      <c r="F1272" s="149" t="s">
        <v>168</v>
      </c>
      <c r="G1272" s="150">
        <v>610</v>
      </c>
      <c r="H1272" s="24" t="s">
        <v>141</v>
      </c>
      <c r="I1272" s="25">
        <v>102200</v>
      </c>
      <c r="J1272" s="25">
        <v>82925</v>
      </c>
      <c r="K1272" s="25">
        <v>82925</v>
      </c>
      <c r="L1272" s="26">
        <v>84358</v>
      </c>
      <c r="M1272" s="26">
        <v>70344</v>
      </c>
      <c r="N1272" s="501"/>
      <c r="O1272" s="25"/>
      <c r="P1272" s="25"/>
      <c r="Q1272" s="25"/>
      <c r="R1272" s="26"/>
      <c r="S1272" s="26"/>
      <c r="T1272" s="501"/>
      <c r="U1272" s="151">
        <f t="shared" si="76"/>
        <v>102200</v>
      </c>
    </row>
    <row r="1273" spans="2:21" x14ac:dyDescent="0.2">
      <c r="B1273" s="8">
        <f t="shared" si="75"/>
        <v>581</v>
      </c>
      <c r="C1273" s="24"/>
      <c r="D1273" s="24"/>
      <c r="E1273" s="24"/>
      <c r="F1273" s="149" t="s">
        <v>168</v>
      </c>
      <c r="G1273" s="150">
        <v>620</v>
      </c>
      <c r="H1273" s="24" t="s">
        <v>134</v>
      </c>
      <c r="I1273" s="25">
        <v>36120</v>
      </c>
      <c r="J1273" s="25">
        <v>29980</v>
      </c>
      <c r="K1273" s="25">
        <v>29980</v>
      </c>
      <c r="L1273" s="26">
        <v>30848</v>
      </c>
      <c r="M1273" s="26">
        <v>25181</v>
      </c>
      <c r="N1273" s="501"/>
      <c r="O1273" s="25"/>
      <c r="P1273" s="25"/>
      <c r="Q1273" s="25"/>
      <c r="R1273" s="26"/>
      <c r="S1273" s="26"/>
      <c r="T1273" s="501"/>
      <c r="U1273" s="151">
        <f t="shared" si="76"/>
        <v>36120</v>
      </c>
    </row>
    <row r="1274" spans="2:21" x14ac:dyDescent="0.2">
      <c r="B1274" s="8">
        <f t="shared" si="75"/>
        <v>582</v>
      </c>
      <c r="C1274" s="24"/>
      <c r="D1274" s="24"/>
      <c r="E1274" s="24"/>
      <c r="F1274" s="149" t="s">
        <v>168</v>
      </c>
      <c r="G1274" s="150">
        <v>630</v>
      </c>
      <c r="H1274" s="24" t="s">
        <v>131</v>
      </c>
      <c r="I1274" s="25">
        <f>SUM(I1275:I1278)</f>
        <v>14511</v>
      </c>
      <c r="J1274" s="25">
        <f>J1278+J1277+J1276+J1275</f>
        <v>33820</v>
      </c>
      <c r="K1274" s="25">
        <f>K1278+K1277+K1276+K1275</f>
        <v>33820</v>
      </c>
      <c r="L1274" s="26">
        <f>L1278+L1277+L1276+L1275</f>
        <v>23500</v>
      </c>
      <c r="M1274" s="26">
        <f>M1278+M1277+M1276+M1275</f>
        <v>26984</v>
      </c>
      <c r="N1274" s="501"/>
      <c r="O1274" s="25"/>
      <c r="P1274" s="25"/>
      <c r="Q1274" s="25"/>
      <c r="R1274" s="26"/>
      <c r="S1274" s="26"/>
      <c r="T1274" s="501"/>
      <c r="U1274" s="151">
        <f t="shared" si="76"/>
        <v>14511</v>
      </c>
    </row>
    <row r="1275" spans="2:21" x14ac:dyDescent="0.2">
      <c r="B1275" s="8">
        <f t="shared" si="75"/>
        <v>583</v>
      </c>
      <c r="C1275" s="18"/>
      <c r="D1275" s="18"/>
      <c r="E1275" s="18"/>
      <c r="F1275" s="152"/>
      <c r="G1275" s="153">
        <v>632</v>
      </c>
      <c r="H1275" s="18" t="s">
        <v>144</v>
      </c>
      <c r="I1275" s="19">
        <v>3800</v>
      </c>
      <c r="J1275" s="19">
        <v>25000</v>
      </c>
      <c r="K1275" s="19">
        <v>25000</v>
      </c>
      <c r="L1275" s="20">
        <v>4500</v>
      </c>
      <c r="M1275" s="20">
        <v>4000</v>
      </c>
      <c r="N1275" s="164"/>
      <c r="O1275" s="19"/>
      <c r="P1275" s="19"/>
      <c r="Q1275" s="19"/>
      <c r="R1275" s="20"/>
      <c r="S1275" s="20"/>
      <c r="T1275" s="164"/>
      <c r="U1275" s="154">
        <f t="shared" si="76"/>
        <v>3800</v>
      </c>
    </row>
    <row r="1276" spans="2:21" x14ac:dyDescent="0.2">
      <c r="B1276" s="8">
        <f t="shared" si="75"/>
        <v>584</v>
      </c>
      <c r="C1276" s="18"/>
      <c r="D1276" s="18"/>
      <c r="E1276" s="18"/>
      <c r="F1276" s="152"/>
      <c r="G1276" s="153">
        <v>633</v>
      </c>
      <c r="H1276" s="18" t="s">
        <v>135</v>
      </c>
      <c r="I1276" s="19">
        <f>8000-764</f>
        <v>7236</v>
      </c>
      <c r="J1276" s="19">
        <v>6100</v>
      </c>
      <c r="K1276" s="19">
        <v>6100</v>
      </c>
      <c r="L1276" s="20">
        <v>9000</v>
      </c>
      <c r="M1276" s="20">
        <v>9000</v>
      </c>
      <c r="N1276" s="164"/>
      <c r="O1276" s="19"/>
      <c r="P1276" s="19"/>
      <c r="Q1276" s="19"/>
      <c r="R1276" s="20"/>
      <c r="S1276" s="20"/>
      <c r="T1276" s="164"/>
      <c r="U1276" s="154">
        <f t="shared" si="76"/>
        <v>7236</v>
      </c>
    </row>
    <row r="1277" spans="2:21" x14ac:dyDescent="0.2">
      <c r="B1277" s="8">
        <f t="shared" si="75"/>
        <v>585</v>
      </c>
      <c r="C1277" s="18"/>
      <c r="D1277" s="18"/>
      <c r="E1277" s="18"/>
      <c r="F1277" s="152"/>
      <c r="G1277" s="153">
        <v>635</v>
      </c>
      <c r="H1277" s="18" t="s">
        <v>143</v>
      </c>
      <c r="I1277" s="19">
        <v>1000</v>
      </c>
      <c r="J1277" s="19">
        <v>500</v>
      </c>
      <c r="K1277" s="19">
        <v>500</v>
      </c>
      <c r="L1277" s="20">
        <v>4000</v>
      </c>
      <c r="M1277" s="20">
        <v>9000</v>
      </c>
      <c r="N1277" s="164"/>
      <c r="O1277" s="19"/>
      <c r="P1277" s="19"/>
      <c r="Q1277" s="19"/>
      <c r="R1277" s="20"/>
      <c r="S1277" s="20"/>
      <c r="T1277" s="164"/>
      <c r="U1277" s="154">
        <f t="shared" si="76"/>
        <v>1000</v>
      </c>
    </row>
    <row r="1278" spans="2:21" x14ac:dyDescent="0.2">
      <c r="B1278" s="8">
        <f t="shared" si="75"/>
        <v>586</v>
      </c>
      <c r="C1278" s="18"/>
      <c r="D1278" s="18"/>
      <c r="E1278" s="18"/>
      <c r="F1278" s="152"/>
      <c r="G1278" s="153">
        <v>637</v>
      </c>
      <c r="H1278" s="18" t="s">
        <v>132</v>
      </c>
      <c r="I1278" s="19">
        <v>2475</v>
      </c>
      <c r="J1278" s="19">
        <v>2220</v>
      </c>
      <c r="K1278" s="19">
        <v>2220</v>
      </c>
      <c r="L1278" s="20">
        <v>6000</v>
      </c>
      <c r="M1278" s="20">
        <v>4984</v>
      </c>
      <c r="N1278" s="164"/>
      <c r="O1278" s="19"/>
      <c r="P1278" s="19"/>
      <c r="Q1278" s="19"/>
      <c r="R1278" s="20"/>
      <c r="S1278" s="20"/>
      <c r="T1278" s="164"/>
      <c r="U1278" s="154">
        <f t="shared" si="76"/>
        <v>2475</v>
      </c>
    </row>
    <row r="1279" spans="2:21" x14ac:dyDescent="0.2">
      <c r="B1279" s="8">
        <f t="shared" si="75"/>
        <v>587</v>
      </c>
      <c r="C1279" s="24"/>
      <c r="D1279" s="24"/>
      <c r="E1279" s="24"/>
      <c r="F1279" s="149" t="s">
        <v>168</v>
      </c>
      <c r="G1279" s="150">
        <v>640</v>
      </c>
      <c r="H1279" s="24" t="s">
        <v>139</v>
      </c>
      <c r="I1279" s="25">
        <v>500</v>
      </c>
      <c r="J1279" s="25">
        <v>1000</v>
      </c>
      <c r="K1279" s="25">
        <v>1000</v>
      </c>
      <c r="L1279" s="26">
        <v>2849</v>
      </c>
      <c r="M1279" s="26">
        <v>948</v>
      </c>
      <c r="N1279" s="501"/>
      <c r="O1279" s="25"/>
      <c r="P1279" s="25"/>
      <c r="Q1279" s="25"/>
      <c r="R1279" s="26"/>
      <c r="S1279" s="26"/>
      <c r="T1279" s="501"/>
      <c r="U1279" s="151">
        <f t="shared" si="76"/>
        <v>500</v>
      </c>
    </row>
    <row r="1280" spans="2:21" ht="14.25" x14ac:dyDescent="0.2">
      <c r="B1280" s="8">
        <f t="shared" si="75"/>
        <v>588</v>
      </c>
      <c r="C1280" s="267"/>
      <c r="D1280" s="267"/>
      <c r="E1280" s="267">
        <v>11</v>
      </c>
      <c r="F1280" s="268"/>
      <c r="G1280" s="268"/>
      <c r="H1280" s="267" t="s">
        <v>8</v>
      </c>
      <c r="I1280" s="269">
        <f>I1281+I1282+I1283+I1288</f>
        <v>387567</v>
      </c>
      <c r="J1280" s="269">
        <f>J1281+J1282+J1283+J1288</f>
        <v>284057</v>
      </c>
      <c r="K1280" s="269">
        <f>K1281+K1282+K1283+K1288</f>
        <v>296207</v>
      </c>
      <c r="L1280" s="270">
        <f>L1281+L1282+L1283+L1288</f>
        <v>229224</v>
      </c>
      <c r="M1280" s="270">
        <f>M1281+M1282+M1283+M1288</f>
        <v>203298</v>
      </c>
      <c r="N1280" s="534"/>
      <c r="O1280" s="269"/>
      <c r="P1280" s="269"/>
      <c r="Q1280" s="269"/>
      <c r="R1280" s="270"/>
      <c r="S1280" s="270"/>
      <c r="T1280" s="534"/>
      <c r="U1280" s="271">
        <f t="shared" si="76"/>
        <v>387567</v>
      </c>
    </row>
    <row r="1281" spans="2:21" x14ac:dyDescent="0.2">
      <c r="B1281" s="8">
        <f t="shared" si="75"/>
        <v>589</v>
      </c>
      <c r="C1281" s="24"/>
      <c r="D1281" s="24"/>
      <c r="E1281" s="24"/>
      <c r="F1281" s="149" t="s">
        <v>168</v>
      </c>
      <c r="G1281" s="150">
        <v>610</v>
      </c>
      <c r="H1281" s="24" t="s">
        <v>141</v>
      </c>
      <c r="I1281" s="25">
        <v>252970</v>
      </c>
      <c r="J1281" s="25">
        <v>184313</v>
      </c>
      <c r="K1281" s="25">
        <v>193313</v>
      </c>
      <c r="L1281" s="26">
        <v>152170</v>
      </c>
      <c r="M1281" s="26">
        <v>133524</v>
      </c>
      <c r="N1281" s="501"/>
      <c r="O1281" s="25"/>
      <c r="P1281" s="25"/>
      <c r="Q1281" s="25"/>
      <c r="R1281" s="26"/>
      <c r="S1281" s="26"/>
      <c r="T1281" s="501"/>
      <c r="U1281" s="151">
        <f t="shared" si="76"/>
        <v>252970</v>
      </c>
    </row>
    <row r="1282" spans="2:21" x14ac:dyDescent="0.2">
      <c r="B1282" s="8">
        <f t="shared" si="75"/>
        <v>590</v>
      </c>
      <c r="C1282" s="24"/>
      <c r="D1282" s="24"/>
      <c r="E1282" s="24"/>
      <c r="F1282" s="149" t="s">
        <v>168</v>
      </c>
      <c r="G1282" s="150">
        <v>620</v>
      </c>
      <c r="H1282" s="24" t="s">
        <v>134</v>
      </c>
      <c r="I1282" s="25">
        <v>95435</v>
      </c>
      <c r="J1282" s="25">
        <v>69714</v>
      </c>
      <c r="K1282" s="25">
        <v>72864</v>
      </c>
      <c r="L1282" s="26">
        <v>56053</v>
      </c>
      <c r="M1282" s="26">
        <v>49174</v>
      </c>
      <c r="N1282" s="501"/>
      <c r="O1282" s="25"/>
      <c r="P1282" s="25"/>
      <c r="Q1282" s="25"/>
      <c r="R1282" s="26"/>
      <c r="S1282" s="26"/>
      <c r="T1282" s="501"/>
      <c r="U1282" s="151">
        <f t="shared" si="76"/>
        <v>95435</v>
      </c>
    </row>
    <row r="1283" spans="2:21" x14ac:dyDescent="0.2">
      <c r="B1283" s="8">
        <f t="shared" si="75"/>
        <v>591</v>
      </c>
      <c r="C1283" s="24"/>
      <c r="D1283" s="24"/>
      <c r="E1283" s="24"/>
      <c r="F1283" s="149" t="s">
        <v>168</v>
      </c>
      <c r="G1283" s="150">
        <v>630</v>
      </c>
      <c r="H1283" s="24" t="s">
        <v>131</v>
      </c>
      <c r="I1283" s="25">
        <f>SUM(I1284:I1287)</f>
        <v>34162</v>
      </c>
      <c r="J1283" s="25">
        <f>J1287+J1285+J1284+J1286</f>
        <v>27080</v>
      </c>
      <c r="K1283" s="25">
        <f>K1287+K1285+K1284+K1286</f>
        <v>27080</v>
      </c>
      <c r="L1283" s="26">
        <f>L1287+L1285+L1284+L1286</f>
        <v>19800</v>
      </c>
      <c r="M1283" s="26">
        <f>M1287+M1285+M1284</f>
        <v>20311</v>
      </c>
      <c r="N1283" s="501"/>
      <c r="O1283" s="25"/>
      <c r="P1283" s="25"/>
      <c r="Q1283" s="25"/>
      <c r="R1283" s="26"/>
      <c r="S1283" s="26"/>
      <c r="T1283" s="501"/>
      <c r="U1283" s="151">
        <f t="shared" si="76"/>
        <v>34162</v>
      </c>
    </row>
    <row r="1284" spans="2:21" x14ac:dyDescent="0.2">
      <c r="B1284" s="8">
        <f t="shared" si="75"/>
        <v>592</v>
      </c>
      <c r="C1284" s="18"/>
      <c r="D1284" s="18"/>
      <c r="E1284" s="18"/>
      <c r="F1284" s="152"/>
      <c r="G1284" s="153">
        <v>632</v>
      </c>
      <c r="H1284" s="18" t="s">
        <v>144</v>
      </c>
      <c r="I1284" s="19">
        <v>16100</v>
      </c>
      <c r="J1284" s="19">
        <v>14000</v>
      </c>
      <c r="K1284" s="19">
        <v>14000</v>
      </c>
      <c r="L1284" s="20">
        <v>5544</v>
      </c>
      <c r="M1284" s="20">
        <v>9820</v>
      </c>
      <c r="N1284" s="164"/>
      <c r="O1284" s="19"/>
      <c r="P1284" s="19"/>
      <c r="Q1284" s="19"/>
      <c r="R1284" s="20"/>
      <c r="S1284" s="20"/>
      <c r="T1284" s="164"/>
      <c r="U1284" s="154">
        <f t="shared" si="76"/>
        <v>16100</v>
      </c>
    </row>
    <row r="1285" spans="2:21" x14ac:dyDescent="0.2">
      <c r="B1285" s="8">
        <f t="shared" si="75"/>
        <v>593</v>
      </c>
      <c r="C1285" s="18"/>
      <c r="D1285" s="18"/>
      <c r="E1285" s="18"/>
      <c r="F1285" s="152"/>
      <c r="G1285" s="153">
        <v>633</v>
      </c>
      <c r="H1285" s="18" t="s">
        <v>135</v>
      </c>
      <c r="I1285" s="19">
        <f>7260-1798</f>
        <v>5462</v>
      </c>
      <c r="J1285" s="19">
        <v>5540</v>
      </c>
      <c r="K1285" s="19">
        <v>5540</v>
      </c>
      <c r="L1285" s="20">
        <v>4092</v>
      </c>
      <c r="M1285" s="20">
        <v>6711</v>
      </c>
      <c r="N1285" s="164"/>
      <c r="O1285" s="19"/>
      <c r="P1285" s="19"/>
      <c r="Q1285" s="19"/>
      <c r="R1285" s="20"/>
      <c r="S1285" s="20"/>
      <c r="T1285" s="164"/>
      <c r="U1285" s="154">
        <f t="shared" si="76"/>
        <v>5462</v>
      </c>
    </row>
    <row r="1286" spans="2:21" x14ac:dyDescent="0.2">
      <c r="B1286" s="8">
        <f t="shared" si="75"/>
        <v>594</v>
      </c>
      <c r="C1286" s="18"/>
      <c r="D1286" s="18"/>
      <c r="E1286" s="18"/>
      <c r="F1286" s="152"/>
      <c r="G1286" s="153">
        <v>635</v>
      </c>
      <c r="H1286" s="18" t="s">
        <v>143</v>
      </c>
      <c r="I1286" s="19">
        <v>3000</v>
      </c>
      <c r="J1286" s="19">
        <v>3000</v>
      </c>
      <c r="K1286" s="19">
        <v>3000</v>
      </c>
      <c r="L1286" s="20">
        <v>4828</v>
      </c>
      <c r="M1286" s="20"/>
      <c r="N1286" s="164"/>
      <c r="O1286" s="19"/>
      <c r="P1286" s="19"/>
      <c r="Q1286" s="19"/>
      <c r="R1286" s="20"/>
      <c r="S1286" s="20"/>
      <c r="T1286" s="164"/>
      <c r="U1286" s="154">
        <f t="shared" si="76"/>
        <v>3000</v>
      </c>
    </row>
    <row r="1287" spans="2:21" x14ac:dyDescent="0.2">
      <c r="B1287" s="8">
        <f t="shared" si="75"/>
        <v>595</v>
      </c>
      <c r="C1287" s="18"/>
      <c r="D1287" s="18"/>
      <c r="E1287" s="18"/>
      <c r="F1287" s="152"/>
      <c r="G1287" s="153">
        <v>637</v>
      </c>
      <c r="H1287" s="18" t="s">
        <v>132</v>
      </c>
      <c r="I1287" s="19">
        <v>9600</v>
      </c>
      <c r="J1287" s="19">
        <v>4540</v>
      </c>
      <c r="K1287" s="19">
        <v>4540</v>
      </c>
      <c r="L1287" s="20">
        <v>5336</v>
      </c>
      <c r="M1287" s="20">
        <v>3780</v>
      </c>
      <c r="N1287" s="164"/>
      <c r="O1287" s="19"/>
      <c r="P1287" s="19"/>
      <c r="Q1287" s="19"/>
      <c r="R1287" s="20"/>
      <c r="S1287" s="20"/>
      <c r="T1287" s="164"/>
      <c r="U1287" s="154">
        <f t="shared" si="76"/>
        <v>9600</v>
      </c>
    </row>
    <row r="1288" spans="2:21" x14ac:dyDescent="0.2">
      <c r="B1288" s="8">
        <f t="shared" si="75"/>
        <v>596</v>
      </c>
      <c r="C1288" s="24"/>
      <c r="D1288" s="24"/>
      <c r="E1288" s="24"/>
      <c r="F1288" s="149" t="s">
        <v>168</v>
      </c>
      <c r="G1288" s="150">
        <v>640</v>
      </c>
      <c r="H1288" s="24" t="s">
        <v>139</v>
      </c>
      <c r="I1288" s="25">
        <v>5000</v>
      </c>
      <c r="J1288" s="25">
        <v>2950</v>
      </c>
      <c r="K1288" s="25">
        <v>2950</v>
      </c>
      <c r="L1288" s="26">
        <v>1201</v>
      </c>
      <c r="M1288" s="26">
        <v>289</v>
      </c>
      <c r="N1288" s="501"/>
      <c r="O1288" s="25"/>
      <c r="P1288" s="25"/>
      <c r="Q1288" s="25"/>
      <c r="R1288" s="26"/>
      <c r="S1288" s="26"/>
      <c r="T1288" s="501"/>
      <c r="U1288" s="151">
        <f t="shared" si="76"/>
        <v>5000</v>
      </c>
    </row>
    <row r="1289" spans="2:21" ht="14.25" x14ac:dyDescent="0.2">
      <c r="B1289" s="8">
        <f t="shared" si="75"/>
        <v>597</v>
      </c>
      <c r="C1289" s="267"/>
      <c r="D1289" s="267"/>
      <c r="E1289" s="267">
        <v>12</v>
      </c>
      <c r="F1289" s="268"/>
      <c r="G1289" s="268"/>
      <c r="H1289" s="267" t="s">
        <v>6</v>
      </c>
      <c r="I1289" s="269">
        <f>I1290+I1291+I1292+I1297</f>
        <v>330400</v>
      </c>
      <c r="J1289" s="269">
        <f>J1290+J1291+J1292+J1297</f>
        <v>280815</v>
      </c>
      <c r="K1289" s="269">
        <f>K1290+K1291+K1292+K1297</f>
        <v>288850</v>
      </c>
      <c r="L1289" s="270">
        <f>L1290+L1291+L1292+L1297</f>
        <v>246992</v>
      </c>
      <c r="M1289" s="270">
        <f>M1290+M1291+M1292+M1297</f>
        <v>212891</v>
      </c>
      <c r="N1289" s="534"/>
      <c r="O1289" s="269"/>
      <c r="P1289" s="269"/>
      <c r="Q1289" s="269"/>
      <c r="R1289" s="270"/>
      <c r="S1289" s="270"/>
      <c r="T1289" s="534"/>
      <c r="U1289" s="271">
        <f t="shared" si="76"/>
        <v>330400</v>
      </c>
    </row>
    <row r="1290" spans="2:21" x14ac:dyDescent="0.2">
      <c r="B1290" s="8">
        <f t="shared" si="75"/>
        <v>598</v>
      </c>
      <c r="C1290" s="24"/>
      <c r="D1290" s="24"/>
      <c r="E1290" s="24"/>
      <c r="F1290" s="149" t="s">
        <v>168</v>
      </c>
      <c r="G1290" s="150">
        <v>610</v>
      </c>
      <c r="H1290" s="24" t="s">
        <v>141</v>
      </c>
      <c r="I1290" s="25">
        <v>220640</v>
      </c>
      <c r="J1290" s="25">
        <v>176332</v>
      </c>
      <c r="K1290" s="25">
        <v>182262</v>
      </c>
      <c r="L1290" s="26">
        <v>158009</v>
      </c>
      <c r="M1290" s="26">
        <v>141154</v>
      </c>
      <c r="N1290" s="501"/>
      <c r="O1290" s="25"/>
      <c r="P1290" s="25"/>
      <c r="Q1290" s="25"/>
      <c r="R1290" s="26"/>
      <c r="S1290" s="26"/>
      <c r="T1290" s="501"/>
      <c r="U1290" s="151">
        <f t="shared" si="76"/>
        <v>220640</v>
      </c>
    </row>
    <row r="1291" spans="2:21" x14ac:dyDescent="0.2">
      <c r="B1291" s="8">
        <f t="shared" si="75"/>
        <v>599</v>
      </c>
      <c r="C1291" s="24"/>
      <c r="D1291" s="24"/>
      <c r="E1291" s="24"/>
      <c r="F1291" s="149" t="s">
        <v>168</v>
      </c>
      <c r="G1291" s="150">
        <v>620</v>
      </c>
      <c r="H1291" s="24" t="s">
        <v>134</v>
      </c>
      <c r="I1291" s="25">
        <v>76800</v>
      </c>
      <c r="J1291" s="25">
        <v>71209</v>
      </c>
      <c r="K1291" s="25">
        <v>73314</v>
      </c>
      <c r="L1291" s="26">
        <v>63530</v>
      </c>
      <c r="M1291" s="26">
        <v>50952</v>
      </c>
      <c r="N1291" s="501"/>
      <c r="O1291" s="25"/>
      <c r="P1291" s="25"/>
      <c r="Q1291" s="25"/>
      <c r="R1291" s="26"/>
      <c r="S1291" s="26"/>
      <c r="T1291" s="501"/>
      <c r="U1291" s="151">
        <f t="shared" si="76"/>
        <v>76800</v>
      </c>
    </row>
    <row r="1292" spans="2:21" x14ac:dyDescent="0.2">
      <c r="B1292" s="8">
        <f t="shared" si="75"/>
        <v>600</v>
      </c>
      <c r="C1292" s="24"/>
      <c r="D1292" s="24"/>
      <c r="E1292" s="24"/>
      <c r="F1292" s="149" t="s">
        <v>168</v>
      </c>
      <c r="G1292" s="150">
        <v>630</v>
      </c>
      <c r="H1292" s="24" t="s">
        <v>131</v>
      </c>
      <c r="I1292" s="25">
        <f>SUM(I1293:I1296)</f>
        <v>25460</v>
      </c>
      <c r="J1292" s="25">
        <f>J1296+J1295+J1294+J1293</f>
        <v>25834</v>
      </c>
      <c r="K1292" s="25">
        <f>K1296+K1295+K1294+K1293</f>
        <v>25834</v>
      </c>
      <c r="L1292" s="26">
        <f>L1296+L1295+L1294+L1293</f>
        <v>21179</v>
      </c>
      <c r="M1292" s="26">
        <f>M1296+M1295+M1294+M1293</f>
        <v>19921</v>
      </c>
      <c r="N1292" s="501"/>
      <c r="O1292" s="25"/>
      <c r="P1292" s="25"/>
      <c r="Q1292" s="25"/>
      <c r="R1292" s="26"/>
      <c r="S1292" s="26"/>
      <c r="T1292" s="501"/>
      <c r="U1292" s="151">
        <f t="shared" si="76"/>
        <v>25460</v>
      </c>
    </row>
    <row r="1293" spans="2:21" x14ac:dyDescent="0.2">
      <c r="B1293" s="8">
        <f t="shared" si="75"/>
        <v>601</v>
      </c>
      <c r="C1293" s="18"/>
      <c r="D1293" s="18"/>
      <c r="E1293" s="18"/>
      <c r="F1293" s="152"/>
      <c r="G1293" s="153">
        <v>631</v>
      </c>
      <c r="H1293" s="18" t="s">
        <v>137</v>
      </c>
      <c r="I1293" s="19">
        <v>100</v>
      </c>
      <c r="J1293" s="19">
        <v>100</v>
      </c>
      <c r="K1293" s="19">
        <v>100</v>
      </c>
      <c r="L1293" s="20">
        <v>0</v>
      </c>
      <c r="M1293" s="20"/>
      <c r="N1293" s="164"/>
      <c r="O1293" s="19"/>
      <c r="P1293" s="19"/>
      <c r="Q1293" s="19"/>
      <c r="R1293" s="20"/>
      <c r="S1293" s="20"/>
      <c r="T1293" s="164"/>
      <c r="U1293" s="154">
        <f t="shared" si="76"/>
        <v>100</v>
      </c>
    </row>
    <row r="1294" spans="2:21" x14ac:dyDescent="0.2">
      <c r="B1294" s="8">
        <f t="shared" si="75"/>
        <v>602</v>
      </c>
      <c r="C1294" s="18"/>
      <c r="D1294" s="18"/>
      <c r="E1294" s="18"/>
      <c r="F1294" s="152"/>
      <c r="G1294" s="153">
        <v>632</v>
      </c>
      <c r="H1294" s="18" t="s">
        <v>144</v>
      </c>
      <c r="I1294" s="19">
        <v>11000</v>
      </c>
      <c r="J1294" s="19">
        <v>10950</v>
      </c>
      <c r="K1294" s="19">
        <v>10950</v>
      </c>
      <c r="L1294" s="20">
        <v>7388</v>
      </c>
      <c r="M1294" s="20">
        <v>7399</v>
      </c>
      <c r="N1294" s="164"/>
      <c r="O1294" s="19"/>
      <c r="P1294" s="19"/>
      <c r="Q1294" s="19"/>
      <c r="R1294" s="20"/>
      <c r="S1294" s="20"/>
      <c r="T1294" s="164"/>
      <c r="U1294" s="154">
        <f t="shared" si="76"/>
        <v>11000</v>
      </c>
    </row>
    <row r="1295" spans="2:21" x14ac:dyDescent="0.2">
      <c r="B1295" s="8">
        <f t="shared" si="75"/>
        <v>603</v>
      </c>
      <c r="C1295" s="18"/>
      <c r="D1295" s="18"/>
      <c r="E1295" s="18"/>
      <c r="F1295" s="152"/>
      <c r="G1295" s="153">
        <v>633</v>
      </c>
      <c r="H1295" s="18" t="s">
        <v>135</v>
      </c>
      <c r="I1295" s="19">
        <f>11100-1340</f>
        <v>9760</v>
      </c>
      <c r="J1295" s="19">
        <v>10750</v>
      </c>
      <c r="K1295" s="19">
        <v>10750</v>
      </c>
      <c r="L1295" s="20">
        <v>10403</v>
      </c>
      <c r="M1295" s="20">
        <v>9403</v>
      </c>
      <c r="N1295" s="164"/>
      <c r="O1295" s="19"/>
      <c r="P1295" s="19"/>
      <c r="Q1295" s="19"/>
      <c r="R1295" s="20"/>
      <c r="S1295" s="20"/>
      <c r="T1295" s="164"/>
      <c r="U1295" s="154">
        <f t="shared" si="76"/>
        <v>9760</v>
      </c>
    </row>
    <row r="1296" spans="2:21" x14ac:dyDescent="0.2">
      <c r="B1296" s="8">
        <f t="shared" si="75"/>
        <v>604</v>
      </c>
      <c r="C1296" s="18"/>
      <c r="D1296" s="18"/>
      <c r="E1296" s="18"/>
      <c r="F1296" s="152"/>
      <c r="G1296" s="153">
        <v>637</v>
      </c>
      <c r="H1296" s="18" t="s">
        <v>132</v>
      </c>
      <c r="I1296" s="19">
        <v>4600</v>
      </c>
      <c r="J1296" s="19">
        <v>4034</v>
      </c>
      <c r="K1296" s="19">
        <v>4034</v>
      </c>
      <c r="L1296" s="20">
        <v>3388</v>
      </c>
      <c r="M1296" s="20">
        <v>3119</v>
      </c>
      <c r="N1296" s="164"/>
      <c r="O1296" s="19"/>
      <c r="P1296" s="19"/>
      <c r="Q1296" s="19"/>
      <c r="R1296" s="20"/>
      <c r="S1296" s="20"/>
      <c r="T1296" s="164"/>
      <c r="U1296" s="154">
        <f t="shared" si="76"/>
        <v>4600</v>
      </c>
    </row>
    <row r="1297" spans="2:21" x14ac:dyDescent="0.2">
      <c r="B1297" s="8">
        <f t="shared" si="75"/>
        <v>605</v>
      </c>
      <c r="C1297" s="24"/>
      <c r="D1297" s="24"/>
      <c r="E1297" s="24"/>
      <c r="F1297" s="149" t="s">
        <v>168</v>
      </c>
      <c r="G1297" s="150">
        <v>640</v>
      </c>
      <c r="H1297" s="24" t="s">
        <v>139</v>
      </c>
      <c r="I1297" s="25">
        <v>7500</v>
      </c>
      <c r="J1297" s="25">
        <v>7440</v>
      </c>
      <c r="K1297" s="25">
        <v>7440</v>
      </c>
      <c r="L1297" s="26">
        <v>4274</v>
      </c>
      <c r="M1297" s="26">
        <v>864</v>
      </c>
      <c r="N1297" s="501"/>
      <c r="O1297" s="25"/>
      <c r="P1297" s="25"/>
      <c r="Q1297" s="25"/>
      <c r="R1297" s="26"/>
      <c r="S1297" s="26"/>
      <c r="T1297" s="501"/>
      <c r="U1297" s="151">
        <f t="shared" si="76"/>
        <v>7500</v>
      </c>
    </row>
    <row r="1298" spans="2:21" ht="14.25" x14ac:dyDescent="0.2">
      <c r="B1298" s="8">
        <f t="shared" si="75"/>
        <v>606</v>
      </c>
      <c r="C1298" s="267"/>
      <c r="D1298" s="267"/>
      <c r="E1298" s="267">
        <v>13</v>
      </c>
      <c r="F1298" s="268"/>
      <c r="G1298" s="268"/>
      <c r="H1298" s="267" t="s">
        <v>14</v>
      </c>
      <c r="I1298" s="269">
        <f>I1299+I1300+I1301+I1306</f>
        <v>115627</v>
      </c>
      <c r="J1298" s="269">
        <f>J1299+J1300+J1301+J1306</f>
        <v>101884</v>
      </c>
      <c r="K1298" s="269">
        <f>K1299+K1300+K1301+K1306</f>
        <v>101884</v>
      </c>
      <c r="L1298" s="270">
        <f>L1299+L1300+L1301+L1306</f>
        <v>68405</v>
      </c>
      <c r="M1298" s="270">
        <f>M1299+M1300+M1301+M1306</f>
        <v>62875</v>
      </c>
      <c r="N1298" s="534"/>
      <c r="O1298" s="269"/>
      <c r="P1298" s="269"/>
      <c r="Q1298" s="269"/>
      <c r="R1298" s="270"/>
      <c r="S1298" s="270"/>
      <c r="T1298" s="534"/>
      <c r="U1298" s="271">
        <f t="shared" si="76"/>
        <v>115627</v>
      </c>
    </row>
    <row r="1299" spans="2:21" x14ac:dyDescent="0.2">
      <c r="B1299" s="8">
        <f t="shared" si="75"/>
        <v>607</v>
      </c>
      <c r="C1299" s="24"/>
      <c r="D1299" s="24"/>
      <c r="E1299" s="24"/>
      <c r="F1299" s="149" t="s">
        <v>168</v>
      </c>
      <c r="G1299" s="150">
        <v>610</v>
      </c>
      <c r="H1299" s="24" t="s">
        <v>141</v>
      </c>
      <c r="I1299" s="25">
        <v>67340</v>
      </c>
      <c r="J1299" s="25">
        <v>60840</v>
      </c>
      <c r="K1299" s="25">
        <v>60840</v>
      </c>
      <c r="L1299" s="26">
        <v>43051</v>
      </c>
      <c r="M1299" s="26">
        <v>38927</v>
      </c>
      <c r="N1299" s="501"/>
      <c r="O1299" s="25"/>
      <c r="P1299" s="25"/>
      <c r="Q1299" s="25"/>
      <c r="R1299" s="26"/>
      <c r="S1299" s="26"/>
      <c r="T1299" s="501"/>
      <c r="U1299" s="151">
        <f t="shared" si="76"/>
        <v>67340</v>
      </c>
    </row>
    <row r="1300" spans="2:21" x14ac:dyDescent="0.2">
      <c r="B1300" s="8">
        <f t="shared" si="75"/>
        <v>608</v>
      </c>
      <c r="C1300" s="24"/>
      <c r="D1300" s="24"/>
      <c r="E1300" s="24"/>
      <c r="F1300" s="149" t="s">
        <v>168</v>
      </c>
      <c r="G1300" s="150">
        <v>620</v>
      </c>
      <c r="H1300" s="24" t="s">
        <v>134</v>
      </c>
      <c r="I1300" s="25">
        <v>24410</v>
      </c>
      <c r="J1300" s="25">
        <v>22896</v>
      </c>
      <c r="K1300" s="25">
        <v>22896</v>
      </c>
      <c r="L1300" s="26">
        <v>15080</v>
      </c>
      <c r="M1300" s="26">
        <v>13709</v>
      </c>
      <c r="N1300" s="501"/>
      <c r="O1300" s="25"/>
      <c r="P1300" s="25"/>
      <c r="Q1300" s="25"/>
      <c r="R1300" s="26"/>
      <c r="S1300" s="26"/>
      <c r="T1300" s="501"/>
      <c r="U1300" s="151">
        <f t="shared" si="76"/>
        <v>24410</v>
      </c>
    </row>
    <row r="1301" spans="2:21" x14ac:dyDescent="0.2">
      <c r="B1301" s="8">
        <f t="shared" si="75"/>
        <v>609</v>
      </c>
      <c r="C1301" s="24"/>
      <c r="D1301" s="24"/>
      <c r="E1301" s="24"/>
      <c r="F1301" s="149" t="s">
        <v>168</v>
      </c>
      <c r="G1301" s="150">
        <v>630</v>
      </c>
      <c r="H1301" s="24" t="s">
        <v>131</v>
      </c>
      <c r="I1301" s="25">
        <f>SUM(I1302:I1305)</f>
        <v>20976</v>
      </c>
      <c r="J1301" s="25">
        <f>J1305+J1304+J1303+J1302</f>
        <v>15410</v>
      </c>
      <c r="K1301" s="25">
        <f>K1305+K1304+K1303+K1302</f>
        <v>15410</v>
      </c>
      <c r="L1301" s="26">
        <f>L1305+L1304+L1303+L1302</f>
        <v>10023</v>
      </c>
      <c r="M1301" s="26">
        <f>M1305+M1304+M1303+M1302</f>
        <v>10100</v>
      </c>
      <c r="N1301" s="501"/>
      <c r="O1301" s="25"/>
      <c r="P1301" s="25"/>
      <c r="Q1301" s="25"/>
      <c r="R1301" s="26"/>
      <c r="S1301" s="26"/>
      <c r="T1301" s="501"/>
      <c r="U1301" s="151">
        <f t="shared" si="76"/>
        <v>20976</v>
      </c>
    </row>
    <row r="1302" spans="2:21" x14ac:dyDescent="0.2">
      <c r="B1302" s="8">
        <f t="shared" si="75"/>
        <v>610</v>
      </c>
      <c r="C1302" s="18"/>
      <c r="D1302" s="18"/>
      <c r="E1302" s="18"/>
      <c r="F1302" s="152"/>
      <c r="G1302" s="153">
        <v>632</v>
      </c>
      <c r="H1302" s="18" t="s">
        <v>144</v>
      </c>
      <c r="I1302" s="19">
        <v>12900</v>
      </c>
      <c r="J1302" s="19">
        <v>6020</v>
      </c>
      <c r="K1302" s="19">
        <v>6020</v>
      </c>
      <c r="L1302" s="20">
        <v>5000</v>
      </c>
      <c r="M1302" s="20">
        <v>4500</v>
      </c>
      <c r="N1302" s="164"/>
      <c r="O1302" s="19"/>
      <c r="P1302" s="19"/>
      <c r="Q1302" s="19"/>
      <c r="R1302" s="20"/>
      <c r="S1302" s="20"/>
      <c r="T1302" s="164"/>
      <c r="U1302" s="154">
        <f t="shared" si="76"/>
        <v>12900</v>
      </c>
    </row>
    <row r="1303" spans="2:21" x14ac:dyDescent="0.2">
      <c r="B1303" s="8">
        <f t="shared" si="75"/>
        <v>611</v>
      </c>
      <c r="C1303" s="18"/>
      <c r="D1303" s="18"/>
      <c r="E1303" s="18"/>
      <c r="F1303" s="152"/>
      <c r="G1303" s="153">
        <v>633</v>
      </c>
      <c r="H1303" s="18" t="s">
        <v>135</v>
      </c>
      <c r="I1303" s="19">
        <f>4500-1104</f>
        <v>3396</v>
      </c>
      <c r="J1303" s="19">
        <v>4590</v>
      </c>
      <c r="K1303" s="19">
        <v>4590</v>
      </c>
      <c r="L1303" s="20">
        <v>670</v>
      </c>
      <c r="M1303" s="20">
        <v>900</v>
      </c>
      <c r="N1303" s="164"/>
      <c r="O1303" s="19"/>
      <c r="P1303" s="19"/>
      <c r="Q1303" s="19"/>
      <c r="R1303" s="20"/>
      <c r="S1303" s="20"/>
      <c r="T1303" s="164"/>
      <c r="U1303" s="154">
        <f t="shared" si="76"/>
        <v>3396</v>
      </c>
    </row>
    <row r="1304" spans="2:21" x14ac:dyDescent="0.2">
      <c r="B1304" s="8">
        <f t="shared" si="75"/>
        <v>612</v>
      </c>
      <c r="C1304" s="18"/>
      <c r="D1304" s="18"/>
      <c r="E1304" s="18"/>
      <c r="F1304" s="152"/>
      <c r="G1304" s="153">
        <v>635</v>
      </c>
      <c r="H1304" s="18" t="s">
        <v>143</v>
      </c>
      <c r="I1304" s="19">
        <v>3500</v>
      </c>
      <c r="J1304" s="19">
        <v>3500</v>
      </c>
      <c r="K1304" s="19">
        <v>3500</v>
      </c>
      <c r="L1304" s="20">
        <v>2923</v>
      </c>
      <c r="M1304" s="20">
        <v>3300</v>
      </c>
      <c r="N1304" s="164"/>
      <c r="O1304" s="19"/>
      <c r="P1304" s="19"/>
      <c r="Q1304" s="19"/>
      <c r="R1304" s="20"/>
      <c r="S1304" s="20"/>
      <c r="T1304" s="164"/>
      <c r="U1304" s="154">
        <f t="shared" si="76"/>
        <v>3500</v>
      </c>
    </row>
    <row r="1305" spans="2:21" x14ac:dyDescent="0.2">
      <c r="B1305" s="8">
        <f t="shared" si="75"/>
        <v>613</v>
      </c>
      <c r="C1305" s="18"/>
      <c r="D1305" s="18"/>
      <c r="E1305" s="18"/>
      <c r="F1305" s="152"/>
      <c r="G1305" s="153">
        <v>637</v>
      </c>
      <c r="H1305" s="18" t="s">
        <v>132</v>
      </c>
      <c r="I1305" s="19">
        <v>1180</v>
      </c>
      <c r="J1305" s="19">
        <v>1300</v>
      </c>
      <c r="K1305" s="19">
        <v>1300</v>
      </c>
      <c r="L1305" s="20">
        <v>1430</v>
      </c>
      <c r="M1305" s="20">
        <v>1400</v>
      </c>
      <c r="N1305" s="164"/>
      <c r="O1305" s="19"/>
      <c r="P1305" s="19"/>
      <c r="Q1305" s="19"/>
      <c r="R1305" s="20"/>
      <c r="S1305" s="20"/>
      <c r="T1305" s="164"/>
      <c r="U1305" s="154">
        <f t="shared" si="76"/>
        <v>1180</v>
      </c>
    </row>
    <row r="1306" spans="2:21" x14ac:dyDescent="0.2">
      <c r="B1306" s="8">
        <f t="shared" si="75"/>
        <v>614</v>
      </c>
      <c r="C1306" s="24"/>
      <c r="D1306" s="24"/>
      <c r="E1306" s="24"/>
      <c r="F1306" s="149" t="s">
        <v>168</v>
      </c>
      <c r="G1306" s="150">
        <v>640</v>
      </c>
      <c r="H1306" s="24" t="s">
        <v>139</v>
      </c>
      <c r="I1306" s="25">
        <v>2901</v>
      </c>
      <c r="J1306" s="25">
        <v>2738</v>
      </c>
      <c r="K1306" s="25">
        <v>2738</v>
      </c>
      <c r="L1306" s="26">
        <v>251</v>
      </c>
      <c r="M1306" s="26">
        <v>139</v>
      </c>
      <c r="N1306" s="501"/>
      <c r="O1306" s="25"/>
      <c r="P1306" s="25"/>
      <c r="Q1306" s="25"/>
      <c r="R1306" s="26"/>
      <c r="S1306" s="26"/>
      <c r="T1306" s="501"/>
      <c r="U1306" s="151">
        <f t="shared" si="76"/>
        <v>2901</v>
      </c>
    </row>
    <row r="1307" spans="2:21" ht="14.25" x14ac:dyDescent="0.2">
      <c r="B1307" s="8">
        <f t="shared" si="75"/>
        <v>615</v>
      </c>
      <c r="C1307" s="267"/>
      <c r="D1307" s="267"/>
      <c r="E1307" s="267">
        <v>14</v>
      </c>
      <c r="F1307" s="268"/>
      <c r="G1307" s="268"/>
      <c r="H1307" s="267" t="s">
        <v>1</v>
      </c>
      <c r="I1307" s="269">
        <f>I1308+I1309+I1310+I1317</f>
        <v>1753085</v>
      </c>
      <c r="J1307" s="269">
        <f>J1308+J1309+J1310+J1317</f>
        <v>1468237</v>
      </c>
      <c r="K1307" s="269">
        <f>K1308+K1309+K1310+K1317</f>
        <v>1469809</v>
      </c>
      <c r="L1307" s="270">
        <f>L1308+L1309+L1310+L1317</f>
        <v>1376396</v>
      </c>
      <c r="M1307" s="270">
        <f>M1308+M1309+M1310+M1317</f>
        <v>1231290</v>
      </c>
      <c r="N1307" s="534"/>
      <c r="O1307" s="269">
        <f>O1318</f>
        <v>60000</v>
      </c>
      <c r="P1307" s="269"/>
      <c r="Q1307" s="269">
        <f>Q1318</f>
        <v>5800</v>
      </c>
      <c r="R1307" s="270">
        <f>R1318</f>
        <v>11889</v>
      </c>
      <c r="S1307" s="270"/>
      <c r="T1307" s="534"/>
      <c r="U1307" s="271">
        <f t="shared" si="76"/>
        <v>1813085</v>
      </c>
    </row>
    <row r="1308" spans="2:21" x14ac:dyDescent="0.2">
      <c r="B1308" s="8">
        <f t="shared" si="75"/>
        <v>616</v>
      </c>
      <c r="C1308" s="24"/>
      <c r="D1308" s="24"/>
      <c r="E1308" s="24"/>
      <c r="F1308" s="149" t="s">
        <v>168</v>
      </c>
      <c r="G1308" s="150">
        <v>610</v>
      </c>
      <c r="H1308" s="24" t="s">
        <v>141</v>
      </c>
      <c r="I1308" s="25">
        <f>828100+48600+84900+10800+156000</f>
        <v>1128400</v>
      </c>
      <c r="J1308" s="25">
        <v>928000</v>
      </c>
      <c r="K1308" s="25">
        <v>942550</v>
      </c>
      <c r="L1308" s="26">
        <v>868550</v>
      </c>
      <c r="M1308" s="26">
        <v>816979</v>
      </c>
      <c r="N1308" s="501"/>
      <c r="O1308" s="25"/>
      <c r="P1308" s="25"/>
      <c r="Q1308" s="25"/>
      <c r="R1308" s="26"/>
      <c r="S1308" s="26"/>
      <c r="T1308" s="501"/>
      <c r="U1308" s="151">
        <f t="shared" si="76"/>
        <v>1128400</v>
      </c>
    </row>
    <row r="1309" spans="2:21" x14ac:dyDescent="0.2">
      <c r="B1309" s="8">
        <f t="shared" si="75"/>
        <v>617</v>
      </c>
      <c r="C1309" s="24"/>
      <c r="D1309" s="24"/>
      <c r="E1309" s="24"/>
      <c r="F1309" s="149" t="s">
        <v>168</v>
      </c>
      <c r="G1309" s="150">
        <v>620</v>
      </c>
      <c r="H1309" s="24" t="s">
        <v>134</v>
      </c>
      <c r="I1309" s="25">
        <f>63408+9984+5616+34992+13774+2184+137676+21840+7870+1248+29010+4608+9770+1460+46750+7410</f>
        <v>397600</v>
      </c>
      <c r="J1309" s="25">
        <v>327347</v>
      </c>
      <c r="K1309" s="25">
        <v>327865</v>
      </c>
      <c r="L1309" s="26">
        <v>302861</v>
      </c>
      <c r="M1309" s="26">
        <v>282618</v>
      </c>
      <c r="N1309" s="501"/>
      <c r="O1309" s="25"/>
      <c r="P1309" s="25"/>
      <c r="Q1309" s="25"/>
      <c r="R1309" s="26"/>
      <c r="S1309" s="26"/>
      <c r="T1309" s="501"/>
      <c r="U1309" s="151">
        <f t="shared" si="76"/>
        <v>397600</v>
      </c>
    </row>
    <row r="1310" spans="2:21" x14ac:dyDescent="0.2">
      <c r="B1310" s="8">
        <f t="shared" si="75"/>
        <v>618</v>
      </c>
      <c r="C1310" s="24"/>
      <c r="D1310" s="24"/>
      <c r="E1310" s="24"/>
      <c r="F1310" s="149" t="s">
        <v>168</v>
      </c>
      <c r="G1310" s="150">
        <v>630</v>
      </c>
      <c r="H1310" s="24" t="s">
        <v>131</v>
      </c>
      <c r="I1310" s="25">
        <f>SUM(I1311:I1316)</f>
        <v>209285</v>
      </c>
      <c r="J1310" s="25">
        <f>J1316+J1315+J1314+J1313+J1312+J1311</f>
        <v>191790</v>
      </c>
      <c r="K1310" s="25">
        <f>K1316+K1315+K1314+K1313+K1312+K1311</f>
        <v>178294</v>
      </c>
      <c r="L1310" s="26">
        <f>L1316+L1315+L1314+L1313+L1312+L1311</f>
        <v>183522</v>
      </c>
      <c r="M1310" s="26">
        <f>M1316+M1315+M1314+M1313+M1312+M1311</f>
        <v>123627</v>
      </c>
      <c r="N1310" s="501"/>
      <c r="O1310" s="25"/>
      <c r="P1310" s="25"/>
      <c r="Q1310" s="25"/>
      <c r="R1310" s="26"/>
      <c r="S1310" s="26"/>
      <c r="T1310" s="501"/>
      <c r="U1310" s="151">
        <f t="shared" si="76"/>
        <v>209285</v>
      </c>
    </row>
    <row r="1311" spans="2:21" x14ac:dyDescent="0.2">
      <c r="B1311" s="8">
        <f t="shared" si="75"/>
        <v>619</v>
      </c>
      <c r="C1311" s="18"/>
      <c r="D1311" s="18"/>
      <c r="E1311" s="18"/>
      <c r="F1311" s="152"/>
      <c r="G1311" s="153">
        <v>631</v>
      </c>
      <c r="H1311" s="18" t="s">
        <v>137</v>
      </c>
      <c r="I1311" s="19">
        <v>600</v>
      </c>
      <c r="J1311" s="19">
        <v>400</v>
      </c>
      <c r="K1311" s="19">
        <v>600</v>
      </c>
      <c r="L1311" s="20">
        <v>2721</v>
      </c>
      <c r="M1311" s="20">
        <v>149</v>
      </c>
      <c r="N1311" s="164"/>
      <c r="O1311" s="19"/>
      <c r="P1311" s="19"/>
      <c r="Q1311" s="19"/>
      <c r="R1311" s="20"/>
      <c r="S1311" s="20"/>
      <c r="T1311" s="164"/>
      <c r="U1311" s="154">
        <f t="shared" si="76"/>
        <v>600</v>
      </c>
    </row>
    <row r="1312" spans="2:21" x14ac:dyDescent="0.2">
      <c r="B1312" s="8">
        <f t="shared" si="75"/>
        <v>620</v>
      </c>
      <c r="C1312" s="18"/>
      <c r="D1312" s="18"/>
      <c r="E1312" s="18"/>
      <c r="F1312" s="152"/>
      <c r="G1312" s="153">
        <v>632</v>
      </c>
      <c r="H1312" s="18" t="s">
        <v>144</v>
      </c>
      <c r="I1312" s="19">
        <f>9300+73500+700+900+900+400+300+2700-3000</f>
        <v>85700</v>
      </c>
      <c r="J1312" s="19">
        <v>91510</v>
      </c>
      <c r="K1312" s="19">
        <v>66510</v>
      </c>
      <c r="L1312" s="20">
        <v>88981</v>
      </c>
      <c r="M1312" s="20">
        <v>27705</v>
      </c>
      <c r="N1312" s="164"/>
      <c r="O1312" s="19"/>
      <c r="P1312" s="19"/>
      <c r="Q1312" s="19"/>
      <c r="R1312" s="20"/>
      <c r="S1312" s="20"/>
      <c r="T1312" s="164"/>
      <c r="U1312" s="154">
        <f t="shared" si="76"/>
        <v>85700</v>
      </c>
    </row>
    <row r="1313" spans="2:21" x14ac:dyDescent="0.2">
      <c r="B1313" s="8">
        <f t="shared" si="75"/>
        <v>621</v>
      </c>
      <c r="C1313" s="18"/>
      <c r="D1313" s="18"/>
      <c r="E1313" s="18"/>
      <c r="F1313" s="152"/>
      <c r="G1313" s="153">
        <v>633</v>
      </c>
      <c r="H1313" s="18" t="s">
        <v>135</v>
      </c>
      <c r="I1313" s="19">
        <f>3000+6000+1000+800+4600+1500+1200+300+1000+500+100-5000</f>
        <v>15000</v>
      </c>
      <c r="J1313" s="19">
        <v>1600</v>
      </c>
      <c r="K1313" s="19">
        <v>15304</v>
      </c>
      <c r="L1313" s="20">
        <v>20543</v>
      </c>
      <c r="M1313" s="20">
        <v>26643</v>
      </c>
      <c r="N1313" s="164"/>
      <c r="O1313" s="19"/>
      <c r="P1313" s="19"/>
      <c r="Q1313" s="19"/>
      <c r="R1313" s="20"/>
      <c r="S1313" s="20"/>
      <c r="T1313" s="164"/>
      <c r="U1313" s="154">
        <f t="shared" si="76"/>
        <v>15000</v>
      </c>
    </row>
    <row r="1314" spans="2:21" x14ac:dyDescent="0.2">
      <c r="B1314" s="8">
        <f t="shared" ref="B1314:B1377" si="77">B1313+1</f>
        <v>622</v>
      </c>
      <c r="C1314" s="18"/>
      <c r="D1314" s="18"/>
      <c r="E1314" s="18"/>
      <c r="F1314" s="152"/>
      <c r="G1314" s="153">
        <v>635</v>
      </c>
      <c r="H1314" s="18" t="s">
        <v>143</v>
      </c>
      <c r="I1314" s="19">
        <f>100+10000+10000</f>
        <v>20100</v>
      </c>
      <c r="J1314" s="19">
        <v>23300</v>
      </c>
      <c r="K1314" s="19">
        <v>5300</v>
      </c>
      <c r="L1314" s="20">
        <v>8399</v>
      </c>
      <c r="M1314" s="20">
        <v>6432</v>
      </c>
      <c r="N1314" s="164"/>
      <c r="O1314" s="19"/>
      <c r="P1314" s="19"/>
      <c r="Q1314" s="19"/>
      <c r="R1314" s="20"/>
      <c r="S1314" s="20"/>
      <c r="T1314" s="164"/>
      <c r="U1314" s="154">
        <f t="shared" si="76"/>
        <v>20100</v>
      </c>
    </row>
    <row r="1315" spans="2:21" x14ac:dyDescent="0.2">
      <c r="B1315" s="8">
        <f t="shared" si="77"/>
        <v>623</v>
      </c>
      <c r="C1315" s="18"/>
      <c r="D1315" s="18"/>
      <c r="E1315" s="18"/>
      <c r="F1315" s="152"/>
      <c r="G1315" s="153">
        <v>636</v>
      </c>
      <c r="H1315" s="18" t="s">
        <v>136</v>
      </c>
      <c r="I1315" s="19">
        <v>2500</v>
      </c>
      <c r="J1315" s="19">
        <v>2500</v>
      </c>
      <c r="K1315" s="19">
        <v>3800</v>
      </c>
      <c r="L1315" s="20">
        <v>2561</v>
      </c>
      <c r="M1315" s="20">
        <v>1089</v>
      </c>
      <c r="N1315" s="164"/>
      <c r="O1315" s="19"/>
      <c r="P1315" s="19"/>
      <c r="Q1315" s="19"/>
      <c r="R1315" s="20"/>
      <c r="S1315" s="20"/>
      <c r="T1315" s="164"/>
      <c r="U1315" s="154">
        <f t="shared" si="76"/>
        <v>2500</v>
      </c>
    </row>
    <row r="1316" spans="2:21" x14ac:dyDescent="0.2">
      <c r="B1316" s="8">
        <f t="shared" si="77"/>
        <v>624</v>
      </c>
      <c r="C1316" s="18"/>
      <c r="D1316" s="18"/>
      <c r="E1316" s="18"/>
      <c r="F1316" s="152"/>
      <c r="G1316" s="153">
        <v>637</v>
      </c>
      <c r="H1316" s="18" t="s">
        <v>132</v>
      </c>
      <c r="I1316" s="19">
        <f>200+200+200+10000+800+200+13000+500+46700+900+11000+2000+2700-3015</f>
        <v>85385</v>
      </c>
      <c r="J1316" s="19">
        <v>72480</v>
      </c>
      <c r="K1316" s="19">
        <v>86780</v>
      </c>
      <c r="L1316" s="20">
        <v>60317</v>
      </c>
      <c r="M1316" s="20">
        <f>58113+3496</f>
        <v>61609</v>
      </c>
      <c r="N1316" s="164"/>
      <c r="O1316" s="19"/>
      <c r="P1316" s="19"/>
      <c r="Q1316" s="19"/>
      <c r="R1316" s="20"/>
      <c r="S1316" s="20"/>
      <c r="T1316" s="164"/>
      <c r="U1316" s="154">
        <f t="shared" si="76"/>
        <v>85385</v>
      </c>
    </row>
    <row r="1317" spans="2:21" x14ac:dyDescent="0.2">
      <c r="B1317" s="8">
        <f t="shared" si="77"/>
        <v>625</v>
      </c>
      <c r="C1317" s="24"/>
      <c r="D1317" s="24"/>
      <c r="E1317" s="24"/>
      <c r="F1317" s="149" t="s">
        <v>168</v>
      </c>
      <c r="G1317" s="150">
        <v>640</v>
      </c>
      <c r="H1317" s="24" t="s">
        <v>139</v>
      </c>
      <c r="I1317" s="25">
        <f>200+4500+10400+2700</f>
        <v>17800</v>
      </c>
      <c r="J1317" s="25">
        <v>21100</v>
      </c>
      <c r="K1317" s="25">
        <v>21100</v>
      </c>
      <c r="L1317" s="26">
        <v>21463</v>
      </c>
      <c r="M1317" s="26">
        <v>8066</v>
      </c>
      <c r="N1317" s="501"/>
      <c r="O1317" s="25"/>
      <c r="P1317" s="25"/>
      <c r="Q1317" s="25"/>
      <c r="R1317" s="26"/>
      <c r="S1317" s="26"/>
      <c r="T1317" s="501"/>
      <c r="U1317" s="151">
        <f t="shared" si="76"/>
        <v>17800</v>
      </c>
    </row>
    <row r="1318" spans="2:21" x14ac:dyDescent="0.2">
      <c r="B1318" s="8">
        <f t="shared" si="77"/>
        <v>626</v>
      </c>
      <c r="C1318" s="24"/>
      <c r="D1318" s="24"/>
      <c r="E1318" s="24"/>
      <c r="F1318" s="149" t="s">
        <v>168</v>
      </c>
      <c r="G1318" s="150">
        <v>710</v>
      </c>
      <c r="H1318" s="24" t="s">
        <v>185</v>
      </c>
      <c r="I1318" s="25"/>
      <c r="J1318" s="25"/>
      <c r="K1318" s="25"/>
      <c r="L1318" s="26"/>
      <c r="M1318" s="26"/>
      <c r="N1318" s="501"/>
      <c r="O1318" s="25">
        <f>O1319</f>
        <v>60000</v>
      </c>
      <c r="P1318" s="25"/>
      <c r="Q1318" s="25">
        <f>Q1319</f>
        <v>5800</v>
      </c>
      <c r="R1318" s="26">
        <f>R1322</f>
        <v>11889</v>
      </c>
      <c r="S1318" s="26"/>
      <c r="T1318" s="501"/>
      <c r="U1318" s="154">
        <f t="shared" si="76"/>
        <v>60000</v>
      </c>
    </row>
    <row r="1319" spans="2:21" x14ac:dyDescent="0.2">
      <c r="B1319" s="8">
        <f t="shared" si="77"/>
        <v>627</v>
      </c>
      <c r="C1319" s="24"/>
      <c r="D1319" s="24"/>
      <c r="E1319" s="24"/>
      <c r="F1319" s="149"/>
      <c r="G1319" s="153">
        <v>713</v>
      </c>
      <c r="H1319" s="18" t="s">
        <v>230</v>
      </c>
      <c r="I1319" s="25"/>
      <c r="J1319" s="25"/>
      <c r="K1319" s="25"/>
      <c r="L1319" s="26"/>
      <c r="M1319" s="26"/>
      <c r="N1319" s="501"/>
      <c r="O1319" s="19">
        <f>O1321</f>
        <v>60000</v>
      </c>
      <c r="P1319" s="25"/>
      <c r="Q1319" s="19">
        <f>Q1320</f>
        <v>5800</v>
      </c>
      <c r="R1319" s="26"/>
      <c r="S1319" s="26"/>
      <c r="T1319" s="501"/>
      <c r="U1319" s="154">
        <f t="shared" si="76"/>
        <v>60000</v>
      </c>
    </row>
    <row r="1320" spans="2:21" x14ac:dyDescent="0.2">
      <c r="B1320" s="8">
        <f t="shared" si="77"/>
        <v>628</v>
      </c>
      <c r="C1320" s="24"/>
      <c r="D1320" s="24"/>
      <c r="E1320" s="24"/>
      <c r="F1320" s="149"/>
      <c r="G1320" s="155"/>
      <c r="H1320" s="156" t="s">
        <v>1002</v>
      </c>
      <c r="I1320" s="25"/>
      <c r="J1320" s="25"/>
      <c r="K1320" s="25"/>
      <c r="L1320" s="26"/>
      <c r="M1320" s="26"/>
      <c r="N1320" s="501"/>
      <c r="O1320" s="25"/>
      <c r="P1320" s="25"/>
      <c r="Q1320" s="157">
        <v>5800</v>
      </c>
      <c r="R1320" s="26"/>
      <c r="S1320" s="26"/>
      <c r="T1320" s="501"/>
      <c r="U1320" s="159">
        <f t="shared" si="76"/>
        <v>0</v>
      </c>
    </row>
    <row r="1321" spans="2:21" x14ac:dyDescent="0.2">
      <c r="B1321" s="8">
        <f t="shared" si="77"/>
        <v>629</v>
      </c>
      <c r="C1321" s="24"/>
      <c r="D1321" s="24"/>
      <c r="E1321" s="24"/>
      <c r="F1321" s="149"/>
      <c r="G1321" s="155"/>
      <c r="H1321" s="156" t="s">
        <v>1089</v>
      </c>
      <c r="I1321" s="25"/>
      <c r="J1321" s="25"/>
      <c r="K1321" s="25"/>
      <c r="L1321" s="26"/>
      <c r="M1321" s="26"/>
      <c r="N1321" s="501"/>
      <c r="O1321" s="157">
        <v>60000</v>
      </c>
      <c r="P1321" s="25"/>
      <c r="Q1321" s="157"/>
      <c r="R1321" s="26"/>
      <c r="S1321" s="26"/>
      <c r="T1321" s="501"/>
      <c r="U1321" s="159">
        <f t="shared" si="76"/>
        <v>60000</v>
      </c>
    </row>
    <row r="1322" spans="2:21" x14ac:dyDescent="0.2">
      <c r="B1322" s="8">
        <f t="shared" si="77"/>
        <v>630</v>
      </c>
      <c r="C1322" s="24"/>
      <c r="D1322" s="24"/>
      <c r="E1322" s="24"/>
      <c r="F1322" s="152"/>
      <c r="G1322" s="153">
        <v>717</v>
      </c>
      <c r="H1322" s="18" t="s">
        <v>192</v>
      </c>
      <c r="I1322" s="25"/>
      <c r="J1322" s="25"/>
      <c r="K1322" s="25"/>
      <c r="L1322" s="26"/>
      <c r="M1322" s="26"/>
      <c r="N1322" s="501"/>
      <c r="O1322" s="25"/>
      <c r="P1322" s="25"/>
      <c r="Q1322" s="25"/>
      <c r="R1322" s="20">
        <f>R1323</f>
        <v>11889</v>
      </c>
      <c r="S1322" s="26"/>
      <c r="T1322" s="501"/>
      <c r="U1322" s="154">
        <f t="shared" si="76"/>
        <v>0</v>
      </c>
    </row>
    <row r="1323" spans="2:21" x14ac:dyDescent="0.2">
      <c r="B1323" s="8">
        <f t="shared" si="77"/>
        <v>631</v>
      </c>
      <c r="C1323" s="24"/>
      <c r="D1323" s="24"/>
      <c r="E1323" s="24"/>
      <c r="F1323" s="272"/>
      <c r="G1323" s="155"/>
      <c r="H1323" s="156" t="s">
        <v>782</v>
      </c>
      <c r="I1323" s="25"/>
      <c r="J1323" s="25"/>
      <c r="K1323" s="25"/>
      <c r="L1323" s="26"/>
      <c r="M1323" s="26"/>
      <c r="N1323" s="501"/>
      <c r="O1323" s="25"/>
      <c r="P1323" s="25"/>
      <c r="Q1323" s="157"/>
      <c r="R1323" s="158">
        <v>11889</v>
      </c>
      <c r="S1323" s="26"/>
      <c r="T1323" s="501"/>
      <c r="U1323" s="159">
        <f t="shared" si="76"/>
        <v>0</v>
      </c>
    </row>
    <row r="1324" spans="2:21" ht="15.75" x14ac:dyDescent="0.25">
      <c r="B1324" s="8">
        <f t="shared" si="77"/>
        <v>632</v>
      </c>
      <c r="C1324" s="141">
        <v>4</v>
      </c>
      <c r="D1324" s="677" t="s">
        <v>171</v>
      </c>
      <c r="E1324" s="678"/>
      <c r="F1324" s="678"/>
      <c r="G1324" s="678"/>
      <c r="H1324" s="678"/>
      <c r="I1324" s="142">
        <f>I1325+I1328+I1335+I1456+I1477+I1497+I1500+I1527+I1552+I1577+I1598</f>
        <v>5182187</v>
      </c>
      <c r="J1324" s="142">
        <f>J1325+J1328+J1335+J1456+J1477+J1497+J1500+J1527+J1552+J1577+J1598</f>
        <v>4563589</v>
      </c>
      <c r="K1324" s="142">
        <f>K1325+K1328+K1335+K1456+K1477+K1497+K1500+K1527+K1552+K1577+K1598</f>
        <v>4515609</v>
      </c>
      <c r="L1324" s="143">
        <f>L1325+L1328+L1335+L1456+L1477+L1497+L1500+L1527+L1552+L1577+L1598</f>
        <v>3619825</v>
      </c>
      <c r="M1324" s="143">
        <f>M1325+M1328+M1335+M1456+M1477+M1497+M1500+M1527+M1552+M1577+M1598</f>
        <v>3067118</v>
      </c>
      <c r="N1324" s="533"/>
      <c r="O1324" s="142"/>
      <c r="P1324" s="142">
        <f>P1335+P1456+P1477+P1497+P1500+P1527+P1552+P1577+P1598</f>
        <v>250000</v>
      </c>
      <c r="Q1324" s="142">
        <f>Q1335+Q1456+Q1477+Q1497+Q1500+Q1527+Q1552+Q1577+Q1598</f>
        <v>423700</v>
      </c>
      <c r="R1324" s="143">
        <f>R1335+R1456+R1477+R1497+R1500+R1527+R1552+R1577+R1598</f>
        <v>231060</v>
      </c>
      <c r="S1324" s="143">
        <f>S1335+S1456+S1477+S1497+S1500+S1527+S1552+S1577+S1598</f>
        <v>27303</v>
      </c>
      <c r="T1324" s="533"/>
      <c r="U1324" s="144">
        <f t="shared" si="76"/>
        <v>5182187</v>
      </c>
    </row>
    <row r="1325" spans="2:21" x14ac:dyDescent="0.2">
      <c r="B1325" s="8">
        <f t="shared" si="77"/>
        <v>633</v>
      </c>
      <c r="C1325" s="24"/>
      <c r="D1325" s="24"/>
      <c r="E1325" s="24"/>
      <c r="F1325" s="149" t="s">
        <v>170</v>
      </c>
      <c r="G1325" s="150">
        <v>630</v>
      </c>
      <c r="H1325" s="24" t="s">
        <v>131</v>
      </c>
      <c r="I1325" s="25"/>
      <c r="J1325" s="25"/>
      <c r="K1325" s="25">
        <f>K1326+K1327</f>
        <v>35980</v>
      </c>
      <c r="L1325" s="26">
        <f>L1327</f>
        <v>424754</v>
      </c>
      <c r="M1325" s="26">
        <f>M1326</f>
        <v>208529</v>
      </c>
      <c r="N1325" s="501"/>
      <c r="O1325" s="25"/>
      <c r="P1325" s="25"/>
      <c r="Q1325" s="25"/>
      <c r="R1325" s="26"/>
      <c r="S1325" s="26"/>
      <c r="T1325" s="501"/>
      <c r="U1325" s="151">
        <f t="shared" si="76"/>
        <v>0</v>
      </c>
    </row>
    <row r="1326" spans="2:21" x14ac:dyDescent="0.2">
      <c r="B1326" s="8">
        <f t="shared" si="77"/>
        <v>634</v>
      </c>
      <c r="C1326" s="18"/>
      <c r="D1326" s="18"/>
      <c r="E1326" s="18"/>
      <c r="F1326" s="152"/>
      <c r="G1326" s="153">
        <v>637</v>
      </c>
      <c r="H1326" s="18" t="s">
        <v>132</v>
      </c>
      <c r="I1326" s="19"/>
      <c r="J1326" s="19"/>
      <c r="K1326" s="19"/>
      <c r="L1326" s="20"/>
      <c r="M1326" s="20">
        <v>208529</v>
      </c>
      <c r="N1326" s="164"/>
      <c r="O1326" s="19"/>
      <c r="P1326" s="19"/>
      <c r="Q1326" s="19"/>
      <c r="R1326" s="20"/>
      <c r="S1326" s="20"/>
      <c r="T1326" s="164"/>
      <c r="U1326" s="154">
        <f t="shared" si="76"/>
        <v>0</v>
      </c>
    </row>
    <row r="1327" spans="2:21" x14ac:dyDescent="0.2">
      <c r="B1327" s="8">
        <f t="shared" si="77"/>
        <v>635</v>
      </c>
      <c r="C1327" s="18"/>
      <c r="D1327" s="18"/>
      <c r="E1327" s="18"/>
      <c r="F1327" s="152"/>
      <c r="G1327" s="153">
        <v>630</v>
      </c>
      <c r="H1327" s="18" t="s">
        <v>534</v>
      </c>
      <c r="I1327" s="19"/>
      <c r="J1327" s="19"/>
      <c r="K1327" s="19">
        <v>35980</v>
      </c>
      <c r="L1327" s="20">
        <v>424754</v>
      </c>
      <c r="M1327" s="20"/>
      <c r="N1327" s="164"/>
      <c r="O1327" s="19"/>
      <c r="P1327" s="19"/>
      <c r="Q1327" s="19"/>
      <c r="R1327" s="20"/>
      <c r="S1327" s="20"/>
      <c r="T1327" s="164"/>
      <c r="U1327" s="154">
        <f t="shared" si="76"/>
        <v>0</v>
      </c>
    </row>
    <row r="1328" spans="2:21" x14ac:dyDescent="0.2">
      <c r="B1328" s="8">
        <f t="shared" si="77"/>
        <v>636</v>
      </c>
      <c r="C1328" s="24"/>
      <c r="D1328" s="24"/>
      <c r="E1328" s="24"/>
      <c r="F1328" s="149" t="s">
        <v>170</v>
      </c>
      <c r="G1328" s="150">
        <v>640</v>
      </c>
      <c r="H1328" s="24" t="s">
        <v>139</v>
      </c>
      <c r="I1328" s="25">
        <f>SUM(I1329:I1334)</f>
        <v>275220</v>
      </c>
      <c r="J1328" s="25">
        <f>SUM(J1329:J1334)</f>
        <v>273438</v>
      </c>
      <c r="K1328" s="25">
        <f>SUM(K1329:K1334)</f>
        <v>266495</v>
      </c>
      <c r="L1328" s="26">
        <f>SUM(L1329:L1334)</f>
        <v>238084</v>
      </c>
      <c r="M1328" s="26">
        <f>SUM(M1329:M1334)</f>
        <v>198134</v>
      </c>
      <c r="N1328" s="501"/>
      <c r="O1328" s="25"/>
      <c r="P1328" s="25"/>
      <c r="Q1328" s="25"/>
      <c r="R1328" s="26"/>
      <c r="S1328" s="26"/>
      <c r="T1328" s="501"/>
      <c r="U1328" s="151">
        <f t="shared" si="76"/>
        <v>275220</v>
      </c>
    </row>
    <row r="1329" spans="2:21" x14ac:dyDescent="0.2">
      <c r="B1329" s="8">
        <f t="shared" si="77"/>
        <v>637</v>
      </c>
      <c r="C1329" s="120"/>
      <c r="D1329" s="120"/>
      <c r="E1329" s="120"/>
      <c r="F1329" s="155"/>
      <c r="G1329" s="155"/>
      <c r="H1329" s="156" t="s">
        <v>609</v>
      </c>
      <c r="I1329" s="157">
        <v>28116</v>
      </c>
      <c r="J1329" s="157">
        <v>23760</v>
      </c>
      <c r="K1329" s="157">
        <v>23157</v>
      </c>
      <c r="L1329" s="158">
        <v>22372</v>
      </c>
      <c r="M1329" s="158">
        <v>18752</v>
      </c>
      <c r="N1329" s="535"/>
      <c r="O1329" s="157"/>
      <c r="P1329" s="157"/>
      <c r="Q1329" s="157"/>
      <c r="R1329" s="158"/>
      <c r="S1329" s="158"/>
      <c r="T1329" s="535"/>
      <c r="U1329" s="159">
        <f t="shared" ref="U1329:U1392" si="78">I1329+O1329</f>
        <v>28116</v>
      </c>
    </row>
    <row r="1330" spans="2:21" x14ac:dyDescent="0.2">
      <c r="B1330" s="8">
        <f t="shared" si="77"/>
        <v>638</v>
      </c>
      <c r="C1330" s="120"/>
      <c r="D1330" s="120"/>
      <c r="E1330" s="120"/>
      <c r="F1330" s="155"/>
      <c r="G1330" s="155"/>
      <c r="H1330" s="156" t="s">
        <v>610</v>
      </c>
      <c r="I1330" s="157">
        <v>33858</v>
      </c>
      <c r="J1330" s="157">
        <v>33066</v>
      </c>
      <c r="K1330" s="157">
        <v>32226</v>
      </c>
      <c r="L1330" s="158">
        <v>29101</v>
      </c>
      <c r="M1330" s="158">
        <v>25101</v>
      </c>
      <c r="N1330" s="535"/>
      <c r="O1330" s="157"/>
      <c r="P1330" s="157"/>
      <c r="Q1330" s="157"/>
      <c r="R1330" s="158"/>
      <c r="S1330" s="158"/>
      <c r="T1330" s="535"/>
      <c r="U1330" s="159">
        <f t="shared" si="78"/>
        <v>33858</v>
      </c>
    </row>
    <row r="1331" spans="2:21" x14ac:dyDescent="0.2">
      <c r="B1331" s="8">
        <f t="shared" si="77"/>
        <v>639</v>
      </c>
      <c r="C1331" s="120"/>
      <c r="D1331" s="120"/>
      <c r="E1331" s="120"/>
      <c r="F1331" s="155"/>
      <c r="G1331" s="155"/>
      <c r="H1331" s="156" t="s">
        <v>611</v>
      </c>
      <c r="I1331" s="157">
        <v>30690</v>
      </c>
      <c r="J1331" s="157">
        <v>28908</v>
      </c>
      <c r="K1331" s="157">
        <v>28174</v>
      </c>
      <c r="L1331" s="158">
        <v>25100</v>
      </c>
      <c r="M1331" s="158">
        <v>19490</v>
      </c>
      <c r="N1331" s="535"/>
      <c r="O1331" s="157"/>
      <c r="P1331" s="157"/>
      <c r="Q1331" s="157"/>
      <c r="R1331" s="158"/>
      <c r="S1331" s="158"/>
      <c r="T1331" s="535"/>
      <c r="U1331" s="159">
        <f t="shared" si="78"/>
        <v>30690</v>
      </c>
    </row>
    <row r="1332" spans="2:21" x14ac:dyDescent="0.2">
      <c r="B1332" s="8">
        <f t="shared" si="77"/>
        <v>640</v>
      </c>
      <c r="C1332" s="120"/>
      <c r="D1332" s="120"/>
      <c r="E1332" s="120"/>
      <c r="F1332" s="155"/>
      <c r="G1332" s="155"/>
      <c r="H1332" s="156" t="s">
        <v>612</v>
      </c>
      <c r="I1332" s="157">
        <v>9900</v>
      </c>
      <c r="J1332" s="157">
        <v>8712</v>
      </c>
      <c r="K1332" s="157">
        <v>8491</v>
      </c>
      <c r="L1332" s="158">
        <v>7094</v>
      </c>
      <c r="M1332" s="158">
        <v>1667</v>
      </c>
      <c r="N1332" s="535"/>
      <c r="O1332" s="157"/>
      <c r="P1332" s="157"/>
      <c r="Q1332" s="157"/>
      <c r="R1332" s="158"/>
      <c r="S1332" s="158"/>
      <c r="T1332" s="535"/>
      <c r="U1332" s="159">
        <f t="shared" si="78"/>
        <v>9900</v>
      </c>
    </row>
    <row r="1333" spans="2:21" x14ac:dyDescent="0.2">
      <c r="B1333" s="8">
        <f t="shared" si="77"/>
        <v>641</v>
      </c>
      <c r="C1333" s="120"/>
      <c r="D1333" s="120"/>
      <c r="E1333" s="120"/>
      <c r="F1333" s="155"/>
      <c r="G1333" s="155"/>
      <c r="H1333" s="156" t="s">
        <v>308</v>
      </c>
      <c r="I1333" s="157">
        <v>166518</v>
      </c>
      <c r="J1333" s="157">
        <v>172062</v>
      </c>
      <c r="K1333" s="157">
        <v>167693</v>
      </c>
      <c r="L1333" s="158">
        <v>149870</v>
      </c>
      <c r="M1333" s="158">
        <v>130466</v>
      </c>
      <c r="N1333" s="535"/>
      <c r="O1333" s="157"/>
      <c r="P1333" s="157"/>
      <c r="Q1333" s="157"/>
      <c r="R1333" s="158"/>
      <c r="S1333" s="158"/>
      <c r="T1333" s="535"/>
      <c r="U1333" s="159">
        <f t="shared" si="78"/>
        <v>166518</v>
      </c>
    </row>
    <row r="1334" spans="2:21" x14ac:dyDescent="0.2">
      <c r="B1334" s="8">
        <f t="shared" si="77"/>
        <v>642</v>
      </c>
      <c r="C1334" s="120"/>
      <c r="D1334" s="120"/>
      <c r="E1334" s="120"/>
      <c r="F1334" s="155"/>
      <c r="G1334" s="155"/>
      <c r="H1334" s="156" t="s">
        <v>395</v>
      </c>
      <c r="I1334" s="157">
        <v>6138</v>
      </c>
      <c r="J1334" s="157">
        <v>6930</v>
      </c>
      <c r="K1334" s="157">
        <v>6754</v>
      </c>
      <c r="L1334" s="158">
        <v>4547</v>
      </c>
      <c r="M1334" s="158">
        <v>2658</v>
      </c>
      <c r="N1334" s="535"/>
      <c r="O1334" s="157"/>
      <c r="P1334" s="157"/>
      <c r="Q1334" s="157"/>
      <c r="R1334" s="158"/>
      <c r="S1334" s="158"/>
      <c r="T1334" s="535"/>
      <c r="U1334" s="159">
        <f t="shared" si="78"/>
        <v>6138</v>
      </c>
    </row>
    <row r="1335" spans="2:21" ht="15.75" x14ac:dyDescent="0.25">
      <c r="B1335" s="8">
        <f t="shared" si="77"/>
        <v>643</v>
      </c>
      <c r="C1335" s="267"/>
      <c r="D1335" s="267"/>
      <c r="E1335" s="267">
        <v>4</v>
      </c>
      <c r="F1335" s="268"/>
      <c r="G1335" s="268"/>
      <c r="H1335" s="267" t="s">
        <v>89</v>
      </c>
      <c r="I1335" s="269">
        <f>I1447+I1435+I1424+I1416+I1408+I1400+I1392+I1384+I1376+I1368+I1360+I1352+I1344+I1336</f>
        <v>1615210</v>
      </c>
      <c r="J1335" s="269">
        <f>J1447+J1435+J1424+J1416+J1408+J1400+J1392+J1384+J1376+J1368+J1360+J1352+J1344+J1336</f>
        <v>1484819</v>
      </c>
      <c r="K1335" s="429">
        <f>K1447+K1435+K1424+K1416+K1408+K1400+K1392+K1384+K1376+K1368+K1360+K1352+K1344+K1336</f>
        <v>1488819</v>
      </c>
      <c r="L1335" s="270">
        <f>L1447+L1435+L1424+L1416+L1408+L1400+L1392+L1384+L1376+L1368+L1360+L1352+L1344+L1336</f>
        <v>1010769</v>
      </c>
      <c r="M1335" s="270">
        <f>M1447+M1435+M1424+M1416+M1408+M1400+M1392+M1384+M1376+M1368+M1360+M1352+M1344+M1336</f>
        <v>864395</v>
      </c>
      <c r="N1335" s="534"/>
      <c r="O1335" s="269"/>
      <c r="P1335" s="269"/>
      <c r="Q1335" s="269"/>
      <c r="R1335" s="270">
        <f>R1424+R1435</f>
        <v>8000</v>
      </c>
      <c r="S1335" s="270"/>
      <c r="T1335" s="534"/>
      <c r="U1335" s="271">
        <f t="shared" si="78"/>
        <v>1615210</v>
      </c>
    </row>
    <row r="1336" spans="2:21" x14ac:dyDescent="0.2">
      <c r="B1336" s="8">
        <f t="shared" si="77"/>
        <v>644</v>
      </c>
      <c r="C1336" s="280"/>
      <c r="D1336" s="280"/>
      <c r="E1336" s="280" t="s">
        <v>99</v>
      </c>
      <c r="F1336" s="281"/>
      <c r="G1336" s="281"/>
      <c r="H1336" s="280" t="s">
        <v>70</v>
      </c>
      <c r="I1336" s="282">
        <f>I1343+I1339+I1338+I1337</f>
        <v>88627</v>
      </c>
      <c r="J1336" s="282">
        <f>J1343+J1339+J1338+J1337</f>
        <v>79756</v>
      </c>
      <c r="K1336" s="282">
        <f>K1343+K1339+K1338+K1337</f>
        <v>80256</v>
      </c>
      <c r="L1336" s="283">
        <f>L1343+L1339+L1338+L1337</f>
        <v>57745</v>
      </c>
      <c r="M1336" s="283">
        <f>M1343+M1339+M1338+M1337</f>
        <v>53041</v>
      </c>
      <c r="N1336" s="501"/>
      <c r="O1336" s="282"/>
      <c r="P1336" s="282"/>
      <c r="Q1336" s="282"/>
      <c r="R1336" s="283"/>
      <c r="S1336" s="283"/>
      <c r="T1336" s="501"/>
      <c r="U1336" s="284">
        <f t="shared" si="78"/>
        <v>88627</v>
      </c>
    </row>
    <row r="1337" spans="2:21" x14ac:dyDescent="0.2">
      <c r="B1337" s="8">
        <f t="shared" si="77"/>
        <v>645</v>
      </c>
      <c r="C1337" s="24"/>
      <c r="D1337" s="24"/>
      <c r="E1337" s="24"/>
      <c r="F1337" s="149" t="s">
        <v>170</v>
      </c>
      <c r="G1337" s="150">
        <v>610</v>
      </c>
      <c r="H1337" s="24" t="s">
        <v>141</v>
      </c>
      <c r="I1337" s="25">
        <f>726+360+4155+23841</f>
        <v>29082</v>
      </c>
      <c r="J1337" s="25">
        <v>24960</v>
      </c>
      <c r="K1337" s="25">
        <v>24960</v>
      </c>
      <c r="L1337" s="26">
        <v>23969</v>
      </c>
      <c r="M1337" s="26">
        <v>21550</v>
      </c>
      <c r="N1337" s="501"/>
      <c r="O1337" s="25"/>
      <c r="P1337" s="25"/>
      <c r="Q1337" s="25"/>
      <c r="R1337" s="26"/>
      <c r="S1337" s="26"/>
      <c r="T1337" s="501"/>
      <c r="U1337" s="151">
        <f t="shared" si="78"/>
        <v>29082</v>
      </c>
    </row>
    <row r="1338" spans="2:21" x14ac:dyDescent="0.2">
      <c r="B1338" s="8">
        <f t="shared" si="77"/>
        <v>646</v>
      </c>
      <c r="C1338" s="24"/>
      <c r="D1338" s="24"/>
      <c r="E1338" s="24"/>
      <c r="F1338" s="149" t="s">
        <v>170</v>
      </c>
      <c r="G1338" s="150">
        <v>620</v>
      </c>
      <c r="H1338" s="24" t="s">
        <v>134</v>
      </c>
      <c r="I1338" s="25">
        <f>1472+310+930+582+248+4338+434+3098</f>
        <v>11412</v>
      </c>
      <c r="J1338" s="25">
        <v>9258</v>
      </c>
      <c r="K1338" s="25">
        <v>9258</v>
      </c>
      <c r="L1338" s="26">
        <v>8657</v>
      </c>
      <c r="M1338" s="26">
        <v>7710</v>
      </c>
      <c r="N1338" s="501"/>
      <c r="O1338" s="25"/>
      <c r="P1338" s="25"/>
      <c r="Q1338" s="25"/>
      <c r="R1338" s="26"/>
      <c r="S1338" s="26"/>
      <c r="T1338" s="501"/>
      <c r="U1338" s="151">
        <f t="shared" si="78"/>
        <v>11412</v>
      </c>
    </row>
    <row r="1339" spans="2:21" x14ac:dyDescent="0.2">
      <c r="B1339" s="8">
        <f t="shared" si="77"/>
        <v>647</v>
      </c>
      <c r="C1339" s="24"/>
      <c r="D1339" s="24"/>
      <c r="E1339" s="24"/>
      <c r="F1339" s="149" t="s">
        <v>170</v>
      </c>
      <c r="G1339" s="150">
        <v>630</v>
      </c>
      <c r="H1339" s="24" t="s">
        <v>131</v>
      </c>
      <c r="I1339" s="25">
        <f>I1342+I1341+I1340</f>
        <v>45881</v>
      </c>
      <c r="J1339" s="25">
        <f>J1342+J1341+J1340</f>
        <v>45088</v>
      </c>
      <c r="K1339" s="25">
        <f>K1342+K1341+K1340</f>
        <v>45588</v>
      </c>
      <c r="L1339" s="26">
        <f>L1342+L1341+L1340</f>
        <v>24818</v>
      </c>
      <c r="M1339" s="26">
        <f>M1342+M1341+M1340</f>
        <v>23671</v>
      </c>
      <c r="N1339" s="501"/>
      <c r="O1339" s="25"/>
      <c r="P1339" s="25"/>
      <c r="Q1339" s="25"/>
      <c r="R1339" s="26"/>
      <c r="S1339" s="26"/>
      <c r="T1339" s="501"/>
      <c r="U1339" s="151">
        <f t="shared" si="78"/>
        <v>45881</v>
      </c>
    </row>
    <row r="1340" spans="2:21" x14ac:dyDescent="0.2">
      <c r="B1340" s="8">
        <f t="shared" si="77"/>
        <v>648</v>
      </c>
      <c r="C1340" s="18"/>
      <c r="D1340" s="18"/>
      <c r="E1340" s="18"/>
      <c r="F1340" s="152"/>
      <c r="G1340" s="153">
        <v>633</v>
      </c>
      <c r="H1340" s="18" t="s">
        <v>135</v>
      </c>
      <c r="I1340" s="19">
        <f>150+500+2000+29282+2000+280+6174</f>
        <v>40386</v>
      </c>
      <c r="J1340" s="19">
        <v>41846</v>
      </c>
      <c r="K1340" s="19">
        <v>41846</v>
      </c>
      <c r="L1340" s="20">
        <v>18818</v>
      </c>
      <c r="M1340" s="20">
        <v>16821</v>
      </c>
      <c r="N1340" s="164"/>
      <c r="O1340" s="19"/>
      <c r="P1340" s="19"/>
      <c r="Q1340" s="19"/>
      <c r="R1340" s="20"/>
      <c r="S1340" s="20"/>
      <c r="T1340" s="164"/>
      <c r="U1340" s="154">
        <f t="shared" si="78"/>
        <v>40386</v>
      </c>
    </row>
    <row r="1341" spans="2:21" x14ac:dyDescent="0.2">
      <c r="B1341" s="8">
        <f t="shared" si="77"/>
        <v>649</v>
      </c>
      <c r="C1341" s="18"/>
      <c r="D1341" s="18"/>
      <c r="E1341" s="18"/>
      <c r="F1341" s="152"/>
      <c r="G1341" s="153">
        <v>635</v>
      </c>
      <c r="H1341" s="18" t="s">
        <v>143</v>
      </c>
      <c r="I1341" s="19">
        <f>100+3400</f>
        <v>3500</v>
      </c>
      <c r="J1341" s="19">
        <v>2000</v>
      </c>
      <c r="K1341" s="19">
        <v>2500</v>
      </c>
      <c r="L1341" s="20">
        <v>4933</v>
      </c>
      <c r="M1341" s="20">
        <v>5997</v>
      </c>
      <c r="N1341" s="164"/>
      <c r="O1341" s="19"/>
      <c r="P1341" s="19"/>
      <c r="Q1341" s="19"/>
      <c r="R1341" s="20"/>
      <c r="S1341" s="20"/>
      <c r="T1341" s="164"/>
      <c r="U1341" s="154">
        <f t="shared" si="78"/>
        <v>3500</v>
      </c>
    </row>
    <row r="1342" spans="2:21" x14ac:dyDescent="0.2">
      <c r="B1342" s="8">
        <f t="shared" si="77"/>
        <v>650</v>
      </c>
      <c r="C1342" s="18"/>
      <c r="D1342" s="18"/>
      <c r="E1342" s="18"/>
      <c r="F1342" s="152"/>
      <c r="G1342" s="153">
        <v>637</v>
      </c>
      <c r="H1342" s="18" t="s">
        <v>132</v>
      </c>
      <c r="I1342" s="19">
        <f>100+436+1459</f>
        <v>1995</v>
      </c>
      <c r="J1342" s="19">
        <v>1242</v>
      </c>
      <c r="K1342" s="19">
        <v>1242</v>
      </c>
      <c r="L1342" s="20">
        <v>1067</v>
      </c>
      <c r="M1342" s="20">
        <v>853</v>
      </c>
      <c r="N1342" s="164"/>
      <c r="O1342" s="19"/>
      <c r="P1342" s="19"/>
      <c r="Q1342" s="19"/>
      <c r="R1342" s="20"/>
      <c r="S1342" s="20"/>
      <c r="T1342" s="164"/>
      <c r="U1342" s="154">
        <f t="shared" si="78"/>
        <v>1995</v>
      </c>
    </row>
    <row r="1343" spans="2:21" x14ac:dyDescent="0.2">
      <c r="B1343" s="8">
        <f t="shared" si="77"/>
        <v>651</v>
      </c>
      <c r="C1343" s="24"/>
      <c r="D1343" s="24"/>
      <c r="E1343" s="24"/>
      <c r="F1343" s="149" t="s">
        <v>170</v>
      </c>
      <c r="G1343" s="150">
        <v>640</v>
      </c>
      <c r="H1343" s="24" t="s">
        <v>139</v>
      </c>
      <c r="I1343" s="25">
        <f>1802+450</f>
        <v>2252</v>
      </c>
      <c r="J1343" s="25">
        <v>450</v>
      </c>
      <c r="K1343" s="25">
        <v>450</v>
      </c>
      <c r="L1343" s="26">
        <v>301</v>
      </c>
      <c r="M1343" s="26">
        <v>110</v>
      </c>
      <c r="N1343" s="501"/>
      <c r="O1343" s="25"/>
      <c r="P1343" s="25"/>
      <c r="Q1343" s="25"/>
      <c r="R1343" s="26"/>
      <c r="S1343" s="26"/>
      <c r="T1343" s="501"/>
      <c r="U1343" s="151">
        <f t="shared" si="78"/>
        <v>2252</v>
      </c>
    </row>
    <row r="1344" spans="2:21" x14ac:dyDescent="0.2">
      <c r="B1344" s="8">
        <f t="shared" si="77"/>
        <v>652</v>
      </c>
      <c r="C1344" s="280"/>
      <c r="D1344" s="280"/>
      <c r="E1344" s="280" t="s">
        <v>98</v>
      </c>
      <c r="F1344" s="281"/>
      <c r="G1344" s="281"/>
      <c r="H1344" s="280" t="s">
        <v>238</v>
      </c>
      <c r="I1344" s="282">
        <f>I1351+I1347+I1346+I1345</f>
        <v>141772</v>
      </c>
      <c r="J1344" s="282">
        <f>J1351+J1347+J1346+J1345</f>
        <v>134475</v>
      </c>
      <c r="K1344" s="282">
        <f>K1351+K1347+K1346+K1345</f>
        <v>134475</v>
      </c>
      <c r="L1344" s="283">
        <f>L1351+L1347+L1346+L1345</f>
        <v>87590</v>
      </c>
      <c r="M1344" s="283">
        <f>M1351+M1347+M1346+M1345</f>
        <v>69598</v>
      </c>
      <c r="N1344" s="501"/>
      <c r="O1344" s="282"/>
      <c r="P1344" s="282"/>
      <c r="Q1344" s="282"/>
      <c r="R1344" s="283"/>
      <c r="S1344" s="283"/>
      <c r="T1344" s="501"/>
      <c r="U1344" s="284">
        <f t="shared" si="78"/>
        <v>141772</v>
      </c>
    </row>
    <row r="1345" spans="2:21" x14ac:dyDescent="0.2">
      <c r="B1345" s="8">
        <f t="shared" si="77"/>
        <v>653</v>
      </c>
      <c r="C1345" s="24"/>
      <c r="D1345" s="24"/>
      <c r="E1345" s="24"/>
      <c r="F1345" s="149" t="s">
        <v>170</v>
      </c>
      <c r="G1345" s="150">
        <v>610</v>
      </c>
      <c r="H1345" s="24" t="s">
        <v>141</v>
      </c>
      <c r="I1345" s="25">
        <f>810+600+6314+36471</f>
        <v>44195</v>
      </c>
      <c r="J1345" s="25">
        <v>37890</v>
      </c>
      <c r="K1345" s="25">
        <v>37890</v>
      </c>
      <c r="L1345" s="26">
        <v>36930</v>
      </c>
      <c r="M1345" s="26">
        <v>33767</v>
      </c>
      <c r="N1345" s="501"/>
      <c r="O1345" s="25"/>
      <c r="P1345" s="25"/>
      <c r="Q1345" s="25"/>
      <c r="R1345" s="26"/>
      <c r="S1345" s="26"/>
      <c r="T1345" s="501"/>
      <c r="U1345" s="151">
        <f t="shared" si="78"/>
        <v>44195</v>
      </c>
    </row>
    <row r="1346" spans="2:21" x14ac:dyDescent="0.2">
      <c r="B1346" s="8">
        <f t="shared" si="77"/>
        <v>654</v>
      </c>
      <c r="C1346" s="24"/>
      <c r="D1346" s="24"/>
      <c r="E1346" s="24"/>
      <c r="F1346" s="149" t="s">
        <v>170</v>
      </c>
      <c r="G1346" s="150">
        <v>620</v>
      </c>
      <c r="H1346" s="24" t="s">
        <v>134</v>
      </c>
      <c r="I1346" s="25">
        <f>2104+442+1329+884+354+6201+620+4430</f>
        <v>16364</v>
      </c>
      <c r="J1346" s="25">
        <v>14630</v>
      </c>
      <c r="K1346" s="25">
        <v>14630</v>
      </c>
      <c r="L1346" s="26">
        <v>13046</v>
      </c>
      <c r="M1346" s="26">
        <v>12184</v>
      </c>
      <c r="N1346" s="501"/>
      <c r="O1346" s="25"/>
      <c r="P1346" s="25"/>
      <c r="Q1346" s="25"/>
      <c r="R1346" s="26"/>
      <c r="S1346" s="26"/>
      <c r="T1346" s="501"/>
      <c r="U1346" s="151">
        <f t="shared" si="78"/>
        <v>16364</v>
      </c>
    </row>
    <row r="1347" spans="2:21" x14ac:dyDescent="0.2">
      <c r="B1347" s="8">
        <f t="shared" si="77"/>
        <v>655</v>
      </c>
      <c r="C1347" s="24"/>
      <c r="D1347" s="24"/>
      <c r="E1347" s="24"/>
      <c r="F1347" s="149" t="s">
        <v>170</v>
      </c>
      <c r="G1347" s="150">
        <v>630</v>
      </c>
      <c r="H1347" s="24" t="s">
        <v>131</v>
      </c>
      <c r="I1347" s="25">
        <f>I1350+I1349+I1348</f>
        <v>80763</v>
      </c>
      <c r="J1347" s="25">
        <f>J1350+J1349+J1348</f>
        <v>79805</v>
      </c>
      <c r="K1347" s="25">
        <f>K1350+K1349+K1348</f>
        <v>79805</v>
      </c>
      <c r="L1347" s="26">
        <f>L1350+L1349+L1348</f>
        <v>37325</v>
      </c>
      <c r="M1347" s="26">
        <f>M1350+M1349+M1348</f>
        <v>23517</v>
      </c>
      <c r="N1347" s="501"/>
      <c r="O1347" s="25"/>
      <c r="P1347" s="25"/>
      <c r="Q1347" s="25"/>
      <c r="R1347" s="26"/>
      <c r="S1347" s="26"/>
      <c r="T1347" s="501"/>
      <c r="U1347" s="151">
        <f t="shared" si="78"/>
        <v>80763</v>
      </c>
    </row>
    <row r="1348" spans="2:21" x14ac:dyDescent="0.2">
      <c r="B1348" s="8">
        <f t="shared" si="77"/>
        <v>656</v>
      </c>
      <c r="C1348" s="18"/>
      <c r="D1348" s="18"/>
      <c r="E1348" s="18"/>
      <c r="F1348" s="152"/>
      <c r="G1348" s="153">
        <v>633</v>
      </c>
      <c r="H1348" s="18" t="s">
        <v>135</v>
      </c>
      <c r="I1348" s="19">
        <f>200+1200+63085+1400+1000+280+9878</f>
        <v>77043</v>
      </c>
      <c r="J1348" s="19">
        <v>75626</v>
      </c>
      <c r="K1348" s="19">
        <v>75626</v>
      </c>
      <c r="L1348" s="20">
        <v>33804</v>
      </c>
      <c r="M1348" s="20">
        <v>21739</v>
      </c>
      <c r="N1348" s="164"/>
      <c r="O1348" s="19"/>
      <c r="P1348" s="19"/>
      <c r="Q1348" s="19"/>
      <c r="R1348" s="20"/>
      <c r="S1348" s="20"/>
      <c r="T1348" s="164"/>
      <c r="U1348" s="154">
        <f t="shared" si="78"/>
        <v>77043</v>
      </c>
    </row>
    <row r="1349" spans="2:21" x14ac:dyDescent="0.2">
      <c r="B1349" s="8">
        <f t="shared" si="77"/>
        <v>657</v>
      </c>
      <c r="C1349" s="18"/>
      <c r="D1349" s="18"/>
      <c r="E1349" s="18"/>
      <c r="F1349" s="152"/>
      <c r="G1349" s="153">
        <v>635</v>
      </c>
      <c r="H1349" s="18" t="s">
        <v>143</v>
      </c>
      <c r="I1349" s="19">
        <f>100+2000</f>
        <v>2100</v>
      </c>
      <c r="J1349" s="19">
        <v>2500</v>
      </c>
      <c r="K1349" s="19">
        <v>2500</v>
      </c>
      <c r="L1349" s="20">
        <v>2204</v>
      </c>
      <c r="M1349" s="20">
        <v>795</v>
      </c>
      <c r="N1349" s="164"/>
      <c r="O1349" s="19"/>
      <c r="P1349" s="19"/>
      <c r="Q1349" s="19"/>
      <c r="R1349" s="20"/>
      <c r="S1349" s="20"/>
      <c r="T1349" s="164"/>
      <c r="U1349" s="154">
        <f t="shared" si="78"/>
        <v>2100</v>
      </c>
    </row>
    <row r="1350" spans="2:21" x14ac:dyDescent="0.2">
      <c r="B1350" s="8">
        <f t="shared" si="77"/>
        <v>658</v>
      </c>
      <c r="C1350" s="18"/>
      <c r="D1350" s="18"/>
      <c r="E1350" s="18"/>
      <c r="F1350" s="152"/>
      <c r="G1350" s="153">
        <v>637</v>
      </c>
      <c r="H1350" s="18" t="s">
        <v>132</v>
      </c>
      <c r="I1350" s="19">
        <f>100+663+857</f>
        <v>1620</v>
      </c>
      <c r="J1350" s="19">
        <v>1679</v>
      </c>
      <c r="K1350" s="19">
        <v>1679</v>
      </c>
      <c r="L1350" s="20">
        <v>1317</v>
      </c>
      <c r="M1350" s="20">
        <v>983</v>
      </c>
      <c r="N1350" s="164"/>
      <c r="O1350" s="19"/>
      <c r="P1350" s="19"/>
      <c r="Q1350" s="19"/>
      <c r="R1350" s="20"/>
      <c r="S1350" s="20"/>
      <c r="T1350" s="164"/>
      <c r="U1350" s="154">
        <f t="shared" si="78"/>
        <v>1620</v>
      </c>
    </row>
    <row r="1351" spans="2:21" x14ac:dyDescent="0.2">
      <c r="B1351" s="8">
        <f t="shared" si="77"/>
        <v>659</v>
      </c>
      <c r="C1351" s="24"/>
      <c r="D1351" s="24"/>
      <c r="E1351" s="24"/>
      <c r="F1351" s="149" t="s">
        <v>170</v>
      </c>
      <c r="G1351" s="150">
        <v>640</v>
      </c>
      <c r="H1351" s="24" t="s">
        <v>139</v>
      </c>
      <c r="I1351" s="25">
        <v>450</v>
      </c>
      <c r="J1351" s="25">
        <v>2150</v>
      </c>
      <c r="K1351" s="25">
        <v>2150</v>
      </c>
      <c r="L1351" s="26">
        <v>289</v>
      </c>
      <c r="M1351" s="26">
        <v>130</v>
      </c>
      <c r="N1351" s="501"/>
      <c r="O1351" s="25"/>
      <c r="P1351" s="25"/>
      <c r="Q1351" s="25"/>
      <c r="R1351" s="26"/>
      <c r="S1351" s="26"/>
      <c r="T1351" s="501"/>
      <c r="U1351" s="151">
        <f t="shared" si="78"/>
        <v>450</v>
      </c>
    </row>
    <row r="1352" spans="2:21" x14ac:dyDescent="0.2">
      <c r="B1352" s="8">
        <f t="shared" si="77"/>
        <v>660</v>
      </c>
      <c r="C1352" s="280"/>
      <c r="D1352" s="280"/>
      <c r="E1352" s="280" t="s">
        <v>92</v>
      </c>
      <c r="F1352" s="281"/>
      <c r="G1352" s="281"/>
      <c r="H1352" s="280" t="s">
        <v>69</v>
      </c>
      <c r="I1352" s="282">
        <f>I1359+I1355+I1354+I1353</f>
        <v>90264</v>
      </c>
      <c r="J1352" s="282">
        <f>J1359+J1355+J1354+J1353</f>
        <v>82643</v>
      </c>
      <c r="K1352" s="282">
        <f>K1359+K1355+K1354+K1353</f>
        <v>82643</v>
      </c>
      <c r="L1352" s="283">
        <f>L1359+L1355+L1354+L1353</f>
        <v>64557</v>
      </c>
      <c r="M1352" s="283">
        <f>M1359+M1355+M1354+M1353</f>
        <v>58504</v>
      </c>
      <c r="N1352" s="501"/>
      <c r="O1352" s="282"/>
      <c r="P1352" s="282"/>
      <c r="Q1352" s="282"/>
      <c r="R1352" s="283"/>
      <c r="S1352" s="283"/>
      <c r="T1352" s="501"/>
      <c r="U1352" s="284">
        <f t="shared" si="78"/>
        <v>90264</v>
      </c>
    </row>
    <row r="1353" spans="2:21" x14ac:dyDescent="0.2">
      <c r="B1353" s="8">
        <f t="shared" si="77"/>
        <v>661</v>
      </c>
      <c r="C1353" s="24"/>
      <c r="D1353" s="24"/>
      <c r="E1353" s="24"/>
      <c r="F1353" s="149" t="s">
        <v>170</v>
      </c>
      <c r="G1353" s="150">
        <v>610</v>
      </c>
      <c r="H1353" s="24" t="s">
        <v>141</v>
      </c>
      <c r="I1353" s="25">
        <f>726+360+4155+23841</f>
        <v>29082</v>
      </c>
      <c r="J1353" s="25">
        <v>24960</v>
      </c>
      <c r="K1353" s="25">
        <v>24960</v>
      </c>
      <c r="L1353" s="26">
        <v>24967</v>
      </c>
      <c r="M1353" s="26">
        <v>22554</v>
      </c>
      <c r="N1353" s="501"/>
      <c r="O1353" s="25"/>
      <c r="P1353" s="25"/>
      <c r="Q1353" s="25"/>
      <c r="R1353" s="26"/>
      <c r="S1353" s="26"/>
      <c r="T1353" s="501"/>
      <c r="U1353" s="151">
        <f t="shared" si="78"/>
        <v>29082</v>
      </c>
    </row>
    <row r="1354" spans="2:21" x14ac:dyDescent="0.2">
      <c r="B1354" s="8">
        <f t="shared" si="77"/>
        <v>662</v>
      </c>
      <c r="C1354" s="24"/>
      <c r="D1354" s="24"/>
      <c r="E1354" s="24"/>
      <c r="F1354" s="149" t="s">
        <v>170</v>
      </c>
      <c r="G1354" s="150">
        <v>620</v>
      </c>
      <c r="H1354" s="24" t="s">
        <v>134</v>
      </c>
      <c r="I1354" s="25">
        <f>1386+292+875+582+233+4085+409+2918</f>
        <v>10780</v>
      </c>
      <c r="J1354" s="25">
        <v>9259</v>
      </c>
      <c r="K1354" s="25">
        <v>9259</v>
      </c>
      <c r="L1354" s="26">
        <v>9180</v>
      </c>
      <c r="M1354" s="26">
        <v>7962</v>
      </c>
      <c r="N1354" s="501"/>
      <c r="O1354" s="25"/>
      <c r="P1354" s="25"/>
      <c r="Q1354" s="25"/>
      <c r="R1354" s="26"/>
      <c r="S1354" s="26"/>
      <c r="T1354" s="501"/>
      <c r="U1354" s="151">
        <f t="shared" si="78"/>
        <v>10780</v>
      </c>
    </row>
    <row r="1355" spans="2:21" x14ac:dyDescent="0.2">
      <c r="B1355" s="8">
        <f t="shared" si="77"/>
        <v>663</v>
      </c>
      <c r="C1355" s="24"/>
      <c r="D1355" s="24"/>
      <c r="E1355" s="24"/>
      <c r="F1355" s="149" t="s">
        <v>170</v>
      </c>
      <c r="G1355" s="150">
        <v>630</v>
      </c>
      <c r="H1355" s="24" t="s">
        <v>131</v>
      </c>
      <c r="I1355" s="25">
        <f>I1358+I1357+I1356</f>
        <v>49952</v>
      </c>
      <c r="J1355" s="25">
        <f>J1358+J1357+J1356</f>
        <v>47974</v>
      </c>
      <c r="K1355" s="25">
        <f>K1358+K1357+K1356</f>
        <v>47974</v>
      </c>
      <c r="L1355" s="26">
        <f>L1358+L1357+L1356</f>
        <v>28766</v>
      </c>
      <c r="M1355" s="26">
        <f>M1358+M1357+M1356</f>
        <v>27988</v>
      </c>
      <c r="N1355" s="501"/>
      <c r="O1355" s="25"/>
      <c r="P1355" s="25"/>
      <c r="Q1355" s="25"/>
      <c r="R1355" s="26"/>
      <c r="S1355" s="26"/>
      <c r="T1355" s="501"/>
      <c r="U1355" s="151">
        <f t="shared" si="78"/>
        <v>49952</v>
      </c>
    </row>
    <row r="1356" spans="2:21" x14ac:dyDescent="0.2">
      <c r="B1356" s="8">
        <f t="shared" si="77"/>
        <v>664</v>
      </c>
      <c r="C1356" s="18"/>
      <c r="D1356" s="18"/>
      <c r="E1356" s="18"/>
      <c r="F1356" s="152"/>
      <c r="G1356" s="153">
        <v>633</v>
      </c>
      <c r="H1356" s="18" t="s">
        <v>135</v>
      </c>
      <c r="I1356" s="19">
        <f>700+150+1500+29062+2350+280+9570</f>
        <v>43612</v>
      </c>
      <c r="J1356" s="19">
        <v>43632</v>
      </c>
      <c r="K1356" s="19">
        <v>43632</v>
      </c>
      <c r="L1356" s="20">
        <v>20541</v>
      </c>
      <c r="M1356" s="20">
        <v>21433</v>
      </c>
      <c r="N1356" s="164"/>
      <c r="O1356" s="19"/>
      <c r="P1356" s="19"/>
      <c r="Q1356" s="19"/>
      <c r="R1356" s="20"/>
      <c r="S1356" s="20"/>
      <c r="T1356" s="164"/>
      <c r="U1356" s="154">
        <f t="shared" si="78"/>
        <v>43612</v>
      </c>
    </row>
    <row r="1357" spans="2:21" x14ac:dyDescent="0.2">
      <c r="B1357" s="8">
        <f t="shared" si="77"/>
        <v>665</v>
      </c>
      <c r="C1357" s="18"/>
      <c r="D1357" s="18"/>
      <c r="E1357" s="18"/>
      <c r="F1357" s="152"/>
      <c r="G1357" s="153">
        <v>635</v>
      </c>
      <c r="H1357" s="18" t="s">
        <v>143</v>
      </c>
      <c r="I1357" s="19">
        <f>100+4900</f>
        <v>5000</v>
      </c>
      <c r="J1357" s="19">
        <v>3000</v>
      </c>
      <c r="K1357" s="19">
        <v>3000</v>
      </c>
      <c r="L1357" s="20">
        <v>7046</v>
      </c>
      <c r="M1357" s="20">
        <v>5700</v>
      </c>
      <c r="N1357" s="164"/>
      <c r="O1357" s="19"/>
      <c r="P1357" s="19"/>
      <c r="Q1357" s="19"/>
      <c r="R1357" s="20"/>
      <c r="S1357" s="20"/>
      <c r="T1357" s="164"/>
      <c r="U1357" s="154">
        <f t="shared" si="78"/>
        <v>5000</v>
      </c>
    </row>
    <row r="1358" spans="2:21" x14ac:dyDescent="0.2">
      <c r="B1358" s="8">
        <f t="shared" si="77"/>
        <v>666</v>
      </c>
      <c r="C1358" s="18"/>
      <c r="D1358" s="18"/>
      <c r="E1358" s="18"/>
      <c r="F1358" s="152"/>
      <c r="G1358" s="153">
        <v>637</v>
      </c>
      <c r="H1358" s="18" t="s">
        <v>132</v>
      </c>
      <c r="I1358" s="19">
        <f>440+100+800</f>
        <v>1340</v>
      </c>
      <c r="J1358" s="19">
        <v>1342</v>
      </c>
      <c r="K1358" s="19">
        <v>1342</v>
      </c>
      <c r="L1358" s="20">
        <v>1179</v>
      </c>
      <c r="M1358" s="20">
        <v>855</v>
      </c>
      <c r="N1358" s="164"/>
      <c r="O1358" s="19"/>
      <c r="P1358" s="19"/>
      <c r="Q1358" s="19"/>
      <c r="R1358" s="20"/>
      <c r="S1358" s="20"/>
      <c r="T1358" s="164"/>
      <c r="U1358" s="154">
        <f t="shared" si="78"/>
        <v>1340</v>
      </c>
    </row>
    <row r="1359" spans="2:21" x14ac:dyDescent="0.2">
      <c r="B1359" s="8">
        <f t="shared" si="77"/>
        <v>667</v>
      </c>
      <c r="C1359" s="24"/>
      <c r="D1359" s="24"/>
      <c r="E1359" s="24"/>
      <c r="F1359" s="149" t="s">
        <v>170</v>
      </c>
      <c r="G1359" s="150">
        <v>640</v>
      </c>
      <c r="H1359" s="24" t="s">
        <v>139</v>
      </c>
      <c r="I1359" s="25">
        <v>450</v>
      </c>
      <c r="J1359" s="25">
        <v>450</v>
      </c>
      <c r="K1359" s="25">
        <v>450</v>
      </c>
      <c r="L1359" s="26">
        <v>1644</v>
      </c>
      <c r="M1359" s="26"/>
      <c r="N1359" s="501"/>
      <c r="O1359" s="25"/>
      <c r="P1359" s="25"/>
      <c r="Q1359" s="25"/>
      <c r="R1359" s="26"/>
      <c r="S1359" s="26"/>
      <c r="T1359" s="501"/>
      <c r="U1359" s="151">
        <f t="shared" si="78"/>
        <v>450</v>
      </c>
    </row>
    <row r="1360" spans="2:21" x14ac:dyDescent="0.2">
      <c r="B1360" s="8">
        <f t="shared" si="77"/>
        <v>668</v>
      </c>
      <c r="C1360" s="280"/>
      <c r="D1360" s="280"/>
      <c r="E1360" s="280" t="s">
        <v>102</v>
      </c>
      <c r="F1360" s="281"/>
      <c r="G1360" s="281"/>
      <c r="H1360" s="280" t="s">
        <v>103</v>
      </c>
      <c r="I1360" s="282">
        <f>I1367+I1363+I1362+I1361</f>
        <v>103519</v>
      </c>
      <c r="J1360" s="282">
        <f>J1367+J1363+J1362+J1361</f>
        <v>95611</v>
      </c>
      <c r="K1360" s="282">
        <f>K1367+K1363+K1362+K1361</f>
        <v>95111</v>
      </c>
      <c r="L1360" s="283">
        <f>L1367+L1363+L1362+L1361</f>
        <v>66713</v>
      </c>
      <c r="M1360" s="283">
        <f>M1367+M1363+M1362+M1361</f>
        <v>60977</v>
      </c>
      <c r="N1360" s="501"/>
      <c r="O1360" s="282"/>
      <c r="P1360" s="282"/>
      <c r="Q1360" s="282"/>
      <c r="R1360" s="283"/>
      <c r="S1360" s="283"/>
      <c r="T1360" s="501"/>
      <c r="U1360" s="284">
        <f t="shared" si="78"/>
        <v>103519</v>
      </c>
    </row>
    <row r="1361" spans="2:21" x14ac:dyDescent="0.2">
      <c r="B1361" s="8">
        <f t="shared" si="77"/>
        <v>669</v>
      </c>
      <c r="C1361" s="24"/>
      <c r="D1361" s="24"/>
      <c r="E1361" s="24"/>
      <c r="F1361" s="149" t="s">
        <v>170</v>
      </c>
      <c r="G1361" s="150">
        <v>610</v>
      </c>
      <c r="H1361" s="24" t="s">
        <v>141</v>
      </c>
      <c r="I1361" s="25">
        <f>768+480+4418+25260</f>
        <v>30926</v>
      </c>
      <c r="J1361" s="25">
        <v>26562</v>
      </c>
      <c r="K1361" s="25">
        <v>26562</v>
      </c>
      <c r="L1361" s="26">
        <v>26038</v>
      </c>
      <c r="M1361" s="26">
        <v>24492</v>
      </c>
      <c r="N1361" s="501"/>
      <c r="O1361" s="25"/>
      <c r="P1361" s="25"/>
      <c r="Q1361" s="25"/>
      <c r="R1361" s="26"/>
      <c r="S1361" s="26"/>
      <c r="T1361" s="501"/>
      <c r="U1361" s="151">
        <f t="shared" si="78"/>
        <v>30926</v>
      </c>
    </row>
    <row r="1362" spans="2:21" x14ac:dyDescent="0.2">
      <c r="B1362" s="8">
        <f t="shared" si="77"/>
        <v>670</v>
      </c>
      <c r="C1362" s="24"/>
      <c r="D1362" s="24"/>
      <c r="E1362" s="24"/>
      <c r="F1362" s="149" t="s">
        <v>170</v>
      </c>
      <c r="G1362" s="150">
        <v>620</v>
      </c>
      <c r="H1362" s="24" t="s">
        <v>134</v>
      </c>
      <c r="I1362" s="25">
        <f>1474+310+931+619+248+4344+434+3103</f>
        <v>11463</v>
      </c>
      <c r="J1362" s="25">
        <v>9850</v>
      </c>
      <c r="K1362" s="25">
        <v>9850</v>
      </c>
      <c r="L1362" s="26">
        <v>9415</v>
      </c>
      <c r="M1362" s="26">
        <v>8872</v>
      </c>
      <c r="N1362" s="501"/>
      <c r="O1362" s="25"/>
      <c r="P1362" s="25"/>
      <c r="Q1362" s="25"/>
      <c r="R1362" s="26"/>
      <c r="S1362" s="26"/>
      <c r="T1362" s="501"/>
      <c r="U1362" s="151">
        <f t="shared" si="78"/>
        <v>11463</v>
      </c>
    </row>
    <row r="1363" spans="2:21" x14ac:dyDescent="0.2">
      <c r="B1363" s="8">
        <f t="shared" si="77"/>
        <v>671</v>
      </c>
      <c r="C1363" s="24"/>
      <c r="D1363" s="24"/>
      <c r="E1363" s="24"/>
      <c r="F1363" s="149" t="s">
        <v>170</v>
      </c>
      <c r="G1363" s="150">
        <v>630</v>
      </c>
      <c r="H1363" s="24" t="s">
        <v>131</v>
      </c>
      <c r="I1363" s="25">
        <f>I1366+I1365+I1364</f>
        <v>60680</v>
      </c>
      <c r="J1363" s="25">
        <f>J1366+J1365+J1364</f>
        <v>58749</v>
      </c>
      <c r="K1363" s="25">
        <f>K1366+K1365+K1364</f>
        <v>58249</v>
      </c>
      <c r="L1363" s="26">
        <f>L1366+L1365+L1364</f>
        <v>31213</v>
      </c>
      <c r="M1363" s="26">
        <f>M1366+M1365+M1364</f>
        <v>27613</v>
      </c>
      <c r="N1363" s="501"/>
      <c r="O1363" s="25"/>
      <c r="P1363" s="25"/>
      <c r="Q1363" s="25"/>
      <c r="R1363" s="26"/>
      <c r="S1363" s="26"/>
      <c r="T1363" s="501"/>
      <c r="U1363" s="151">
        <f t="shared" si="78"/>
        <v>60680</v>
      </c>
    </row>
    <row r="1364" spans="2:21" x14ac:dyDescent="0.2">
      <c r="B1364" s="8">
        <f t="shared" si="77"/>
        <v>672</v>
      </c>
      <c r="C1364" s="18"/>
      <c r="D1364" s="18"/>
      <c r="E1364" s="18"/>
      <c r="F1364" s="152"/>
      <c r="G1364" s="153">
        <v>633</v>
      </c>
      <c r="H1364" s="18" t="s">
        <v>135</v>
      </c>
      <c r="I1364" s="19">
        <f>500+150+2000+39823+2500+280+10187</f>
        <v>55440</v>
      </c>
      <c r="J1364" s="19">
        <v>53554</v>
      </c>
      <c r="K1364" s="19">
        <v>53554</v>
      </c>
      <c r="L1364" s="20">
        <v>26536</v>
      </c>
      <c r="M1364" s="20">
        <v>22481</v>
      </c>
      <c r="N1364" s="164"/>
      <c r="O1364" s="19"/>
      <c r="P1364" s="19"/>
      <c r="Q1364" s="19"/>
      <c r="R1364" s="20"/>
      <c r="S1364" s="20"/>
      <c r="T1364" s="164"/>
      <c r="U1364" s="154">
        <f t="shared" si="78"/>
        <v>55440</v>
      </c>
    </row>
    <row r="1365" spans="2:21" x14ac:dyDescent="0.2">
      <c r="B1365" s="8">
        <f t="shared" si="77"/>
        <v>673</v>
      </c>
      <c r="C1365" s="18"/>
      <c r="D1365" s="18"/>
      <c r="E1365" s="18"/>
      <c r="F1365" s="152"/>
      <c r="G1365" s="153">
        <v>635</v>
      </c>
      <c r="H1365" s="18" t="s">
        <v>143</v>
      </c>
      <c r="I1365" s="19">
        <f>100+3900</f>
        <v>4000</v>
      </c>
      <c r="J1365" s="19">
        <v>4000</v>
      </c>
      <c r="K1365" s="19">
        <v>3500</v>
      </c>
      <c r="L1365" s="20">
        <v>3823</v>
      </c>
      <c r="M1365" s="20">
        <v>4416</v>
      </c>
      <c r="N1365" s="164"/>
      <c r="O1365" s="19"/>
      <c r="P1365" s="19"/>
      <c r="Q1365" s="19"/>
      <c r="R1365" s="20"/>
      <c r="S1365" s="20"/>
      <c r="T1365" s="164"/>
      <c r="U1365" s="154">
        <f t="shared" si="78"/>
        <v>4000</v>
      </c>
    </row>
    <row r="1366" spans="2:21" x14ac:dyDescent="0.2">
      <c r="B1366" s="8">
        <f t="shared" si="77"/>
        <v>674</v>
      </c>
      <c r="C1366" s="18"/>
      <c r="D1366" s="18"/>
      <c r="E1366" s="18"/>
      <c r="F1366" s="152"/>
      <c r="G1366" s="153">
        <v>637</v>
      </c>
      <c r="H1366" s="18" t="s">
        <v>132</v>
      </c>
      <c r="I1366" s="19">
        <f>100+464+676</f>
        <v>1240</v>
      </c>
      <c r="J1366" s="19">
        <v>1195</v>
      </c>
      <c r="K1366" s="19">
        <v>1195</v>
      </c>
      <c r="L1366" s="20">
        <v>854</v>
      </c>
      <c r="M1366" s="20">
        <v>716</v>
      </c>
      <c r="N1366" s="164"/>
      <c r="O1366" s="19"/>
      <c r="P1366" s="19"/>
      <c r="Q1366" s="19"/>
      <c r="R1366" s="20"/>
      <c r="S1366" s="20"/>
      <c r="T1366" s="164"/>
      <c r="U1366" s="154">
        <f t="shared" si="78"/>
        <v>1240</v>
      </c>
    </row>
    <row r="1367" spans="2:21" x14ac:dyDescent="0.2">
      <c r="B1367" s="8">
        <f t="shared" si="77"/>
        <v>675</v>
      </c>
      <c r="C1367" s="24"/>
      <c r="D1367" s="24"/>
      <c r="E1367" s="24"/>
      <c r="F1367" s="149" t="s">
        <v>170</v>
      </c>
      <c r="G1367" s="150">
        <v>640</v>
      </c>
      <c r="H1367" s="24" t="s">
        <v>139</v>
      </c>
      <c r="I1367" s="25">
        <v>450</v>
      </c>
      <c r="J1367" s="25">
        <v>450</v>
      </c>
      <c r="K1367" s="25">
        <v>450</v>
      </c>
      <c r="L1367" s="26">
        <v>47</v>
      </c>
      <c r="M1367" s="26"/>
      <c r="N1367" s="501"/>
      <c r="O1367" s="25"/>
      <c r="P1367" s="25"/>
      <c r="Q1367" s="25"/>
      <c r="R1367" s="26"/>
      <c r="S1367" s="26"/>
      <c r="T1367" s="501"/>
      <c r="U1367" s="151">
        <f t="shared" si="78"/>
        <v>450</v>
      </c>
    </row>
    <row r="1368" spans="2:21" x14ac:dyDescent="0.2">
      <c r="B1368" s="8">
        <f t="shared" si="77"/>
        <v>676</v>
      </c>
      <c r="C1368" s="280"/>
      <c r="D1368" s="280"/>
      <c r="E1368" s="280" t="s">
        <v>105</v>
      </c>
      <c r="F1368" s="281"/>
      <c r="G1368" s="281"/>
      <c r="H1368" s="280" t="s">
        <v>106</v>
      </c>
      <c r="I1368" s="282">
        <f>I1375+I1371+I1370+I1369</f>
        <v>95760</v>
      </c>
      <c r="J1368" s="282">
        <f>J1375+J1371+J1370+J1369</f>
        <v>86340</v>
      </c>
      <c r="K1368" s="282">
        <f>K1375+K1371+K1370+K1369</f>
        <v>86340</v>
      </c>
      <c r="L1368" s="283">
        <f>L1375+L1371+L1370+L1369</f>
        <v>61538</v>
      </c>
      <c r="M1368" s="283">
        <f>M1375+M1371+M1370+M1369</f>
        <v>55414</v>
      </c>
      <c r="N1368" s="501"/>
      <c r="O1368" s="282"/>
      <c r="P1368" s="282"/>
      <c r="Q1368" s="282"/>
      <c r="R1368" s="283"/>
      <c r="S1368" s="283"/>
      <c r="T1368" s="501"/>
      <c r="U1368" s="284">
        <f t="shared" si="78"/>
        <v>95760</v>
      </c>
    </row>
    <row r="1369" spans="2:21" x14ac:dyDescent="0.2">
      <c r="B1369" s="8">
        <f t="shared" si="77"/>
        <v>677</v>
      </c>
      <c r="C1369" s="24"/>
      <c r="D1369" s="24"/>
      <c r="E1369" s="24"/>
      <c r="F1369" s="149" t="s">
        <v>170</v>
      </c>
      <c r="G1369" s="150">
        <v>610</v>
      </c>
      <c r="H1369" s="24" t="s">
        <v>141</v>
      </c>
      <c r="I1369" s="25">
        <f>810+600+4612+26259</f>
        <v>32281</v>
      </c>
      <c r="J1369" s="25">
        <v>27743</v>
      </c>
      <c r="K1369" s="25">
        <v>27743</v>
      </c>
      <c r="L1369" s="26">
        <v>27151</v>
      </c>
      <c r="M1369" s="26">
        <v>27276</v>
      </c>
      <c r="N1369" s="501"/>
      <c r="O1369" s="25"/>
      <c r="P1369" s="25"/>
      <c r="Q1369" s="25"/>
      <c r="R1369" s="26"/>
      <c r="S1369" s="26"/>
      <c r="T1369" s="501"/>
      <c r="U1369" s="151">
        <f t="shared" si="78"/>
        <v>32281</v>
      </c>
    </row>
    <row r="1370" spans="2:21" x14ac:dyDescent="0.2">
      <c r="B1370" s="8">
        <f t="shared" si="77"/>
        <v>678</v>
      </c>
      <c r="C1370" s="24"/>
      <c r="D1370" s="24"/>
      <c r="E1370" s="24"/>
      <c r="F1370" s="149" t="s">
        <v>170</v>
      </c>
      <c r="G1370" s="150">
        <v>620</v>
      </c>
      <c r="H1370" s="24" t="s">
        <v>134</v>
      </c>
      <c r="I1370" s="25">
        <v>11962</v>
      </c>
      <c r="J1370" s="25">
        <v>10287</v>
      </c>
      <c r="K1370" s="25">
        <v>10287</v>
      </c>
      <c r="L1370" s="26">
        <v>9736</v>
      </c>
      <c r="M1370" s="26">
        <v>9775</v>
      </c>
      <c r="N1370" s="501"/>
      <c r="O1370" s="25"/>
      <c r="P1370" s="25"/>
      <c r="Q1370" s="25"/>
      <c r="R1370" s="26"/>
      <c r="S1370" s="26"/>
      <c r="T1370" s="501"/>
      <c r="U1370" s="151">
        <f t="shared" si="78"/>
        <v>11962</v>
      </c>
    </row>
    <row r="1371" spans="2:21" x14ac:dyDescent="0.2">
      <c r="B1371" s="8">
        <f t="shared" si="77"/>
        <v>679</v>
      </c>
      <c r="C1371" s="24"/>
      <c r="D1371" s="24"/>
      <c r="E1371" s="24"/>
      <c r="F1371" s="149" t="s">
        <v>170</v>
      </c>
      <c r="G1371" s="150">
        <v>630</v>
      </c>
      <c r="H1371" s="24" t="s">
        <v>131</v>
      </c>
      <c r="I1371" s="25">
        <f>I1374+I1373+I1372</f>
        <v>51067</v>
      </c>
      <c r="J1371" s="25">
        <f>J1374+J1373+J1372</f>
        <v>47860</v>
      </c>
      <c r="K1371" s="25">
        <f>K1374+K1373+K1372</f>
        <v>47860</v>
      </c>
      <c r="L1371" s="26">
        <f>L1374+L1373+L1372</f>
        <v>24651</v>
      </c>
      <c r="M1371" s="26">
        <f>M1374+M1373+M1372</f>
        <v>18048</v>
      </c>
      <c r="N1371" s="501"/>
      <c r="O1371" s="25"/>
      <c r="P1371" s="25"/>
      <c r="Q1371" s="25"/>
      <c r="R1371" s="26"/>
      <c r="S1371" s="26"/>
      <c r="T1371" s="501"/>
      <c r="U1371" s="151">
        <f t="shared" si="78"/>
        <v>51067</v>
      </c>
    </row>
    <row r="1372" spans="2:21" x14ac:dyDescent="0.2">
      <c r="B1372" s="8">
        <f t="shared" si="77"/>
        <v>680</v>
      </c>
      <c r="C1372" s="18"/>
      <c r="D1372" s="18"/>
      <c r="E1372" s="18"/>
      <c r="F1372" s="152"/>
      <c r="G1372" s="153">
        <v>633</v>
      </c>
      <c r="H1372" s="18" t="s">
        <v>135</v>
      </c>
      <c r="I1372" s="19">
        <f>150+36978+1500+1500+280+7409</f>
        <v>47817</v>
      </c>
      <c r="J1372" s="19">
        <v>44142</v>
      </c>
      <c r="K1372" s="19">
        <v>44142</v>
      </c>
      <c r="L1372" s="20">
        <v>21589</v>
      </c>
      <c r="M1372" s="20">
        <v>14436</v>
      </c>
      <c r="N1372" s="164"/>
      <c r="O1372" s="19"/>
      <c r="P1372" s="19"/>
      <c r="Q1372" s="19"/>
      <c r="R1372" s="20"/>
      <c r="S1372" s="20"/>
      <c r="T1372" s="164"/>
      <c r="U1372" s="154">
        <f t="shared" si="78"/>
        <v>47817</v>
      </c>
    </row>
    <row r="1373" spans="2:21" x14ac:dyDescent="0.2">
      <c r="B1373" s="8">
        <f t="shared" si="77"/>
        <v>681</v>
      </c>
      <c r="C1373" s="18"/>
      <c r="D1373" s="18"/>
      <c r="E1373" s="18"/>
      <c r="F1373" s="152"/>
      <c r="G1373" s="153">
        <v>635</v>
      </c>
      <c r="H1373" s="18" t="s">
        <v>143</v>
      </c>
      <c r="I1373" s="19">
        <f>100+1900</f>
        <v>2000</v>
      </c>
      <c r="J1373" s="19">
        <v>2500</v>
      </c>
      <c r="K1373" s="19">
        <v>2500</v>
      </c>
      <c r="L1373" s="20">
        <v>2035</v>
      </c>
      <c r="M1373" s="20">
        <v>2947</v>
      </c>
      <c r="N1373" s="164"/>
      <c r="O1373" s="19"/>
      <c r="P1373" s="19"/>
      <c r="Q1373" s="19"/>
      <c r="R1373" s="20"/>
      <c r="S1373" s="20"/>
      <c r="T1373" s="164"/>
      <c r="U1373" s="154">
        <f t="shared" si="78"/>
        <v>2000</v>
      </c>
    </row>
    <row r="1374" spans="2:21" x14ac:dyDescent="0.2">
      <c r="B1374" s="8">
        <f t="shared" si="77"/>
        <v>682</v>
      </c>
      <c r="C1374" s="18"/>
      <c r="D1374" s="18"/>
      <c r="E1374" s="18"/>
      <c r="F1374" s="152"/>
      <c r="G1374" s="153">
        <v>637</v>
      </c>
      <c r="H1374" s="18" t="s">
        <v>132</v>
      </c>
      <c r="I1374" s="19">
        <f>484+100+666</f>
        <v>1250</v>
      </c>
      <c r="J1374" s="19">
        <v>1218</v>
      </c>
      <c r="K1374" s="19">
        <v>1218</v>
      </c>
      <c r="L1374" s="20">
        <v>1027</v>
      </c>
      <c r="M1374" s="20">
        <v>665</v>
      </c>
      <c r="N1374" s="164"/>
      <c r="O1374" s="19"/>
      <c r="P1374" s="19"/>
      <c r="Q1374" s="19"/>
      <c r="R1374" s="20"/>
      <c r="S1374" s="20"/>
      <c r="T1374" s="164"/>
      <c r="U1374" s="154">
        <f t="shared" si="78"/>
        <v>1250</v>
      </c>
    </row>
    <row r="1375" spans="2:21" x14ac:dyDescent="0.2">
      <c r="B1375" s="8">
        <f t="shared" si="77"/>
        <v>683</v>
      </c>
      <c r="C1375" s="24"/>
      <c r="D1375" s="24"/>
      <c r="E1375" s="24"/>
      <c r="F1375" s="149" t="s">
        <v>170</v>
      </c>
      <c r="G1375" s="150">
        <v>640</v>
      </c>
      <c r="H1375" s="24" t="s">
        <v>139</v>
      </c>
      <c r="I1375" s="25">
        <v>450</v>
      </c>
      <c r="J1375" s="25">
        <v>450</v>
      </c>
      <c r="K1375" s="25">
        <v>450</v>
      </c>
      <c r="L1375" s="26"/>
      <c r="M1375" s="26">
        <v>315</v>
      </c>
      <c r="N1375" s="501"/>
      <c r="O1375" s="25"/>
      <c r="P1375" s="25"/>
      <c r="Q1375" s="25"/>
      <c r="R1375" s="26"/>
      <c r="S1375" s="26"/>
      <c r="T1375" s="501"/>
      <c r="U1375" s="151">
        <f t="shared" si="78"/>
        <v>450</v>
      </c>
    </row>
    <row r="1376" spans="2:21" x14ac:dyDescent="0.2">
      <c r="B1376" s="8">
        <f t="shared" si="77"/>
        <v>684</v>
      </c>
      <c r="C1376" s="280"/>
      <c r="D1376" s="280"/>
      <c r="E1376" s="280" t="s">
        <v>90</v>
      </c>
      <c r="F1376" s="281"/>
      <c r="G1376" s="281"/>
      <c r="H1376" s="280" t="s">
        <v>91</v>
      </c>
      <c r="I1376" s="282">
        <f>I1383+I1379+I1378+I1377</f>
        <v>148092</v>
      </c>
      <c r="J1376" s="282">
        <f>J1383+J1379+J1378+J1377</f>
        <v>143612</v>
      </c>
      <c r="K1376" s="282">
        <f>K1383+K1379+K1378+K1377</f>
        <v>143112</v>
      </c>
      <c r="L1376" s="283">
        <f>L1383+L1379+L1378+L1377</f>
        <v>99873</v>
      </c>
      <c r="M1376" s="283">
        <f>M1383+M1379+M1378+M1377</f>
        <v>85514</v>
      </c>
      <c r="N1376" s="501"/>
      <c r="O1376" s="282"/>
      <c r="P1376" s="282"/>
      <c r="Q1376" s="282"/>
      <c r="R1376" s="283"/>
      <c r="S1376" s="283"/>
      <c r="T1376" s="501"/>
      <c r="U1376" s="284">
        <f t="shared" si="78"/>
        <v>148092</v>
      </c>
    </row>
    <row r="1377" spans="2:21" x14ac:dyDescent="0.2">
      <c r="B1377" s="8">
        <f t="shared" si="77"/>
        <v>685</v>
      </c>
      <c r="C1377" s="24"/>
      <c r="D1377" s="24"/>
      <c r="E1377" s="24"/>
      <c r="F1377" s="149" t="s">
        <v>170</v>
      </c>
      <c r="G1377" s="150">
        <v>610</v>
      </c>
      <c r="H1377" s="24" t="s">
        <v>141</v>
      </c>
      <c r="I1377" s="25">
        <f>810+600+7147+41472</f>
        <v>50029</v>
      </c>
      <c r="J1377" s="25">
        <v>42859</v>
      </c>
      <c r="K1377" s="25">
        <v>42859</v>
      </c>
      <c r="L1377" s="26">
        <v>40989</v>
      </c>
      <c r="M1377" s="26">
        <v>40378</v>
      </c>
      <c r="N1377" s="501"/>
      <c r="O1377" s="25"/>
      <c r="P1377" s="25"/>
      <c r="Q1377" s="25"/>
      <c r="R1377" s="26"/>
      <c r="S1377" s="26"/>
      <c r="T1377" s="501"/>
      <c r="U1377" s="151">
        <f t="shared" si="78"/>
        <v>50029</v>
      </c>
    </row>
    <row r="1378" spans="2:21" x14ac:dyDescent="0.2">
      <c r="B1378" s="8">
        <f t="shared" ref="B1378:B1441" si="79">B1377+1</f>
        <v>686</v>
      </c>
      <c r="C1378" s="24"/>
      <c r="D1378" s="24"/>
      <c r="E1378" s="24"/>
      <c r="F1378" s="149" t="s">
        <v>170</v>
      </c>
      <c r="G1378" s="150">
        <v>620</v>
      </c>
      <c r="H1378" s="24" t="s">
        <v>134</v>
      </c>
      <c r="I1378" s="25">
        <f>2376+500+1501+1001+400+7004+700+5003</f>
        <v>18485</v>
      </c>
      <c r="J1378" s="25">
        <v>16217</v>
      </c>
      <c r="K1378" s="25">
        <v>16217</v>
      </c>
      <c r="L1378" s="26">
        <v>14638</v>
      </c>
      <c r="M1378" s="26">
        <v>14392</v>
      </c>
      <c r="N1378" s="501"/>
      <c r="O1378" s="25"/>
      <c r="P1378" s="25"/>
      <c r="Q1378" s="25"/>
      <c r="R1378" s="26"/>
      <c r="S1378" s="26"/>
      <c r="T1378" s="501"/>
      <c r="U1378" s="151">
        <f t="shared" si="78"/>
        <v>18485</v>
      </c>
    </row>
    <row r="1379" spans="2:21" x14ac:dyDescent="0.2">
      <c r="B1379" s="8">
        <f t="shared" si="79"/>
        <v>687</v>
      </c>
      <c r="C1379" s="24"/>
      <c r="D1379" s="24"/>
      <c r="E1379" s="24"/>
      <c r="F1379" s="149" t="s">
        <v>170</v>
      </c>
      <c r="G1379" s="150">
        <v>630</v>
      </c>
      <c r="H1379" s="24" t="s">
        <v>131</v>
      </c>
      <c r="I1379" s="25">
        <f>I1382+I1381+I1380</f>
        <v>79128</v>
      </c>
      <c r="J1379" s="25">
        <f>J1382+J1381+J1380</f>
        <v>82996</v>
      </c>
      <c r="K1379" s="25">
        <f>K1382+K1381+K1380</f>
        <v>82496</v>
      </c>
      <c r="L1379" s="26">
        <f>L1382+L1381+L1380</f>
        <v>43505</v>
      </c>
      <c r="M1379" s="26">
        <f>M1382+M1381+M1380</f>
        <v>30448</v>
      </c>
      <c r="N1379" s="501"/>
      <c r="O1379" s="25"/>
      <c r="P1379" s="25"/>
      <c r="Q1379" s="25"/>
      <c r="R1379" s="26"/>
      <c r="S1379" s="26"/>
      <c r="T1379" s="501"/>
      <c r="U1379" s="151">
        <f t="shared" si="78"/>
        <v>79128</v>
      </c>
    </row>
    <row r="1380" spans="2:21" x14ac:dyDescent="0.2">
      <c r="B1380" s="8">
        <f t="shared" si="79"/>
        <v>688</v>
      </c>
      <c r="C1380" s="18"/>
      <c r="D1380" s="18"/>
      <c r="E1380" s="18"/>
      <c r="F1380" s="152"/>
      <c r="G1380" s="153">
        <v>633</v>
      </c>
      <c r="H1380" s="18" t="s">
        <v>135</v>
      </c>
      <c r="I1380" s="19">
        <f>300+3500+56029+280+12039</f>
        <v>72148</v>
      </c>
      <c r="J1380" s="19">
        <v>76273</v>
      </c>
      <c r="K1380" s="19">
        <v>76273</v>
      </c>
      <c r="L1380" s="20">
        <v>36069</v>
      </c>
      <c r="M1380" s="20">
        <v>24274</v>
      </c>
      <c r="N1380" s="164"/>
      <c r="O1380" s="19"/>
      <c r="P1380" s="19"/>
      <c r="Q1380" s="19"/>
      <c r="R1380" s="20"/>
      <c r="S1380" s="20"/>
      <c r="T1380" s="164"/>
      <c r="U1380" s="154">
        <f t="shared" si="78"/>
        <v>72148</v>
      </c>
    </row>
    <row r="1381" spans="2:21" x14ac:dyDescent="0.2">
      <c r="B1381" s="8">
        <f t="shared" si="79"/>
        <v>689</v>
      </c>
      <c r="C1381" s="18"/>
      <c r="D1381" s="18"/>
      <c r="E1381" s="18"/>
      <c r="F1381" s="152"/>
      <c r="G1381" s="153">
        <v>635</v>
      </c>
      <c r="H1381" s="18" t="s">
        <v>143</v>
      </c>
      <c r="I1381" s="19">
        <f>100+5100</f>
        <v>5200</v>
      </c>
      <c r="J1381" s="19">
        <v>5000</v>
      </c>
      <c r="K1381" s="19">
        <v>4500</v>
      </c>
      <c r="L1381" s="20">
        <v>5970</v>
      </c>
      <c r="M1381" s="20">
        <v>5000</v>
      </c>
      <c r="N1381" s="164"/>
      <c r="O1381" s="19"/>
      <c r="P1381" s="19"/>
      <c r="Q1381" s="19"/>
      <c r="R1381" s="20"/>
      <c r="S1381" s="20"/>
      <c r="T1381" s="164"/>
      <c r="U1381" s="154">
        <f t="shared" si="78"/>
        <v>5200</v>
      </c>
    </row>
    <row r="1382" spans="2:21" x14ac:dyDescent="0.2">
      <c r="B1382" s="8">
        <f t="shared" si="79"/>
        <v>690</v>
      </c>
      <c r="C1382" s="18"/>
      <c r="D1382" s="18"/>
      <c r="E1382" s="18"/>
      <c r="F1382" s="152"/>
      <c r="G1382" s="153">
        <v>637</v>
      </c>
      <c r="H1382" s="18" t="s">
        <v>132</v>
      </c>
      <c r="I1382" s="19">
        <f>750+1030</f>
        <v>1780</v>
      </c>
      <c r="J1382" s="19">
        <v>1723</v>
      </c>
      <c r="K1382" s="19">
        <v>1723</v>
      </c>
      <c r="L1382" s="20">
        <v>1466</v>
      </c>
      <c r="M1382" s="20">
        <v>1174</v>
      </c>
      <c r="N1382" s="164"/>
      <c r="O1382" s="19"/>
      <c r="P1382" s="19"/>
      <c r="Q1382" s="19"/>
      <c r="R1382" s="20"/>
      <c r="S1382" s="20"/>
      <c r="T1382" s="164"/>
      <c r="U1382" s="154">
        <f t="shared" si="78"/>
        <v>1780</v>
      </c>
    </row>
    <row r="1383" spans="2:21" x14ac:dyDescent="0.2">
      <c r="B1383" s="8">
        <f t="shared" si="79"/>
        <v>691</v>
      </c>
      <c r="C1383" s="24"/>
      <c r="D1383" s="24"/>
      <c r="E1383" s="24"/>
      <c r="F1383" s="149" t="s">
        <v>170</v>
      </c>
      <c r="G1383" s="150">
        <v>640</v>
      </c>
      <c r="H1383" s="24" t="s">
        <v>139</v>
      </c>
      <c r="I1383" s="25">
        <v>450</v>
      </c>
      <c r="J1383" s="25">
        <v>1540</v>
      </c>
      <c r="K1383" s="25">
        <v>1540</v>
      </c>
      <c r="L1383" s="26">
        <v>741</v>
      </c>
      <c r="M1383" s="26">
        <v>296</v>
      </c>
      <c r="N1383" s="501"/>
      <c r="O1383" s="25"/>
      <c r="P1383" s="25"/>
      <c r="Q1383" s="25"/>
      <c r="R1383" s="26"/>
      <c r="S1383" s="26"/>
      <c r="T1383" s="501"/>
      <c r="U1383" s="151">
        <f t="shared" si="78"/>
        <v>450</v>
      </c>
    </row>
    <row r="1384" spans="2:21" x14ac:dyDescent="0.2">
      <c r="B1384" s="8">
        <f t="shared" si="79"/>
        <v>692</v>
      </c>
      <c r="C1384" s="280"/>
      <c r="D1384" s="280"/>
      <c r="E1384" s="280" t="s">
        <v>87</v>
      </c>
      <c r="F1384" s="281"/>
      <c r="G1384" s="281"/>
      <c r="H1384" s="280" t="s">
        <v>88</v>
      </c>
      <c r="I1384" s="282">
        <f>I1391+I1387+I1386+I1385</f>
        <v>158769</v>
      </c>
      <c r="J1384" s="282">
        <f>J1391+J1387+J1386+J1385</f>
        <v>141508</v>
      </c>
      <c r="K1384" s="282">
        <f>K1391+K1387+K1386+K1385</f>
        <v>141508</v>
      </c>
      <c r="L1384" s="283">
        <f>L1391+L1387+L1386+L1385</f>
        <v>97820</v>
      </c>
      <c r="M1384" s="283">
        <f>M1391+M1387+M1386+M1385</f>
        <v>81789</v>
      </c>
      <c r="N1384" s="501"/>
      <c r="O1384" s="282"/>
      <c r="P1384" s="282"/>
      <c r="Q1384" s="282"/>
      <c r="R1384" s="283"/>
      <c r="S1384" s="283"/>
      <c r="T1384" s="501"/>
      <c r="U1384" s="284">
        <f t="shared" si="78"/>
        <v>158769</v>
      </c>
    </row>
    <row r="1385" spans="2:21" x14ac:dyDescent="0.2">
      <c r="B1385" s="8">
        <f t="shared" si="79"/>
        <v>693</v>
      </c>
      <c r="C1385" s="24"/>
      <c r="D1385" s="24"/>
      <c r="E1385" s="24"/>
      <c r="F1385" s="149" t="s">
        <v>170</v>
      </c>
      <c r="G1385" s="150">
        <v>610</v>
      </c>
      <c r="H1385" s="24" t="s">
        <v>141</v>
      </c>
      <c r="I1385" s="25">
        <f>894+840+8490+44100</f>
        <v>54324</v>
      </c>
      <c r="J1385" s="25">
        <v>45852</v>
      </c>
      <c r="K1385" s="25">
        <v>45852</v>
      </c>
      <c r="L1385" s="26">
        <v>41801</v>
      </c>
      <c r="M1385" s="26">
        <v>38604</v>
      </c>
      <c r="N1385" s="501"/>
      <c r="O1385" s="25"/>
      <c r="P1385" s="25"/>
      <c r="Q1385" s="25"/>
      <c r="R1385" s="26"/>
      <c r="S1385" s="26"/>
      <c r="T1385" s="501"/>
      <c r="U1385" s="151">
        <f t="shared" si="78"/>
        <v>54324</v>
      </c>
    </row>
    <row r="1386" spans="2:21" x14ac:dyDescent="0.2">
      <c r="B1386" s="8">
        <f t="shared" si="79"/>
        <v>694</v>
      </c>
      <c r="C1386" s="24"/>
      <c r="D1386" s="24"/>
      <c r="E1386" s="24"/>
      <c r="F1386" s="149" t="s">
        <v>170</v>
      </c>
      <c r="G1386" s="150">
        <v>620</v>
      </c>
      <c r="H1386" s="24" t="s">
        <v>134</v>
      </c>
      <c r="I1386" s="25">
        <f>2585+544+1633+1086+435+7619+762+5442</f>
        <v>20106</v>
      </c>
      <c r="J1386" s="25">
        <v>16977</v>
      </c>
      <c r="K1386" s="25">
        <v>16977</v>
      </c>
      <c r="L1386" s="26">
        <v>14127</v>
      </c>
      <c r="M1386" s="26">
        <v>13200</v>
      </c>
      <c r="N1386" s="501"/>
      <c r="O1386" s="25"/>
      <c r="P1386" s="25"/>
      <c r="Q1386" s="25"/>
      <c r="R1386" s="26"/>
      <c r="S1386" s="26"/>
      <c r="T1386" s="501"/>
      <c r="U1386" s="151">
        <f t="shared" si="78"/>
        <v>20106</v>
      </c>
    </row>
    <row r="1387" spans="2:21" x14ac:dyDescent="0.2">
      <c r="B1387" s="8">
        <f t="shared" si="79"/>
        <v>695</v>
      </c>
      <c r="C1387" s="24"/>
      <c r="D1387" s="24"/>
      <c r="E1387" s="24"/>
      <c r="F1387" s="149" t="s">
        <v>170</v>
      </c>
      <c r="G1387" s="150">
        <v>630</v>
      </c>
      <c r="H1387" s="24" t="s">
        <v>131</v>
      </c>
      <c r="I1387" s="25">
        <f>I1390+I1389+I1388</f>
        <v>83889</v>
      </c>
      <c r="J1387" s="25">
        <f>J1390+J1389+J1388</f>
        <v>78229</v>
      </c>
      <c r="K1387" s="25">
        <f>K1390+K1389+K1388</f>
        <v>78229</v>
      </c>
      <c r="L1387" s="26">
        <f>L1390+L1389+L1388</f>
        <v>41427</v>
      </c>
      <c r="M1387" s="26">
        <f>M1390+M1389+M1388</f>
        <v>29552</v>
      </c>
      <c r="N1387" s="501"/>
      <c r="O1387" s="25"/>
      <c r="P1387" s="25"/>
      <c r="Q1387" s="25"/>
      <c r="R1387" s="26"/>
      <c r="S1387" s="26"/>
      <c r="T1387" s="501"/>
      <c r="U1387" s="151">
        <f t="shared" si="78"/>
        <v>83889</v>
      </c>
    </row>
    <row r="1388" spans="2:21" x14ac:dyDescent="0.2">
      <c r="B1388" s="8">
        <f t="shared" si="79"/>
        <v>696</v>
      </c>
      <c r="C1388" s="18"/>
      <c r="D1388" s="18"/>
      <c r="E1388" s="18"/>
      <c r="F1388" s="152"/>
      <c r="G1388" s="153">
        <v>633</v>
      </c>
      <c r="H1388" s="18" t="s">
        <v>135</v>
      </c>
      <c r="I1388" s="19">
        <f>200+250+500+59513+3500+2000+280+11731</f>
        <v>77974</v>
      </c>
      <c r="J1388" s="19">
        <v>70650</v>
      </c>
      <c r="K1388" s="19">
        <v>72650</v>
      </c>
      <c r="L1388" s="20">
        <v>39641</v>
      </c>
      <c r="M1388" s="20">
        <v>26213</v>
      </c>
      <c r="N1388" s="164"/>
      <c r="O1388" s="19"/>
      <c r="P1388" s="19"/>
      <c r="Q1388" s="19"/>
      <c r="R1388" s="20"/>
      <c r="S1388" s="20"/>
      <c r="T1388" s="164"/>
      <c r="U1388" s="154">
        <f t="shared" si="78"/>
        <v>77974</v>
      </c>
    </row>
    <row r="1389" spans="2:21" x14ac:dyDescent="0.2">
      <c r="B1389" s="8">
        <f t="shared" si="79"/>
        <v>697</v>
      </c>
      <c r="C1389" s="18"/>
      <c r="D1389" s="18"/>
      <c r="E1389" s="18"/>
      <c r="F1389" s="152"/>
      <c r="G1389" s="153">
        <v>635</v>
      </c>
      <c r="H1389" s="18" t="s">
        <v>143</v>
      </c>
      <c r="I1389" s="19">
        <f>1000+2500</f>
        <v>3500</v>
      </c>
      <c r="J1389" s="19">
        <v>5500</v>
      </c>
      <c r="K1389" s="19">
        <v>3500</v>
      </c>
      <c r="L1389" s="20">
        <v>172</v>
      </c>
      <c r="M1389" s="20">
        <v>2115</v>
      </c>
      <c r="N1389" s="164"/>
      <c r="O1389" s="19"/>
      <c r="P1389" s="19"/>
      <c r="Q1389" s="19"/>
      <c r="R1389" s="20"/>
      <c r="S1389" s="20"/>
      <c r="T1389" s="164"/>
      <c r="U1389" s="154">
        <f t="shared" si="78"/>
        <v>3500</v>
      </c>
    </row>
    <row r="1390" spans="2:21" x14ac:dyDescent="0.2">
      <c r="B1390" s="8">
        <f t="shared" si="79"/>
        <v>698</v>
      </c>
      <c r="C1390" s="18"/>
      <c r="D1390" s="18"/>
      <c r="E1390" s="18"/>
      <c r="F1390" s="152"/>
      <c r="G1390" s="153">
        <v>637</v>
      </c>
      <c r="H1390" s="18" t="s">
        <v>132</v>
      </c>
      <c r="I1390" s="19">
        <f>100+815+1500</f>
        <v>2415</v>
      </c>
      <c r="J1390" s="19">
        <v>2079</v>
      </c>
      <c r="K1390" s="19">
        <v>2079</v>
      </c>
      <c r="L1390" s="20">
        <v>1614</v>
      </c>
      <c r="M1390" s="20">
        <v>1224</v>
      </c>
      <c r="N1390" s="164"/>
      <c r="O1390" s="19"/>
      <c r="P1390" s="19"/>
      <c r="Q1390" s="19"/>
      <c r="R1390" s="20"/>
      <c r="S1390" s="20"/>
      <c r="T1390" s="164"/>
      <c r="U1390" s="154">
        <f t="shared" si="78"/>
        <v>2415</v>
      </c>
    </row>
    <row r="1391" spans="2:21" x14ac:dyDescent="0.2">
      <c r="B1391" s="8">
        <f t="shared" si="79"/>
        <v>699</v>
      </c>
      <c r="C1391" s="24"/>
      <c r="D1391" s="24"/>
      <c r="E1391" s="24"/>
      <c r="F1391" s="149" t="s">
        <v>170</v>
      </c>
      <c r="G1391" s="150">
        <v>640</v>
      </c>
      <c r="H1391" s="24" t="s">
        <v>139</v>
      </c>
      <c r="I1391" s="25">
        <v>450</v>
      </c>
      <c r="J1391" s="25">
        <v>450</v>
      </c>
      <c r="K1391" s="25">
        <v>450</v>
      </c>
      <c r="L1391" s="26">
        <v>465</v>
      </c>
      <c r="M1391" s="26">
        <v>433</v>
      </c>
      <c r="N1391" s="501"/>
      <c r="O1391" s="25"/>
      <c r="P1391" s="25"/>
      <c r="Q1391" s="25"/>
      <c r="R1391" s="26"/>
      <c r="S1391" s="26"/>
      <c r="T1391" s="501"/>
      <c r="U1391" s="151">
        <f t="shared" si="78"/>
        <v>450</v>
      </c>
    </row>
    <row r="1392" spans="2:21" x14ac:dyDescent="0.2">
      <c r="B1392" s="8">
        <f t="shared" si="79"/>
        <v>700</v>
      </c>
      <c r="C1392" s="280"/>
      <c r="D1392" s="280"/>
      <c r="E1392" s="280" t="s">
        <v>109</v>
      </c>
      <c r="F1392" s="281"/>
      <c r="G1392" s="281"/>
      <c r="H1392" s="280" t="s">
        <v>110</v>
      </c>
      <c r="I1392" s="282">
        <f>I1399+I1395+I1394+I1393</f>
        <v>93604</v>
      </c>
      <c r="J1392" s="282">
        <f>J1399+J1395+J1394+J1393</f>
        <v>85509</v>
      </c>
      <c r="K1392" s="282">
        <f>K1399+K1395+K1394+K1393</f>
        <v>85509</v>
      </c>
      <c r="L1392" s="283">
        <f>L1399+L1395+L1394+L1393</f>
        <v>58143</v>
      </c>
      <c r="M1392" s="283">
        <f>M1399+M1395+M1394+M1393</f>
        <v>48879</v>
      </c>
      <c r="N1392" s="501"/>
      <c r="O1392" s="282"/>
      <c r="P1392" s="282"/>
      <c r="Q1392" s="282"/>
      <c r="R1392" s="283"/>
      <c r="S1392" s="283"/>
      <c r="T1392" s="501"/>
      <c r="U1392" s="284">
        <f t="shared" si="78"/>
        <v>93604</v>
      </c>
    </row>
    <row r="1393" spans="2:21" x14ac:dyDescent="0.2">
      <c r="B1393" s="8">
        <f t="shared" si="79"/>
        <v>701</v>
      </c>
      <c r="C1393" s="24"/>
      <c r="D1393" s="24"/>
      <c r="E1393" s="24"/>
      <c r="F1393" s="149" t="s">
        <v>170</v>
      </c>
      <c r="G1393" s="150">
        <v>610</v>
      </c>
      <c r="H1393" s="24" t="s">
        <v>141</v>
      </c>
      <c r="I1393" s="25">
        <f>810+600+4612+26259</f>
        <v>32281</v>
      </c>
      <c r="J1393" s="25">
        <v>27743</v>
      </c>
      <c r="K1393" s="25">
        <v>27743</v>
      </c>
      <c r="L1393" s="26">
        <v>25994</v>
      </c>
      <c r="M1393" s="26">
        <v>22541</v>
      </c>
      <c r="N1393" s="501"/>
      <c r="O1393" s="25"/>
      <c r="P1393" s="25"/>
      <c r="Q1393" s="25"/>
      <c r="R1393" s="26"/>
      <c r="S1393" s="26"/>
      <c r="T1393" s="501"/>
      <c r="U1393" s="151">
        <f t="shared" ref="U1393:U1456" si="80">I1393+O1393</f>
        <v>32281</v>
      </c>
    </row>
    <row r="1394" spans="2:21" x14ac:dyDescent="0.2">
      <c r="B1394" s="8">
        <f t="shared" si="79"/>
        <v>702</v>
      </c>
      <c r="C1394" s="24"/>
      <c r="D1394" s="24"/>
      <c r="E1394" s="24"/>
      <c r="F1394" s="149" t="s">
        <v>170</v>
      </c>
      <c r="G1394" s="150">
        <v>620</v>
      </c>
      <c r="H1394" s="24" t="s">
        <v>134</v>
      </c>
      <c r="I1394" s="25">
        <f>1538+322+971+646+259+4533+453+3238</f>
        <v>11960</v>
      </c>
      <c r="J1394" s="25">
        <v>10283</v>
      </c>
      <c r="K1394" s="25">
        <v>10283</v>
      </c>
      <c r="L1394" s="26">
        <v>9742</v>
      </c>
      <c r="M1394" s="26">
        <v>8176</v>
      </c>
      <c r="N1394" s="501"/>
      <c r="O1394" s="25"/>
      <c r="P1394" s="25"/>
      <c r="Q1394" s="25"/>
      <c r="R1394" s="26"/>
      <c r="S1394" s="26"/>
      <c r="T1394" s="501"/>
      <c r="U1394" s="151">
        <f t="shared" si="80"/>
        <v>11960</v>
      </c>
    </row>
    <row r="1395" spans="2:21" x14ac:dyDescent="0.2">
      <c r="B1395" s="8">
        <f t="shared" si="79"/>
        <v>703</v>
      </c>
      <c r="C1395" s="24"/>
      <c r="D1395" s="24"/>
      <c r="E1395" s="24"/>
      <c r="F1395" s="149" t="s">
        <v>170</v>
      </c>
      <c r="G1395" s="150">
        <v>630</v>
      </c>
      <c r="H1395" s="24" t="s">
        <v>131</v>
      </c>
      <c r="I1395" s="25">
        <f>I1398+I1397+I1396</f>
        <v>48913</v>
      </c>
      <c r="J1395" s="25">
        <f>J1398+J1397+J1396</f>
        <v>47033</v>
      </c>
      <c r="K1395" s="25">
        <f>K1398+K1397+K1396</f>
        <v>47033</v>
      </c>
      <c r="L1395" s="26">
        <f>L1398+L1397+L1396</f>
        <v>20635</v>
      </c>
      <c r="M1395" s="26">
        <f>M1398+M1397+M1396</f>
        <v>17772</v>
      </c>
      <c r="N1395" s="501"/>
      <c r="O1395" s="25"/>
      <c r="P1395" s="25"/>
      <c r="Q1395" s="25"/>
      <c r="R1395" s="26"/>
      <c r="S1395" s="26"/>
      <c r="T1395" s="501"/>
      <c r="U1395" s="151">
        <f t="shared" si="80"/>
        <v>48913</v>
      </c>
    </row>
    <row r="1396" spans="2:21" x14ac:dyDescent="0.2">
      <c r="B1396" s="8">
        <f t="shared" si="79"/>
        <v>704</v>
      </c>
      <c r="C1396" s="18"/>
      <c r="D1396" s="18"/>
      <c r="E1396" s="18"/>
      <c r="F1396" s="152"/>
      <c r="G1396" s="153">
        <v>633</v>
      </c>
      <c r="H1396" s="18" t="s">
        <v>135</v>
      </c>
      <c r="I1396" s="19">
        <f>100+2000+34818+1500+280+5865</f>
        <v>44563</v>
      </c>
      <c r="J1396" s="19">
        <v>43193</v>
      </c>
      <c r="K1396" s="19">
        <v>43193</v>
      </c>
      <c r="L1396" s="20">
        <v>18950</v>
      </c>
      <c r="M1396" s="20">
        <v>14617</v>
      </c>
      <c r="N1396" s="164"/>
      <c r="O1396" s="19"/>
      <c r="P1396" s="19"/>
      <c r="Q1396" s="19"/>
      <c r="R1396" s="20"/>
      <c r="S1396" s="20"/>
      <c r="T1396" s="164"/>
      <c r="U1396" s="154">
        <f t="shared" si="80"/>
        <v>44563</v>
      </c>
    </row>
    <row r="1397" spans="2:21" x14ac:dyDescent="0.2">
      <c r="B1397" s="8">
        <f t="shared" si="79"/>
        <v>705</v>
      </c>
      <c r="C1397" s="18"/>
      <c r="D1397" s="18"/>
      <c r="E1397" s="18"/>
      <c r="F1397" s="152"/>
      <c r="G1397" s="153">
        <v>635</v>
      </c>
      <c r="H1397" s="18" t="s">
        <v>143</v>
      </c>
      <c r="I1397" s="19">
        <f>100+2900</f>
        <v>3000</v>
      </c>
      <c r="J1397" s="19">
        <v>2500</v>
      </c>
      <c r="K1397" s="19">
        <v>2500</v>
      </c>
      <c r="L1397" s="20">
        <v>629</v>
      </c>
      <c r="M1397" s="20">
        <v>2337</v>
      </c>
      <c r="N1397" s="164"/>
      <c r="O1397" s="19"/>
      <c r="P1397" s="19"/>
      <c r="Q1397" s="19"/>
      <c r="R1397" s="20"/>
      <c r="S1397" s="20"/>
      <c r="T1397" s="164"/>
      <c r="U1397" s="154">
        <f t="shared" si="80"/>
        <v>3000</v>
      </c>
    </row>
    <row r="1398" spans="2:21" x14ac:dyDescent="0.2">
      <c r="B1398" s="8">
        <f t="shared" si="79"/>
        <v>706</v>
      </c>
      <c r="C1398" s="18"/>
      <c r="D1398" s="18"/>
      <c r="E1398" s="18"/>
      <c r="F1398" s="152"/>
      <c r="G1398" s="153">
        <v>637</v>
      </c>
      <c r="H1398" s="18" t="s">
        <v>132</v>
      </c>
      <c r="I1398" s="19">
        <f>100+490+760</f>
        <v>1350</v>
      </c>
      <c r="J1398" s="19">
        <v>1340</v>
      </c>
      <c r="K1398" s="19">
        <v>1340</v>
      </c>
      <c r="L1398" s="20">
        <v>1056</v>
      </c>
      <c r="M1398" s="20">
        <v>818</v>
      </c>
      <c r="N1398" s="164"/>
      <c r="O1398" s="19"/>
      <c r="P1398" s="19"/>
      <c r="Q1398" s="19"/>
      <c r="R1398" s="20"/>
      <c r="S1398" s="20"/>
      <c r="T1398" s="164"/>
      <c r="U1398" s="154">
        <f t="shared" si="80"/>
        <v>1350</v>
      </c>
    </row>
    <row r="1399" spans="2:21" x14ac:dyDescent="0.2">
      <c r="B1399" s="8">
        <f t="shared" si="79"/>
        <v>707</v>
      </c>
      <c r="C1399" s="24"/>
      <c r="D1399" s="24"/>
      <c r="E1399" s="24"/>
      <c r="F1399" s="149" t="s">
        <v>170</v>
      </c>
      <c r="G1399" s="150">
        <v>640</v>
      </c>
      <c r="H1399" s="24" t="s">
        <v>139</v>
      </c>
      <c r="I1399" s="25">
        <v>450</v>
      </c>
      <c r="J1399" s="25">
        <v>450</v>
      </c>
      <c r="K1399" s="25">
        <v>450</v>
      </c>
      <c r="L1399" s="26">
        <v>1772</v>
      </c>
      <c r="M1399" s="26">
        <v>390</v>
      </c>
      <c r="N1399" s="501"/>
      <c r="O1399" s="25"/>
      <c r="P1399" s="25"/>
      <c r="Q1399" s="25"/>
      <c r="R1399" s="26"/>
      <c r="S1399" s="26"/>
      <c r="T1399" s="501"/>
      <c r="U1399" s="151">
        <f t="shared" si="80"/>
        <v>450</v>
      </c>
    </row>
    <row r="1400" spans="2:21" x14ac:dyDescent="0.2">
      <c r="B1400" s="8">
        <f t="shared" si="79"/>
        <v>708</v>
      </c>
      <c r="C1400" s="280"/>
      <c r="D1400" s="280"/>
      <c r="E1400" s="280" t="s">
        <v>108</v>
      </c>
      <c r="F1400" s="281"/>
      <c r="G1400" s="281"/>
      <c r="H1400" s="280" t="s">
        <v>65</v>
      </c>
      <c r="I1400" s="282">
        <f>I1407+I1403+I1402+I1401</f>
        <v>137307</v>
      </c>
      <c r="J1400" s="282">
        <f>J1407+J1403+J1402+J1401</f>
        <v>121014</v>
      </c>
      <c r="K1400" s="282">
        <f>K1407+K1403+K1402+K1401</f>
        <v>120814</v>
      </c>
      <c r="L1400" s="283">
        <f>L1407+L1403+L1402+L1401</f>
        <v>79664</v>
      </c>
      <c r="M1400" s="283">
        <f>M1407+M1403+M1402+M1401</f>
        <v>56059</v>
      </c>
      <c r="N1400" s="501"/>
      <c r="O1400" s="282"/>
      <c r="P1400" s="282"/>
      <c r="Q1400" s="282"/>
      <c r="R1400" s="283"/>
      <c r="S1400" s="283"/>
      <c r="T1400" s="501"/>
      <c r="U1400" s="284">
        <f t="shared" si="80"/>
        <v>137307</v>
      </c>
    </row>
    <row r="1401" spans="2:21" x14ac:dyDescent="0.2">
      <c r="B1401" s="8">
        <f t="shared" si="79"/>
        <v>709</v>
      </c>
      <c r="C1401" s="24"/>
      <c r="D1401" s="24"/>
      <c r="E1401" s="24"/>
      <c r="F1401" s="149" t="s">
        <v>170</v>
      </c>
      <c r="G1401" s="150">
        <v>610</v>
      </c>
      <c r="H1401" s="24" t="s">
        <v>141</v>
      </c>
      <c r="I1401" s="25">
        <f>768+480+6050+35052</f>
        <v>42350</v>
      </c>
      <c r="J1401" s="25">
        <v>36289</v>
      </c>
      <c r="K1401" s="25">
        <v>36289</v>
      </c>
      <c r="L1401" s="26">
        <v>34630</v>
      </c>
      <c r="M1401" s="26">
        <v>24913</v>
      </c>
      <c r="N1401" s="501"/>
      <c r="O1401" s="25"/>
      <c r="P1401" s="25"/>
      <c r="Q1401" s="25"/>
      <c r="R1401" s="26"/>
      <c r="S1401" s="26"/>
      <c r="T1401" s="501"/>
      <c r="U1401" s="151">
        <f t="shared" si="80"/>
        <v>42350</v>
      </c>
    </row>
    <row r="1402" spans="2:21" x14ac:dyDescent="0.2">
      <c r="B1402" s="8">
        <f t="shared" si="79"/>
        <v>710</v>
      </c>
      <c r="C1402" s="24"/>
      <c r="D1402" s="24"/>
      <c r="E1402" s="24"/>
      <c r="F1402" s="149" t="s">
        <v>170</v>
      </c>
      <c r="G1402" s="150">
        <v>620</v>
      </c>
      <c r="H1402" s="24" t="s">
        <v>134</v>
      </c>
      <c r="I1402" s="25">
        <f>2097+442+1325+847+353+6181+618+4415</f>
        <v>16278</v>
      </c>
      <c r="J1402" s="25">
        <v>14003</v>
      </c>
      <c r="K1402" s="25">
        <v>14003</v>
      </c>
      <c r="L1402" s="26">
        <v>11109</v>
      </c>
      <c r="M1402" s="26">
        <v>9092</v>
      </c>
      <c r="N1402" s="501"/>
      <c r="O1402" s="25"/>
      <c r="P1402" s="25"/>
      <c r="Q1402" s="25"/>
      <c r="R1402" s="26"/>
      <c r="S1402" s="26"/>
      <c r="T1402" s="501"/>
      <c r="U1402" s="151">
        <f t="shared" si="80"/>
        <v>16278</v>
      </c>
    </row>
    <row r="1403" spans="2:21" x14ac:dyDescent="0.2">
      <c r="B1403" s="8">
        <f t="shared" si="79"/>
        <v>711</v>
      </c>
      <c r="C1403" s="24"/>
      <c r="D1403" s="24"/>
      <c r="E1403" s="24"/>
      <c r="F1403" s="149" t="s">
        <v>170</v>
      </c>
      <c r="G1403" s="150">
        <v>630</v>
      </c>
      <c r="H1403" s="24" t="s">
        <v>131</v>
      </c>
      <c r="I1403" s="25">
        <f>I1406+I1405+I1404</f>
        <v>76427</v>
      </c>
      <c r="J1403" s="25">
        <f>J1406+J1405+J1404</f>
        <v>68572</v>
      </c>
      <c r="K1403" s="25">
        <f>K1406+K1405+K1404</f>
        <v>68372</v>
      </c>
      <c r="L1403" s="26">
        <f>L1406+L1405+L1404</f>
        <v>33870</v>
      </c>
      <c r="M1403" s="26">
        <f>M1406+M1405+M1404</f>
        <v>22054</v>
      </c>
      <c r="N1403" s="501"/>
      <c r="O1403" s="25"/>
      <c r="P1403" s="25"/>
      <c r="Q1403" s="25"/>
      <c r="R1403" s="26"/>
      <c r="S1403" s="26"/>
      <c r="T1403" s="501"/>
      <c r="U1403" s="151">
        <f t="shared" si="80"/>
        <v>76427</v>
      </c>
    </row>
    <row r="1404" spans="2:21" x14ac:dyDescent="0.2">
      <c r="B1404" s="8">
        <f t="shared" si="79"/>
        <v>712</v>
      </c>
      <c r="C1404" s="18"/>
      <c r="D1404" s="18"/>
      <c r="E1404" s="18"/>
      <c r="F1404" s="152"/>
      <c r="G1404" s="153">
        <v>633</v>
      </c>
      <c r="H1404" s="18" t="s">
        <v>135</v>
      </c>
      <c r="I1404" s="19">
        <f>50+54287+4450+2000+10805+280</f>
        <v>71872</v>
      </c>
      <c r="J1404" s="19">
        <v>65136</v>
      </c>
      <c r="K1404" s="19">
        <v>66436</v>
      </c>
      <c r="L1404" s="20">
        <v>32091</v>
      </c>
      <c r="M1404" s="20">
        <v>20950</v>
      </c>
      <c r="N1404" s="164"/>
      <c r="O1404" s="19"/>
      <c r="P1404" s="19"/>
      <c r="Q1404" s="19"/>
      <c r="R1404" s="20"/>
      <c r="S1404" s="20"/>
      <c r="T1404" s="164"/>
      <c r="U1404" s="154">
        <f t="shared" si="80"/>
        <v>71872</v>
      </c>
    </row>
    <row r="1405" spans="2:21" x14ac:dyDescent="0.2">
      <c r="B1405" s="8">
        <f t="shared" si="79"/>
        <v>713</v>
      </c>
      <c r="C1405" s="18"/>
      <c r="D1405" s="18"/>
      <c r="E1405" s="18"/>
      <c r="F1405" s="152"/>
      <c r="G1405" s="153">
        <v>635</v>
      </c>
      <c r="H1405" s="18" t="s">
        <v>143</v>
      </c>
      <c r="I1405" s="19">
        <f>500+2500</f>
        <v>3000</v>
      </c>
      <c r="J1405" s="19">
        <v>2000</v>
      </c>
      <c r="K1405" s="19">
        <v>500</v>
      </c>
      <c r="L1405" s="20">
        <v>500</v>
      </c>
      <c r="M1405" s="20">
        <v>227</v>
      </c>
      <c r="N1405" s="164"/>
      <c r="O1405" s="19"/>
      <c r="P1405" s="19"/>
      <c r="Q1405" s="19"/>
      <c r="R1405" s="20"/>
      <c r="S1405" s="20"/>
      <c r="T1405" s="164"/>
      <c r="U1405" s="154">
        <f t="shared" si="80"/>
        <v>3000</v>
      </c>
    </row>
    <row r="1406" spans="2:21" x14ac:dyDescent="0.2">
      <c r="B1406" s="8">
        <f t="shared" si="79"/>
        <v>714</v>
      </c>
      <c r="C1406" s="18"/>
      <c r="D1406" s="18"/>
      <c r="E1406" s="18"/>
      <c r="F1406" s="152"/>
      <c r="G1406" s="153">
        <v>637</v>
      </c>
      <c r="H1406" s="18" t="s">
        <v>132</v>
      </c>
      <c r="I1406" s="19">
        <f>635+920</f>
        <v>1555</v>
      </c>
      <c r="J1406" s="19">
        <v>1436</v>
      </c>
      <c r="K1406" s="19">
        <v>1436</v>
      </c>
      <c r="L1406" s="20">
        <v>1279</v>
      </c>
      <c r="M1406" s="20">
        <v>877</v>
      </c>
      <c r="N1406" s="164"/>
      <c r="O1406" s="19"/>
      <c r="P1406" s="19"/>
      <c r="Q1406" s="19"/>
      <c r="R1406" s="20"/>
      <c r="S1406" s="20"/>
      <c r="T1406" s="164"/>
      <c r="U1406" s="154">
        <f t="shared" si="80"/>
        <v>1555</v>
      </c>
    </row>
    <row r="1407" spans="2:21" x14ac:dyDescent="0.2">
      <c r="B1407" s="8">
        <f t="shared" si="79"/>
        <v>715</v>
      </c>
      <c r="C1407" s="24"/>
      <c r="D1407" s="24"/>
      <c r="E1407" s="24"/>
      <c r="F1407" s="149" t="s">
        <v>170</v>
      </c>
      <c r="G1407" s="150">
        <v>640</v>
      </c>
      <c r="H1407" s="24" t="s">
        <v>139</v>
      </c>
      <c r="I1407" s="25">
        <f>450+1802</f>
        <v>2252</v>
      </c>
      <c r="J1407" s="25">
        <v>2150</v>
      </c>
      <c r="K1407" s="25">
        <v>2150</v>
      </c>
      <c r="L1407" s="26">
        <v>55</v>
      </c>
      <c r="M1407" s="26">
        <v>0</v>
      </c>
      <c r="N1407" s="501"/>
      <c r="O1407" s="25"/>
      <c r="P1407" s="25"/>
      <c r="Q1407" s="25"/>
      <c r="R1407" s="26"/>
      <c r="S1407" s="26"/>
      <c r="T1407" s="501"/>
      <c r="U1407" s="151">
        <f t="shared" si="80"/>
        <v>2252</v>
      </c>
    </row>
    <row r="1408" spans="2:21" x14ac:dyDescent="0.2">
      <c r="B1408" s="8">
        <f t="shared" si="79"/>
        <v>716</v>
      </c>
      <c r="C1408" s="280"/>
      <c r="D1408" s="280"/>
      <c r="E1408" s="280" t="s">
        <v>104</v>
      </c>
      <c r="F1408" s="281"/>
      <c r="G1408" s="281"/>
      <c r="H1408" s="280" t="s">
        <v>71</v>
      </c>
      <c r="I1408" s="282">
        <f>I1415+I1411+I1410+I1409</f>
        <v>137027</v>
      </c>
      <c r="J1408" s="282">
        <f>J1415+J1411+J1410+J1409</f>
        <v>128950</v>
      </c>
      <c r="K1408" s="282">
        <f>K1415+K1411+K1410+K1409</f>
        <v>130950</v>
      </c>
      <c r="L1408" s="283">
        <f>L1415+L1411+L1410+L1409</f>
        <v>86173</v>
      </c>
      <c r="M1408" s="283">
        <f>M1415+M1411+M1410+M1409</f>
        <v>75400</v>
      </c>
      <c r="N1408" s="501"/>
      <c r="O1408" s="282"/>
      <c r="P1408" s="282"/>
      <c r="Q1408" s="282"/>
      <c r="R1408" s="283"/>
      <c r="S1408" s="283"/>
      <c r="T1408" s="501"/>
      <c r="U1408" s="284">
        <f t="shared" si="80"/>
        <v>137027</v>
      </c>
    </row>
    <row r="1409" spans="2:21" x14ac:dyDescent="0.2">
      <c r="B1409" s="8">
        <f t="shared" si="79"/>
        <v>717</v>
      </c>
      <c r="C1409" s="24"/>
      <c r="D1409" s="24"/>
      <c r="E1409" s="24"/>
      <c r="F1409" s="149" t="s">
        <v>170</v>
      </c>
      <c r="G1409" s="150">
        <v>610</v>
      </c>
      <c r="H1409" s="24" t="s">
        <v>141</v>
      </c>
      <c r="I1409" s="25">
        <f>768+480+6919+35262</f>
        <v>43429</v>
      </c>
      <c r="J1409" s="25">
        <v>37637</v>
      </c>
      <c r="K1409" s="25">
        <v>37637</v>
      </c>
      <c r="L1409" s="26">
        <v>35641</v>
      </c>
      <c r="M1409" s="26">
        <v>35306</v>
      </c>
      <c r="N1409" s="501"/>
      <c r="O1409" s="25"/>
      <c r="P1409" s="25"/>
      <c r="Q1409" s="25"/>
      <c r="R1409" s="26"/>
      <c r="S1409" s="26"/>
      <c r="T1409" s="501"/>
      <c r="U1409" s="151">
        <f t="shared" si="80"/>
        <v>43429</v>
      </c>
    </row>
    <row r="1410" spans="2:21" x14ac:dyDescent="0.2">
      <c r="B1410" s="8">
        <f t="shared" si="79"/>
        <v>718</v>
      </c>
      <c r="C1410" s="24"/>
      <c r="D1410" s="24"/>
      <c r="E1410" s="24"/>
      <c r="F1410" s="149" t="s">
        <v>170</v>
      </c>
      <c r="G1410" s="150">
        <v>620</v>
      </c>
      <c r="H1410" s="24" t="s">
        <v>134</v>
      </c>
      <c r="I1410" s="25">
        <f>2068+434+1306+869+348+6094+609+4353</f>
        <v>16081</v>
      </c>
      <c r="J1410" s="25">
        <v>13942</v>
      </c>
      <c r="K1410" s="25">
        <v>13942</v>
      </c>
      <c r="L1410" s="26">
        <v>12956</v>
      </c>
      <c r="M1410" s="26">
        <v>13109</v>
      </c>
      <c r="N1410" s="501"/>
      <c r="O1410" s="25"/>
      <c r="P1410" s="25"/>
      <c r="Q1410" s="25"/>
      <c r="R1410" s="26"/>
      <c r="S1410" s="26"/>
      <c r="T1410" s="501"/>
      <c r="U1410" s="151">
        <f t="shared" si="80"/>
        <v>16081</v>
      </c>
    </row>
    <row r="1411" spans="2:21" x14ac:dyDescent="0.2">
      <c r="B1411" s="8">
        <f t="shared" si="79"/>
        <v>719</v>
      </c>
      <c r="C1411" s="24"/>
      <c r="D1411" s="24"/>
      <c r="E1411" s="24"/>
      <c r="F1411" s="149" t="s">
        <v>170</v>
      </c>
      <c r="G1411" s="150">
        <v>630</v>
      </c>
      <c r="H1411" s="24" t="s">
        <v>131</v>
      </c>
      <c r="I1411" s="25">
        <f>I1414+I1413+I1412</f>
        <v>77067</v>
      </c>
      <c r="J1411" s="25">
        <f>J1414+J1413+J1412</f>
        <v>76921</v>
      </c>
      <c r="K1411" s="25">
        <f>K1414+K1413+K1412</f>
        <v>78921</v>
      </c>
      <c r="L1411" s="26">
        <f>L1414+L1413+L1412</f>
        <v>37576</v>
      </c>
      <c r="M1411" s="26">
        <f>M1414+M1413+M1412</f>
        <v>26985</v>
      </c>
      <c r="N1411" s="501"/>
      <c r="O1411" s="25"/>
      <c r="P1411" s="25"/>
      <c r="Q1411" s="25"/>
      <c r="R1411" s="26"/>
      <c r="S1411" s="26"/>
      <c r="T1411" s="501"/>
      <c r="U1411" s="151">
        <f t="shared" si="80"/>
        <v>77067</v>
      </c>
    </row>
    <row r="1412" spans="2:21" x14ac:dyDescent="0.2">
      <c r="B1412" s="8">
        <f t="shared" si="79"/>
        <v>720</v>
      </c>
      <c r="C1412" s="18"/>
      <c r="D1412" s="18"/>
      <c r="E1412" s="18"/>
      <c r="F1412" s="152"/>
      <c r="G1412" s="153">
        <v>633</v>
      </c>
      <c r="H1412" s="18" t="s">
        <v>135</v>
      </c>
      <c r="I1412" s="19">
        <f>900+100+53493+2200+280+14509</f>
        <v>71482</v>
      </c>
      <c r="J1412" s="19">
        <v>74217</v>
      </c>
      <c r="K1412" s="19">
        <v>74717</v>
      </c>
      <c r="L1412" s="20">
        <v>35976</v>
      </c>
      <c r="M1412" s="20">
        <v>25586</v>
      </c>
      <c r="N1412" s="164"/>
      <c r="O1412" s="19"/>
      <c r="P1412" s="19"/>
      <c r="Q1412" s="19"/>
      <c r="R1412" s="20"/>
      <c r="S1412" s="20"/>
      <c r="T1412" s="164"/>
      <c r="U1412" s="154">
        <f t="shared" si="80"/>
        <v>71482</v>
      </c>
    </row>
    <row r="1413" spans="2:21" x14ac:dyDescent="0.2">
      <c r="B1413" s="8">
        <f t="shared" si="79"/>
        <v>721</v>
      </c>
      <c r="C1413" s="18"/>
      <c r="D1413" s="18"/>
      <c r="E1413" s="18"/>
      <c r="F1413" s="152"/>
      <c r="G1413" s="153">
        <v>635</v>
      </c>
      <c r="H1413" s="18" t="s">
        <v>143</v>
      </c>
      <c r="I1413" s="19">
        <f>100+2400</f>
        <v>2500</v>
      </c>
      <c r="J1413" s="19">
        <v>1000</v>
      </c>
      <c r="K1413" s="19">
        <v>2500</v>
      </c>
      <c r="L1413" s="20">
        <v>406</v>
      </c>
      <c r="M1413" s="20">
        <v>340</v>
      </c>
      <c r="N1413" s="164"/>
      <c r="O1413" s="19"/>
      <c r="P1413" s="19"/>
      <c r="Q1413" s="19"/>
      <c r="R1413" s="20"/>
      <c r="S1413" s="20"/>
      <c r="T1413" s="164"/>
      <c r="U1413" s="154">
        <f t="shared" si="80"/>
        <v>2500</v>
      </c>
    </row>
    <row r="1414" spans="2:21" x14ac:dyDescent="0.2">
      <c r="B1414" s="8">
        <f t="shared" si="79"/>
        <v>722</v>
      </c>
      <c r="C1414" s="18"/>
      <c r="D1414" s="18"/>
      <c r="E1414" s="18"/>
      <c r="F1414" s="152"/>
      <c r="G1414" s="153">
        <v>637</v>
      </c>
      <c r="H1414" s="18" t="s">
        <v>132</v>
      </c>
      <c r="I1414" s="19">
        <f>652+103+2330</f>
        <v>3085</v>
      </c>
      <c r="J1414" s="19">
        <v>1704</v>
      </c>
      <c r="K1414" s="19">
        <v>1704</v>
      </c>
      <c r="L1414" s="20">
        <v>1194</v>
      </c>
      <c r="M1414" s="20">
        <v>1059</v>
      </c>
      <c r="N1414" s="164"/>
      <c r="O1414" s="19"/>
      <c r="P1414" s="19"/>
      <c r="Q1414" s="19"/>
      <c r="R1414" s="20"/>
      <c r="S1414" s="20"/>
      <c r="T1414" s="164"/>
      <c r="U1414" s="154">
        <f t="shared" si="80"/>
        <v>3085</v>
      </c>
    </row>
    <row r="1415" spans="2:21" x14ac:dyDescent="0.2">
      <c r="B1415" s="8">
        <f t="shared" si="79"/>
        <v>723</v>
      </c>
      <c r="C1415" s="24"/>
      <c r="D1415" s="24"/>
      <c r="E1415" s="24"/>
      <c r="F1415" s="149" t="s">
        <v>170</v>
      </c>
      <c r="G1415" s="150">
        <v>640</v>
      </c>
      <c r="H1415" s="24" t="s">
        <v>139</v>
      </c>
      <c r="I1415" s="25">
        <v>450</v>
      </c>
      <c r="J1415" s="25">
        <v>450</v>
      </c>
      <c r="K1415" s="25">
        <v>450</v>
      </c>
      <c r="L1415" s="26">
        <v>0</v>
      </c>
      <c r="M1415" s="26"/>
      <c r="N1415" s="501"/>
      <c r="O1415" s="25"/>
      <c r="P1415" s="25"/>
      <c r="Q1415" s="25"/>
      <c r="R1415" s="26"/>
      <c r="S1415" s="26"/>
      <c r="T1415" s="501"/>
      <c r="U1415" s="151">
        <f t="shared" si="80"/>
        <v>450</v>
      </c>
    </row>
    <row r="1416" spans="2:21" x14ac:dyDescent="0.2">
      <c r="B1416" s="8">
        <f t="shared" si="79"/>
        <v>724</v>
      </c>
      <c r="C1416" s="280"/>
      <c r="D1416" s="280"/>
      <c r="E1416" s="280" t="s">
        <v>107</v>
      </c>
      <c r="F1416" s="281"/>
      <c r="G1416" s="281"/>
      <c r="H1416" s="280" t="s">
        <v>72</v>
      </c>
      <c r="I1416" s="282">
        <f>I1423+I1419+I1418+I1417</f>
        <v>117750</v>
      </c>
      <c r="J1416" s="282">
        <f>J1423+J1419+J1418+J1417</f>
        <v>94357</v>
      </c>
      <c r="K1416" s="282">
        <f>K1423+K1419+K1418+K1417</f>
        <v>94357</v>
      </c>
      <c r="L1416" s="283">
        <f>L1423+L1419+L1418+L1417</f>
        <v>59042</v>
      </c>
      <c r="M1416" s="283">
        <f>M1423+M1419+M1418+M1417</f>
        <v>54599</v>
      </c>
      <c r="N1416" s="501"/>
      <c r="O1416" s="282"/>
      <c r="P1416" s="282"/>
      <c r="Q1416" s="282"/>
      <c r="R1416" s="283"/>
      <c r="S1416" s="283"/>
      <c r="T1416" s="501"/>
      <c r="U1416" s="284">
        <f t="shared" si="80"/>
        <v>117750</v>
      </c>
    </row>
    <row r="1417" spans="2:21" x14ac:dyDescent="0.2">
      <c r="B1417" s="8">
        <f t="shared" si="79"/>
        <v>725</v>
      </c>
      <c r="C1417" s="24"/>
      <c r="D1417" s="24"/>
      <c r="E1417" s="24"/>
      <c r="F1417" s="149" t="s">
        <v>170</v>
      </c>
      <c r="G1417" s="150">
        <v>610</v>
      </c>
      <c r="H1417" s="24" t="s">
        <v>141</v>
      </c>
      <c r="I1417" s="25">
        <f>810+600+6349+36681</f>
        <v>44440</v>
      </c>
      <c r="J1417" s="25">
        <v>32478</v>
      </c>
      <c r="K1417" s="25">
        <v>32478</v>
      </c>
      <c r="L1417" s="26">
        <v>27568</v>
      </c>
      <c r="M1417" s="26">
        <v>27442</v>
      </c>
      <c r="N1417" s="501"/>
      <c r="O1417" s="25"/>
      <c r="P1417" s="25"/>
      <c r="Q1417" s="25"/>
      <c r="R1417" s="26"/>
      <c r="S1417" s="26"/>
      <c r="T1417" s="501"/>
      <c r="U1417" s="151">
        <f t="shared" si="80"/>
        <v>44440</v>
      </c>
    </row>
    <row r="1418" spans="2:21" x14ac:dyDescent="0.2">
      <c r="B1418" s="8">
        <f t="shared" si="79"/>
        <v>726</v>
      </c>
      <c r="C1418" s="24"/>
      <c r="D1418" s="24"/>
      <c r="E1418" s="24"/>
      <c r="F1418" s="149" t="s">
        <v>170</v>
      </c>
      <c r="G1418" s="150">
        <v>620</v>
      </c>
      <c r="H1418" s="24" t="s">
        <v>134</v>
      </c>
      <c r="I1418" s="25">
        <f>2116+444+1336+889+356+6236+624+4454</f>
        <v>16455</v>
      </c>
      <c r="J1418" s="25">
        <v>12035</v>
      </c>
      <c r="K1418" s="25">
        <v>12035</v>
      </c>
      <c r="L1418" s="26">
        <v>9902</v>
      </c>
      <c r="M1418" s="26">
        <v>9886</v>
      </c>
      <c r="N1418" s="501"/>
      <c r="O1418" s="25"/>
      <c r="P1418" s="25"/>
      <c r="Q1418" s="25"/>
      <c r="R1418" s="26"/>
      <c r="S1418" s="26"/>
      <c r="T1418" s="501"/>
      <c r="U1418" s="151">
        <f t="shared" si="80"/>
        <v>16455</v>
      </c>
    </row>
    <row r="1419" spans="2:21" x14ac:dyDescent="0.2">
      <c r="B1419" s="8">
        <f t="shared" si="79"/>
        <v>727</v>
      </c>
      <c r="C1419" s="24"/>
      <c r="D1419" s="24"/>
      <c r="E1419" s="24"/>
      <c r="F1419" s="149" t="s">
        <v>170</v>
      </c>
      <c r="G1419" s="150">
        <v>630</v>
      </c>
      <c r="H1419" s="24" t="s">
        <v>131</v>
      </c>
      <c r="I1419" s="25">
        <f>I1422+I1421+I1420</f>
        <v>56405</v>
      </c>
      <c r="J1419" s="25">
        <f>J1422+J1421+J1420</f>
        <v>49394</v>
      </c>
      <c r="K1419" s="25">
        <f>K1422+K1421+K1420</f>
        <v>49394</v>
      </c>
      <c r="L1419" s="26">
        <f>L1422+L1421+L1420</f>
        <v>21572</v>
      </c>
      <c r="M1419" s="26">
        <f>M1422+M1421+M1420</f>
        <v>17271</v>
      </c>
      <c r="N1419" s="501"/>
      <c r="O1419" s="25"/>
      <c r="P1419" s="25"/>
      <c r="Q1419" s="25"/>
      <c r="R1419" s="26"/>
      <c r="S1419" s="26"/>
      <c r="T1419" s="501"/>
      <c r="U1419" s="151">
        <f t="shared" si="80"/>
        <v>56405</v>
      </c>
    </row>
    <row r="1420" spans="2:21" x14ac:dyDescent="0.2">
      <c r="B1420" s="8">
        <f t="shared" si="79"/>
        <v>728</v>
      </c>
      <c r="C1420" s="18"/>
      <c r="D1420" s="18"/>
      <c r="E1420" s="18"/>
      <c r="F1420" s="152"/>
      <c r="G1420" s="153">
        <v>633</v>
      </c>
      <c r="H1420" s="18" t="s">
        <v>135</v>
      </c>
      <c r="I1420" s="19">
        <f>150+1000+42094+1800+200+6791+280</f>
        <v>52315</v>
      </c>
      <c r="J1420" s="19">
        <v>44927</v>
      </c>
      <c r="K1420" s="19">
        <v>44927</v>
      </c>
      <c r="L1420" s="20">
        <v>19767</v>
      </c>
      <c r="M1420" s="20">
        <v>14903</v>
      </c>
      <c r="N1420" s="164"/>
      <c r="O1420" s="19"/>
      <c r="P1420" s="19"/>
      <c r="Q1420" s="19"/>
      <c r="R1420" s="20"/>
      <c r="S1420" s="20"/>
      <c r="T1420" s="164"/>
      <c r="U1420" s="154">
        <f t="shared" si="80"/>
        <v>52315</v>
      </c>
    </row>
    <row r="1421" spans="2:21" x14ac:dyDescent="0.2">
      <c r="B1421" s="8">
        <f t="shared" si="79"/>
        <v>729</v>
      </c>
      <c r="C1421" s="18"/>
      <c r="D1421" s="18"/>
      <c r="E1421" s="18"/>
      <c r="F1421" s="152"/>
      <c r="G1421" s="153">
        <v>635</v>
      </c>
      <c r="H1421" s="18" t="s">
        <v>143</v>
      </c>
      <c r="I1421" s="19">
        <v>2500</v>
      </c>
      <c r="J1421" s="19">
        <v>3000</v>
      </c>
      <c r="K1421" s="19">
        <v>3000</v>
      </c>
      <c r="L1421" s="20">
        <v>942</v>
      </c>
      <c r="M1421" s="20">
        <v>1571</v>
      </c>
      <c r="N1421" s="164"/>
      <c r="O1421" s="19"/>
      <c r="P1421" s="19"/>
      <c r="Q1421" s="19"/>
      <c r="R1421" s="20"/>
      <c r="S1421" s="20"/>
      <c r="T1421" s="164"/>
      <c r="U1421" s="154">
        <f t="shared" si="80"/>
        <v>2500</v>
      </c>
    </row>
    <row r="1422" spans="2:21" x14ac:dyDescent="0.2">
      <c r="B1422" s="8">
        <f t="shared" si="79"/>
        <v>730</v>
      </c>
      <c r="C1422" s="18"/>
      <c r="D1422" s="18"/>
      <c r="E1422" s="18"/>
      <c r="F1422" s="152"/>
      <c r="G1422" s="153">
        <v>637</v>
      </c>
      <c r="H1422" s="18" t="s">
        <v>132</v>
      </c>
      <c r="I1422" s="19">
        <f>100+670+820</f>
        <v>1590</v>
      </c>
      <c r="J1422" s="19">
        <v>1467</v>
      </c>
      <c r="K1422" s="19">
        <v>1467</v>
      </c>
      <c r="L1422" s="20">
        <v>863</v>
      </c>
      <c r="M1422" s="20">
        <v>797</v>
      </c>
      <c r="N1422" s="164"/>
      <c r="O1422" s="19"/>
      <c r="P1422" s="19"/>
      <c r="Q1422" s="19"/>
      <c r="R1422" s="20"/>
      <c r="S1422" s="20"/>
      <c r="T1422" s="164"/>
      <c r="U1422" s="154">
        <f t="shared" si="80"/>
        <v>1590</v>
      </c>
    </row>
    <row r="1423" spans="2:21" x14ac:dyDescent="0.2">
      <c r="B1423" s="8">
        <f t="shared" si="79"/>
        <v>731</v>
      </c>
      <c r="C1423" s="24"/>
      <c r="D1423" s="24"/>
      <c r="E1423" s="24"/>
      <c r="F1423" s="149" t="s">
        <v>170</v>
      </c>
      <c r="G1423" s="150">
        <v>640</v>
      </c>
      <c r="H1423" s="24" t="s">
        <v>139</v>
      </c>
      <c r="I1423" s="25">
        <v>450</v>
      </c>
      <c r="J1423" s="25">
        <v>450</v>
      </c>
      <c r="K1423" s="25">
        <v>450</v>
      </c>
      <c r="L1423" s="26"/>
      <c r="M1423" s="26"/>
      <c r="N1423" s="501"/>
      <c r="O1423" s="25"/>
      <c r="P1423" s="25"/>
      <c r="Q1423" s="25"/>
      <c r="R1423" s="26"/>
      <c r="S1423" s="26"/>
      <c r="T1423" s="501"/>
      <c r="U1423" s="151">
        <f t="shared" si="80"/>
        <v>450</v>
      </c>
    </row>
    <row r="1424" spans="2:21" x14ac:dyDescent="0.2">
      <c r="B1424" s="8">
        <f t="shared" si="79"/>
        <v>732</v>
      </c>
      <c r="C1424" s="280"/>
      <c r="D1424" s="280"/>
      <c r="E1424" s="280" t="s">
        <v>100</v>
      </c>
      <c r="F1424" s="281"/>
      <c r="G1424" s="281"/>
      <c r="H1424" s="280" t="s">
        <v>101</v>
      </c>
      <c r="I1424" s="282">
        <f>I1432+I1431+I1427+I1426+I1425</f>
        <v>60493</v>
      </c>
      <c r="J1424" s="282">
        <f>J1432+J1431+J1427+J1426+J1425</f>
        <v>58919</v>
      </c>
      <c r="K1424" s="282">
        <f>K1432+K1431+K1427+K1426+K1425</f>
        <v>58919</v>
      </c>
      <c r="L1424" s="283">
        <f>L1432+L1431+L1427+L1426+L1425</f>
        <v>32860</v>
      </c>
      <c r="M1424" s="283">
        <f>M1432+M1431+M1427+M1426+M1425</f>
        <v>30419</v>
      </c>
      <c r="N1424" s="501"/>
      <c r="O1424" s="282"/>
      <c r="P1424" s="282"/>
      <c r="Q1424" s="282"/>
      <c r="R1424" s="283">
        <f>R1432</f>
        <v>2000</v>
      </c>
      <c r="S1424" s="283"/>
      <c r="T1424" s="501"/>
      <c r="U1424" s="284">
        <f t="shared" si="80"/>
        <v>60493</v>
      </c>
    </row>
    <row r="1425" spans="2:21" x14ac:dyDescent="0.2">
      <c r="B1425" s="8">
        <f t="shared" si="79"/>
        <v>733</v>
      </c>
      <c r="C1425" s="24"/>
      <c r="D1425" s="24"/>
      <c r="E1425" s="24"/>
      <c r="F1425" s="149" t="s">
        <v>170</v>
      </c>
      <c r="G1425" s="150">
        <v>610</v>
      </c>
      <c r="H1425" s="24" t="s">
        <v>141</v>
      </c>
      <c r="I1425" s="25">
        <f>726+360+3321+18840</f>
        <v>23247</v>
      </c>
      <c r="J1425" s="25">
        <v>21319</v>
      </c>
      <c r="K1425" s="25">
        <v>21319</v>
      </c>
      <c r="L1425" s="26">
        <v>14700</v>
      </c>
      <c r="M1425" s="26">
        <v>15616</v>
      </c>
      <c r="N1425" s="501"/>
      <c r="O1425" s="25"/>
      <c r="P1425" s="25"/>
      <c r="Q1425" s="25"/>
      <c r="R1425" s="26"/>
      <c r="S1425" s="26"/>
      <c r="T1425" s="501"/>
      <c r="U1425" s="151">
        <f t="shared" si="80"/>
        <v>23247</v>
      </c>
    </row>
    <row r="1426" spans="2:21" x14ac:dyDescent="0.2">
      <c r="B1426" s="8">
        <f t="shared" si="79"/>
        <v>734</v>
      </c>
      <c r="C1426" s="24"/>
      <c r="D1426" s="24"/>
      <c r="E1426" s="24"/>
      <c r="F1426" s="149" t="s">
        <v>170</v>
      </c>
      <c r="G1426" s="150">
        <v>620</v>
      </c>
      <c r="H1426" s="24" t="s">
        <v>134</v>
      </c>
      <c r="I1426" s="25">
        <f>1195+250+754+465+201+3521+352+2515</f>
        <v>9253</v>
      </c>
      <c r="J1426" s="25">
        <v>8504</v>
      </c>
      <c r="K1426" s="25">
        <v>8504</v>
      </c>
      <c r="L1426" s="26">
        <v>5080</v>
      </c>
      <c r="M1426" s="26">
        <v>5303</v>
      </c>
      <c r="N1426" s="501"/>
      <c r="O1426" s="25"/>
      <c r="P1426" s="25"/>
      <c r="Q1426" s="25"/>
      <c r="R1426" s="26"/>
      <c r="S1426" s="26"/>
      <c r="T1426" s="501"/>
      <c r="U1426" s="151">
        <f t="shared" si="80"/>
        <v>9253</v>
      </c>
    </row>
    <row r="1427" spans="2:21" x14ac:dyDescent="0.2">
      <c r="B1427" s="8">
        <f t="shared" si="79"/>
        <v>735</v>
      </c>
      <c r="C1427" s="24"/>
      <c r="D1427" s="24"/>
      <c r="E1427" s="24"/>
      <c r="F1427" s="149" t="s">
        <v>170</v>
      </c>
      <c r="G1427" s="150">
        <v>630</v>
      </c>
      <c r="H1427" s="24" t="s">
        <v>131</v>
      </c>
      <c r="I1427" s="25">
        <f>I1430+I1429+I1428</f>
        <v>25741</v>
      </c>
      <c r="J1427" s="25">
        <f>J1430+J1429+J1428</f>
        <v>26946</v>
      </c>
      <c r="K1427" s="25">
        <f>K1430+K1429+K1428</f>
        <v>26946</v>
      </c>
      <c r="L1427" s="26">
        <f>L1430+L1429+L1428</f>
        <v>13080</v>
      </c>
      <c r="M1427" s="26">
        <f>M1430+M1429+M1428</f>
        <v>9500</v>
      </c>
      <c r="N1427" s="501"/>
      <c r="O1427" s="25"/>
      <c r="P1427" s="25"/>
      <c r="Q1427" s="25"/>
      <c r="R1427" s="26"/>
      <c r="S1427" s="26"/>
      <c r="T1427" s="501"/>
      <c r="U1427" s="151">
        <f t="shared" si="80"/>
        <v>25741</v>
      </c>
    </row>
    <row r="1428" spans="2:21" x14ac:dyDescent="0.2">
      <c r="B1428" s="8">
        <f t="shared" si="79"/>
        <v>736</v>
      </c>
      <c r="C1428" s="18"/>
      <c r="D1428" s="18"/>
      <c r="E1428" s="18"/>
      <c r="F1428" s="152"/>
      <c r="G1428" s="153">
        <v>633</v>
      </c>
      <c r="H1428" s="18" t="s">
        <v>135</v>
      </c>
      <c r="I1428" s="19">
        <f>200+100+16515+1200+1800+3396+280</f>
        <v>23491</v>
      </c>
      <c r="J1428" s="19">
        <v>22811</v>
      </c>
      <c r="K1428" s="19">
        <v>24811</v>
      </c>
      <c r="L1428" s="20">
        <v>11312</v>
      </c>
      <c r="M1428" s="20">
        <v>8587</v>
      </c>
      <c r="N1428" s="164"/>
      <c r="O1428" s="19"/>
      <c r="P1428" s="19"/>
      <c r="Q1428" s="19"/>
      <c r="R1428" s="20"/>
      <c r="S1428" s="20"/>
      <c r="T1428" s="164"/>
      <c r="U1428" s="154">
        <f t="shared" si="80"/>
        <v>23491</v>
      </c>
    </row>
    <row r="1429" spans="2:21" x14ac:dyDescent="0.2">
      <c r="B1429" s="8">
        <f t="shared" si="79"/>
        <v>737</v>
      </c>
      <c r="C1429" s="18"/>
      <c r="D1429" s="18"/>
      <c r="E1429" s="18"/>
      <c r="F1429" s="152"/>
      <c r="G1429" s="153">
        <v>635</v>
      </c>
      <c r="H1429" s="18" t="s">
        <v>143</v>
      </c>
      <c r="I1429" s="19">
        <v>800</v>
      </c>
      <c r="J1429" s="19">
        <v>3000</v>
      </c>
      <c r="K1429" s="19">
        <v>1000</v>
      </c>
      <c r="L1429" s="20">
        <v>828</v>
      </c>
      <c r="M1429" s="20">
        <v>245</v>
      </c>
      <c r="N1429" s="164"/>
      <c r="O1429" s="19"/>
      <c r="P1429" s="19"/>
      <c r="Q1429" s="19"/>
      <c r="R1429" s="20"/>
      <c r="S1429" s="20"/>
      <c r="T1429" s="164"/>
      <c r="U1429" s="154">
        <f t="shared" si="80"/>
        <v>800</v>
      </c>
    </row>
    <row r="1430" spans="2:21" x14ac:dyDescent="0.2">
      <c r="B1430" s="8">
        <f t="shared" si="79"/>
        <v>738</v>
      </c>
      <c r="C1430" s="18"/>
      <c r="D1430" s="18"/>
      <c r="E1430" s="18"/>
      <c r="F1430" s="152"/>
      <c r="G1430" s="153">
        <v>637</v>
      </c>
      <c r="H1430" s="18" t="s">
        <v>132</v>
      </c>
      <c r="I1430" s="19">
        <f>350+100+1000</f>
        <v>1450</v>
      </c>
      <c r="J1430" s="19">
        <v>1135</v>
      </c>
      <c r="K1430" s="19">
        <v>1135</v>
      </c>
      <c r="L1430" s="20">
        <v>940</v>
      </c>
      <c r="M1430" s="20">
        <v>668</v>
      </c>
      <c r="N1430" s="164"/>
      <c r="O1430" s="19"/>
      <c r="P1430" s="19"/>
      <c r="Q1430" s="19"/>
      <c r="R1430" s="20"/>
      <c r="S1430" s="20"/>
      <c r="T1430" s="164"/>
      <c r="U1430" s="154">
        <f t="shared" si="80"/>
        <v>1450</v>
      </c>
    </row>
    <row r="1431" spans="2:21" x14ac:dyDescent="0.2">
      <c r="B1431" s="8">
        <f t="shared" si="79"/>
        <v>739</v>
      </c>
      <c r="C1431" s="24"/>
      <c r="D1431" s="24"/>
      <c r="E1431" s="24"/>
      <c r="F1431" s="149" t="s">
        <v>170</v>
      </c>
      <c r="G1431" s="150">
        <v>640</v>
      </c>
      <c r="H1431" s="24" t="s">
        <v>139</v>
      </c>
      <c r="I1431" s="25">
        <f>450+1802</f>
        <v>2252</v>
      </c>
      <c r="J1431" s="25">
        <v>2150</v>
      </c>
      <c r="K1431" s="25">
        <v>2150</v>
      </c>
      <c r="L1431" s="26"/>
      <c r="M1431" s="26"/>
      <c r="N1431" s="501"/>
      <c r="O1431" s="25"/>
      <c r="P1431" s="25"/>
      <c r="Q1431" s="25"/>
      <c r="R1431" s="26"/>
      <c r="S1431" s="26"/>
      <c r="T1431" s="501"/>
      <c r="U1431" s="151">
        <f t="shared" si="80"/>
        <v>2252</v>
      </c>
    </row>
    <row r="1432" spans="2:21" x14ac:dyDescent="0.2">
      <c r="B1432" s="8">
        <f t="shared" si="79"/>
        <v>740</v>
      </c>
      <c r="C1432" s="24"/>
      <c r="D1432" s="24"/>
      <c r="E1432" s="24"/>
      <c r="F1432" s="149" t="s">
        <v>170</v>
      </c>
      <c r="G1432" s="150">
        <v>710</v>
      </c>
      <c r="H1432" s="24" t="s">
        <v>185</v>
      </c>
      <c r="I1432" s="25"/>
      <c r="J1432" s="25"/>
      <c r="K1432" s="25"/>
      <c r="L1432" s="26"/>
      <c r="M1432" s="26"/>
      <c r="N1432" s="501"/>
      <c r="O1432" s="25"/>
      <c r="P1432" s="25"/>
      <c r="Q1432" s="25"/>
      <c r="R1432" s="26">
        <f>R1433</f>
        <v>2000</v>
      </c>
      <c r="S1432" s="26"/>
      <c r="T1432" s="501"/>
      <c r="U1432" s="151">
        <f t="shared" si="80"/>
        <v>0</v>
      </c>
    </row>
    <row r="1433" spans="2:21" x14ac:dyDescent="0.2">
      <c r="B1433" s="8">
        <f t="shared" si="79"/>
        <v>741</v>
      </c>
      <c r="C1433" s="18"/>
      <c r="D1433" s="18"/>
      <c r="E1433" s="18"/>
      <c r="F1433" s="152"/>
      <c r="G1433" s="153">
        <v>713</v>
      </c>
      <c r="H1433" s="18" t="s">
        <v>230</v>
      </c>
      <c r="I1433" s="19"/>
      <c r="J1433" s="19"/>
      <c r="K1433" s="19"/>
      <c r="L1433" s="20"/>
      <c r="M1433" s="20"/>
      <c r="N1433" s="164"/>
      <c r="O1433" s="19"/>
      <c r="P1433" s="19"/>
      <c r="Q1433" s="19"/>
      <c r="R1433" s="20">
        <f>R1434</f>
        <v>2000</v>
      </c>
      <c r="S1433" s="20"/>
      <c r="T1433" s="164"/>
      <c r="U1433" s="154">
        <f t="shared" si="80"/>
        <v>0</v>
      </c>
    </row>
    <row r="1434" spans="2:21" s="165" customFormat="1" x14ac:dyDescent="0.2">
      <c r="B1434" s="8">
        <f t="shared" si="79"/>
        <v>742</v>
      </c>
      <c r="C1434" s="156"/>
      <c r="D1434" s="156"/>
      <c r="E1434" s="156"/>
      <c r="F1434" s="272"/>
      <c r="G1434" s="155"/>
      <c r="H1434" s="156" t="s">
        <v>521</v>
      </c>
      <c r="I1434" s="157"/>
      <c r="J1434" s="157"/>
      <c r="K1434" s="157"/>
      <c r="L1434" s="158"/>
      <c r="M1434" s="158"/>
      <c r="N1434" s="535"/>
      <c r="O1434" s="157"/>
      <c r="P1434" s="157"/>
      <c r="Q1434" s="157"/>
      <c r="R1434" s="158">
        <v>2000</v>
      </c>
      <c r="S1434" s="158"/>
      <c r="T1434" s="535"/>
      <c r="U1434" s="159">
        <f t="shared" si="80"/>
        <v>0</v>
      </c>
    </row>
    <row r="1435" spans="2:21" x14ac:dyDescent="0.2">
      <c r="B1435" s="8">
        <f t="shared" si="79"/>
        <v>743</v>
      </c>
      <c r="C1435" s="280"/>
      <c r="D1435" s="280"/>
      <c r="E1435" s="280" t="s">
        <v>93</v>
      </c>
      <c r="F1435" s="281"/>
      <c r="G1435" s="281"/>
      <c r="H1435" s="280" t="s">
        <v>206</v>
      </c>
      <c r="I1435" s="282">
        <f>I1443+I1442+I1438+I1437+I1436</f>
        <v>73849</v>
      </c>
      <c r="J1435" s="282">
        <f>J1443+J1442+J1438+J1437+J1436</f>
        <v>77000</v>
      </c>
      <c r="K1435" s="282">
        <f>K1443+K1442+K1438+K1437+K1436</f>
        <v>78700</v>
      </c>
      <c r="L1435" s="283">
        <f>L1443+L1442+L1438+L1437+L1436</f>
        <v>50411</v>
      </c>
      <c r="M1435" s="283">
        <f>M1443+M1442+M1438+M1437+M1436</f>
        <v>45182</v>
      </c>
      <c r="N1435" s="501"/>
      <c r="O1435" s="282"/>
      <c r="P1435" s="282"/>
      <c r="Q1435" s="282"/>
      <c r="R1435" s="283">
        <f>R1443</f>
        <v>6000</v>
      </c>
      <c r="S1435" s="283"/>
      <c r="T1435" s="501"/>
      <c r="U1435" s="284">
        <f t="shared" si="80"/>
        <v>73849</v>
      </c>
    </row>
    <row r="1436" spans="2:21" x14ac:dyDescent="0.2">
      <c r="B1436" s="8">
        <f t="shared" si="79"/>
        <v>744</v>
      </c>
      <c r="C1436" s="24"/>
      <c r="D1436" s="24"/>
      <c r="E1436" s="24"/>
      <c r="F1436" s="149" t="s">
        <v>170</v>
      </c>
      <c r="G1436" s="150">
        <v>610</v>
      </c>
      <c r="H1436" s="24" t="s">
        <v>141</v>
      </c>
      <c r="I1436" s="25">
        <f>684+240+3926+22632</f>
        <v>27482</v>
      </c>
      <c r="J1436" s="25">
        <v>23570</v>
      </c>
      <c r="K1436" s="25">
        <v>23570</v>
      </c>
      <c r="L1436" s="26">
        <v>22980</v>
      </c>
      <c r="M1436" s="26">
        <v>21398</v>
      </c>
      <c r="N1436" s="501"/>
      <c r="O1436" s="25"/>
      <c r="P1436" s="25"/>
      <c r="Q1436" s="25"/>
      <c r="R1436" s="26"/>
      <c r="S1436" s="26"/>
      <c r="T1436" s="501"/>
      <c r="U1436" s="151">
        <f t="shared" si="80"/>
        <v>27482</v>
      </c>
    </row>
    <row r="1437" spans="2:21" x14ac:dyDescent="0.2">
      <c r="B1437" s="8">
        <f t="shared" si="79"/>
        <v>745</v>
      </c>
      <c r="C1437" s="24"/>
      <c r="D1437" s="24"/>
      <c r="E1437" s="24"/>
      <c r="F1437" s="149" t="s">
        <v>170</v>
      </c>
      <c r="G1437" s="150">
        <v>620</v>
      </c>
      <c r="H1437" s="24" t="s">
        <v>134</v>
      </c>
      <c r="I1437" s="25">
        <v>11368</v>
      </c>
      <c r="J1437" s="25">
        <v>9847</v>
      </c>
      <c r="K1437" s="25">
        <v>9847</v>
      </c>
      <c r="L1437" s="26">
        <v>7899</v>
      </c>
      <c r="M1437" s="26">
        <v>7563</v>
      </c>
      <c r="N1437" s="501"/>
      <c r="O1437" s="25"/>
      <c r="P1437" s="25"/>
      <c r="Q1437" s="25"/>
      <c r="R1437" s="26"/>
      <c r="S1437" s="26"/>
      <c r="T1437" s="501"/>
      <c r="U1437" s="151">
        <f t="shared" si="80"/>
        <v>11368</v>
      </c>
    </row>
    <row r="1438" spans="2:21" x14ac:dyDescent="0.2">
      <c r="B1438" s="8">
        <f t="shared" si="79"/>
        <v>746</v>
      </c>
      <c r="C1438" s="24"/>
      <c r="D1438" s="24"/>
      <c r="E1438" s="24"/>
      <c r="F1438" s="149" t="s">
        <v>170</v>
      </c>
      <c r="G1438" s="150">
        <v>630</v>
      </c>
      <c r="H1438" s="24" t="s">
        <v>131</v>
      </c>
      <c r="I1438" s="25">
        <f>I1441+I1440+I1439</f>
        <v>31080</v>
      </c>
      <c r="J1438" s="25">
        <f>J1441+J1440+J1439</f>
        <v>39877</v>
      </c>
      <c r="K1438" s="25">
        <f>K1441+K1440+K1439</f>
        <v>41577</v>
      </c>
      <c r="L1438" s="26">
        <f>L1441+L1440+L1439</f>
        <v>19240</v>
      </c>
      <c r="M1438" s="26">
        <f>M1441+M1440+M1439</f>
        <v>16221</v>
      </c>
      <c r="N1438" s="501"/>
      <c r="O1438" s="25"/>
      <c r="P1438" s="25"/>
      <c r="Q1438" s="25"/>
      <c r="R1438" s="26"/>
      <c r="S1438" s="26"/>
      <c r="T1438" s="501"/>
      <c r="U1438" s="151">
        <f t="shared" si="80"/>
        <v>31080</v>
      </c>
    </row>
    <row r="1439" spans="2:21" x14ac:dyDescent="0.2">
      <c r="B1439" s="8">
        <f t="shared" si="79"/>
        <v>747</v>
      </c>
      <c r="C1439" s="18"/>
      <c r="D1439" s="18"/>
      <c r="E1439" s="18"/>
      <c r="F1439" s="152"/>
      <c r="G1439" s="153">
        <v>633</v>
      </c>
      <c r="H1439" s="18" t="s">
        <v>135</v>
      </c>
      <c r="I1439" s="19">
        <f>100+16802+2900+6483+280</f>
        <v>26565</v>
      </c>
      <c r="J1439" s="19">
        <v>36786</v>
      </c>
      <c r="K1439" s="19">
        <v>37486</v>
      </c>
      <c r="L1439" s="20">
        <v>18280</v>
      </c>
      <c r="M1439" s="20">
        <v>15106</v>
      </c>
      <c r="N1439" s="164"/>
      <c r="O1439" s="19"/>
      <c r="P1439" s="19"/>
      <c r="Q1439" s="19"/>
      <c r="R1439" s="20"/>
      <c r="S1439" s="20"/>
      <c r="T1439" s="164"/>
      <c r="U1439" s="154">
        <f t="shared" si="80"/>
        <v>26565</v>
      </c>
    </row>
    <row r="1440" spans="2:21" x14ac:dyDescent="0.2">
      <c r="B1440" s="8">
        <f t="shared" si="79"/>
        <v>748</v>
      </c>
      <c r="C1440" s="18"/>
      <c r="D1440" s="18"/>
      <c r="E1440" s="18"/>
      <c r="F1440" s="152"/>
      <c r="G1440" s="153">
        <v>635</v>
      </c>
      <c r="H1440" s="18" t="s">
        <v>143</v>
      </c>
      <c r="I1440" s="19">
        <f>500+2500</f>
        <v>3000</v>
      </c>
      <c r="J1440" s="19">
        <v>2000</v>
      </c>
      <c r="K1440" s="19">
        <v>3000</v>
      </c>
      <c r="L1440" s="20">
        <v>150</v>
      </c>
      <c r="M1440" s="20">
        <v>420</v>
      </c>
      <c r="N1440" s="164"/>
      <c r="O1440" s="19"/>
      <c r="P1440" s="19"/>
      <c r="Q1440" s="19"/>
      <c r="R1440" s="20"/>
      <c r="S1440" s="20"/>
      <c r="T1440" s="164"/>
      <c r="U1440" s="154">
        <f t="shared" si="80"/>
        <v>3000</v>
      </c>
    </row>
    <row r="1441" spans="2:21" x14ac:dyDescent="0.2">
      <c r="B1441" s="8">
        <f t="shared" si="79"/>
        <v>749</v>
      </c>
      <c r="C1441" s="18"/>
      <c r="D1441" s="18"/>
      <c r="E1441" s="18"/>
      <c r="F1441" s="152"/>
      <c r="G1441" s="153">
        <v>637</v>
      </c>
      <c r="H1441" s="18" t="s">
        <v>132</v>
      </c>
      <c r="I1441" s="19">
        <f>415+1100</f>
        <v>1515</v>
      </c>
      <c r="J1441" s="19">
        <v>1091</v>
      </c>
      <c r="K1441" s="19">
        <v>1091</v>
      </c>
      <c r="L1441" s="20">
        <v>810</v>
      </c>
      <c r="M1441" s="20">
        <v>695</v>
      </c>
      <c r="N1441" s="164"/>
      <c r="O1441" s="19"/>
      <c r="P1441" s="19"/>
      <c r="Q1441" s="19"/>
      <c r="R1441" s="20"/>
      <c r="S1441" s="20"/>
      <c r="T1441" s="164"/>
      <c r="U1441" s="154">
        <f t="shared" si="80"/>
        <v>1515</v>
      </c>
    </row>
    <row r="1442" spans="2:21" x14ac:dyDescent="0.2">
      <c r="B1442" s="8">
        <f t="shared" ref="B1442:B1505" si="81">B1441+1</f>
        <v>750</v>
      </c>
      <c r="C1442" s="24"/>
      <c r="D1442" s="24"/>
      <c r="E1442" s="24"/>
      <c r="F1442" s="149" t="s">
        <v>170</v>
      </c>
      <c r="G1442" s="150">
        <v>640</v>
      </c>
      <c r="H1442" s="24" t="s">
        <v>139</v>
      </c>
      <c r="I1442" s="25">
        <f>450+3469</f>
        <v>3919</v>
      </c>
      <c r="J1442" s="25">
        <v>3706</v>
      </c>
      <c r="K1442" s="25">
        <v>3706</v>
      </c>
      <c r="L1442" s="26">
        <v>292</v>
      </c>
      <c r="M1442" s="26"/>
      <c r="N1442" s="501"/>
      <c r="O1442" s="25"/>
      <c r="P1442" s="25"/>
      <c r="Q1442" s="25"/>
      <c r="R1442" s="26"/>
      <c r="S1442" s="26"/>
      <c r="T1442" s="501"/>
      <c r="U1442" s="151">
        <f t="shared" si="80"/>
        <v>3919</v>
      </c>
    </row>
    <row r="1443" spans="2:21" x14ac:dyDescent="0.2">
      <c r="B1443" s="8">
        <f t="shared" si="81"/>
        <v>751</v>
      </c>
      <c r="C1443" s="24"/>
      <c r="D1443" s="24"/>
      <c r="E1443" s="24"/>
      <c r="F1443" s="149" t="s">
        <v>170</v>
      </c>
      <c r="G1443" s="150">
        <v>710</v>
      </c>
      <c r="H1443" s="24" t="s">
        <v>185</v>
      </c>
      <c r="I1443" s="25"/>
      <c r="J1443" s="25"/>
      <c r="K1443" s="25"/>
      <c r="L1443" s="26"/>
      <c r="M1443" s="26"/>
      <c r="N1443" s="501"/>
      <c r="O1443" s="25"/>
      <c r="P1443" s="25"/>
      <c r="Q1443" s="25"/>
      <c r="R1443" s="26">
        <f>R1444</f>
        <v>6000</v>
      </c>
      <c r="S1443" s="26"/>
      <c r="T1443" s="501"/>
      <c r="U1443" s="151">
        <f t="shared" si="80"/>
        <v>0</v>
      </c>
    </row>
    <row r="1444" spans="2:21" x14ac:dyDescent="0.2">
      <c r="B1444" s="8">
        <f t="shared" si="81"/>
        <v>752</v>
      </c>
      <c r="C1444" s="18"/>
      <c r="D1444" s="18"/>
      <c r="E1444" s="18"/>
      <c r="F1444" s="152"/>
      <c r="G1444" s="153">
        <v>713</v>
      </c>
      <c r="H1444" s="18" t="s">
        <v>230</v>
      </c>
      <c r="I1444" s="19"/>
      <c r="J1444" s="19"/>
      <c r="K1444" s="19"/>
      <c r="L1444" s="20"/>
      <c r="M1444" s="20"/>
      <c r="N1444" s="164"/>
      <c r="O1444" s="19"/>
      <c r="P1444" s="19"/>
      <c r="Q1444" s="19"/>
      <c r="R1444" s="20">
        <f>SUM(R1445:R1446)</f>
        <v>6000</v>
      </c>
      <c r="S1444" s="20"/>
      <c r="T1444" s="164"/>
      <c r="U1444" s="154">
        <f t="shared" si="80"/>
        <v>0</v>
      </c>
    </row>
    <row r="1445" spans="2:21" s="165" customFormat="1" x14ac:dyDescent="0.2">
      <c r="B1445" s="8">
        <f t="shared" si="81"/>
        <v>753</v>
      </c>
      <c r="C1445" s="156"/>
      <c r="D1445" s="156"/>
      <c r="E1445" s="156"/>
      <c r="F1445" s="272"/>
      <c r="G1445" s="155"/>
      <c r="H1445" s="156" t="s">
        <v>729</v>
      </c>
      <c r="I1445" s="157"/>
      <c r="J1445" s="157"/>
      <c r="K1445" s="157"/>
      <c r="L1445" s="158"/>
      <c r="M1445" s="158"/>
      <c r="N1445" s="535"/>
      <c r="O1445" s="157"/>
      <c r="P1445" s="157"/>
      <c r="Q1445" s="157"/>
      <c r="R1445" s="158">
        <v>3130</v>
      </c>
      <c r="S1445" s="158"/>
      <c r="T1445" s="535"/>
      <c r="U1445" s="159">
        <f t="shared" si="80"/>
        <v>0</v>
      </c>
    </row>
    <row r="1446" spans="2:21" s="165" customFormat="1" x14ac:dyDescent="0.2">
      <c r="B1446" s="8">
        <f t="shared" si="81"/>
        <v>754</v>
      </c>
      <c r="C1446" s="156"/>
      <c r="D1446" s="156"/>
      <c r="E1446" s="156"/>
      <c r="F1446" s="272"/>
      <c r="G1446" s="155"/>
      <c r="H1446" s="156" t="s">
        <v>783</v>
      </c>
      <c r="I1446" s="157"/>
      <c r="J1446" s="157"/>
      <c r="K1446" s="157"/>
      <c r="L1446" s="158"/>
      <c r="M1446" s="158"/>
      <c r="N1446" s="535"/>
      <c r="O1446" s="157"/>
      <c r="P1446" s="157"/>
      <c r="Q1446" s="157"/>
      <c r="R1446" s="158">
        <v>2870</v>
      </c>
      <c r="S1446" s="158"/>
      <c r="T1446" s="535"/>
      <c r="U1446" s="159">
        <f t="shared" si="80"/>
        <v>0</v>
      </c>
    </row>
    <row r="1447" spans="2:21" x14ac:dyDescent="0.2">
      <c r="B1447" s="8">
        <f t="shared" si="81"/>
        <v>755</v>
      </c>
      <c r="C1447" s="280"/>
      <c r="D1447" s="280"/>
      <c r="E1447" s="280" t="s">
        <v>94</v>
      </c>
      <c r="F1447" s="281"/>
      <c r="G1447" s="281"/>
      <c r="H1447" s="280" t="s">
        <v>95</v>
      </c>
      <c r="I1447" s="282">
        <f>I1455+I1450+I1449+I1448</f>
        <v>168377</v>
      </c>
      <c r="J1447" s="282">
        <f>J1455+J1450+J1449+J1448</f>
        <v>155125</v>
      </c>
      <c r="K1447" s="282">
        <f>K1455+K1450+K1449+K1448</f>
        <v>156125</v>
      </c>
      <c r="L1447" s="283">
        <f>L1455+L1450+L1449+L1448</f>
        <v>108640</v>
      </c>
      <c r="M1447" s="283">
        <f>M1455+M1450+M1449+M1448</f>
        <v>89020</v>
      </c>
      <c r="N1447" s="501"/>
      <c r="O1447" s="282"/>
      <c r="P1447" s="282"/>
      <c r="Q1447" s="282"/>
      <c r="R1447" s="283"/>
      <c r="S1447" s="283"/>
      <c r="T1447" s="501"/>
      <c r="U1447" s="284">
        <f t="shared" si="80"/>
        <v>168377</v>
      </c>
    </row>
    <row r="1448" spans="2:21" x14ac:dyDescent="0.2">
      <c r="B1448" s="8">
        <f t="shared" si="81"/>
        <v>756</v>
      </c>
      <c r="C1448" s="24"/>
      <c r="D1448" s="24"/>
      <c r="E1448" s="24"/>
      <c r="F1448" s="149" t="s">
        <v>170</v>
      </c>
      <c r="G1448" s="150">
        <v>610</v>
      </c>
      <c r="H1448" s="24" t="s">
        <v>141</v>
      </c>
      <c r="I1448" s="25">
        <f>810+600+7981+46473</f>
        <v>55864</v>
      </c>
      <c r="J1448" s="25">
        <v>47827</v>
      </c>
      <c r="K1448" s="25">
        <v>47827</v>
      </c>
      <c r="L1448" s="26">
        <v>46544</v>
      </c>
      <c r="M1448" s="26">
        <v>41702</v>
      </c>
      <c r="N1448" s="501"/>
      <c r="O1448" s="25"/>
      <c r="P1448" s="25"/>
      <c r="Q1448" s="25"/>
      <c r="R1448" s="26"/>
      <c r="S1448" s="26"/>
      <c r="T1448" s="501"/>
      <c r="U1448" s="151">
        <f t="shared" si="80"/>
        <v>55864</v>
      </c>
    </row>
    <row r="1449" spans="2:21" x14ac:dyDescent="0.2">
      <c r="B1449" s="8">
        <f t="shared" si="81"/>
        <v>757</v>
      </c>
      <c r="C1449" s="24"/>
      <c r="D1449" s="24"/>
      <c r="E1449" s="24"/>
      <c r="F1449" s="149" t="s">
        <v>170</v>
      </c>
      <c r="G1449" s="150">
        <v>620</v>
      </c>
      <c r="H1449" s="24" t="s">
        <v>134</v>
      </c>
      <c r="I1449" s="25">
        <v>21566</v>
      </c>
      <c r="J1449" s="25">
        <v>18578</v>
      </c>
      <c r="K1449" s="25">
        <v>18578</v>
      </c>
      <c r="L1449" s="26">
        <v>17306</v>
      </c>
      <c r="M1449" s="26">
        <v>15378</v>
      </c>
      <c r="N1449" s="501"/>
      <c r="O1449" s="25"/>
      <c r="P1449" s="25"/>
      <c r="Q1449" s="25"/>
      <c r="R1449" s="26"/>
      <c r="S1449" s="26"/>
      <c r="T1449" s="501"/>
      <c r="U1449" s="151">
        <f t="shared" si="80"/>
        <v>21566</v>
      </c>
    </row>
    <row r="1450" spans="2:21" x14ac:dyDescent="0.2">
      <c r="B1450" s="8">
        <f t="shared" si="81"/>
        <v>758</v>
      </c>
      <c r="C1450" s="24"/>
      <c r="D1450" s="24"/>
      <c r="E1450" s="24"/>
      <c r="F1450" s="149" t="s">
        <v>170</v>
      </c>
      <c r="G1450" s="150">
        <v>630</v>
      </c>
      <c r="H1450" s="24" t="s">
        <v>131</v>
      </c>
      <c r="I1450" s="25">
        <f>I1454+I1453+I1452+I1451</f>
        <v>89354</v>
      </c>
      <c r="J1450" s="25">
        <f>J1454+J1453+J1452+J1451</f>
        <v>87180</v>
      </c>
      <c r="K1450" s="25">
        <f>K1454+K1453+K1452+K1451</f>
        <v>88180</v>
      </c>
      <c r="L1450" s="26">
        <f>L1454+L1453+L1452+L1451</f>
        <v>43850</v>
      </c>
      <c r="M1450" s="26">
        <f>M1454+M1453+M1452+M1451</f>
        <v>31651</v>
      </c>
      <c r="N1450" s="501"/>
      <c r="O1450" s="25"/>
      <c r="P1450" s="25"/>
      <c r="Q1450" s="25"/>
      <c r="R1450" s="26"/>
      <c r="S1450" s="26"/>
      <c r="T1450" s="501"/>
      <c r="U1450" s="151">
        <f t="shared" si="80"/>
        <v>89354</v>
      </c>
    </row>
    <row r="1451" spans="2:21" x14ac:dyDescent="0.2">
      <c r="B1451" s="8">
        <f t="shared" si="81"/>
        <v>759</v>
      </c>
      <c r="C1451" s="18"/>
      <c r="D1451" s="18"/>
      <c r="E1451" s="18"/>
      <c r="F1451" s="152"/>
      <c r="G1451" s="153">
        <v>632</v>
      </c>
      <c r="H1451" s="18" t="s">
        <v>144</v>
      </c>
      <c r="I1451" s="19">
        <v>1310</v>
      </c>
      <c r="J1451" s="19">
        <v>900</v>
      </c>
      <c r="K1451" s="19">
        <v>1400</v>
      </c>
      <c r="L1451" s="20">
        <v>254</v>
      </c>
      <c r="M1451" s="20">
        <v>257</v>
      </c>
      <c r="N1451" s="164"/>
      <c r="O1451" s="19"/>
      <c r="P1451" s="19"/>
      <c r="Q1451" s="19"/>
      <c r="R1451" s="20"/>
      <c r="S1451" s="20"/>
      <c r="T1451" s="164"/>
      <c r="U1451" s="154">
        <f t="shared" si="80"/>
        <v>1310</v>
      </c>
    </row>
    <row r="1452" spans="2:21" x14ac:dyDescent="0.2">
      <c r="B1452" s="8">
        <f t="shared" si="81"/>
        <v>760</v>
      </c>
      <c r="C1452" s="18"/>
      <c r="D1452" s="18"/>
      <c r="E1452" s="18"/>
      <c r="F1452" s="152"/>
      <c r="G1452" s="153">
        <v>633</v>
      </c>
      <c r="H1452" s="18" t="s">
        <v>135</v>
      </c>
      <c r="I1452" s="19">
        <f>500+500+62556+2720+9878+280</f>
        <v>76434</v>
      </c>
      <c r="J1452" s="19">
        <v>76971</v>
      </c>
      <c r="K1452" s="19">
        <v>76971</v>
      </c>
      <c r="L1452" s="20">
        <v>38382</v>
      </c>
      <c r="M1452" s="20">
        <v>24702</v>
      </c>
      <c r="N1452" s="164"/>
      <c r="O1452" s="19"/>
      <c r="P1452" s="19"/>
      <c r="Q1452" s="19"/>
      <c r="R1452" s="20"/>
      <c r="S1452" s="20"/>
      <c r="T1452" s="164"/>
      <c r="U1452" s="154">
        <f t="shared" si="80"/>
        <v>76434</v>
      </c>
    </row>
    <row r="1453" spans="2:21" x14ac:dyDescent="0.2">
      <c r="B1453" s="8">
        <f t="shared" si="81"/>
        <v>761</v>
      </c>
      <c r="C1453" s="18"/>
      <c r="D1453" s="18"/>
      <c r="E1453" s="18"/>
      <c r="F1453" s="152"/>
      <c r="G1453" s="153">
        <v>635</v>
      </c>
      <c r="H1453" s="18" t="s">
        <v>143</v>
      </c>
      <c r="I1453" s="19">
        <f>500+5500</f>
        <v>6000</v>
      </c>
      <c r="J1453" s="19">
        <v>4000</v>
      </c>
      <c r="K1453" s="19">
        <v>4500</v>
      </c>
      <c r="L1453" s="20">
        <v>1585</v>
      </c>
      <c r="M1453" s="20">
        <v>3714</v>
      </c>
      <c r="N1453" s="164"/>
      <c r="O1453" s="19"/>
      <c r="P1453" s="19"/>
      <c r="Q1453" s="19"/>
      <c r="R1453" s="20"/>
      <c r="S1453" s="20"/>
      <c r="T1453" s="164"/>
      <c r="U1453" s="154">
        <f t="shared" si="80"/>
        <v>6000</v>
      </c>
    </row>
    <row r="1454" spans="2:21" x14ac:dyDescent="0.2">
      <c r="B1454" s="8">
        <f t="shared" si="81"/>
        <v>762</v>
      </c>
      <c r="C1454" s="18"/>
      <c r="D1454" s="18"/>
      <c r="E1454" s="18"/>
      <c r="F1454" s="152"/>
      <c r="G1454" s="153">
        <v>637</v>
      </c>
      <c r="H1454" s="18" t="s">
        <v>132</v>
      </c>
      <c r="I1454" s="19">
        <f>838+1500+984+1550+18+720</f>
        <v>5610</v>
      </c>
      <c r="J1454" s="19">
        <v>5309</v>
      </c>
      <c r="K1454" s="19">
        <v>5309</v>
      </c>
      <c r="L1454" s="20">
        <v>3629</v>
      </c>
      <c r="M1454" s="20">
        <v>2978</v>
      </c>
      <c r="N1454" s="164"/>
      <c r="O1454" s="19"/>
      <c r="P1454" s="19"/>
      <c r="Q1454" s="19"/>
      <c r="R1454" s="20"/>
      <c r="S1454" s="20"/>
      <c r="T1454" s="164"/>
      <c r="U1454" s="154">
        <f t="shared" si="80"/>
        <v>5610</v>
      </c>
    </row>
    <row r="1455" spans="2:21" x14ac:dyDescent="0.2">
      <c r="B1455" s="8">
        <f t="shared" si="81"/>
        <v>763</v>
      </c>
      <c r="C1455" s="24"/>
      <c r="D1455" s="24"/>
      <c r="E1455" s="24"/>
      <c r="F1455" s="149" t="s">
        <v>170</v>
      </c>
      <c r="G1455" s="150">
        <v>640</v>
      </c>
      <c r="H1455" s="24" t="s">
        <v>139</v>
      </c>
      <c r="I1455" s="25">
        <f>450+1143</f>
        <v>1593</v>
      </c>
      <c r="J1455" s="25">
        <v>1540</v>
      </c>
      <c r="K1455" s="25">
        <v>1540</v>
      </c>
      <c r="L1455" s="26">
        <v>940</v>
      </c>
      <c r="M1455" s="26">
        <v>289</v>
      </c>
      <c r="N1455" s="501"/>
      <c r="O1455" s="25"/>
      <c r="P1455" s="25"/>
      <c r="Q1455" s="25"/>
      <c r="R1455" s="26"/>
      <c r="S1455" s="26"/>
      <c r="T1455" s="501"/>
      <c r="U1455" s="151">
        <f t="shared" si="80"/>
        <v>1593</v>
      </c>
    </row>
    <row r="1456" spans="2:21" ht="14.25" x14ac:dyDescent="0.2">
      <c r="B1456" s="8">
        <f t="shared" si="81"/>
        <v>764</v>
      </c>
      <c r="C1456" s="267"/>
      <c r="D1456" s="267"/>
      <c r="E1456" s="267">
        <v>6</v>
      </c>
      <c r="F1456" s="268"/>
      <c r="G1456" s="268"/>
      <c r="H1456" s="267" t="s">
        <v>339</v>
      </c>
      <c r="I1456" s="269">
        <f>I1457+I1458+I1459+I1464+I1465+I1466+I1467+I1472</f>
        <v>418201</v>
      </c>
      <c r="J1456" s="269">
        <f>J1457+J1458+J1459+J1464+J1465+J1466+J1467+J1472</f>
        <v>320835</v>
      </c>
      <c r="K1456" s="269">
        <f>K1457+K1458+K1459+K1464+K1465+K1466+K1467+K1472</f>
        <v>315835</v>
      </c>
      <c r="L1456" s="270">
        <f>L1457+L1458+L1459+L1464+L1465+L1466+L1467+L1472</f>
        <v>220348</v>
      </c>
      <c r="M1456" s="270">
        <f>M1457+M1458+M1459+M1464+M1465+M1466+M1467+M1472</f>
        <v>192864</v>
      </c>
      <c r="N1456" s="534">
        <f>N1474</f>
        <v>0</v>
      </c>
      <c r="O1456" s="269"/>
      <c r="P1456" s="269"/>
      <c r="Q1456" s="269">
        <f>Q1474</f>
        <v>39000</v>
      </c>
      <c r="R1456" s="270">
        <f>R1474</f>
        <v>4962</v>
      </c>
      <c r="S1456" s="270">
        <f>S1474</f>
        <v>4700</v>
      </c>
      <c r="T1456" s="534"/>
      <c r="U1456" s="271">
        <f t="shared" si="80"/>
        <v>418201</v>
      </c>
    </row>
    <row r="1457" spans="2:24" x14ac:dyDescent="0.2">
      <c r="B1457" s="8">
        <f t="shared" si="81"/>
        <v>765</v>
      </c>
      <c r="C1457" s="24"/>
      <c r="D1457" s="24"/>
      <c r="E1457" s="24"/>
      <c r="F1457" s="149" t="s">
        <v>85</v>
      </c>
      <c r="G1457" s="150">
        <v>610</v>
      </c>
      <c r="H1457" s="24" t="s">
        <v>141</v>
      </c>
      <c r="I1457" s="25">
        <f>2000+7000+32982+6420</f>
        <v>48402</v>
      </c>
      <c r="J1457" s="25">
        <v>43390</v>
      </c>
      <c r="K1457" s="25">
        <v>43390</v>
      </c>
      <c r="L1457" s="26">
        <v>38194</v>
      </c>
      <c r="M1457" s="26">
        <v>37316</v>
      </c>
      <c r="N1457" s="501"/>
      <c r="O1457" s="25"/>
      <c r="P1457" s="25"/>
      <c r="Q1457" s="25"/>
      <c r="R1457" s="26"/>
      <c r="S1457" s="26"/>
      <c r="T1457" s="501"/>
      <c r="U1457" s="151">
        <f t="shared" ref="U1457:U1520" si="82">I1457+O1457</f>
        <v>48402</v>
      </c>
    </row>
    <row r="1458" spans="2:24" x14ac:dyDescent="0.2">
      <c r="B1458" s="8">
        <f t="shared" si="81"/>
        <v>766</v>
      </c>
      <c r="C1458" s="24"/>
      <c r="D1458" s="24"/>
      <c r="E1458" s="24"/>
      <c r="F1458" s="149" t="s">
        <v>85</v>
      </c>
      <c r="G1458" s="150">
        <v>620</v>
      </c>
      <c r="H1458" s="24" t="s">
        <v>134</v>
      </c>
      <c r="I1458" s="25">
        <v>18822</v>
      </c>
      <c r="J1458" s="25">
        <v>16879</v>
      </c>
      <c r="K1458" s="25">
        <v>16879</v>
      </c>
      <c r="L1458" s="26">
        <v>13856</v>
      </c>
      <c r="M1458" s="26">
        <v>13302</v>
      </c>
      <c r="N1458" s="501"/>
      <c r="O1458" s="25"/>
      <c r="P1458" s="25"/>
      <c r="Q1458" s="25"/>
      <c r="R1458" s="26"/>
      <c r="S1458" s="26"/>
      <c r="T1458" s="501"/>
      <c r="U1458" s="151">
        <f t="shared" si="82"/>
        <v>18822</v>
      </c>
    </row>
    <row r="1459" spans="2:24" x14ac:dyDescent="0.2">
      <c r="B1459" s="8">
        <f t="shared" si="81"/>
        <v>767</v>
      </c>
      <c r="C1459" s="24"/>
      <c r="D1459" s="24"/>
      <c r="E1459" s="24"/>
      <c r="F1459" s="149" t="s">
        <v>85</v>
      </c>
      <c r="G1459" s="150">
        <v>630</v>
      </c>
      <c r="H1459" s="24" t="s">
        <v>131</v>
      </c>
      <c r="I1459" s="25">
        <f>I1463+I1462+I1461+I1460</f>
        <v>137463</v>
      </c>
      <c r="J1459" s="25">
        <f>J1463+J1462+J1461+J1460</f>
        <v>65380</v>
      </c>
      <c r="K1459" s="25">
        <f>K1463+K1462+K1461+K1460</f>
        <v>62880</v>
      </c>
      <c r="L1459" s="26">
        <f>L1463+L1462+L1461+L1460</f>
        <v>61334</v>
      </c>
      <c r="M1459" s="26">
        <f>M1463+M1462+M1461+M1460</f>
        <v>52687</v>
      </c>
      <c r="N1459" s="501"/>
      <c r="O1459" s="25"/>
      <c r="P1459" s="25"/>
      <c r="Q1459" s="25"/>
      <c r="R1459" s="26"/>
      <c r="S1459" s="26"/>
      <c r="T1459" s="501"/>
      <c r="U1459" s="151">
        <f t="shared" si="82"/>
        <v>137463</v>
      </c>
    </row>
    <row r="1460" spans="2:24" x14ac:dyDescent="0.2">
      <c r="B1460" s="8">
        <f t="shared" si="81"/>
        <v>768</v>
      </c>
      <c r="C1460" s="18"/>
      <c r="D1460" s="18"/>
      <c r="E1460" s="18"/>
      <c r="F1460" s="152"/>
      <c r="G1460" s="153">
        <v>632</v>
      </c>
      <c r="H1460" s="18" t="s">
        <v>144</v>
      </c>
      <c r="I1460" s="19">
        <f>3069+22046+2207+269+250+250+400+22</f>
        <v>28513</v>
      </c>
      <c r="J1460" s="19">
        <v>7616</v>
      </c>
      <c r="K1460" s="19">
        <v>7616</v>
      </c>
      <c r="L1460" s="20">
        <v>6347</v>
      </c>
      <c r="M1460" s="20">
        <v>5770</v>
      </c>
      <c r="N1460" s="164"/>
      <c r="O1460" s="19"/>
      <c r="P1460" s="19"/>
      <c r="Q1460" s="19"/>
      <c r="R1460" s="20"/>
      <c r="S1460" s="20"/>
      <c r="T1460" s="164"/>
      <c r="U1460" s="154">
        <f t="shared" si="82"/>
        <v>28513</v>
      </c>
      <c r="X1460" s="2"/>
    </row>
    <row r="1461" spans="2:24" x14ac:dyDescent="0.2">
      <c r="B1461" s="8">
        <f t="shared" si="81"/>
        <v>769</v>
      </c>
      <c r="C1461" s="18"/>
      <c r="D1461" s="18"/>
      <c r="E1461" s="18"/>
      <c r="F1461" s="152"/>
      <c r="G1461" s="153">
        <v>633</v>
      </c>
      <c r="H1461" s="18" t="s">
        <v>135</v>
      </c>
      <c r="I1461" s="19">
        <f>1900+81060+7500+2901+7170</f>
        <v>100531</v>
      </c>
      <c r="J1461" s="19">
        <v>50748</v>
      </c>
      <c r="K1461" s="19">
        <v>48248</v>
      </c>
      <c r="L1461" s="20">
        <v>44977</v>
      </c>
      <c r="M1461" s="20">
        <v>39677</v>
      </c>
      <c r="N1461" s="164"/>
      <c r="O1461" s="19"/>
      <c r="P1461" s="19"/>
      <c r="Q1461" s="19"/>
      <c r="R1461" s="20"/>
      <c r="S1461" s="20"/>
      <c r="T1461" s="164"/>
      <c r="U1461" s="154">
        <f t="shared" si="82"/>
        <v>100531</v>
      </c>
    </row>
    <row r="1462" spans="2:24" x14ac:dyDescent="0.2">
      <c r="B1462" s="8">
        <f t="shared" si="81"/>
        <v>770</v>
      </c>
      <c r="C1462" s="18"/>
      <c r="D1462" s="18"/>
      <c r="E1462" s="18"/>
      <c r="F1462" s="152"/>
      <c r="G1462" s="153">
        <v>635</v>
      </c>
      <c r="H1462" s="18" t="s">
        <v>143</v>
      </c>
      <c r="I1462" s="19">
        <v>5544</v>
      </c>
      <c r="J1462" s="19">
        <v>4620</v>
      </c>
      <c r="K1462" s="19">
        <v>4620</v>
      </c>
      <c r="L1462" s="20">
        <v>6350</v>
      </c>
      <c r="M1462" s="20">
        <v>2733</v>
      </c>
      <c r="N1462" s="164"/>
      <c r="O1462" s="19"/>
      <c r="P1462" s="19"/>
      <c r="Q1462" s="19"/>
      <c r="R1462" s="20"/>
      <c r="S1462" s="20"/>
      <c r="T1462" s="164"/>
      <c r="U1462" s="154">
        <f t="shared" si="82"/>
        <v>5544</v>
      </c>
    </row>
    <row r="1463" spans="2:24" x14ac:dyDescent="0.2">
      <c r="B1463" s="8">
        <f t="shared" si="81"/>
        <v>771</v>
      </c>
      <c r="C1463" s="18"/>
      <c r="D1463" s="18"/>
      <c r="E1463" s="18"/>
      <c r="F1463" s="152"/>
      <c r="G1463" s="153">
        <v>637</v>
      </c>
      <c r="H1463" s="18" t="s">
        <v>132</v>
      </c>
      <c r="I1463" s="19">
        <f>812+394+1019+650</f>
        <v>2875</v>
      </c>
      <c r="J1463" s="19">
        <v>2396</v>
      </c>
      <c r="K1463" s="19">
        <v>2396</v>
      </c>
      <c r="L1463" s="20">
        <v>3660</v>
      </c>
      <c r="M1463" s="20">
        <v>4507</v>
      </c>
      <c r="N1463" s="164"/>
      <c r="O1463" s="19"/>
      <c r="P1463" s="19"/>
      <c r="Q1463" s="19"/>
      <c r="R1463" s="20"/>
      <c r="S1463" s="20"/>
      <c r="T1463" s="164"/>
      <c r="U1463" s="154">
        <f t="shared" si="82"/>
        <v>2875</v>
      </c>
    </row>
    <row r="1464" spans="2:24" x14ac:dyDescent="0.2">
      <c r="B1464" s="8">
        <f t="shared" si="81"/>
        <v>772</v>
      </c>
      <c r="C1464" s="24"/>
      <c r="D1464" s="24"/>
      <c r="E1464" s="24"/>
      <c r="F1464" s="149" t="s">
        <v>85</v>
      </c>
      <c r="G1464" s="150">
        <v>640</v>
      </c>
      <c r="H1464" s="24" t="s">
        <v>139</v>
      </c>
      <c r="I1464" s="25">
        <v>250</v>
      </c>
      <c r="J1464" s="25">
        <v>208</v>
      </c>
      <c r="K1464" s="25">
        <v>208</v>
      </c>
      <c r="L1464" s="26">
        <v>310</v>
      </c>
      <c r="M1464" s="26">
        <v>79</v>
      </c>
      <c r="N1464" s="501"/>
      <c r="O1464" s="25"/>
      <c r="P1464" s="25"/>
      <c r="Q1464" s="25"/>
      <c r="R1464" s="26"/>
      <c r="S1464" s="26"/>
      <c r="T1464" s="501"/>
      <c r="U1464" s="151">
        <f t="shared" si="82"/>
        <v>250</v>
      </c>
    </row>
    <row r="1465" spans="2:24" x14ac:dyDescent="0.2">
      <c r="B1465" s="8">
        <f t="shared" si="81"/>
        <v>773</v>
      </c>
      <c r="C1465" s="24"/>
      <c r="D1465" s="24"/>
      <c r="E1465" s="24"/>
      <c r="F1465" s="149" t="s">
        <v>54</v>
      </c>
      <c r="G1465" s="150">
        <v>610</v>
      </c>
      <c r="H1465" s="24" t="s">
        <v>141</v>
      </c>
      <c r="I1465" s="25">
        <f>1850+2500+4476+37298+6787</f>
        <v>52911</v>
      </c>
      <c r="J1465" s="25">
        <v>47435</v>
      </c>
      <c r="K1465" s="25">
        <v>47435</v>
      </c>
      <c r="L1465" s="26">
        <v>33003</v>
      </c>
      <c r="M1465" s="26">
        <v>32736</v>
      </c>
      <c r="N1465" s="501"/>
      <c r="O1465" s="25"/>
      <c r="P1465" s="25"/>
      <c r="Q1465" s="25"/>
      <c r="R1465" s="26"/>
      <c r="S1465" s="26"/>
      <c r="T1465" s="501"/>
      <c r="U1465" s="151">
        <f t="shared" si="82"/>
        <v>52911</v>
      </c>
    </row>
    <row r="1466" spans="2:24" x14ac:dyDescent="0.2">
      <c r="B1466" s="8">
        <f t="shared" si="81"/>
        <v>774</v>
      </c>
      <c r="C1466" s="24"/>
      <c r="D1466" s="24"/>
      <c r="E1466" s="24"/>
      <c r="F1466" s="149" t="s">
        <v>54</v>
      </c>
      <c r="G1466" s="150">
        <v>620</v>
      </c>
      <c r="H1466" s="24" t="s">
        <v>134</v>
      </c>
      <c r="I1466" s="25">
        <f>195+675+224+1225+5520+1150+295+10235</f>
        <v>19519</v>
      </c>
      <c r="J1466" s="25">
        <v>17499</v>
      </c>
      <c r="K1466" s="25">
        <v>17499</v>
      </c>
      <c r="L1466" s="26">
        <v>12008</v>
      </c>
      <c r="M1466" s="26">
        <v>11720</v>
      </c>
      <c r="N1466" s="501"/>
      <c r="O1466" s="25"/>
      <c r="P1466" s="25"/>
      <c r="Q1466" s="25"/>
      <c r="R1466" s="26"/>
      <c r="S1466" s="26"/>
      <c r="T1466" s="501"/>
      <c r="U1466" s="151">
        <f t="shared" si="82"/>
        <v>19519</v>
      </c>
    </row>
    <row r="1467" spans="2:24" x14ac:dyDescent="0.2">
      <c r="B1467" s="8">
        <f t="shared" si="81"/>
        <v>775</v>
      </c>
      <c r="C1467" s="24"/>
      <c r="D1467" s="24"/>
      <c r="E1467" s="24"/>
      <c r="F1467" s="149" t="s">
        <v>54</v>
      </c>
      <c r="G1467" s="150">
        <v>630</v>
      </c>
      <c r="H1467" s="24" t="s">
        <v>131</v>
      </c>
      <c r="I1467" s="25">
        <f>I1471+I1470+I1469+I1468</f>
        <v>140584</v>
      </c>
      <c r="J1467" s="25">
        <f>J1471+J1470+J1469+J1468</f>
        <v>129836</v>
      </c>
      <c r="K1467" s="25">
        <f>K1471+K1470+K1469+K1468</f>
        <v>127336</v>
      </c>
      <c r="L1467" s="26">
        <f>L1471+L1470+L1469+L1468</f>
        <v>61520</v>
      </c>
      <c r="M1467" s="26">
        <f>M1471+M1470+M1469+M1468</f>
        <v>44782</v>
      </c>
      <c r="N1467" s="501"/>
      <c r="O1467" s="25"/>
      <c r="P1467" s="25"/>
      <c r="Q1467" s="25"/>
      <c r="R1467" s="26"/>
      <c r="S1467" s="26"/>
      <c r="T1467" s="501"/>
      <c r="U1467" s="151">
        <f t="shared" si="82"/>
        <v>140584</v>
      </c>
    </row>
    <row r="1468" spans="2:24" x14ac:dyDescent="0.2">
      <c r="B1468" s="8">
        <f t="shared" si="81"/>
        <v>776</v>
      </c>
      <c r="C1468" s="18"/>
      <c r="D1468" s="18"/>
      <c r="E1468" s="18"/>
      <c r="F1468" s="152"/>
      <c r="G1468" s="153">
        <v>632</v>
      </c>
      <c r="H1468" s="18" t="s">
        <v>144</v>
      </c>
      <c r="I1468" s="19">
        <f>3069+22047+2207+269+250+250+400+22</f>
        <v>28514</v>
      </c>
      <c r="J1468" s="19">
        <v>7616</v>
      </c>
      <c r="K1468" s="19">
        <v>7616</v>
      </c>
      <c r="L1468" s="20">
        <v>6347</v>
      </c>
      <c r="M1468" s="20">
        <v>5770</v>
      </c>
      <c r="N1468" s="164"/>
      <c r="O1468" s="19"/>
      <c r="P1468" s="19"/>
      <c r="Q1468" s="19"/>
      <c r="R1468" s="20"/>
      <c r="S1468" s="20"/>
      <c r="T1468" s="164"/>
      <c r="U1468" s="154">
        <f t="shared" si="82"/>
        <v>28514</v>
      </c>
    </row>
    <row r="1469" spans="2:24" x14ac:dyDescent="0.2">
      <c r="B1469" s="8">
        <f t="shared" si="81"/>
        <v>777</v>
      </c>
      <c r="C1469" s="18"/>
      <c r="D1469" s="18"/>
      <c r="E1469" s="18"/>
      <c r="F1469" s="152"/>
      <c r="G1469" s="153">
        <v>633</v>
      </c>
      <c r="H1469" s="18" t="s">
        <v>135</v>
      </c>
      <c r="I1469" s="19">
        <f>1895+84180+7500+2906+7170</f>
        <v>103651</v>
      </c>
      <c r="J1469" s="19">
        <v>115204</v>
      </c>
      <c r="K1469" s="19">
        <v>112704</v>
      </c>
      <c r="L1469" s="20">
        <v>44975</v>
      </c>
      <c r="M1469" s="20">
        <v>31772</v>
      </c>
      <c r="N1469" s="164"/>
      <c r="O1469" s="19"/>
      <c r="P1469" s="19"/>
      <c r="Q1469" s="19"/>
      <c r="R1469" s="20"/>
      <c r="S1469" s="20"/>
      <c r="T1469" s="164"/>
      <c r="U1469" s="154">
        <f t="shared" si="82"/>
        <v>103651</v>
      </c>
    </row>
    <row r="1470" spans="2:24" x14ac:dyDescent="0.2">
      <c r="B1470" s="8">
        <f t="shared" si="81"/>
        <v>778</v>
      </c>
      <c r="C1470" s="18"/>
      <c r="D1470" s="18"/>
      <c r="E1470" s="18"/>
      <c r="F1470" s="152"/>
      <c r="G1470" s="153">
        <v>635</v>
      </c>
      <c r="H1470" s="18" t="s">
        <v>143</v>
      </c>
      <c r="I1470" s="19">
        <v>5544</v>
      </c>
      <c r="J1470" s="19">
        <v>4620</v>
      </c>
      <c r="K1470" s="19">
        <v>4620</v>
      </c>
      <c r="L1470" s="20">
        <v>6350</v>
      </c>
      <c r="M1470" s="20">
        <v>2733</v>
      </c>
      <c r="N1470" s="164"/>
      <c r="O1470" s="19"/>
      <c r="P1470" s="19"/>
      <c r="Q1470" s="19"/>
      <c r="R1470" s="20"/>
      <c r="S1470" s="20"/>
      <c r="T1470" s="164"/>
      <c r="U1470" s="154">
        <f t="shared" si="82"/>
        <v>5544</v>
      </c>
    </row>
    <row r="1471" spans="2:24" x14ac:dyDescent="0.2">
      <c r="B1471" s="8">
        <f t="shared" si="81"/>
        <v>779</v>
      </c>
      <c r="C1471" s="18"/>
      <c r="D1471" s="18"/>
      <c r="E1471" s="18"/>
      <c r="F1471" s="152"/>
      <c r="G1471" s="153">
        <v>637</v>
      </c>
      <c r="H1471" s="18" t="s">
        <v>132</v>
      </c>
      <c r="I1471" s="19">
        <f>812+415+998+650</f>
        <v>2875</v>
      </c>
      <c r="J1471" s="19">
        <v>2396</v>
      </c>
      <c r="K1471" s="19">
        <v>2396</v>
      </c>
      <c r="L1471" s="20">
        <v>3848</v>
      </c>
      <c r="M1471" s="20">
        <v>4507</v>
      </c>
      <c r="N1471" s="164"/>
      <c r="O1471" s="19"/>
      <c r="P1471" s="19"/>
      <c r="Q1471" s="19"/>
      <c r="R1471" s="20"/>
      <c r="S1471" s="20"/>
      <c r="T1471" s="164"/>
      <c r="U1471" s="154">
        <f t="shared" si="82"/>
        <v>2875</v>
      </c>
    </row>
    <row r="1472" spans="2:24" x14ac:dyDescent="0.2">
      <c r="B1472" s="8">
        <f t="shared" si="81"/>
        <v>780</v>
      </c>
      <c r="C1472" s="24"/>
      <c r="D1472" s="24"/>
      <c r="E1472" s="24"/>
      <c r="F1472" s="149" t="s">
        <v>54</v>
      </c>
      <c r="G1472" s="150">
        <v>640</v>
      </c>
      <c r="H1472" s="24" t="s">
        <v>139</v>
      </c>
      <c r="I1472" s="25">
        <v>250</v>
      </c>
      <c r="J1472" s="25">
        <v>208</v>
      </c>
      <c r="K1472" s="25">
        <v>208</v>
      </c>
      <c r="L1472" s="26">
        <v>123</v>
      </c>
      <c r="M1472" s="26">
        <v>242</v>
      </c>
      <c r="N1472" s="501"/>
      <c r="O1472" s="25"/>
      <c r="P1472" s="25"/>
      <c r="Q1472" s="25"/>
      <c r="R1472" s="26"/>
      <c r="S1472" s="26"/>
      <c r="T1472" s="501"/>
      <c r="U1472" s="151">
        <f t="shared" si="82"/>
        <v>250</v>
      </c>
    </row>
    <row r="1473" spans="2:24" x14ac:dyDescent="0.2">
      <c r="B1473" s="8">
        <f t="shared" si="81"/>
        <v>781</v>
      </c>
      <c r="C1473" s="24"/>
      <c r="D1473" s="24"/>
      <c r="E1473" s="24"/>
      <c r="F1473" s="149" t="s">
        <v>81</v>
      </c>
      <c r="G1473" s="150">
        <v>633</v>
      </c>
      <c r="H1473" s="24" t="s">
        <v>814</v>
      </c>
      <c r="I1473" s="25"/>
      <c r="J1473" s="25"/>
      <c r="K1473" s="25"/>
      <c r="L1473" s="26"/>
      <c r="M1473" s="26"/>
      <c r="N1473" s="501"/>
      <c r="O1473" s="25"/>
      <c r="P1473" s="25"/>
      <c r="Q1473" s="25"/>
      <c r="R1473" s="26"/>
      <c r="S1473" s="26"/>
      <c r="T1473" s="501"/>
      <c r="U1473" s="151">
        <f t="shared" si="82"/>
        <v>0</v>
      </c>
    </row>
    <row r="1474" spans="2:24" x14ac:dyDescent="0.2">
      <c r="B1474" s="8">
        <f t="shared" si="81"/>
        <v>782</v>
      </c>
      <c r="C1474" s="24"/>
      <c r="D1474" s="24"/>
      <c r="E1474" s="24"/>
      <c r="F1474" s="149" t="s">
        <v>54</v>
      </c>
      <c r="G1474" s="150">
        <v>710</v>
      </c>
      <c r="H1474" s="24" t="s">
        <v>185</v>
      </c>
      <c r="I1474" s="25"/>
      <c r="J1474" s="25"/>
      <c r="K1474" s="25"/>
      <c r="L1474" s="26"/>
      <c r="M1474" s="26"/>
      <c r="N1474" s="501"/>
      <c r="O1474" s="25"/>
      <c r="P1474" s="25"/>
      <c r="Q1474" s="25">
        <f t="shared" ref="Q1474:S1475" si="83">Q1475</f>
        <v>39000</v>
      </c>
      <c r="R1474" s="26">
        <f t="shared" si="83"/>
        <v>4962</v>
      </c>
      <c r="S1474" s="26">
        <f t="shared" si="83"/>
        <v>4700</v>
      </c>
      <c r="T1474" s="501"/>
      <c r="U1474" s="151">
        <f t="shared" si="82"/>
        <v>0</v>
      </c>
    </row>
    <row r="1475" spans="2:24" x14ac:dyDescent="0.2">
      <c r="B1475" s="8">
        <f t="shared" si="81"/>
        <v>783</v>
      </c>
      <c r="C1475" s="18"/>
      <c r="D1475" s="18"/>
      <c r="E1475" s="18"/>
      <c r="F1475" s="152"/>
      <c r="G1475" s="153">
        <v>713</v>
      </c>
      <c r="H1475" s="18" t="s">
        <v>230</v>
      </c>
      <c r="I1475" s="19"/>
      <c r="J1475" s="19"/>
      <c r="K1475" s="19"/>
      <c r="L1475" s="20"/>
      <c r="M1475" s="20"/>
      <c r="N1475" s="164"/>
      <c r="O1475" s="19"/>
      <c r="P1475" s="19"/>
      <c r="Q1475" s="19">
        <f t="shared" si="83"/>
        <v>39000</v>
      </c>
      <c r="R1475" s="20">
        <f t="shared" si="83"/>
        <v>4962</v>
      </c>
      <c r="S1475" s="20">
        <f t="shared" si="83"/>
        <v>4700</v>
      </c>
      <c r="T1475" s="164"/>
      <c r="U1475" s="154">
        <f t="shared" si="82"/>
        <v>0</v>
      </c>
    </row>
    <row r="1476" spans="2:24" s="165" customFormat="1" x14ac:dyDescent="0.2">
      <c r="B1476" s="8">
        <f t="shared" si="81"/>
        <v>784</v>
      </c>
      <c r="C1476" s="156"/>
      <c r="D1476" s="156"/>
      <c r="E1476" s="156"/>
      <c r="F1476" s="272"/>
      <c r="G1476" s="155"/>
      <c r="H1476" s="156" t="s">
        <v>586</v>
      </c>
      <c r="I1476" s="157"/>
      <c r="J1476" s="157"/>
      <c r="K1476" s="157"/>
      <c r="L1476" s="158"/>
      <c r="M1476" s="158"/>
      <c r="N1476" s="535"/>
      <c r="O1476" s="157"/>
      <c r="P1476" s="157"/>
      <c r="Q1476" s="157">
        <v>39000</v>
      </c>
      <c r="R1476" s="158">
        <v>4962</v>
      </c>
      <c r="S1476" s="158">
        <v>4700</v>
      </c>
      <c r="T1476" s="535"/>
      <c r="U1476" s="159">
        <f t="shared" si="82"/>
        <v>0</v>
      </c>
    </row>
    <row r="1477" spans="2:24" ht="14.25" x14ac:dyDescent="0.2">
      <c r="B1477" s="8">
        <f t="shared" si="81"/>
        <v>785</v>
      </c>
      <c r="C1477" s="267"/>
      <c r="D1477" s="267"/>
      <c r="E1477" s="267">
        <v>7</v>
      </c>
      <c r="F1477" s="268"/>
      <c r="G1477" s="268"/>
      <c r="H1477" s="267" t="s">
        <v>341</v>
      </c>
      <c r="I1477" s="269">
        <f>I1478+I1479+I1480+I1485+I1486+I1487+I1488+I1493</f>
        <v>470664</v>
      </c>
      <c r="J1477" s="269">
        <f>J1478+J1479+J1480+J1485+J1486+J1487+J1488+J1493</f>
        <v>392165</v>
      </c>
      <c r="K1477" s="269">
        <f>K1478+K1479+K1480+K1485+K1486+K1487+K1488+K1493</f>
        <v>392165</v>
      </c>
      <c r="L1477" s="270">
        <f>L1478+L1479+L1480+L1485+L1486+L1487+L1488+L1493</f>
        <v>343962</v>
      </c>
      <c r="M1477" s="270">
        <f>M1478+M1479+M1480+M1485+M1486+M1487+M1488+M1493</f>
        <v>264541</v>
      </c>
      <c r="N1477" s="534"/>
      <c r="O1477" s="269"/>
      <c r="P1477" s="269"/>
      <c r="Q1477" s="269"/>
      <c r="R1477" s="270"/>
      <c r="S1477" s="270">
        <f>S1494</f>
        <v>5388</v>
      </c>
      <c r="T1477" s="534"/>
      <c r="U1477" s="271">
        <f t="shared" si="82"/>
        <v>470664</v>
      </c>
    </row>
    <row r="1478" spans="2:24" x14ac:dyDescent="0.2">
      <c r="B1478" s="8">
        <f t="shared" si="81"/>
        <v>786</v>
      </c>
      <c r="C1478" s="24"/>
      <c r="D1478" s="24"/>
      <c r="E1478" s="24"/>
      <c r="F1478" s="149" t="s">
        <v>85</v>
      </c>
      <c r="G1478" s="150">
        <v>610</v>
      </c>
      <c r="H1478" s="24" t="s">
        <v>141</v>
      </c>
      <c r="I1478" s="25">
        <f>9300+2700+43000</f>
        <v>55000</v>
      </c>
      <c r="J1478" s="25">
        <v>58500</v>
      </c>
      <c r="K1478" s="25">
        <v>54823</v>
      </c>
      <c r="L1478" s="26">
        <v>55210</v>
      </c>
      <c r="M1478" s="26">
        <v>48878</v>
      </c>
      <c r="N1478" s="501"/>
      <c r="O1478" s="25"/>
      <c r="P1478" s="25"/>
      <c r="Q1478" s="25"/>
      <c r="R1478" s="26"/>
      <c r="S1478" s="26"/>
      <c r="T1478" s="501"/>
      <c r="U1478" s="151">
        <f t="shared" si="82"/>
        <v>55000</v>
      </c>
      <c r="X1478" s="2"/>
    </row>
    <row r="1479" spans="2:24" x14ac:dyDescent="0.2">
      <c r="B1479" s="8">
        <f t="shared" si="81"/>
        <v>787</v>
      </c>
      <c r="C1479" s="24"/>
      <c r="D1479" s="24"/>
      <c r="E1479" s="24"/>
      <c r="F1479" s="149" t="s">
        <v>85</v>
      </c>
      <c r="G1479" s="150">
        <v>620</v>
      </c>
      <c r="H1479" s="24" t="s">
        <v>134</v>
      </c>
      <c r="I1479" s="25">
        <f>2600+1600+4000+900+790+550+7700+770+470</f>
        <v>19380</v>
      </c>
      <c r="J1479" s="25">
        <v>20768</v>
      </c>
      <c r="K1479" s="25">
        <v>20768</v>
      </c>
      <c r="L1479" s="26">
        <v>20220</v>
      </c>
      <c r="M1479" s="26">
        <v>17936</v>
      </c>
      <c r="N1479" s="501"/>
      <c r="O1479" s="25"/>
      <c r="P1479" s="25"/>
      <c r="Q1479" s="25"/>
      <c r="R1479" s="26"/>
      <c r="S1479" s="26"/>
      <c r="T1479" s="501"/>
      <c r="U1479" s="151">
        <f t="shared" si="82"/>
        <v>19380</v>
      </c>
    </row>
    <row r="1480" spans="2:24" x14ac:dyDescent="0.2">
      <c r="B1480" s="8">
        <f t="shared" si="81"/>
        <v>788</v>
      </c>
      <c r="C1480" s="24"/>
      <c r="D1480" s="24"/>
      <c r="E1480" s="24"/>
      <c r="F1480" s="149" t="s">
        <v>85</v>
      </c>
      <c r="G1480" s="150">
        <v>630</v>
      </c>
      <c r="H1480" s="24" t="s">
        <v>131</v>
      </c>
      <c r="I1480" s="25">
        <f>I1484+I1483+I1482+I1481</f>
        <v>112400</v>
      </c>
      <c r="J1480" s="25">
        <f>J1484+J1483+J1482+J1481</f>
        <v>77200</v>
      </c>
      <c r="K1480" s="25">
        <f>K1484+K1483+K1482+K1481</f>
        <v>77200</v>
      </c>
      <c r="L1480" s="26">
        <f>L1484+L1483+L1482+L1481</f>
        <v>70229</v>
      </c>
      <c r="M1480" s="26">
        <f>M1484+M1483+M1482+M1481</f>
        <v>42436</v>
      </c>
      <c r="N1480" s="501"/>
      <c r="O1480" s="25"/>
      <c r="P1480" s="25"/>
      <c r="Q1480" s="25"/>
      <c r="R1480" s="26"/>
      <c r="S1480" s="26"/>
      <c r="T1480" s="501"/>
      <c r="U1480" s="151">
        <f t="shared" si="82"/>
        <v>112400</v>
      </c>
    </row>
    <row r="1481" spans="2:24" x14ac:dyDescent="0.2">
      <c r="B1481" s="8">
        <f t="shared" si="81"/>
        <v>789</v>
      </c>
      <c r="C1481" s="18"/>
      <c r="D1481" s="18"/>
      <c r="E1481" s="18"/>
      <c r="F1481" s="152"/>
      <c r="G1481" s="153">
        <v>632</v>
      </c>
      <c r="H1481" s="18" t="s">
        <v>144</v>
      </c>
      <c r="I1481" s="19"/>
      <c r="J1481" s="19">
        <v>3500</v>
      </c>
      <c r="K1481" s="19">
        <v>3500</v>
      </c>
      <c r="L1481" s="20">
        <v>2200</v>
      </c>
      <c r="M1481" s="20">
        <v>1500</v>
      </c>
      <c r="N1481" s="164"/>
      <c r="O1481" s="19"/>
      <c r="P1481" s="19"/>
      <c r="Q1481" s="19"/>
      <c r="R1481" s="20"/>
      <c r="S1481" s="20"/>
      <c r="T1481" s="164"/>
      <c r="U1481" s="154">
        <f t="shared" si="82"/>
        <v>0</v>
      </c>
    </row>
    <row r="1482" spans="2:24" x14ac:dyDescent="0.2">
      <c r="B1482" s="8">
        <f t="shared" si="81"/>
        <v>790</v>
      </c>
      <c r="C1482" s="18"/>
      <c r="D1482" s="18"/>
      <c r="E1482" s="18"/>
      <c r="F1482" s="152"/>
      <c r="G1482" s="153">
        <v>633</v>
      </c>
      <c r="H1482" s="18" t="s">
        <v>135</v>
      </c>
      <c r="I1482" s="19">
        <f>4200+81000+15500</f>
        <v>100700</v>
      </c>
      <c r="J1482" s="19">
        <v>66500</v>
      </c>
      <c r="K1482" s="19">
        <v>66500</v>
      </c>
      <c r="L1482" s="20">
        <v>48082</v>
      </c>
      <c r="M1482" s="20">
        <v>36736</v>
      </c>
      <c r="N1482" s="164"/>
      <c r="O1482" s="19"/>
      <c r="P1482" s="19"/>
      <c r="Q1482" s="19"/>
      <c r="R1482" s="20"/>
      <c r="S1482" s="20"/>
      <c r="T1482" s="164"/>
      <c r="U1482" s="154">
        <f t="shared" si="82"/>
        <v>100700</v>
      </c>
    </row>
    <row r="1483" spans="2:24" x14ac:dyDescent="0.2">
      <c r="B1483" s="8">
        <f t="shared" si="81"/>
        <v>791</v>
      </c>
      <c r="C1483" s="18"/>
      <c r="D1483" s="18"/>
      <c r="E1483" s="18"/>
      <c r="F1483" s="152"/>
      <c r="G1483" s="153">
        <v>635</v>
      </c>
      <c r="H1483" s="18" t="s">
        <v>143</v>
      </c>
      <c r="I1483" s="19">
        <f>2500+3100</f>
        <v>5600</v>
      </c>
      <c r="J1483" s="19">
        <v>2200</v>
      </c>
      <c r="K1483" s="19">
        <v>2200</v>
      </c>
      <c r="L1483" s="20">
        <v>1500</v>
      </c>
      <c r="M1483" s="20">
        <v>1500</v>
      </c>
      <c r="N1483" s="164"/>
      <c r="O1483" s="19"/>
      <c r="P1483" s="19"/>
      <c r="Q1483" s="19"/>
      <c r="R1483" s="20"/>
      <c r="S1483" s="20"/>
      <c r="T1483" s="164"/>
      <c r="U1483" s="154">
        <f t="shared" si="82"/>
        <v>5600</v>
      </c>
    </row>
    <row r="1484" spans="2:24" x14ac:dyDescent="0.2">
      <c r="B1484" s="8">
        <f t="shared" si="81"/>
        <v>792</v>
      </c>
      <c r="C1484" s="18"/>
      <c r="D1484" s="18"/>
      <c r="E1484" s="18"/>
      <c r="F1484" s="152"/>
      <c r="G1484" s="153">
        <v>637</v>
      </c>
      <c r="H1484" s="18" t="s">
        <v>132</v>
      </c>
      <c r="I1484" s="19">
        <f>4200+1200+700</f>
        <v>6100</v>
      </c>
      <c r="J1484" s="19">
        <v>5000</v>
      </c>
      <c r="K1484" s="19">
        <v>5000</v>
      </c>
      <c r="L1484" s="20">
        <v>18447</v>
      </c>
      <c r="M1484" s="20">
        <v>2700</v>
      </c>
      <c r="N1484" s="164"/>
      <c r="O1484" s="19"/>
      <c r="P1484" s="19"/>
      <c r="Q1484" s="19"/>
      <c r="R1484" s="20"/>
      <c r="S1484" s="20"/>
      <c r="T1484" s="164"/>
      <c r="U1484" s="154">
        <f t="shared" si="82"/>
        <v>6100</v>
      </c>
    </row>
    <row r="1485" spans="2:24" x14ac:dyDescent="0.2">
      <c r="B1485" s="8">
        <f t="shared" si="81"/>
        <v>793</v>
      </c>
      <c r="C1485" s="24"/>
      <c r="D1485" s="24"/>
      <c r="E1485" s="24"/>
      <c r="F1485" s="149" t="s">
        <v>85</v>
      </c>
      <c r="G1485" s="150">
        <v>640</v>
      </c>
      <c r="H1485" s="24" t="s">
        <v>139</v>
      </c>
      <c r="I1485" s="25">
        <v>1200</v>
      </c>
      <c r="J1485" s="25"/>
      <c r="K1485" s="25">
        <v>3677</v>
      </c>
      <c r="L1485" s="26">
        <v>1200</v>
      </c>
      <c r="M1485" s="26">
        <v>148</v>
      </c>
      <c r="N1485" s="501"/>
      <c r="O1485" s="25"/>
      <c r="P1485" s="25"/>
      <c r="Q1485" s="25"/>
      <c r="R1485" s="26"/>
      <c r="S1485" s="26"/>
      <c r="T1485" s="501"/>
      <c r="U1485" s="151">
        <f t="shared" si="82"/>
        <v>1200</v>
      </c>
    </row>
    <row r="1486" spans="2:24" x14ac:dyDescent="0.2">
      <c r="B1486" s="8">
        <f t="shared" si="81"/>
        <v>794</v>
      </c>
      <c r="C1486" s="24"/>
      <c r="D1486" s="24"/>
      <c r="E1486" s="24"/>
      <c r="F1486" s="149" t="s">
        <v>54</v>
      </c>
      <c r="G1486" s="150">
        <v>610</v>
      </c>
      <c r="H1486" s="24" t="s">
        <v>141</v>
      </c>
      <c r="I1486" s="25">
        <v>91679</v>
      </c>
      <c r="J1486" s="25">
        <v>78597</v>
      </c>
      <c r="K1486" s="25">
        <v>78597</v>
      </c>
      <c r="L1486" s="26">
        <v>69130</v>
      </c>
      <c r="M1486" s="26">
        <v>64248</v>
      </c>
      <c r="N1486" s="501"/>
      <c r="O1486" s="25"/>
      <c r="P1486" s="25"/>
      <c r="Q1486" s="25"/>
      <c r="R1486" s="26"/>
      <c r="S1486" s="26"/>
      <c r="T1486" s="501"/>
      <c r="U1486" s="151">
        <f t="shared" si="82"/>
        <v>91679</v>
      </c>
    </row>
    <row r="1487" spans="2:24" x14ac:dyDescent="0.2">
      <c r="B1487" s="8">
        <f t="shared" si="81"/>
        <v>795</v>
      </c>
      <c r="C1487" s="24"/>
      <c r="D1487" s="24"/>
      <c r="E1487" s="24"/>
      <c r="F1487" s="149" t="s">
        <v>54</v>
      </c>
      <c r="G1487" s="150">
        <v>620</v>
      </c>
      <c r="H1487" s="24" t="s">
        <v>134</v>
      </c>
      <c r="I1487" s="25">
        <v>32105</v>
      </c>
      <c r="J1487" s="25">
        <v>27700</v>
      </c>
      <c r="K1487" s="25">
        <v>27700</v>
      </c>
      <c r="L1487" s="26">
        <v>25150</v>
      </c>
      <c r="M1487" s="26">
        <v>23598</v>
      </c>
      <c r="N1487" s="501"/>
      <c r="O1487" s="25"/>
      <c r="P1487" s="25"/>
      <c r="Q1487" s="25"/>
      <c r="R1487" s="26"/>
      <c r="S1487" s="26"/>
      <c r="T1487" s="501"/>
      <c r="U1487" s="151">
        <f t="shared" si="82"/>
        <v>32105</v>
      </c>
      <c r="X1487" s="2"/>
    </row>
    <row r="1488" spans="2:24" x14ac:dyDescent="0.2">
      <c r="B1488" s="8">
        <f t="shared" si="81"/>
        <v>796</v>
      </c>
      <c r="C1488" s="24"/>
      <c r="D1488" s="24"/>
      <c r="E1488" s="24"/>
      <c r="F1488" s="149" t="s">
        <v>54</v>
      </c>
      <c r="G1488" s="150">
        <v>630</v>
      </c>
      <c r="H1488" s="24" t="s">
        <v>131</v>
      </c>
      <c r="I1488" s="25">
        <f>I1492+I1491+I1490+I1489</f>
        <v>158900</v>
      </c>
      <c r="J1488" s="25">
        <f>J1492+J1491+J1490+J1489</f>
        <v>126700</v>
      </c>
      <c r="K1488" s="25">
        <f>K1492+K1491+K1490+K1489</f>
        <v>126700</v>
      </c>
      <c r="L1488" s="26">
        <f>L1492+L1491+L1490+L1489</f>
        <v>102123</v>
      </c>
      <c r="M1488" s="26">
        <f>M1492+M1491+M1490+M1489</f>
        <v>67160</v>
      </c>
      <c r="N1488" s="501"/>
      <c r="O1488" s="25"/>
      <c r="P1488" s="25"/>
      <c r="Q1488" s="25"/>
      <c r="R1488" s="26"/>
      <c r="S1488" s="26"/>
      <c r="T1488" s="501"/>
      <c r="U1488" s="151">
        <f t="shared" si="82"/>
        <v>158900</v>
      </c>
    </row>
    <row r="1489" spans="2:25" x14ac:dyDescent="0.2">
      <c r="B1489" s="8">
        <f t="shared" si="81"/>
        <v>797</v>
      </c>
      <c r="C1489" s="18"/>
      <c r="D1489" s="18"/>
      <c r="E1489" s="18"/>
      <c r="F1489" s="152"/>
      <c r="G1489" s="153">
        <v>632</v>
      </c>
      <c r="H1489" s="18" t="s">
        <v>144</v>
      </c>
      <c r="I1489" s="19">
        <v>4200</v>
      </c>
      <c r="J1489" s="19">
        <v>2700</v>
      </c>
      <c r="K1489" s="19">
        <v>2700</v>
      </c>
      <c r="L1489" s="20">
        <v>2200</v>
      </c>
      <c r="M1489" s="20">
        <v>1800</v>
      </c>
      <c r="N1489" s="164"/>
      <c r="O1489" s="19"/>
      <c r="P1489" s="19"/>
      <c r="Q1489" s="19"/>
      <c r="R1489" s="20"/>
      <c r="S1489" s="20"/>
      <c r="T1489" s="164"/>
      <c r="U1489" s="154">
        <f t="shared" si="82"/>
        <v>4200</v>
      </c>
    </row>
    <row r="1490" spans="2:25" x14ac:dyDescent="0.2">
      <c r="B1490" s="8">
        <f t="shared" si="81"/>
        <v>798</v>
      </c>
      <c r="C1490" s="18"/>
      <c r="D1490" s="18"/>
      <c r="E1490" s="18"/>
      <c r="F1490" s="152"/>
      <c r="G1490" s="153">
        <v>633</v>
      </c>
      <c r="H1490" s="18" t="s">
        <v>135</v>
      </c>
      <c r="I1490" s="19">
        <f>115000+24200+3700+3500</f>
        <v>146400</v>
      </c>
      <c r="J1490" s="19">
        <v>118500</v>
      </c>
      <c r="K1490" s="19">
        <v>109500</v>
      </c>
      <c r="L1490" s="20">
        <v>74276</v>
      </c>
      <c r="M1490" s="20">
        <v>61160</v>
      </c>
      <c r="N1490" s="164"/>
      <c r="O1490" s="19"/>
      <c r="P1490" s="19"/>
      <c r="Q1490" s="19"/>
      <c r="R1490" s="20"/>
      <c r="S1490" s="20"/>
      <c r="T1490" s="164"/>
      <c r="U1490" s="154">
        <f t="shared" si="82"/>
        <v>146400</v>
      </c>
    </row>
    <row r="1491" spans="2:25" x14ac:dyDescent="0.2">
      <c r="B1491" s="8">
        <f t="shared" si="81"/>
        <v>799</v>
      </c>
      <c r="C1491" s="18"/>
      <c r="D1491" s="18"/>
      <c r="E1491" s="18"/>
      <c r="F1491" s="152"/>
      <c r="G1491" s="153">
        <v>635</v>
      </c>
      <c r="H1491" s="18" t="s">
        <v>143</v>
      </c>
      <c r="I1491" s="19">
        <v>2500</v>
      </c>
      <c r="J1491" s="19">
        <v>2000</v>
      </c>
      <c r="K1491" s="19">
        <v>2000</v>
      </c>
      <c r="L1491" s="20">
        <v>1700</v>
      </c>
      <c r="M1491" s="20"/>
      <c r="N1491" s="164"/>
      <c r="O1491" s="19"/>
      <c r="P1491" s="19"/>
      <c r="Q1491" s="19"/>
      <c r="R1491" s="20"/>
      <c r="S1491" s="20"/>
      <c r="T1491" s="164"/>
      <c r="U1491" s="154">
        <f t="shared" si="82"/>
        <v>2500</v>
      </c>
    </row>
    <row r="1492" spans="2:25" x14ac:dyDescent="0.2">
      <c r="B1492" s="8">
        <f t="shared" si="81"/>
        <v>800</v>
      </c>
      <c r="C1492" s="18"/>
      <c r="D1492" s="18"/>
      <c r="E1492" s="18"/>
      <c r="F1492" s="152"/>
      <c r="G1492" s="153">
        <v>637</v>
      </c>
      <c r="H1492" s="18" t="s">
        <v>132</v>
      </c>
      <c r="I1492" s="19">
        <f>1950+1000+2850</f>
        <v>5800</v>
      </c>
      <c r="J1492" s="19">
        <v>3500</v>
      </c>
      <c r="K1492" s="19">
        <v>12500</v>
      </c>
      <c r="L1492" s="20">
        <v>23947</v>
      </c>
      <c r="M1492" s="20">
        <v>4200</v>
      </c>
      <c r="N1492" s="164"/>
      <c r="O1492" s="19"/>
      <c r="P1492" s="19"/>
      <c r="Q1492" s="19"/>
      <c r="R1492" s="20"/>
      <c r="S1492" s="20"/>
      <c r="T1492" s="164"/>
      <c r="U1492" s="154">
        <f t="shared" si="82"/>
        <v>5800</v>
      </c>
    </row>
    <row r="1493" spans="2:25" x14ac:dyDescent="0.2">
      <c r="B1493" s="8">
        <f t="shared" si="81"/>
        <v>801</v>
      </c>
      <c r="C1493" s="24"/>
      <c r="D1493" s="24"/>
      <c r="E1493" s="24"/>
      <c r="F1493" s="149" t="s">
        <v>54</v>
      </c>
      <c r="G1493" s="150">
        <v>640</v>
      </c>
      <c r="H1493" s="24" t="s">
        <v>139</v>
      </c>
      <c r="I1493" s="25"/>
      <c r="J1493" s="25">
        <v>2700</v>
      </c>
      <c r="K1493" s="25">
        <v>2700</v>
      </c>
      <c r="L1493" s="26">
        <v>700</v>
      </c>
      <c r="M1493" s="26">
        <v>137</v>
      </c>
      <c r="N1493" s="501"/>
      <c r="O1493" s="25"/>
      <c r="P1493" s="25"/>
      <c r="Q1493" s="25"/>
      <c r="R1493" s="26"/>
      <c r="S1493" s="26"/>
      <c r="T1493" s="501"/>
      <c r="U1493" s="151">
        <f t="shared" si="82"/>
        <v>0</v>
      </c>
    </row>
    <row r="1494" spans="2:25" x14ac:dyDescent="0.2">
      <c r="B1494" s="8">
        <f t="shared" si="81"/>
        <v>802</v>
      </c>
      <c r="C1494" s="24"/>
      <c r="D1494" s="24"/>
      <c r="E1494" s="24"/>
      <c r="F1494" s="149" t="s">
        <v>85</v>
      </c>
      <c r="G1494" s="150">
        <v>710</v>
      </c>
      <c r="H1494" s="24" t="s">
        <v>185</v>
      </c>
      <c r="I1494" s="25"/>
      <c r="J1494" s="25"/>
      <c r="K1494" s="25"/>
      <c r="L1494" s="26"/>
      <c r="M1494" s="26"/>
      <c r="N1494" s="501"/>
      <c r="O1494" s="25"/>
      <c r="P1494" s="25"/>
      <c r="Q1494" s="25"/>
      <c r="R1494" s="26"/>
      <c r="S1494" s="26">
        <f>S1495</f>
        <v>5388</v>
      </c>
      <c r="T1494" s="501"/>
      <c r="U1494" s="151">
        <f t="shared" si="82"/>
        <v>0</v>
      </c>
    </row>
    <row r="1495" spans="2:25" x14ac:dyDescent="0.2">
      <c r="B1495" s="8">
        <f t="shared" si="81"/>
        <v>803</v>
      </c>
      <c r="C1495" s="18"/>
      <c r="D1495" s="18"/>
      <c r="E1495" s="18"/>
      <c r="F1495" s="152"/>
      <c r="G1495" s="153">
        <v>713</v>
      </c>
      <c r="H1495" s="18" t="s">
        <v>230</v>
      </c>
      <c r="I1495" s="19"/>
      <c r="J1495" s="19"/>
      <c r="K1495" s="19"/>
      <c r="L1495" s="20"/>
      <c r="M1495" s="20"/>
      <c r="N1495" s="164"/>
      <c r="O1495" s="19"/>
      <c r="P1495" s="19"/>
      <c r="Q1495" s="19"/>
      <c r="R1495" s="20"/>
      <c r="S1495" s="20">
        <f>S1496</f>
        <v>5388</v>
      </c>
      <c r="T1495" s="164"/>
      <c r="U1495" s="154">
        <f t="shared" si="82"/>
        <v>0</v>
      </c>
    </row>
    <row r="1496" spans="2:25" s="165" customFormat="1" x14ac:dyDescent="0.2">
      <c r="B1496" s="8">
        <f t="shared" si="81"/>
        <v>804</v>
      </c>
      <c r="C1496" s="156"/>
      <c r="D1496" s="156"/>
      <c r="E1496" s="156"/>
      <c r="F1496" s="272"/>
      <c r="G1496" s="155"/>
      <c r="H1496" s="156" t="s">
        <v>586</v>
      </c>
      <c r="I1496" s="157"/>
      <c r="J1496" s="157"/>
      <c r="K1496" s="157"/>
      <c r="L1496" s="158"/>
      <c r="M1496" s="158"/>
      <c r="N1496" s="535"/>
      <c r="O1496" s="157"/>
      <c r="P1496" s="157"/>
      <c r="Q1496" s="157"/>
      <c r="R1496" s="158"/>
      <c r="S1496" s="158">
        <v>5388</v>
      </c>
      <c r="T1496" s="535"/>
      <c r="U1496" s="159">
        <f t="shared" si="82"/>
        <v>0</v>
      </c>
    </row>
    <row r="1497" spans="2:25" ht="14.25" x14ac:dyDescent="0.2">
      <c r="B1497" s="8">
        <f t="shared" si="81"/>
        <v>805</v>
      </c>
      <c r="C1497" s="267"/>
      <c r="D1497" s="267"/>
      <c r="E1497" s="267">
        <v>8</v>
      </c>
      <c r="F1497" s="268"/>
      <c r="G1497" s="268"/>
      <c r="H1497" s="267" t="s">
        <v>7</v>
      </c>
      <c r="I1497" s="269"/>
      <c r="J1497" s="269">
        <v>0</v>
      </c>
      <c r="K1497" s="428">
        <v>0</v>
      </c>
      <c r="L1497" s="270">
        <f>L1498</f>
        <v>0</v>
      </c>
      <c r="M1497" s="270">
        <f>M1498</f>
        <v>42213</v>
      </c>
      <c r="N1497" s="534"/>
      <c r="O1497" s="269"/>
      <c r="P1497" s="269"/>
      <c r="Q1497" s="269"/>
      <c r="R1497" s="270"/>
      <c r="S1497" s="270"/>
      <c r="T1497" s="534"/>
      <c r="U1497" s="271">
        <f t="shared" si="82"/>
        <v>0</v>
      </c>
    </row>
    <row r="1498" spans="2:25" x14ac:dyDescent="0.2">
      <c r="B1498" s="8">
        <f t="shared" si="81"/>
        <v>806</v>
      </c>
      <c r="C1498" s="24"/>
      <c r="D1498" s="24"/>
      <c r="E1498" s="24"/>
      <c r="F1498" s="149" t="s">
        <v>54</v>
      </c>
      <c r="G1498" s="150">
        <v>630</v>
      </c>
      <c r="H1498" s="24" t="s">
        <v>131</v>
      </c>
      <c r="I1498" s="25"/>
      <c r="J1498" s="25"/>
      <c r="K1498" s="25"/>
      <c r="L1498" s="26"/>
      <c r="M1498" s="26">
        <f>M1499</f>
        <v>42213</v>
      </c>
      <c r="N1498" s="501"/>
      <c r="O1498" s="25"/>
      <c r="P1498" s="25"/>
      <c r="Q1498" s="25"/>
      <c r="R1498" s="26"/>
      <c r="S1498" s="26"/>
      <c r="T1498" s="501"/>
      <c r="U1498" s="151">
        <f t="shared" si="82"/>
        <v>0</v>
      </c>
    </row>
    <row r="1499" spans="2:25" x14ac:dyDescent="0.2">
      <c r="B1499" s="8">
        <f t="shared" si="81"/>
        <v>807</v>
      </c>
      <c r="C1499" s="18"/>
      <c r="D1499" s="18"/>
      <c r="E1499" s="18"/>
      <c r="F1499" s="152"/>
      <c r="G1499" s="153">
        <v>637</v>
      </c>
      <c r="H1499" s="18" t="s">
        <v>132</v>
      </c>
      <c r="I1499" s="19"/>
      <c r="J1499" s="19"/>
      <c r="K1499" s="19"/>
      <c r="L1499" s="20"/>
      <c r="M1499" s="20">
        <v>42213</v>
      </c>
      <c r="N1499" s="164"/>
      <c r="O1499" s="19"/>
      <c r="P1499" s="19"/>
      <c r="Q1499" s="19"/>
      <c r="R1499" s="20"/>
      <c r="S1499" s="20"/>
      <c r="T1499" s="164"/>
      <c r="U1499" s="154">
        <f t="shared" si="82"/>
        <v>0</v>
      </c>
    </row>
    <row r="1500" spans="2:25" ht="14.25" x14ac:dyDescent="0.2">
      <c r="B1500" s="8">
        <f t="shared" si="81"/>
        <v>808</v>
      </c>
      <c r="C1500" s="267"/>
      <c r="D1500" s="267"/>
      <c r="E1500" s="267">
        <v>9</v>
      </c>
      <c r="F1500" s="268"/>
      <c r="G1500" s="268"/>
      <c r="H1500" s="267" t="s">
        <v>5</v>
      </c>
      <c r="I1500" s="269">
        <f>I1501+I1502+I1503+I1509+I1510+I1511+I1512+I1518</f>
        <v>474722</v>
      </c>
      <c r="J1500" s="269">
        <f>J1501+J1502+J1503+J1509+J1510+J1511+J1512+J1518</f>
        <v>365013</v>
      </c>
      <c r="K1500" s="269">
        <f>K1501+K1502+K1503+K1509+K1510+K1511+K1512+K1518+K1519</f>
        <v>332522</v>
      </c>
      <c r="L1500" s="270">
        <f>L1501+L1502+L1503+L1509+L1510+L1511+L1512+L1518</f>
        <v>191405</v>
      </c>
      <c r="M1500" s="270">
        <f>M1501+M1502+M1503+M1509+M1510+M1511+M1512+M1518</f>
        <v>210840</v>
      </c>
      <c r="N1500" s="534"/>
      <c r="O1500" s="269"/>
      <c r="P1500" s="269"/>
      <c r="Q1500" s="269">
        <f>Q1520</f>
        <v>32500</v>
      </c>
      <c r="R1500" s="270">
        <f>R1520</f>
        <v>197750</v>
      </c>
      <c r="S1500" s="270">
        <f>S1520</f>
        <v>4590</v>
      </c>
      <c r="T1500" s="534"/>
      <c r="U1500" s="271">
        <f t="shared" si="82"/>
        <v>474722</v>
      </c>
    </row>
    <row r="1501" spans="2:25" x14ac:dyDescent="0.2">
      <c r="B1501" s="8">
        <f t="shared" si="81"/>
        <v>809</v>
      </c>
      <c r="C1501" s="24"/>
      <c r="D1501" s="24"/>
      <c r="E1501" s="24"/>
      <c r="F1501" s="149" t="s">
        <v>85</v>
      </c>
      <c r="G1501" s="150">
        <v>610</v>
      </c>
      <c r="H1501" s="24" t="s">
        <v>141</v>
      </c>
      <c r="I1501" s="25">
        <v>57290</v>
      </c>
      <c r="J1501" s="25">
        <v>41885</v>
      </c>
      <c r="K1501" s="25">
        <v>41330</v>
      </c>
      <c r="L1501" s="26">
        <v>35100</v>
      </c>
      <c r="M1501" s="26">
        <v>28326</v>
      </c>
      <c r="N1501" s="501"/>
      <c r="O1501" s="25"/>
      <c r="P1501" s="25"/>
      <c r="Q1501" s="25"/>
      <c r="R1501" s="26"/>
      <c r="S1501" s="26"/>
      <c r="T1501" s="501"/>
      <c r="U1501" s="151">
        <f t="shared" si="82"/>
        <v>57290</v>
      </c>
      <c r="Y1501" s="2"/>
    </row>
    <row r="1502" spans="2:25" x14ac:dyDescent="0.2">
      <c r="B1502" s="8">
        <f t="shared" si="81"/>
        <v>810</v>
      </c>
      <c r="C1502" s="24"/>
      <c r="D1502" s="24"/>
      <c r="E1502" s="24"/>
      <c r="F1502" s="149" t="s">
        <v>85</v>
      </c>
      <c r="G1502" s="150">
        <v>620</v>
      </c>
      <c r="H1502" s="24" t="s">
        <v>134</v>
      </c>
      <c r="I1502" s="25">
        <v>20590</v>
      </c>
      <c r="J1502" s="25">
        <v>15820</v>
      </c>
      <c r="K1502" s="25">
        <v>15624</v>
      </c>
      <c r="L1502" s="26">
        <v>12780</v>
      </c>
      <c r="M1502" s="26">
        <v>9977</v>
      </c>
      <c r="N1502" s="501"/>
      <c r="O1502" s="25"/>
      <c r="P1502" s="25"/>
      <c r="Q1502" s="25"/>
      <c r="R1502" s="26"/>
      <c r="S1502" s="26"/>
      <c r="T1502" s="501"/>
      <c r="U1502" s="151">
        <f t="shared" si="82"/>
        <v>20590</v>
      </c>
      <c r="Y1502" s="2"/>
    </row>
    <row r="1503" spans="2:25" x14ac:dyDescent="0.2">
      <c r="B1503" s="8">
        <f t="shared" si="81"/>
        <v>811</v>
      </c>
      <c r="C1503" s="24"/>
      <c r="D1503" s="24"/>
      <c r="E1503" s="24"/>
      <c r="F1503" s="149" t="s">
        <v>85</v>
      </c>
      <c r="G1503" s="150">
        <v>630</v>
      </c>
      <c r="H1503" s="24" t="s">
        <v>131</v>
      </c>
      <c r="I1503" s="25">
        <f>I1508+I1506+I1505+I1504</f>
        <v>155629</v>
      </c>
      <c r="J1503" s="25">
        <f>J1508+J1506+J1505+J1504</f>
        <v>89720</v>
      </c>
      <c r="K1503" s="25">
        <f>K1508+K1506+K1505+K1504</f>
        <v>79720</v>
      </c>
      <c r="L1503" s="26">
        <f>L1508+L1506+L1505+L1504+L1507</f>
        <v>45591</v>
      </c>
      <c r="M1503" s="26">
        <f>M1508+M1506+M1505+M1504</f>
        <v>64570</v>
      </c>
      <c r="N1503" s="501"/>
      <c r="O1503" s="25"/>
      <c r="P1503" s="25"/>
      <c r="Q1503" s="25"/>
      <c r="R1503" s="26"/>
      <c r="S1503" s="26"/>
      <c r="T1503" s="501"/>
      <c r="U1503" s="151">
        <f t="shared" si="82"/>
        <v>155629</v>
      </c>
    </row>
    <row r="1504" spans="2:25" x14ac:dyDescent="0.2">
      <c r="B1504" s="8">
        <f t="shared" si="81"/>
        <v>812</v>
      </c>
      <c r="C1504" s="18"/>
      <c r="D1504" s="18"/>
      <c r="E1504" s="18"/>
      <c r="F1504" s="152"/>
      <c r="G1504" s="153">
        <v>632</v>
      </c>
      <c r="H1504" s="18" t="s">
        <v>144</v>
      </c>
      <c r="I1504" s="19">
        <f>1000+200+6000+15000</f>
        <v>22200</v>
      </c>
      <c r="J1504" s="19">
        <v>21200</v>
      </c>
      <c r="K1504" s="19">
        <v>21200</v>
      </c>
      <c r="L1504" s="20">
        <v>4042</v>
      </c>
      <c r="M1504" s="20">
        <v>14700</v>
      </c>
      <c r="N1504" s="164"/>
      <c r="O1504" s="19"/>
      <c r="P1504" s="19"/>
      <c r="Q1504" s="19"/>
      <c r="R1504" s="20"/>
      <c r="S1504" s="20"/>
      <c r="T1504" s="164"/>
      <c r="U1504" s="154">
        <f t="shared" si="82"/>
        <v>22200</v>
      </c>
    </row>
    <row r="1505" spans="2:21" x14ac:dyDescent="0.2">
      <c r="B1505" s="8">
        <f t="shared" si="81"/>
        <v>813</v>
      </c>
      <c r="C1505" s="18"/>
      <c r="D1505" s="18"/>
      <c r="E1505" s="18"/>
      <c r="F1505" s="152"/>
      <c r="G1505" s="153">
        <v>633</v>
      </c>
      <c r="H1505" s="18" t="s">
        <v>135</v>
      </c>
      <c r="I1505" s="19">
        <f>110704+1500+500</f>
        <v>112704</v>
      </c>
      <c r="J1505" s="19">
        <v>49670</v>
      </c>
      <c r="K1505" s="19">
        <v>49670</v>
      </c>
      <c r="L1505" s="20">
        <v>39273</v>
      </c>
      <c r="M1505" s="20">
        <v>39719</v>
      </c>
      <c r="N1505" s="164"/>
      <c r="O1505" s="19"/>
      <c r="P1505" s="19"/>
      <c r="Q1505" s="19"/>
      <c r="R1505" s="20"/>
      <c r="S1505" s="20"/>
      <c r="T1505" s="164"/>
      <c r="U1505" s="154">
        <f t="shared" si="82"/>
        <v>112704</v>
      </c>
    </row>
    <row r="1506" spans="2:21" x14ac:dyDescent="0.2">
      <c r="B1506" s="8">
        <f t="shared" ref="B1506:B1569" si="84">B1505+1</f>
        <v>814</v>
      </c>
      <c r="C1506" s="18"/>
      <c r="D1506" s="18"/>
      <c r="E1506" s="18"/>
      <c r="F1506" s="152"/>
      <c r="G1506" s="153">
        <v>635</v>
      </c>
      <c r="H1506" s="18" t="s">
        <v>143</v>
      </c>
      <c r="I1506" s="19">
        <v>11000</v>
      </c>
      <c r="J1506" s="19">
        <v>11000</v>
      </c>
      <c r="K1506" s="19">
        <v>1000</v>
      </c>
      <c r="L1506" s="20">
        <v>461</v>
      </c>
      <c r="M1506" s="20">
        <v>5241</v>
      </c>
      <c r="N1506" s="164"/>
      <c r="O1506" s="19"/>
      <c r="P1506" s="19"/>
      <c r="Q1506" s="19"/>
      <c r="R1506" s="20"/>
      <c r="S1506" s="20"/>
      <c r="T1506" s="164"/>
      <c r="U1506" s="154">
        <f t="shared" si="82"/>
        <v>11000</v>
      </c>
    </row>
    <row r="1507" spans="2:21" x14ac:dyDescent="0.2">
      <c r="B1507" s="8">
        <f t="shared" si="84"/>
        <v>815</v>
      </c>
      <c r="C1507" s="18"/>
      <c r="D1507" s="18"/>
      <c r="E1507" s="18"/>
      <c r="F1507" s="152"/>
      <c r="G1507" s="153">
        <v>636</v>
      </c>
      <c r="H1507" s="18" t="s">
        <v>136</v>
      </c>
      <c r="I1507" s="19"/>
      <c r="J1507" s="19"/>
      <c r="K1507" s="19"/>
      <c r="L1507" s="20">
        <v>6</v>
      </c>
      <c r="M1507" s="20"/>
      <c r="N1507" s="164"/>
      <c r="O1507" s="19"/>
      <c r="P1507" s="19"/>
      <c r="Q1507" s="19"/>
      <c r="R1507" s="20"/>
      <c r="S1507" s="20"/>
      <c r="T1507" s="164"/>
      <c r="U1507" s="154">
        <f t="shared" si="82"/>
        <v>0</v>
      </c>
    </row>
    <row r="1508" spans="2:21" x14ac:dyDescent="0.2">
      <c r="B1508" s="8">
        <f t="shared" si="84"/>
        <v>816</v>
      </c>
      <c r="C1508" s="18"/>
      <c r="D1508" s="18"/>
      <c r="E1508" s="18"/>
      <c r="F1508" s="152"/>
      <c r="G1508" s="153">
        <v>637</v>
      </c>
      <c r="H1508" s="18" t="s">
        <v>132</v>
      </c>
      <c r="I1508" s="19">
        <v>9725</v>
      </c>
      <c r="J1508" s="19">
        <v>7850</v>
      </c>
      <c r="K1508" s="19">
        <v>7850</v>
      </c>
      <c r="L1508" s="20">
        <v>1809</v>
      </c>
      <c r="M1508" s="20">
        <v>4910</v>
      </c>
      <c r="N1508" s="164"/>
      <c r="O1508" s="19"/>
      <c r="P1508" s="19"/>
      <c r="Q1508" s="19"/>
      <c r="R1508" s="20"/>
      <c r="S1508" s="20"/>
      <c r="T1508" s="164"/>
      <c r="U1508" s="154">
        <f t="shared" si="82"/>
        <v>9725</v>
      </c>
    </row>
    <row r="1509" spans="2:21" x14ac:dyDescent="0.2">
      <c r="B1509" s="8">
        <f t="shared" si="84"/>
        <v>817</v>
      </c>
      <c r="C1509" s="24"/>
      <c r="D1509" s="24"/>
      <c r="E1509" s="24"/>
      <c r="F1509" s="149" t="s">
        <v>85</v>
      </c>
      <c r="G1509" s="150">
        <v>640</v>
      </c>
      <c r="H1509" s="24" t="s">
        <v>139</v>
      </c>
      <c r="I1509" s="25">
        <v>500</v>
      </c>
      <c r="J1509" s="25">
        <v>2400</v>
      </c>
      <c r="K1509" s="25">
        <v>3151</v>
      </c>
      <c r="L1509" s="26">
        <v>882</v>
      </c>
      <c r="M1509" s="26">
        <v>665</v>
      </c>
      <c r="N1509" s="501"/>
      <c r="O1509" s="25"/>
      <c r="P1509" s="25"/>
      <c r="Q1509" s="25"/>
      <c r="R1509" s="26"/>
      <c r="S1509" s="26"/>
      <c r="T1509" s="501"/>
      <c r="U1509" s="151">
        <f t="shared" si="82"/>
        <v>500</v>
      </c>
    </row>
    <row r="1510" spans="2:21" x14ac:dyDescent="0.2">
      <c r="B1510" s="8">
        <f t="shared" si="84"/>
        <v>818</v>
      </c>
      <c r="C1510" s="24"/>
      <c r="D1510" s="24"/>
      <c r="E1510" s="24"/>
      <c r="F1510" s="149" t="s">
        <v>54</v>
      </c>
      <c r="G1510" s="150">
        <v>610</v>
      </c>
      <c r="H1510" s="24" t="s">
        <v>141</v>
      </c>
      <c r="I1510" s="25">
        <v>57290</v>
      </c>
      <c r="J1510" s="25">
        <v>41885</v>
      </c>
      <c r="K1510" s="25">
        <v>41330</v>
      </c>
      <c r="L1510" s="26">
        <v>35100</v>
      </c>
      <c r="M1510" s="26">
        <v>28326</v>
      </c>
      <c r="N1510" s="501"/>
      <c r="O1510" s="25"/>
      <c r="P1510" s="25"/>
      <c r="Q1510" s="25"/>
      <c r="R1510" s="26"/>
      <c r="S1510" s="26"/>
      <c r="T1510" s="501"/>
      <c r="U1510" s="151">
        <f t="shared" si="82"/>
        <v>57290</v>
      </c>
    </row>
    <row r="1511" spans="2:21" x14ac:dyDescent="0.2">
      <c r="B1511" s="8">
        <f t="shared" si="84"/>
        <v>819</v>
      </c>
      <c r="C1511" s="24"/>
      <c r="D1511" s="24"/>
      <c r="E1511" s="24"/>
      <c r="F1511" s="149" t="s">
        <v>54</v>
      </c>
      <c r="G1511" s="150">
        <v>620</v>
      </c>
      <c r="H1511" s="24" t="s">
        <v>134</v>
      </c>
      <c r="I1511" s="25">
        <v>20590</v>
      </c>
      <c r="J1511" s="25">
        <v>15820</v>
      </c>
      <c r="K1511" s="25">
        <v>15624</v>
      </c>
      <c r="L1511" s="26">
        <v>12780</v>
      </c>
      <c r="M1511" s="26">
        <v>9977</v>
      </c>
      <c r="N1511" s="501"/>
      <c r="O1511" s="25"/>
      <c r="P1511" s="25"/>
      <c r="Q1511" s="25"/>
      <c r="R1511" s="26"/>
      <c r="S1511" s="26"/>
      <c r="T1511" s="501"/>
      <c r="U1511" s="151">
        <f t="shared" si="82"/>
        <v>20590</v>
      </c>
    </row>
    <row r="1512" spans="2:21" x14ac:dyDescent="0.2">
      <c r="B1512" s="8">
        <f t="shared" si="84"/>
        <v>820</v>
      </c>
      <c r="C1512" s="24"/>
      <c r="D1512" s="24"/>
      <c r="E1512" s="24"/>
      <c r="F1512" s="149" t="s">
        <v>54</v>
      </c>
      <c r="G1512" s="150">
        <v>630</v>
      </c>
      <c r="H1512" s="24" t="s">
        <v>131</v>
      </c>
      <c r="I1512" s="25">
        <f>I1517+I1515+I1514+I1513</f>
        <v>162333</v>
      </c>
      <c r="J1512" s="25">
        <f>J1517+J1515+J1514+J1513</f>
        <v>155083</v>
      </c>
      <c r="K1512" s="25">
        <f>SUM(K1513:K1517)</f>
        <v>132583</v>
      </c>
      <c r="L1512" s="26">
        <f>L1517+L1515+L1514+L1513+L1516</f>
        <v>48259</v>
      </c>
      <c r="M1512" s="26">
        <f>M1517+M1515+M1514+M1513</f>
        <v>68141</v>
      </c>
      <c r="N1512" s="501"/>
      <c r="O1512" s="25"/>
      <c r="P1512" s="25"/>
      <c r="Q1512" s="25"/>
      <c r="R1512" s="26"/>
      <c r="S1512" s="26"/>
      <c r="T1512" s="501"/>
      <c r="U1512" s="151">
        <f t="shared" si="82"/>
        <v>162333</v>
      </c>
    </row>
    <row r="1513" spans="2:21" x14ac:dyDescent="0.2">
      <c r="B1513" s="8">
        <f t="shared" si="84"/>
        <v>821</v>
      </c>
      <c r="C1513" s="18"/>
      <c r="D1513" s="18"/>
      <c r="E1513" s="18"/>
      <c r="F1513" s="152"/>
      <c r="G1513" s="153">
        <v>632</v>
      </c>
      <c r="H1513" s="18" t="s">
        <v>144</v>
      </c>
      <c r="I1513" s="19">
        <f>200+15000+6000+1000</f>
        <v>22200</v>
      </c>
      <c r="J1513" s="19">
        <v>21200</v>
      </c>
      <c r="K1513" s="19">
        <v>21200</v>
      </c>
      <c r="L1513" s="20">
        <v>4042</v>
      </c>
      <c r="M1513" s="20">
        <v>14700</v>
      </c>
      <c r="N1513" s="164"/>
      <c r="O1513" s="19"/>
      <c r="P1513" s="19"/>
      <c r="Q1513" s="19"/>
      <c r="R1513" s="20"/>
      <c r="S1513" s="20"/>
      <c r="T1513" s="164"/>
      <c r="U1513" s="154">
        <f t="shared" si="82"/>
        <v>22200</v>
      </c>
    </row>
    <row r="1514" spans="2:21" x14ac:dyDescent="0.2">
      <c r="B1514" s="8">
        <f t="shared" si="84"/>
        <v>822</v>
      </c>
      <c r="C1514" s="18"/>
      <c r="D1514" s="18"/>
      <c r="E1514" s="18"/>
      <c r="F1514" s="152"/>
      <c r="G1514" s="153">
        <v>633</v>
      </c>
      <c r="H1514" s="18" t="s">
        <v>135</v>
      </c>
      <c r="I1514" s="19">
        <f>83028+1500+500+34380</f>
        <v>119408</v>
      </c>
      <c r="J1514" s="19">
        <v>115063</v>
      </c>
      <c r="K1514" s="19">
        <v>102563</v>
      </c>
      <c r="L1514" s="20">
        <v>41821</v>
      </c>
      <c r="M1514" s="20">
        <f>40940+2350</f>
        <v>43290</v>
      </c>
      <c r="N1514" s="164"/>
      <c r="O1514" s="19"/>
      <c r="P1514" s="19"/>
      <c r="Q1514" s="19"/>
      <c r="R1514" s="20"/>
      <c r="S1514" s="20"/>
      <c r="T1514" s="164"/>
      <c r="U1514" s="154">
        <f t="shared" si="82"/>
        <v>119408</v>
      </c>
    </row>
    <row r="1515" spans="2:21" x14ac:dyDescent="0.2">
      <c r="B1515" s="8">
        <f t="shared" si="84"/>
        <v>823</v>
      </c>
      <c r="C1515" s="18"/>
      <c r="D1515" s="18"/>
      <c r="E1515" s="18"/>
      <c r="F1515" s="152"/>
      <c r="G1515" s="153">
        <v>635</v>
      </c>
      <c r="H1515" s="18" t="s">
        <v>143</v>
      </c>
      <c r="I1515" s="19">
        <v>11000</v>
      </c>
      <c r="J1515" s="19">
        <v>11000</v>
      </c>
      <c r="K1515" s="19">
        <v>1000</v>
      </c>
      <c r="L1515" s="20">
        <v>461</v>
      </c>
      <c r="M1515" s="20">
        <v>5241</v>
      </c>
      <c r="N1515" s="164"/>
      <c r="O1515" s="19"/>
      <c r="P1515" s="19"/>
      <c r="Q1515" s="19"/>
      <c r="R1515" s="20"/>
      <c r="S1515" s="20"/>
      <c r="T1515" s="164"/>
      <c r="U1515" s="154">
        <f t="shared" si="82"/>
        <v>11000</v>
      </c>
    </row>
    <row r="1516" spans="2:21" x14ac:dyDescent="0.2">
      <c r="B1516" s="8">
        <f t="shared" si="84"/>
        <v>824</v>
      </c>
      <c r="C1516" s="18"/>
      <c r="D1516" s="18"/>
      <c r="E1516" s="18"/>
      <c r="F1516" s="152"/>
      <c r="G1516" s="153">
        <v>636</v>
      </c>
      <c r="H1516" s="18" t="s">
        <v>136</v>
      </c>
      <c r="I1516" s="19"/>
      <c r="J1516" s="19"/>
      <c r="K1516" s="19"/>
      <c r="L1516" s="20">
        <v>6</v>
      </c>
      <c r="M1516" s="20"/>
      <c r="N1516" s="164"/>
      <c r="O1516" s="19"/>
      <c r="P1516" s="19"/>
      <c r="Q1516" s="19"/>
      <c r="R1516" s="20"/>
      <c r="S1516" s="20"/>
      <c r="T1516" s="164"/>
      <c r="U1516" s="154">
        <f t="shared" si="82"/>
        <v>0</v>
      </c>
    </row>
    <row r="1517" spans="2:21" x14ac:dyDescent="0.2">
      <c r="B1517" s="8">
        <f t="shared" si="84"/>
        <v>825</v>
      </c>
      <c r="C1517" s="18"/>
      <c r="D1517" s="18"/>
      <c r="E1517" s="18"/>
      <c r="F1517" s="152"/>
      <c r="G1517" s="153">
        <v>637</v>
      </c>
      <c r="H1517" s="18" t="s">
        <v>132</v>
      </c>
      <c r="I1517" s="19">
        <f>150+2875+600+100+6000</f>
        <v>9725</v>
      </c>
      <c r="J1517" s="19">
        <v>7820</v>
      </c>
      <c r="K1517" s="19">
        <v>7820</v>
      </c>
      <c r="L1517" s="20">
        <v>1929</v>
      </c>
      <c r="M1517" s="20">
        <v>4910</v>
      </c>
      <c r="N1517" s="164"/>
      <c r="O1517" s="19"/>
      <c r="P1517" s="19"/>
      <c r="Q1517" s="19"/>
      <c r="R1517" s="20"/>
      <c r="S1517" s="20"/>
      <c r="T1517" s="164"/>
      <c r="U1517" s="154">
        <f t="shared" si="82"/>
        <v>9725</v>
      </c>
    </row>
    <row r="1518" spans="2:21" x14ac:dyDescent="0.2">
      <c r="B1518" s="8">
        <f t="shared" si="84"/>
        <v>826</v>
      </c>
      <c r="C1518" s="24"/>
      <c r="D1518" s="24"/>
      <c r="E1518" s="24"/>
      <c r="F1518" s="149" t="s">
        <v>54</v>
      </c>
      <c r="G1518" s="150">
        <v>640</v>
      </c>
      <c r="H1518" s="24" t="s">
        <v>139</v>
      </c>
      <c r="I1518" s="25">
        <v>500</v>
      </c>
      <c r="J1518" s="25">
        <v>2400</v>
      </c>
      <c r="K1518" s="25">
        <v>3151</v>
      </c>
      <c r="L1518" s="26">
        <v>913</v>
      </c>
      <c r="M1518" s="26">
        <v>858</v>
      </c>
      <c r="N1518" s="501"/>
      <c r="O1518" s="25"/>
      <c r="P1518" s="25"/>
      <c r="Q1518" s="25"/>
      <c r="R1518" s="26"/>
      <c r="S1518" s="26"/>
      <c r="T1518" s="501"/>
      <c r="U1518" s="151">
        <f t="shared" si="82"/>
        <v>500</v>
      </c>
    </row>
    <row r="1519" spans="2:21" x14ac:dyDescent="0.2">
      <c r="B1519" s="8">
        <f t="shared" si="84"/>
        <v>827</v>
      </c>
      <c r="C1519" s="24"/>
      <c r="D1519" s="24"/>
      <c r="E1519" s="24"/>
      <c r="F1519" s="149"/>
      <c r="G1519" s="150">
        <v>630</v>
      </c>
      <c r="H1519" s="24" t="s">
        <v>534</v>
      </c>
      <c r="I1519" s="25"/>
      <c r="J1519" s="25"/>
      <c r="K1519" s="25">
        <v>9</v>
      </c>
      <c r="L1519" s="26"/>
      <c r="M1519" s="26"/>
      <c r="N1519" s="501"/>
      <c r="O1519" s="25"/>
      <c r="P1519" s="25"/>
      <c r="Q1519" s="25"/>
      <c r="R1519" s="26"/>
      <c r="S1519" s="26"/>
      <c r="T1519" s="501"/>
      <c r="U1519" s="151">
        <f t="shared" si="82"/>
        <v>0</v>
      </c>
    </row>
    <row r="1520" spans="2:21" x14ac:dyDescent="0.2">
      <c r="B1520" s="8">
        <f t="shared" si="84"/>
        <v>828</v>
      </c>
      <c r="C1520" s="24"/>
      <c r="D1520" s="24"/>
      <c r="E1520" s="24"/>
      <c r="F1520" s="149" t="s">
        <v>54</v>
      </c>
      <c r="G1520" s="150">
        <v>710</v>
      </c>
      <c r="H1520" s="24" t="s">
        <v>185</v>
      </c>
      <c r="I1520" s="25"/>
      <c r="J1520" s="25"/>
      <c r="K1520" s="25"/>
      <c r="L1520" s="26"/>
      <c r="M1520" s="26"/>
      <c r="N1520" s="501"/>
      <c r="O1520" s="25"/>
      <c r="P1520" s="25"/>
      <c r="Q1520" s="25">
        <f>Q1521</f>
        <v>32500</v>
      </c>
      <c r="R1520" s="26">
        <f>R1521+R1525+R1523</f>
        <v>197750</v>
      </c>
      <c r="S1520" s="26">
        <f>S1521+S1525</f>
        <v>4590</v>
      </c>
      <c r="T1520" s="501"/>
      <c r="U1520" s="151">
        <f t="shared" si="82"/>
        <v>0</v>
      </c>
    </row>
    <row r="1521" spans="2:24" x14ac:dyDescent="0.2">
      <c r="B1521" s="8">
        <f t="shared" si="84"/>
        <v>829</v>
      </c>
      <c r="C1521" s="18"/>
      <c r="D1521" s="18"/>
      <c r="E1521" s="18"/>
      <c r="F1521" s="152"/>
      <c r="G1521" s="153">
        <v>713</v>
      </c>
      <c r="H1521" s="18" t="s">
        <v>230</v>
      </c>
      <c r="I1521" s="19"/>
      <c r="J1521" s="19"/>
      <c r="K1521" s="19"/>
      <c r="L1521" s="20"/>
      <c r="M1521" s="20"/>
      <c r="N1521" s="164"/>
      <c r="O1521" s="19"/>
      <c r="P1521" s="19"/>
      <c r="Q1521" s="19">
        <f>Q1522</f>
        <v>32500</v>
      </c>
      <c r="R1521" s="20"/>
      <c r="S1521" s="20">
        <f>S1522</f>
        <v>2650</v>
      </c>
      <c r="T1521" s="164"/>
      <c r="U1521" s="154">
        <f t="shared" ref="U1521:U1585" si="85">I1521+O1521</f>
        <v>0</v>
      </c>
    </row>
    <row r="1522" spans="2:24" s="165" customFormat="1" x14ac:dyDescent="0.2">
      <c r="B1522" s="8">
        <f t="shared" si="84"/>
        <v>830</v>
      </c>
      <c r="C1522" s="156"/>
      <c r="D1522" s="156"/>
      <c r="E1522" s="156"/>
      <c r="F1522" s="272"/>
      <c r="G1522" s="155"/>
      <c r="H1522" s="156" t="s">
        <v>586</v>
      </c>
      <c r="I1522" s="157"/>
      <c r="J1522" s="157"/>
      <c r="K1522" s="157"/>
      <c r="L1522" s="158"/>
      <c r="M1522" s="158"/>
      <c r="N1522" s="535"/>
      <c r="O1522" s="157"/>
      <c r="P1522" s="157"/>
      <c r="Q1522" s="157">
        <v>32500</v>
      </c>
      <c r="R1522" s="158"/>
      <c r="S1522" s="158">
        <v>2650</v>
      </c>
      <c r="T1522" s="535"/>
      <c r="U1522" s="159">
        <f t="shared" si="85"/>
        <v>0</v>
      </c>
    </row>
    <row r="1523" spans="2:24" x14ac:dyDescent="0.2">
      <c r="B1523" s="8">
        <f t="shared" si="84"/>
        <v>831</v>
      </c>
      <c r="C1523" s="24"/>
      <c r="D1523" s="24"/>
      <c r="E1523" s="24"/>
      <c r="F1523" s="152"/>
      <c r="G1523" s="153">
        <v>716</v>
      </c>
      <c r="H1523" s="18" t="s">
        <v>226</v>
      </c>
      <c r="I1523" s="25"/>
      <c r="J1523" s="25"/>
      <c r="K1523" s="25"/>
      <c r="L1523" s="26"/>
      <c r="M1523" s="26"/>
      <c r="N1523" s="501"/>
      <c r="O1523" s="25"/>
      <c r="P1523" s="25"/>
      <c r="Q1523" s="25"/>
      <c r="R1523" s="20">
        <f>R1524</f>
        <v>100</v>
      </c>
      <c r="S1523" s="20">
        <f>S1524</f>
        <v>1940</v>
      </c>
      <c r="T1523" s="501"/>
      <c r="U1523" s="151">
        <f t="shared" si="85"/>
        <v>0</v>
      </c>
    </row>
    <row r="1524" spans="2:24" x14ac:dyDescent="0.2">
      <c r="B1524" s="8">
        <f t="shared" si="84"/>
        <v>832</v>
      </c>
      <c r="C1524" s="24"/>
      <c r="D1524" s="24"/>
      <c r="E1524" s="24"/>
      <c r="F1524" s="152"/>
      <c r="G1524" s="153"/>
      <c r="H1524" s="156" t="s">
        <v>539</v>
      </c>
      <c r="I1524" s="157"/>
      <c r="J1524" s="157"/>
      <c r="K1524" s="157"/>
      <c r="L1524" s="158"/>
      <c r="M1524" s="158"/>
      <c r="N1524" s="535"/>
      <c r="O1524" s="157"/>
      <c r="P1524" s="157"/>
      <c r="Q1524" s="157"/>
      <c r="R1524" s="158">
        <v>100</v>
      </c>
      <c r="S1524" s="158">
        <v>1940</v>
      </c>
      <c r="T1524" s="535"/>
      <c r="U1524" s="151">
        <f t="shared" si="85"/>
        <v>0</v>
      </c>
    </row>
    <row r="1525" spans="2:24" x14ac:dyDescent="0.2">
      <c r="B1525" s="8">
        <f t="shared" si="84"/>
        <v>833</v>
      </c>
      <c r="C1525" s="24"/>
      <c r="D1525" s="24"/>
      <c r="E1525" s="24"/>
      <c r="F1525" s="152"/>
      <c r="G1525" s="153">
        <v>717</v>
      </c>
      <c r="H1525" s="18" t="s">
        <v>192</v>
      </c>
      <c r="I1525" s="25"/>
      <c r="J1525" s="25"/>
      <c r="K1525" s="25"/>
      <c r="L1525" s="26"/>
      <c r="M1525" s="26"/>
      <c r="N1525" s="501"/>
      <c r="O1525" s="25"/>
      <c r="P1525" s="25"/>
      <c r="Q1525" s="25"/>
      <c r="R1525" s="20">
        <f>R1526</f>
        <v>197650</v>
      </c>
      <c r="S1525" s="20">
        <f>S1526</f>
        <v>1940</v>
      </c>
      <c r="T1525" s="501"/>
      <c r="U1525" s="151">
        <f t="shared" si="85"/>
        <v>0</v>
      </c>
    </row>
    <row r="1526" spans="2:24" x14ac:dyDescent="0.2">
      <c r="B1526" s="8">
        <f t="shared" si="84"/>
        <v>834</v>
      </c>
      <c r="C1526" s="24"/>
      <c r="D1526" s="24"/>
      <c r="E1526" s="24"/>
      <c r="F1526" s="152"/>
      <c r="G1526" s="153"/>
      <c r="H1526" s="156" t="s">
        <v>539</v>
      </c>
      <c r="I1526" s="157"/>
      <c r="J1526" s="157"/>
      <c r="K1526" s="157"/>
      <c r="L1526" s="158"/>
      <c r="M1526" s="158"/>
      <c r="N1526" s="535"/>
      <c r="O1526" s="157"/>
      <c r="P1526" s="157"/>
      <c r="Q1526" s="157"/>
      <c r="R1526" s="158">
        <v>197650</v>
      </c>
      <c r="S1526" s="158">
        <v>1940</v>
      </c>
      <c r="T1526" s="535"/>
      <c r="U1526" s="151">
        <f t="shared" si="85"/>
        <v>0</v>
      </c>
    </row>
    <row r="1527" spans="2:24" ht="14.25" x14ac:dyDescent="0.2">
      <c r="B1527" s="8">
        <f t="shared" si="84"/>
        <v>835</v>
      </c>
      <c r="C1527" s="267"/>
      <c r="D1527" s="267"/>
      <c r="E1527" s="267">
        <v>10</v>
      </c>
      <c r="F1527" s="268"/>
      <c r="G1527" s="268"/>
      <c r="H1527" s="267" t="s">
        <v>0</v>
      </c>
      <c r="I1527" s="269">
        <f>I1528+I1530+I1531+I1532+I1538+I1539+I1540+I1541+I1547</f>
        <v>489714</v>
      </c>
      <c r="J1527" s="269">
        <f>J1528+J1530+J1531+J1532+J1538+J1539+J1540+J1541+J1547</f>
        <v>507856</v>
      </c>
      <c r="K1527" s="428">
        <f>K1528+K1530+K1531+K1532+K1538+K1539+K1540+K1541+K1547</f>
        <v>489355</v>
      </c>
      <c r="L1527" s="270">
        <f>L1528+L1530+L1531+L1532+L1538+L1539+L1540+L1541+L1547</f>
        <v>270559</v>
      </c>
      <c r="M1527" s="270">
        <f>M1528+M1530+M1531+M1532+M1538+M1539+M1540+M1541+M1547</f>
        <v>244321</v>
      </c>
      <c r="N1527" s="534"/>
      <c r="O1527" s="269"/>
      <c r="P1527" s="269"/>
      <c r="Q1527" s="269">
        <f>Q1548</f>
        <v>44900</v>
      </c>
      <c r="R1527" s="270">
        <f>R1548</f>
        <v>5436</v>
      </c>
      <c r="S1527" s="270">
        <f>S1548</f>
        <v>5522</v>
      </c>
      <c r="T1527" s="534"/>
      <c r="U1527" s="271">
        <f t="shared" si="85"/>
        <v>489714</v>
      </c>
    </row>
    <row r="1528" spans="2:24" x14ac:dyDescent="0.2">
      <c r="B1528" s="8">
        <f t="shared" si="84"/>
        <v>836</v>
      </c>
      <c r="C1528" s="24"/>
      <c r="D1528" s="24"/>
      <c r="E1528" s="24"/>
      <c r="F1528" s="149" t="s">
        <v>170</v>
      </c>
      <c r="G1528" s="150">
        <v>630</v>
      </c>
      <c r="H1528" s="24" t="s">
        <v>131</v>
      </c>
      <c r="I1528" s="25">
        <f>I1529</f>
        <v>75891</v>
      </c>
      <c r="J1528" s="25">
        <f>J1529</f>
        <v>47510</v>
      </c>
      <c r="K1528" s="25">
        <f>K1529</f>
        <v>47510</v>
      </c>
      <c r="L1528" s="26">
        <f>L1529</f>
        <v>26151</v>
      </c>
      <c r="M1528" s="26">
        <f>M1529</f>
        <v>20718</v>
      </c>
      <c r="N1528" s="501"/>
      <c r="O1528" s="25"/>
      <c r="P1528" s="25"/>
      <c r="Q1528" s="25"/>
      <c r="R1528" s="26"/>
      <c r="S1528" s="26"/>
      <c r="T1528" s="501"/>
      <c r="U1528" s="151">
        <f t="shared" si="85"/>
        <v>75891</v>
      </c>
      <c r="X1528" s="2"/>
    </row>
    <row r="1529" spans="2:24" x14ac:dyDescent="0.2">
      <c r="B1529" s="8">
        <f t="shared" si="84"/>
        <v>837</v>
      </c>
      <c r="C1529" s="18"/>
      <c r="D1529" s="18"/>
      <c r="E1529" s="18"/>
      <c r="F1529" s="152"/>
      <c r="G1529" s="153">
        <v>633</v>
      </c>
      <c r="H1529" s="18" t="s">
        <v>135</v>
      </c>
      <c r="I1529" s="19">
        <v>75891</v>
      </c>
      <c r="J1529" s="19">
        <v>47510</v>
      </c>
      <c r="K1529" s="19">
        <v>47510</v>
      </c>
      <c r="L1529" s="20">
        <v>26151</v>
      </c>
      <c r="M1529" s="20">
        <v>20718</v>
      </c>
      <c r="N1529" s="164"/>
      <c r="O1529" s="19"/>
      <c r="P1529" s="19"/>
      <c r="Q1529" s="19"/>
      <c r="R1529" s="20"/>
      <c r="S1529" s="20"/>
      <c r="T1529" s="164"/>
      <c r="U1529" s="154">
        <f t="shared" si="85"/>
        <v>75891</v>
      </c>
    </row>
    <row r="1530" spans="2:24" x14ac:dyDescent="0.2">
      <c r="B1530" s="8">
        <f t="shared" si="84"/>
        <v>838</v>
      </c>
      <c r="C1530" s="24"/>
      <c r="D1530" s="24"/>
      <c r="E1530" s="24"/>
      <c r="F1530" s="149" t="s">
        <v>85</v>
      </c>
      <c r="G1530" s="150">
        <v>610</v>
      </c>
      <c r="H1530" s="24" t="s">
        <v>141</v>
      </c>
      <c r="I1530" s="25">
        <v>53200</v>
      </c>
      <c r="J1530" s="25">
        <v>42765</v>
      </c>
      <c r="K1530" s="25">
        <v>42765</v>
      </c>
      <c r="L1530" s="26">
        <v>38031</v>
      </c>
      <c r="M1530" s="26">
        <v>36580</v>
      </c>
      <c r="N1530" s="501"/>
      <c r="O1530" s="25"/>
      <c r="P1530" s="25"/>
      <c r="Q1530" s="25"/>
      <c r="R1530" s="26"/>
      <c r="S1530" s="26"/>
      <c r="T1530" s="501"/>
      <c r="U1530" s="151">
        <f t="shared" si="85"/>
        <v>53200</v>
      </c>
    </row>
    <row r="1531" spans="2:24" x14ac:dyDescent="0.2">
      <c r="B1531" s="8">
        <f t="shared" si="84"/>
        <v>839</v>
      </c>
      <c r="C1531" s="24"/>
      <c r="D1531" s="24"/>
      <c r="E1531" s="24"/>
      <c r="F1531" s="149" t="s">
        <v>85</v>
      </c>
      <c r="G1531" s="150">
        <v>620</v>
      </c>
      <c r="H1531" s="24" t="s">
        <v>134</v>
      </c>
      <c r="I1531" s="25">
        <v>18944</v>
      </c>
      <c r="J1531" s="25">
        <v>14950</v>
      </c>
      <c r="K1531" s="25">
        <v>14950</v>
      </c>
      <c r="L1531" s="26">
        <v>13957</v>
      </c>
      <c r="M1531" s="26">
        <v>12703</v>
      </c>
      <c r="N1531" s="501"/>
      <c r="O1531" s="25"/>
      <c r="P1531" s="25"/>
      <c r="Q1531" s="25"/>
      <c r="R1531" s="26"/>
      <c r="S1531" s="26"/>
      <c r="T1531" s="501"/>
      <c r="U1531" s="151">
        <f t="shared" si="85"/>
        <v>18944</v>
      </c>
      <c r="X1531" s="2"/>
    </row>
    <row r="1532" spans="2:24" x14ac:dyDescent="0.2">
      <c r="B1532" s="8">
        <f t="shared" si="84"/>
        <v>840</v>
      </c>
      <c r="C1532" s="24"/>
      <c r="D1532" s="24"/>
      <c r="E1532" s="24"/>
      <c r="F1532" s="149" t="s">
        <v>85</v>
      </c>
      <c r="G1532" s="150">
        <v>630</v>
      </c>
      <c r="H1532" s="24" t="s">
        <v>131</v>
      </c>
      <c r="I1532" s="25">
        <f>I1537+I1535+I1534+I1533+I1536</f>
        <v>126252</v>
      </c>
      <c r="J1532" s="25">
        <f>J1537+J1535+J1534+J1533+J1536</f>
        <v>97630</v>
      </c>
      <c r="K1532" s="25">
        <f>K1537+K1535+K1534+K1533+K1536</f>
        <v>87630</v>
      </c>
      <c r="L1532" s="26">
        <f>L1537+L1535+L1534+L1533+L1536</f>
        <v>58876</v>
      </c>
      <c r="M1532" s="26">
        <f>M1537+M1535+M1534+M1533+M1536</f>
        <v>45767</v>
      </c>
      <c r="N1532" s="501"/>
      <c r="O1532" s="25"/>
      <c r="P1532" s="25"/>
      <c r="Q1532" s="25"/>
      <c r="R1532" s="26"/>
      <c r="S1532" s="26"/>
      <c r="T1532" s="501"/>
      <c r="U1532" s="151">
        <f t="shared" si="85"/>
        <v>126252</v>
      </c>
    </row>
    <row r="1533" spans="2:24" x14ac:dyDescent="0.2">
      <c r="B1533" s="8">
        <f t="shared" si="84"/>
        <v>841</v>
      </c>
      <c r="C1533" s="18"/>
      <c r="D1533" s="18"/>
      <c r="E1533" s="18"/>
      <c r="F1533" s="152"/>
      <c r="G1533" s="153">
        <v>632</v>
      </c>
      <c r="H1533" s="18" t="s">
        <v>144</v>
      </c>
      <c r="I1533" s="19">
        <f>500+1000+1095+7905+1800</f>
        <v>12300</v>
      </c>
      <c r="J1533" s="19">
        <v>38000</v>
      </c>
      <c r="K1533" s="19">
        <v>28000</v>
      </c>
      <c r="L1533" s="20">
        <v>12000</v>
      </c>
      <c r="M1533" s="20">
        <v>12186</v>
      </c>
      <c r="N1533" s="164"/>
      <c r="O1533" s="19"/>
      <c r="P1533" s="19"/>
      <c r="Q1533" s="19"/>
      <c r="R1533" s="20"/>
      <c r="S1533" s="20"/>
      <c r="T1533" s="164"/>
      <c r="U1533" s="154">
        <f t="shared" si="85"/>
        <v>12300</v>
      </c>
      <c r="X1533" s="2"/>
    </row>
    <row r="1534" spans="2:24" x14ac:dyDescent="0.2">
      <c r="B1534" s="8">
        <f t="shared" si="84"/>
        <v>842</v>
      </c>
      <c r="C1534" s="18"/>
      <c r="D1534" s="18"/>
      <c r="E1534" s="18"/>
      <c r="F1534" s="152"/>
      <c r="G1534" s="153">
        <v>633</v>
      </c>
      <c r="H1534" s="18" t="s">
        <v>135</v>
      </c>
      <c r="I1534" s="19">
        <f>2000+500+1000+500+3500+500+91852</f>
        <v>99852</v>
      </c>
      <c r="J1534" s="19">
        <v>47680</v>
      </c>
      <c r="K1534" s="19">
        <v>47680</v>
      </c>
      <c r="L1534" s="20">
        <v>35006</v>
      </c>
      <c r="M1534" s="20">
        <v>25751</v>
      </c>
      <c r="N1534" s="164"/>
      <c r="O1534" s="19"/>
      <c r="P1534" s="19"/>
      <c r="Q1534" s="19"/>
      <c r="R1534" s="20"/>
      <c r="S1534" s="20"/>
      <c r="T1534" s="164"/>
      <c r="U1534" s="154">
        <f t="shared" si="85"/>
        <v>99852</v>
      </c>
    </row>
    <row r="1535" spans="2:24" x14ac:dyDescent="0.2">
      <c r="B1535" s="8">
        <f t="shared" si="84"/>
        <v>843</v>
      </c>
      <c r="C1535" s="18"/>
      <c r="D1535" s="18"/>
      <c r="E1535" s="18"/>
      <c r="F1535" s="152"/>
      <c r="G1535" s="153">
        <v>635</v>
      </c>
      <c r="H1535" s="18" t="s">
        <v>143</v>
      </c>
      <c r="I1535" s="19">
        <v>7500</v>
      </c>
      <c r="J1535" s="19">
        <v>6100</v>
      </c>
      <c r="K1535" s="19">
        <v>6100</v>
      </c>
      <c r="L1535" s="20">
        <v>6120</v>
      </c>
      <c r="M1535" s="20">
        <v>2728</v>
      </c>
      <c r="N1535" s="164"/>
      <c r="O1535" s="19"/>
      <c r="P1535" s="19"/>
      <c r="Q1535" s="19"/>
      <c r="R1535" s="20"/>
      <c r="S1535" s="20"/>
      <c r="T1535" s="164"/>
      <c r="U1535" s="154">
        <f t="shared" si="85"/>
        <v>7500</v>
      </c>
    </row>
    <row r="1536" spans="2:24" x14ac:dyDescent="0.2">
      <c r="B1536" s="8">
        <f t="shared" si="84"/>
        <v>844</v>
      </c>
      <c r="C1536" s="18"/>
      <c r="D1536" s="18"/>
      <c r="E1536" s="18"/>
      <c r="F1536" s="152"/>
      <c r="G1536" s="153">
        <v>636</v>
      </c>
      <c r="H1536" s="18" t="s">
        <v>136</v>
      </c>
      <c r="I1536" s="19"/>
      <c r="J1536" s="19"/>
      <c r="K1536" s="19"/>
      <c r="L1536" s="20"/>
      <c r="M1536" s="20">
        <v>62</v>
      </c>
      <c r="N1536" s="164"/>
      <c r="O1536" s="19"/>
      <c r="P1536" s="19"/>
      <c r="Q1536" s="19"/>
      <c r="R1536" s="20"/>
      <c r="S1536" s="20"/>
      <c r="T1536" s="164"/>
      <c r="U1536" s="154">
        <f t="shared" si="85"/>
        <v>0</v>
      </c>
    </row>
    <row r="1537" spans="2:21" x14ac:dyDescent="0.2">
      <c r="B1537" s="8">
        <f t="shared" si="84"/>
        <v>845</v>
      </c>
      <c r="C1537" s="18"/>
      <c r="D1537" s="18"/>
      <c r="E1537" s="18"/>
      <c r="F1537" s="152"/>
      <c r="G1537" s="153">
        <v>637</v>
      </c>
      <c r="H1537" s="18" t="s">
        <v>132</v>
      </c>
      <c r="I1537" s="19">
        <v>6600</v>
      </c>
      <c r="J1537" s="19">
        <v>5850</v>
      </c>
      <c r="K1537" s="19">
        <v>5850</v>
      </c>
      <c r="L1537" s="20">
        <v>5750</v>
      </c>
      <c r="M1537" s="20">
        <v>5040</v>
      </c>
      <c r="N1537" s="164"/>
      <c r="O1537" s="19"/>
      <c r="P1537" s="19"/>
      <c r="Q1537" s="19"/>
      <c r="R1537" s="20"/>
      <c r="S1537" s="20"/>
      <c r="T1537" s="164"/>
      <c r="U1537" s="154">
        <f t="shared" si="85"/>
        <v>6600</v>
      </c>
    </row>
    <row r="1538" spans="2:21" x14ac:dyDescent="0.2">
      <c r="B1538" s="8">
        <f t="shared" si="84"/>
        <v>846</v>
      </c>
      <c r="C1538" s="24"/>
      <c r="D1538" s="24"/>
      <c r="E1538" s="24"/>
      <c r="F1538" s="149" t="s">
        <v>85</v>
      </c>
      <c r="G1538" s="150">
        <v>640</v>
      </c>
      <c r="H1538" s="24" t="s">
        <v>139</v>
      </c>
      <c r="I1538" s="25">
        <v>250</v>
      </c>
      <c r="J1538" s="25">
        <v>2750</v>
      </c>
      <c r="K1538" s="25">
        <v>2750</v>
      </c>
      <c r="L1538" s="26">
        <v>412</v>
      </c>
      <c r="M1538" s="26">
        <v>833</v>
      </c>
      <c r="N1538" s="501"/>
      <c r="O1538" s="25"/>
      <c r="P1538" s="25"/>
      <c r="Q1538" s="25"/>
      <c r="R1538" s="26"/>
      <c r="S1538" s="26"/>
      <c r="T1538" s="501"/>
      <c r="U1538" s="151">
        <f t="shared" si="85"/>
        <v>250</v>
      </c>
    </row>
    <row r="1539" spans="2:21" x14ac:dyDescent="0.2">
      <c r="B1539" s="8">
        <f t="shared" si="84"/>
        <v>847</v>
      </c>
      <c r="C1539" s="24"/>
      <c r="D1539" s="24"/>
      <c r="E1539" s="24"/>
      <c r="F1539" s="149" t="s">
        <v>54</v>
      </c>
      <c r="G1539" s="150">
        <v>610</v>
      </c>
      <c r="H1539" s="24" t="s">
        <v>141</v>
      </c>
      <c r="I1539" s="25">
        <v>53258</v>
      </c>
      <c r="J1539" s="25">
        <v>64015</v>
      </c>
      <c r="K1539" s="25">
        <v>67349</v>
      </c>
      <c r="L1539" s="26">
        <v>39046</v>
      </c>
      <c r="M1539" s="26">
        <v>37540</v>
      </c>
      <c r="N1539" s="501"/>
      <c r="O1539" s="25"/>
      <c r="P1539" s="25"/>
      <c r="Q1539" s="25"/>
      <c r="R1539" s="26"/>
      <c r="S1539" s="26"/>
      <c r="T1539" s="501"/>
      <c r="U1539" s="151">
        <f t="shared" si="85"/>
        <v>53258</v>
      </c>
    </row>
    <row r="1540" spans="2:21" x14ac:dyDescent="0.2">
      <c r="B1540" s="8">
        <f t="shared" si="84"/>
        <v>848</v>
      </c>
      <c r="C1540" s="24"/>
      <c r="D1540" s="24"/>
      <c r="E1540" s="24"/>
      <c r="F1540" s="149" t="s">
        <v>54</v>
      </c>
      <c r="G1540" s="150">
        <v>620</v>
      </c>
      <c r="H1540" s="24" t="s">
        <v>134</v>
      </c>
      <c r="I1540" s="25">
        <v>19634</v>
      </c>
      <c r="J1540" s="25">
        <v>22355</v>
      </c>
      <c r="K1540" s="25">
        <v>23520</v>
      </c>
      <c r="L1540" s="26">
        <v>14301</v>
      </c>
      <c r="M1540" s="26">
        <v>13008</v>
      </c>
      <c r="N1540" s="501"/>
      <c r="O1540" s="25"/>
      <c r="P1540" s="25"/>
      <c r="Q1540" s="25"/>
      <c r="R1540" s="26"/>
      <c r="S1540" s="26"/>
      <c r="T1540" s="501"/>
      <c r="U1540" s="151">
        <f t="shared" si="85"/>
        <v>19634</v>
      </c>
    </row>
    <row r="1541" spans="2:21" x14ac:dyDescent="0.2">
      <c r="B1541" s="8">
        <f t="shared" si="84"/>
        <v>849</v>
      </c>
      <c r="C1541" s="24"/>
      <c r="D1541" s="24"/>
      <c r="E1541" s="24"/>
      <c r="F1541" s="149" t="s">
        <v>54</v>
      </c>
      <c r="G1541" s="150">
        <v>630</v>
      </c>
      <c r="H1541" s="24" t="s">
        <v>131</v>
      </c>
      <c r="I1541" s="25">
        <f>I1546+I1544+I1543+I1542+I1545</f>
        <v>139125</v>
      </c>
      <c r="J1541" s="25">
        <f>J1546+J1544+J1543+J1542+J1545</f>
        <v>213131</v>
      </c>
      <c r="K1541" s="25">
        <f>K1546+K1544+K1543+K1542+K1545</f>
        <v>200131</v>
      </c>
      <c r="L1541" s="26">
        <f>L1546+L1544+L1543+L1542+L1545</f>
        <v>78305</v>
      </c>
      <c r="M1541" s="26">
        <f>M1546+M1544+M1543+M1542+M1545</f>
        <v>76968</v>
      </c>
      <c r="N1541" s="501"/>
      <c r="O1541" s="25"/>
      <c r="P1541" s="25"/>
      <c r="Q1541" s="25"/>
      <c r="R1541" s="26"/>
      <c r="S1541" s="26"/>
      <c r="T1541" s="501"/>
      <c r="U1541" s="151">
        <f t="shared" si="85"/>
        <v>139125</v>
      </c>
    </row>
    <row r="1542" spans="2:21" x14ac:dyDescent="0.2">
      <c r="B1542" s="8">
        <f t="shared" si="84"/>
        <v>850</v>
      </c>
      <c r="C1542" s="18"/>
      <c r="D1542" s="18"/>
      <c r="E1542" s="18"/>
      <c r="F1542" s="152"/>
      <c r="G1542" s="153">
        <v>632</v>
      </c>
      <c r="H1542" s="18" t="s">
        <v>144</v>
      </c>
      <c r="I1542" s="19">
        <f>500+1800+1000+2105+6895</f>
        <v>12300</v>
      </c>
      <c r="J1542" s="19">
        <v>38000</v>
      </c>
      <c r="K1542" s="19">
        <v>28000</v>
      </c>
      <c r="L1542" s="20">
        <v>12000</v>
      </c>
      <c r="M1542" s="20">
        <v>20163</v>
      </c>
      <c r="N1542" s="164"/>
      <c r="O1542" s="19"/>
      <c r="P1542" s="19"/>
      <c r="Q1542" s="19"/>
      <c r="R1542" s="20"/>
      <c r="S1542" s="20"/>
      <c r="T1542" s="164"/>
      <c r="U1542" s="154">
        <f t="shared" si="85"/>
        <v>12300</v>
      </c>
    </row>
    <row r="1543" spans="2:21" x14ac:dyDescent="0.2">
      <c r="B1543" s="8">
        <f t="shared" si="84"/>
        <v>851</v>
      </c>
      <c r="C1543" s="18"/>
      <c r="D1543" s="18"/>
      <c r="E1543" s="18"/>
      <c r="F1543" s="152"/>
      <c r="G1543" s="153">
        <v>633</v>
      </c>
      <c r="H1543" s="18" t="s">
        <v>135</v>
      </c>
      <c r="I1543" s="19">
        <f>2000+500+1000+500+3500+500+35755+68970</f>
        <v>112725</v>
      </c>
      <c r="J1543" s="19">
        <v>148181</v>
      </c>
      <c r="K1543" s="19">
        <v>145181</v>
      </c>
      <c r="L1543" s="20">
        <v>45435</v>
      </c>
      <c r="M1543" s="20">
        <v>34325</v>
      </c>
      <c r="N1543" s="164"/>
      <c r="O1543" s="19"/>
      <c r="P1543" s="19"/>
      <c r="Q1543" s="19"/>
      <c r="R1543" s="20"/>
      <c r="S1543" s="20"/>
      <c r="T1543" s="164"/>
      <c r="U1543" s="154">
        <f t="shared" si="85"/>
        <v>112725</v>
      </c>
    </row>
    <row r="1544" spans="2:21" x14ac:dyDescent="0.2">
      <c r="B1544" s="8">
        <f t="shared" si="84"/>
        <v>852</v>
      </c>
      <c r="C1544" s="18"/>
      <c r="D1544" s="18"/>
      <c r="E1544" s="18"/>
      <c r="F1544" s="152"/>
      <c r="G1544" s="153">
        <v>635</v>
      </c>
      <c r="H1544" s="18" t="s">
        <v>143</v>
      </c>
      <c r="I1544" s="19">
        <v>7500</v>
      </c>
      <c r="J1544" s="19">
        <v>21100</v>
      </c>
      <c r="K1544" s="19">
        <v>21100</v>
      </c>
      <c r="L1544" s="20">
        <v>15120</v>
      </c>
      <c r="M1544" s="20">
        <v>18001</v>
      </c>
      <c r="N1544" s="164"/>
      <c r="O1544" s="19"/>
      <c r="P1544" s="19"/>
      <c r="Q1544" s="19"/>
      <c r="R1544" s="20"/>
      <c r="S1544" s="20"/>
      <c r="T1544" s="164"/>
      <c r="U1544" s="154">
        <f t="shared" si="85"/>
        <v>7500</v>
      </c>
    </row>
    <row r="1545" spans="2:21" x14ac:dyDescent="0.2">
      <c r="B1545" s="8">
        <f t="shared" si="84"/>
        <v>853</v>
      </c>
      <c r="C1545" s="18"/>
      <c r="D1545" s="18"/>
      <c r="E1545" s="18"/>
      <c r="F1545" s="152"/>
      <c r="G1545" s="153">
        <v>636</v>
      </c>
      <c r="H1545" s="18" t="s">
        <v>136</v>
      </c>
      <c r="I1545" s="19"/>
      <c r="J1545" s="19"/>
      <c r="K1545" s="19"/>
      <c r="L1545" s="20"/>
      <c r="M1545" s="20">
        <v>62</v>
      </c>
      <c r="N1545" s="164"/>
      <c r="O1545" s="19"/>
      <c r="P1545" s="19"/>
      <c r="Q1545" s="19"/>
      <c r="R1545" s="20"/>
      <c r="S1545" s="20"/>
      <c r="T1545" s="164"/>
      <c r="U1545" s="154">
        <f t="shared" si="85"/>
        <v>0</v>
      </c>
    </row>
    <row r="1546" spans="2:21" x14ac:dyDescent="0.2">
      <c r="B1546" s="8">
        <f t="shared" si="84"/>
        <v>854</v>
      </c>
      <c r="C1546" s="18"/>
      <c r="D1546" s="18"/>
      <c r="E1546" s="18"/>
      <c r="F1546" s="152"/>
      <c r="G1546" s="153">
        <v>637</v>
      </c>
      <c r="H1546" s="18" t="s">
        <v>132</v>
      </c>
      <c r="I1546" s="19">
        <f>200+1650+550+400+3800</f>
        <v>6600</v>
      </c>
      <c r="J1546" s="19">
        <v>5850</v>
      </c>
      <c r="K1546" s="19">
        <v>5850</v>
      </c>
      <c r="L1546" s="20">
        <v>5750</v>
      </c>
      <c r="M1546" s="20">
        <v>4417</v>
      </c>
      <c r="N1546" s="164"/>
      <c r="O1546" s="19"/>
      <c r="P1546" s="19"/>
      <c r="Q1546" s="19"/>
      <c r="R1546" s="20"/>
      <c r="S1546" s="20"/>
      <c r="T1546" s="164"/>
      <c r="U1546" s="154">
        <f t="shared" si="85"/>
        <v>6600</v>
      </c>
    </row>
    <row r="1547" spans="2:21" x14ac:dyDescent="0.2">
      <c r="B1547" s="8">
        <f t="shared" si="84"/>
        <v>855</v>
      </c>
      <c r="C1547" s="24"/>
      <c r="D1547" s="24"/>
      <c r="E1547" s="24"/>
      <c r="F1547" s="149" t="s">
        <v>54</v>
      </c>
      <c r="G1547" s="150">
        <v>640</v>
      </c>
      <c r="H1547" s="24" t="s">
        <v>139</v>
      </c>
      <c r="I1547" s="25">
        <f>2910+250</f>
        <v>3160</v>
      </c>
      <c r="J1547" s="25">
        <v>2750</v>
      </c>
      <c r="K1547" s="25">
        <v>2750</v>
      </c>
      <c r="L1547" s="26">
        <v>1480</v>
      </c>
      <c r="M1547" s="26">
        <v>204</v>
      </c>
      <c r="N1547" s="501"/>
      <c r="O1547" s="25"/>
      <c r="P1547" s="25"/>
      <c r="Q1547" s="25"/>
      <c r="R1547" s="26"/>
      <c r="S1547" s="26"/>
      <c r="T1547" s="501"/>
      <c r="U1547" s="151">
        <f t="shared" si="85"/>
        <v>3160</v>
      </c>
    </row>
    <row r="1548" spans="2:21" x14ac:dyDescent="0.2">
      <c r="B1548" s="8">
        <f t="shared" si="84"/>
        <v>856</v>
      </c>
      <c r="C1548" s="24"/>
      <c r="D1548" s="24"/>
      <c r="E1548" s="24"/>
      <c r="F1548" s="149" t="s">
        <v>54</v>
      </c>
      <c r="G1548" s="150">
        <v>710</v>
      </c>
      <c r="H1548" s="24" t="s">
        <v>185</v>
      </c>
      <c r="I1548" s="25"/>
      <c r="J1548" s="25"/>
      <c r="K1548" s="25"/>
      <c r="L1548" s="26"/>
      <c r="M1548" s="26"/>
      <c r="N1548" s="501"/>
      <c r="O1548" s="25"/>
      <c r="P1548" s="25"/>
      <c r="Q1548" s="25">
        <f>Q1549</f>
        <v>44900</v>
      </c>
      <c r="R1548" s="26">
        <f>R1549</f>
        <v>5436</v>
      </c>
      <c r="S1548" s="26">
        <f>S1549</f>
        <v>5522</v>
      </c>
      <c r="T1548" s="501"/>
      <c r="U1548" s="151">
        <f t="shared" si="85"/>
        <v>0</v>
      </c>
    </row>
    <row r="1549" spans="2:21" x14ac:dyDescent="0.2">
      <c r="B1549" s="8">
        <f t="shared" si="84"/>
        <v>857</v>
      </c>
      <c r="C1549" s="18"/>
      <c r="D1549" s="18"/>
      <c r="E1549" s="18"/>
      <c r="F1549" s="152"/>
      <c r="G1549" s="153">
        <v>713</v>
      </c>
      <c r="H1549" s="18" t="s">
        <v>230</v>
      </c>
      <c r="I1549" s="19"/>
      <c r="J1549" s="19"/>
      <c r="K1549" s="19"/>
      <c r="L1549" s="20"/>
      <c r="M1549" s="20"/>
      <c r="N1549" s="164"/>
      <c r="O1549" s="19"/>
      <c r="P1549" s="19"/>
      <c r="Q1549" s="19">
        <f>Q1550+Q1551</f>
        <v>44900</v>
      </c>
      <c r="R1549" s="20">
        <f>R1550</f>
        <v>5436</v>
      </c>
      <c r="S1549" s="20">
        <f>S1551</f>
        <v>5522</v>
      </c>
      <c r="T1549" s="164"/>
      <c r="U1549" s="154">
        <f t="shared" si="85"/>
        <v>0</v>
      </c>
    </row>
    <row r="1550" spans="2:21" s="165" customFormat="1" x14ac:dyDescent="0.2">
      <c r="B1550" s="8">
        <f t="shared" si="84"/>
        <v>858</v>
      </c>
      <c r="C1550" s="156"/>
      <c r="D1550" s="156"/>
      <c r="E1550" s="156"/>
      <c r="F1550" s="272"/>
      <c r="G1550" s="155"/>
      <c r="H1550" s="156" t="s">
        <v>586</v>
      </c>
      <c r="I1550" s="157"/>
      <c r="J1550" s="157"/>
      <c r="K1550" s="157"/>
      <c r="L1550" s="158"/>
      <c r="M1550" s="158"/>
      <c r="N1550" s="535"/>
      <c r="O1550" s="157"/>
      <c r="P1550" s="157"/>
      <c r="Q1550" s="157">
        <v>39000</v>
      </c>
      <c r="R1550" s="158">
        <v>5436</v>
      </c>
      <c r="S1550" s="158"/>
      <c r="T1550" s="535"/>
      <c r="U1550" s="159">
        <f t="shared" si="85"/>
        <v>0</v>
      </c>
    </row>
    <row r="1551" spans="2:21" s="165" customFormat="1" x14ac:dyDescent="0.2">
      <c r="B1551" s="8">
        <f t="shared" si="84"/>
        <v>859</v>
      </c>
      <c r="C1551" s="156"/>
      <c r="D1551" s="156"/>
      <c r="E1551" s="156"/>
      <c r="F1551" s="272"/>
      <c r="G1551" s="155"/>
      <c r="H1551" s="156" t="s">
        <v>559</v>
      </c>
      <c r="I1551" s="157"/>
      <c r="J1551" s="157"/>
      <c r="K1551" s="157"/>
      <c r="L1551" s="158"/>
      <c r="M1551" s="158"/>
      <c r="N1551" s="535"/>
      <c r="O1551" s="157"/>
      <c r="P1551" s="157"/>
      <c r="Q1551" s="157">
        <v>5900</v>
      </c>
      <c r="R1551" s="158"/>
      <c r="S1551" s="158">
        <v>5522</v>
      </c>
      <c r="T1551" s="535"/>
      <c r="U1551" s="159">
        <f t="shared" si="85"/>
        <v>0</v>
      </c>
    </row>
    <row r="1552" spans="2:21" ht="14.25" x14ac:dyDescent="0.2">
      <c r="B1552" s="8">
        <f t="shared" si="84"/>
        <v>860</v>
      </c>
      <c r="C1552" s="267"/>
      <c r="D1552" s="267"/>
      <c r="E1552" s="267">
        <v>11</v>
      </c>
      <c r="F1552" s="268"/>
      <c r="G1552" s="268"/>
      <c r="H1552" s="267" t="s">
        <v>8</v>
      </c>
      <c r="I1552" s="269">
        <f>I1553+I1554+I1555+I1561+I1562+I1563+I1564+I1570</f>
        <v>617860</v>
      </c>
      <c r="J1552" s="269">
        <f>J1553+J1554+J1555+J1561+J1562+J1563+J1564+J1570</f>
        <v>511781</v>
      </c>
      <c r="K1552" s="269">
        <f>K1553+K1554+K1555+K1561+K1562+K1563+K1564+K1570</f>
        <v>486781</v>
      </c>
      <c r="L1552" s="270">
        <f>L1553+L1554+L1555+L1561+L1562+L1563+L1564+L1570</f>
        <v>392395</v>
      </c>
      <c r="M1552" s="270">
        <f>M1553+M1554+M1555+M1561+M1562+M1563+M1564+M1570</f>
        <v>333646</v>
      </c>
      <c r="N1552" s="534"/>
      <c r="O1552" s="269"/>
      <c r="P1552" s="269">
        <f>P1571</f>
        <v>250000</v>
      </c>
      <c r="Q1552" s="269">
        <f>Q1571</f>
        <v>305000</v>
      </c>
      <c r="R1552" s="270">
        <f>R1571</f>
        <v>9944</v>
      </c>
      <c r="S1552" s="270"/>
      <c r="T1552" s="534"/>
      <c r="U1552" s="271">
        <f t="shared" si="85"/>
        <v>617860</v>
      </c>
    </row>
    <row r="1553" spans="2:21" x14ac:dyDescent="0.2">
      <c r="B1553" s="8">
        <f t="shared" si="84"/>
        <v>861</v>
      </c>
      <c r="C1553" s="24"/>
      <c r="D1553" s="24"/>
      <c r="E1553" s="24"/>
      <c r="F1553" s="149" t="s">
        <v>85</v>
      </c>
      <c r="G1553" s="150">
        <v>610</v>
      </c>
      <c r="H1553" s="24" t="s">
        <v>141</v>
      </c>
      <c r="I1553" s="25">
        <v>73100</v>
      </c>
      <c r="J1553" s="25">
        <v>56156</v>
      </c>
      <c r="K1553" s="25">
        <v>56156</v>
      </c>
      <c r="L1553" s="26">
        <v>54324</v>
      </c>
      <c r="M1553" s="26">
        <v>55919</v>
      </c>
      <c r="N1553" s="501"/>
      <c r="O1553" s="25"/>
      <c r="P1553" s="25"/>
      <c r="Q1553" s="25"/>
      <c r="R1553" s="26"/>
      <c r="S1553" s="26"/>
      <c r="T1553" s="501"/>
      <c r="U1553" s="151">
        <f t="shared" si="85"/>
        <v>73100</v>
      </c>
    </row>
    <row r="1554" spans="2:21" x14ac:dyDescent="0.2">
      <c r="B1554" s="8">
        <f t="shared" si="84"/>
        <v>862</v>
      </c>
      <c r="C1554" s="24"/>
      <c r="D1554" s="24"/>
      <c r="E1554" s="24"/>
      <c r="F1554" s="149" t="s">
        <v>85</v>
      </c>
      <c r="G1554" s="150">
        <v>620</v>
      </c>
      <c r="H1554" s="24" t="s">
        <v>134</v>
      </c>
      <c r="I1554" s="25">
        <v>27645</v>
      </c>
      <c r="J1554" s="25">
        <v>21204</v>
      </c>
      <c r="K1554" s="25">
        <v>21204</v>
      </c>
      <c r="L1554" s="26">
        <v>19249</v>
      </c>
      <c r="M1554" s="26">
        <v>19650</v>
      </c>
      <c r="N1554" s="501"/>
      <c r="O1554" s="25"/>
      <c r="P1554" s="25"/>
      <c r="Q1554" s="25"/>
      <c r="R1554" s="26"/>
      <c r="S1554" s="26"/>
      <c r="T1554" s="501"/>
      <c r="U1554" s="151">
        <f t="shared" si="85"/>
        <v>27645</v>
      </c>
    </row>
    <row r="1555" spans="2:21" x14ac:dyDescent="0.2">
      <c r="B1555" s="8">
        <f t="shared" si="84"/>
        <v>863</v>
      </c>
      <c r="C1555" s="24"/>
      <c r="D1555" s="24"/>
      <c r="E1555" s="24"/>
      <c r="F1555" s="149" t="s">
        <v>85</v>
      </c>
      <c r="G1555" s="150">
        <v>630</v>
      </c>
      <c r="H1555" s="24" t="s">
        <v>131</v>
      </c>
      <c r="I1555" s="25">
        <f>I1560+I1559+I1558+I1557+I1556</f>
        <v>31880</v>
      </c>
      <c r="J1555" s="25">
        <f>J1560+J1559+J1558+J1557+J1556</f>
        <v>24770</v>
      </c>
      <c r="K1555" s="25">
        <f>K1560+K1559+K1558+K1557+K1556</f>
        <v>24770</v>
      </c>
      <c r="L1555" s="26">
        <f>L1560+L1559+L1558+L1557+L1556</f>
        <v>17506</v>
      </c>
      <c r="M1555" s="26">
        <f>M1560+M1559+M1558+M1557+M1556</f>
        <v>16464</v>
      </c>
      <c r="N1555" s="501"/>
      <c r="O1555" s="25"/>
      <c r="P1555" s="25"/>
      <c r="Q1555" s="25"/>
      <c r="R1555" s="26"/>
      <c r="S1555" s="26"/>
      <c r="T1555" s="501"/>
      <c r="U1555" s="151">
        <f t="shared" si="85"/>
        <v>31880</v>
      </c>
    </row>
    <row r="1556" spans="2:21" x14ac:dyDescent="0.2">
      <c r="B1556" s="8">
        <f t="shared" si="84"/>
        <v>864</v>
      </c>
      <c r="C1556" s="18"/>
      <c r="D1556" s="18"/>
      <c r="E1556" s="18"/>
      <c r="F1556" s="152"/>
      <c r="G1556" s="153">
        <v>631</v>
      </c>
      <c r="H1556" s="18" t="s">
        <v>137</v>
      </c>
      <c r="I1556" s="19"/>
      <c r="J1556" s="19"/>
      <c r="K1556" s="19"/>
      <c r="L1556" s="20"/>
      <c r="M1556" s="20"/>
      <c r="N1556" s="164"/>
      <c r="O1556" s="19"/>
      <c r="P1556" s="19"/>
      <c r="Q1556" s="19"/>
      <c r="R1556" s="20"/>
      <c r="S1556" s="20"/>
      <c r="T1556" s="164"/>
      <c r="U1556" s="154">
        <f t="shared" si="85"/>
        <v>0</v>
      </c>
    </row>
    <row r="1557" spans="2:21" x14ac:dyDescent="0.2">
      <c r="B1557" s="8">
        <f t="shared" si="84"/>
        <v>865</v>
      </c>
      <c r="C1557" s="18"/>
      <c r="D1557" s="18"/>
      <c r="E1557" s="18"/>
      <c r="F1557" s="152"/>
      <c r="G1557" s="153">
        <v>632</v>
      </c>
      <c r="H1557" s="18" t="s">
        <v>144</v>
      </c>
      <c r="I1557" s="19">
        <f>170+1500+2000+8100+3500</f>
        <v>15270</v>
      </c>
      <c r="J1557" s="19">
        <v>12660</v>
      </c>
      <c r="K1557" s="19">
        <v>12660</v>
      </c>
      <c r="L1557" s="20">
        <v>7360</v>
      </c>
      <c r="M1557" s="20">
        <v>7379</v>
      </c>
      <c r="N1557" s="164"/>
      <c r="O1557" s="19"/>
      <c r="P1557" s="19"/>
      <c r="Q1557" s="19"/>
      <c r="R1557" s="20"/>
      <c r="S1557" s="20"/>
      <c r="T1557" s="164"/>
      <c r="U1557" s="154">
        <f t="shared" si="85"/>
        <v>15270</v>
      </c>
    </row>
    <row r="1558" spans="2:21" x14ac:dyDescent="0.2">
      <c r="B1558" s="8">
        <f t="shared" si="84"/>
        <v>866</v>
      </c>
      <c r="C1558" s="18"/>
      <c r="D1558" s="18"/>
      <c r="E1558" s="18"/>
      <c r="F1558" s="152"/>
      <c r="G1558" s="153">
        <v>633</v>
      </c>
      <c r="H1558" s="18" t="s">
        <v>135</v>
      </c>
      <c r="I1558" s="19">
        <f>200+800+500+920+300+1000+150+400+200+100+2500+200</f>
        <v>7270</v>
      </c>
      <c r="J1558" s="19">
        <v>5740</v>
      </c>
      <c r="K1558" s="19">
        <v>5740</v>
      </c>
      <c r="L1558" s="20">
        <v>4050</v>
      </c>
      <c r="M1558" s="20">
        <v>3970</v>
      </c>
      <c r="N1558" s="164"/>
      <c r="O1558" s="19"/>
      <c r="P1558" s="19"/>
      <c r="Q1558" s="19"/>
      <c r="R1558" s="20"/>
      <c r="S1558" s="20"/>
      <c r="T1558" s="164"/>
      <c r="U1558" s="154">
        <f t="shared" si="85"/>
        <v>7270</v>
      </c>
    </row>
    <row r="1559" spans="2:21" x14ac:dyDescent="0.2">
      <c r="B1559" s="8">
        <f t="shared" si="84"/>
        <v>867</v>
      </c>
      <c r="C1559" s="18"/>
      <c r="D1559" s="18"/>
      <c r="E1559" s="18"/>
      <c r="F1559" s="152"/>
      <c r="G1559" s="153">
        <v>635</v>
      </c>
      <c r="H1559" s="18" t="s">
        <v>143</v>
      </c>
      <c r="I1559" s="19">
        <f>1500+1300</f>
        <v>2800</v>
      </c>
      <c r="J1559" s="19">
        <v>2100</v>
      </c>
      <c r="K1559" s="19">
        <v>2100</v>
      </c>
      <c r="L1559" s="20">
        <v>3366</v>
      </c>
      <c r="M1559" s="20">
        <v>2500</v>
      </c>
      <c r="N1559" s="164"/>
      <c r="O1559" s="19"/>
      <c r="P1559" s="19"/>
      <c r="Q1559" s="19"/>
      <c r="R1559" s="20"/>
      <c r="S1559" s="20"/>
      <c r="T1559" s="164"/>
      <c r="U1559" s="154">
        <f t="shared" si="85"/>
        <v>2800</v>
      </c>
    </row>
    <row r="1560" spans="2:21" x14ac:dyDescent="0.2">
      <c r="B1560" s="8">
        <f t="shared" si="84"/>
        <v>868</v>
      </c>
      <c r="C1560" s="18"/>
      <c r="D1560" s="18"/>
      <c r="E1560" s="18"/>
      <c r="F1560" s="152"/>
      <c r="G1560" s="153">
        <v>637</v>
      </c>
      <c r="H1560" s="18" t="s">
        <v>132</v>
      </c>
      <c r="I1560" s="19">
        <f>100+300+100+910+200+1000+110+320+100+1000+2000+400</f>
        <v>6540</v>
      </c>
      <c r="J1560" s="19">
        <v>4270</v>
      </c>
      <c r="K1560" s="19">
        <v>4270</v>
      </c>
      <c r="L1560" s="20">
        <v>2730</v>
      </c>
      <c r="M1560" s="20">
        <v>2615</v>
      </c>
      <c r="N1560" s="164"/>
      <c r="O1560" s="19"/>
      <c r="P1560" s="19"/>
      <c r="Q1560" s="19"/>
      <c r="R1560" s="20"/>
      <c r="S1560" s="20"/>
      <c r="T1560" s="164"/>
      <c r="U1560" s="154">
        <f t="shared" si="85"/>
        <v>6540</v>
      </c>
    </row>
    <row r="1561" spans="2:21" x14ac:dyDescent="0.2">
      <c r="B1561" s="8">
        <f t="shared" si="84"/>
        <v>869</v>
      </c>
      <c r="C1561" s="24"/>
      <c r="D1561" s="24"/>
      <c r="E1561" s="24"/>
      <c r="F1561" s="149" t="s">
        <v>85</v>
      </c>
      <c r="G1561" s="150">
        <v>640</v>
      </c>
      <c r="H1561" s="24" t="s">
        <v>139</v>
      </c>
      <c r="I1561" s="25">
        <f>1000+600</f>
        <v>1600</v>
      </c>
      <c r="J1561" s="25">
        <v>1560</v>
      </c>
      <c r="K1561" s="25">
        <v>1560</v>
      </c>
      <c r="L1561" s="26">
        <v>971</v>
      </c>
      <c r="M1561" s="26">
        <v>1908</v>
      </c>
      <c r="N1561" s="501"/>
      <c r="O1561" s="25"/>
      <c r="P1561" s="25"/>
      <c r="Q1561" s="25"/>
      <c r="R1561" s="26"/>
      <c r="S1561" s="26"/>
      <c r="T1561" s="501"/>
      <c r="U1561" s="151">
        <f t="shared" si="85"/>
        <v>1600</v>
      </c>
    </row>
    <row r="1562" spans="2:21" x14ac:dyDescent="0.2">
      <c r="B1562" s="8">
        <f t="shared" si="84"/>
        <v>870</v>
      </c>
      <c r="C1562" s="24"/>
      <c r="D1562" s="24"/>
      <c r="E1562" s="24"/>
      <c r="F1562" s="149" t="s">
        <v>54</v>
      </c>
      <c r="G1562" s="150">
        <v>610</v>
      </c>
      <c r="H1562" s="24" t="s">
        <v>141</v>
      </c>
      <c r="I1562" s="25">
        <v>99380</v>
      </c>
      <c r="J1562" s="25">
        <v>84490</v>
      </c>
      <c r="K1562" s="25">
        <v>84490</v>
      </c>
      <c r="L1562" s="26">
        <v>84887</v>
      </c>
      <c r="M1562" s="26">
        <v>77890</v>
      </c>
      <c r="N1562" s="501"/>
      <c r="O1562" s="25"/>
      <c r="P1562" s="25"/>
      <c r="Q1562" s="25"/>
      <c r="R1562" s="26"/>
      <c r="S1562" s="26"/>
      <c r="T1562" s="501"/>
      <c r="U1562" s="151">
        <f t="shared" si="85"/>
        <v>99380</v>
      </c>
    </row>
    <row r="1563" spans="2:21" x14ac:dyDescent="0.2">
      <c r="B1563" s="8">
        <f t="shared" si="84"/>
        <v>871</v>
      </c>
      <c r="C1563" s="24"/>
      <c r="D1563" s="24"/>
      <c r="E1563" s="24"/>
      <c r="F1563" s="149" t="s">
        <v>54</v>
      </c>
      <c r="G1563" s="150">
        <v>620</v>
      </c>
      <c r="H1563" s="24" t="s">
        <v>134</v>
      </c>
      <c r="I1563" s="25">
        <v>37805</v>
      </c>
      <c r="J1563" s="25">
        <v>32381</v>
      </c>
      <c r="K1563" s="25">
        <v>32381</v>
      </c>
      <c r="L1563" s="26">
        <v>30064</v>
      </c>
      <c r="M1563" s="26">
        <v>27896</v>
      </c>
      <c r="N1563" s="501"/>
      <c r="O1563" s="25"/>
      <c r="P1563" s="25"/>
      <c r="Q1563" s="25"/>
      <c r="R1563" s="26"/>
      <c r="S1563" s="26"/>
      <c r="T1563" s="501"/>
      <c r="U1563" s="151">
        <f t="shared" si="85"/>
        <v>37805</v>
      </c>
    </row>
    <row r="1564" spans="2:21" x14ac:dyDescent="0.2">
      <c r="B1564" s="8">
        <f t="shared" si="84"/>
        <v>872</v>
      </c>
      <c r="C1564" s="24"/>
      <c r="D1564" s="24"/>
      <c r="E1564" s="24"/>
      <c r="F1564" s="149" t="s">
        <v>54</v>
      </c>
      <c r="G1564" s="150">
        <v>630</v>
      </c>
      <c r="H1564" s="24" t="s">
        <v>131</v>
      </c>
      <c r="I1564" s="25">
        <f>I1569+I1568+I1567+I1566+I1565</f>
        <v>339650</v>
      </c>
      <c r="J1564" s="25">
        <f>J1569+J1568+J1567+J1566+J1565</f>
        <v>287620</v>
      </c>
      <c r="K1564" s="25">
        <f>K1569+K1568+K1567+K1566+K1565</f>
        <v>262620</v>
      </c>
      <c r="L1564" s="26">
        <f>L1569+L1568+L1567+L1566+L1565</f>
        <v>183828</v>
      </c>
      <c r="M1564" s="26">
        <f>M1569+M1568+M1567+M1566+M1565</f>
        <v>133336</v>
      </c>
      <c r="N1564" s="501"/>
      <c r="O1564" s="25"/>
      <c r="P1564" s="25"/>
      <c r="Q1564" s="25"/>
      <c r="R1564" s="26"/>
      <c r="S1564" s="26"/>
      <c r="T1564" s="501"/>
      <c r="U1564" s="151">
        <f t="shared" si="85"/>
        <v>339650</v>
      </c>
    </row>
    <row r="1565" spans="2:21" x14ac:dyDescent="0.2">
      <c r="B1565" s="8">
        <f t="shared" si="84"/>
        <v>873</v>
      </c>
      <c r="C1565" s="18"/>
      <c r="D1565" s="18"/>
      <c r="E1565" s="18"/>
      <c r="F1565" s="152"/>
      <c r="G1565" s="153">
        <v>631</v>
      </c>
      <c r="H1565" s="18" t="s">
        <v>137</v>
      </c>
      <c r="I1565" s="19"/>
      <c r="J1565" s="19"/>
      <c r="K1565" s="19"/>
      <c r="L1565" s="20"/>
      <c r="M1565" s="20"/>
      <c r="N1565" s="164"/>
      <c r="O1565" s="19"/>
      <c r="P1565" s="19"/>
      <c r="Q1565" s="19"/>
      <c r="R1565" s="20"/>
      <c r="S1565" s="20"/>
      <c r="T1565" s="164"/>
      <c r="U1565" s="154">
        <f t="shared" si="85"/>
        <v>0</v>
      </c>
    </row>
    <row r="1566" spans="2:21" x14ac:dyDescent="0.2">
      <c r="B1566" s="8">
        <f t="shared" si="84"/>
        <v>874</v>
      </c>
      <c r="C1566" s="18"/>
      <c r="D1566" s="18"/>
      <c r="E1566" s="18"/>
      <c r="F1566" s="152"/>
      <c r="G1566" s="153">
        <v>632</v>
      </c>
      <c r="H1566" s="18" t="s">
        <v>144</v>
      </c>
      <c r="I1566" s="19">
        <f>260+2500+2000+10500+5000</f>
        <v>20260</v>
      </c>
      <c r="J1566" s="19">
        <v>16730</v>
      </c>
      <c r="K1566" s="19">
        <v>16730</v>
      </c>
      <c r="L1566" s="20">
        <v>6929</v>
      </c>
      <c r="M1566" s="20">
        <v>11070</v>
      </c>
      <c r="N1566" s="164"/>
      <c r="O1566" s="19"/>
      <c r="P1566" s="19"/>
      <c r="Q1566" s="19"/>
      <c r="R1566" s="20"/>
      <c r="S1566" s="20"/>
      <c r="T1566" s="164"/>
      <c r="U1566" s="154">
        <f t="shared" si="85"/>
        <v>20260</v>
      </c>
    </row>
    <row r="1567" spans="2:21" x14ac:dyDescent="0.2">
      <c r="B1567" s="8">
        <f t="shared" si="84"/>
        <v>875</v>
      </c>
      <c r="C1567" s="18"/>
      <c r="D1567" s="18"/>
      <c r="E1567" s="18"/>
      <c r="F1567" s="152"/>
      <c r="G1567" s="153">
        <v>633</v>
      </c>
      <c r="H1567" s="18" t="s">
        <v>135</v>
      </c>
      <c r="I1567" s="19">
        <f>300+1200+40000+250000+1120+700+520+300+2000+1600+200+600+300+200+3500</f>
        <v>302540</v>
      </c>
      <c r="J1567" s="19">
        <v>241120</v>
      </c>
      <c r="K1567" s="19">
        <v>216120</v>
      </c>
      <c r="L1567" s="20">
        <v>146227</v>
      </c>
      <c r="M1567" s="20">
        <v>94081</v>
      </c>
      <c r="N1567" s="164"/>
      <c r="O1567" s="19"/>
      <c r="P1567" s="19"/>
      <c r="Q1567" s="19"/>
      <c r="R1567" s="20"/>
      <c r="S1567" s="20"/>
      <c r="T1567" s="164"/>
      <c r="U1567" s="154">
        <f t="shared" si="85"/>
        <v>302540</v>
      </c>
    </row>
    <row r="1568" spans="2:21" x14ac:dyDescent="0.2">
      <c r="B1568" s="8">
        <f t="shared" si="84"/>
        <v>876</v>
      </c>
      <c r="C1568" s="18"/>
      <c r="D1568" s="18"/>
      <c r="E1568" s="18"/>
      <c r="F1568" s="152"/>
      <c r="G1568" s="153">
        <v>635</v>
      </c>
      <c r="H1568" s="18" t="s">
        <v>143</v>
      </c>
      <c r="I1568" s="19">
        <f>2300+1800</f>
        <v>4100</v>
      </c>
      <c r="J1568" s="19">
        <v>3000</v>
      </c>
      <c r="K1568" s="19">
        <v>3000</v>
      </c>
      <c r="L1568" s="20">
        <v>6169</v>
      </c>
      <c r="M1568" s="20">
        <v>3330</v>
      </c>
      <c r="N1568" s="164"/>
      <c r="O1568" s="19"/>
      <c r="P1568" s="19"/>
      <c r="Q1568" s="19"/>
      <c r="R1568" s="20"/>
      <c r="S1568" s="20"/>
      <c r="T1568" s="164"/>
      <c r="U1568" s="154">
        <f t="shared" si="85"/>
        <v>4100</v>
      </c>
    </row>
    <row r="1569" spans="2:24" x14ac:dyDescent="0.2">
      <c r="B1569" s="8">
        <f t="shared" si="84"/>
        <v>877</v>
      </c>
      <c r="C1569" s="18"/>
      <c r="D1569" s="18"/>
      <c r="E1569" s="18"/>
      <c r="F1569" s="152"/>
      <c r="G1569" s="153">
        <v>637</v>
      </c>
      <c r="H1569" s="18" t="s">
        <v>132</v>
      </c>
      <c r="I1569" s="19">
        <f>2500+250+500+200+1250+500+1500+400+800+250+1500+2500+600</f>
        <v>12750</v>
      </c>
      <c r="J1569" s="19">
        <v>26770</v>
      </c>
      <c r="K1569" s="19">
        <v>26770</v>
      </c>
      <c r="L1569" s="20">
        <v>24503</v>
      </c>
      <c r="M1569" s="20">
        <v>24855</v>
      </c>
      <c r="N1569" s="164"/>
      <c r="O1569" s="19"/>
      <c r="P1569" s="19"/>
      <c r="Q1569" s="19"/>
      <c r="R1569" s="20"/>
      <c r="S1569" s="20"/>
      <c r="T1569" s="164"/>
      <c r="U1569" s="154">
        <f t="shared" si="85"/>
        <v>12750</v>
      </c>
    </row>
    <row r="1570" spans="2:24" x14ac:dyDescent="0.2">
      <c r="B1570" s="8">
        <f t="shared" ref="B1570:B1634" si="86">B1569+1</f>
        <v>878</v>
      </c>
      <c r="C1570" s="24"/>
      <c r="D1570" s="24"/>
      <c r="E1570" s="24"/>
      <c r="F1570" s="149" t="s">
        <v>54</v>
      </c>
      <c r="G1570" s="150">
        <v>640</v>
      </c>
      <c r="H1570" s="24" t="s">
        <v>139</v>
      </c>
      <c r="I1570" s="25">
        <f>2000+600+4200</f>
        <v>6800</v>
      </c>
      <c r="J1570" s="25">
        <v>3600</v>
      </c>
      <c r="K1570" s="25">
        <v>3600</v>
      </c>
      <c r="L1570" s="26">
        <v>1566</v>
      </c>
      <c r="M1570" s="26">
        <v>583</v>
      </c>
      <c r="N1570" s="501"/>
      <c r="O1570" s="25"/>
      <c r="P1570" s="25"/>
      <c r="Q1570" s="25"/>
      <c r="R1570" s="26"/>
      <c r="S1570" s="26"/>
      <c r="T1570" s="501"/>
      <c r="U1570" s="151">
        <f t="shared" si="85"/>
        <v>6800</v>
      </c>
    </row>
    <row r="1571" spans="2:24" x14ac:dyDescent="0.2">
      <c r="B1571" s="8">
        <f t="shared" si="86"/>
        <v>879</v>
      </c>
      <c r="C1571" s="24"/>
      <c r="D1571" s="24"/>
      <c r="E1571" s="24"/>
      <c r="F1571" s="149" t="s">
        <v>54</v>
      </c>
      <c r="G1571" s="150">
        <v>710</v>
      </c>
      <c r="H1571" s="24" t="s">
        <v>185</v>
      </c>
      <c r="I1571" s="25"/>
      <c r="J1571" s="25">
        <f>J1575</f>
        <v>0</v>
      </c>
      <c r="K1571" s="25"/>
      <c r="L1571" s="26"/>
      <c r="M1571" s="26"/>
      <c r="N1571" s="501"/>
      <c r="O1571" s="25"/>
      <c r="P1571" s="25">
        <f>P1575</f>
        <v>250000</v>
      </c>
      <c r="Q1571" s="25">
        <f>Q1572+Q1575</f>
        <v>305000</v>
      </c>
      <c r="R1571" s="26">
        <f>R1572</f>
        <v>9944</v>
      </c>
      <c r="S1571" s="26"/>
      <c r="T1571" s="501"/>
      <c r="U1571" s="151">
        <f t="shared" si="85"/>
        <v>0</v>
      </c>
    </row>
    <row r="1572" spans="2:24" x14ac:dyDescent="0.2">
      <c r="B1572" s="8">
        <f t="shared" si="86"/>
        <v>880</v>
      </c>
      <c r="C1572" s="24"/>
      <c r="D1572" s="24"/>
      <c r="E1572" s="24"/>
      <c r="F1572" s="152"/>
      <c r="G1572" s="153">
        <v>713</v>
      </c>
      <c r="H1572" s="18" t="s">
        <v>230</v>
      </c>
      <c r="I1572" s="25"/>
      <c r="J1572" s="25"/>
      <c r="K1572" s="25"/>
      <c r="L1572" s="26"/>
      <c r="M1572" s="26"/>
      <c r="N1572" s="501"/>
      <c r="O1572" s="19"/>
      <c r="P1572" s="25"/>
      <c r="Q1572" s="25">
        <f>Q1573+Q1574</f>
        <v>70000</v>
      </c>
      <c r="R1572" s="20">
        <f>SUM(R1573:R1573)</f>
        <v>9944</v>
      </c>
      <c r="S1572" s="26"/>
      <c r="T1572" s="501"/>
      <c r="U1572" s="151">
        <f t="shared" si="85"/>
        <v>0</v>
      </c>
    </row>
    <row r="1573" spans="2:24" s="165" customFormat="1" x14ac:dyDescent="0.2">
      <c r="B1573" s="8">
        <f t="shared" si="86"/>
        <v>881</v>
      </c>
      <c r="C1573" s="285"/>
      <c r="D1573" s="285"/>
      <c r="E1573" s="285"/>
      <c r="F1573" s="272"/>
      <c r="G1573" s="155"/>
      <c r="H1573" s="156" t="s">
        <v>519</v>
      </c>
      <c r="I1573" s="286"/>
      <c r="J1573" s="286"/>
      <c r="K1573" s="286"/>
      <c r="L1573" s="287"/>
      <c r="M1573" s="287"/>
      <c r="N1573" s="555"/>
      <c r="O1573" s="157"/>
      <c r="P1573" s="286"/>
      <c r="Q1573" s="157"/>
      <c r="R1573" s="158">
        <v>9944</v>
      </c>
      <c r="S1573" s="287"/>
      <c r="T1573" s="555"/>
      <c r="U1573" s="288">
        <f t="shared" si="85"/>
        <v>0</v>
      </c>
    </row>
    <row r="1574" spans="2:24" s="165" customFormat="1" x14ac:dyDescent="0.2">
      <c r="B1574" s="8"/>
      <c r="C1574" s="285"/>
      <c r="D1574" s="285"/>
      <c r="E1574" s="285"/>
      <c r="F1574" s="272"/>
      <c r="G1574" s="155"/>
      <c r="H1574" s="156" t="s">
        <v>1113</v>
      </c>
      <c r="I1574" s="286"/>
      <c r="J1574" s="286"/>
      <c r="K1574" s="286"/>
      <c r="L1574" s="287"/>
      <c r="M1574" s="287"/>
      <c r="N1574" s="555"/>
      <c r="O1574" s="157"/>
      <c r="P1574" s="286"/>
      <c r="Q1574" s="157">
        <v>70000</v>
      </c>
      <c r="R1574" s="158"/>
      <c r="S1574" s="287"/>
      <c r="T1574" s="555"/>
      <c r="U1574" s="288"/>
    </row>
    <row r="1575" spans="2:24" s="165" customFormat="1" x14ac:dyDescent="0.2">
      <c r="B1575" s="8">
        <f>B1573+1</f>
        <v>882</v>
      </c>
      <c r="C1575" s="285"/>
      <c r="D1575" s="285"/>
      <c r="E1575" s="285"/>
      <c r="F1575" s="272"/>
      <c r="G1575" s="153">
        <v>716</v>
      </c>
      <c r="H1575" s="18" t="s">
        <v>226</v>
      </c>
      <c r="I1575" s="286"/>
      <c r="J1575" s="286"/>
      <c r="K1575" s="286"/>
      <c r="L1575" s="287"/>
      <c r="M1575" s="287"/>
      <c r="N1575" s="555"/>
      <c r="O1575" s="157"/>
      <c r="P1575" s="19">
        <f>P1576</f>
        <v>250000</v>
      </c>
      <c r="Q1575" s="19">
        <f>Q1576</f>
        <v>235000</v>
      </c>
      <c r="R1575" s="287"/>
      <c r="S1575" s="287"/>
      <c r="T1575" s="555"/>
      <c r="U1575" s="288">
        <f t="shared" si="85"/>
        <v>0</v>
      </c>
    </row>
    <row r="1576" spans="2:24" s="165" customFormat="1" x14ac:dyDescent="0.2">
      <c r="B1576" s="8">
        <f t="shared" si="86"/>
        <v>883</v>
      </c>
      <c r="C1576" s="285"/>
      <c r="D1576" s="285"/>
      <c r="E1576" s="285"/>
      <c r="F1576" s="272"/>
      <c r="G1576" s="155"/>
      <c r="H1576" s="156" t="s">
        <v>519</v>
      </c>
      <c r="I1576" s="286"/>
      <c r="J1576" s="157"/>
      <c r="K1576" s="286"/>
      <c r="L1576" s="287"/>
      <c r="M1576" s="287"/>
      <c r="N1576" s="555"/>
      <c r="O1576" s="157"/>
      <c r="P1576" s="157">
        <v>250000</v>
      </c>
      <c r="Q1576" s="157">
        <v>235000</v>
      </c>
      <c r="R1576" s="287"/>
      <c r="S1576" s="287"/>
      <c r="T1576" s="555"/>
      <c r="U1576" s="288">
        <f t="shared" si="85"/>
        <v>0</v>
      </c>
    </row>
    <row r="1577" spans="2:24" ht="14.25" x14ac:dyDescent="0.2">
      <c r="B1577" s="8">
        <f t="shared" si="86"/>
        <v>884</v>
      </c>
      <c r="C1577" s="267"/>
      <c r="D1577" s="267"/>
      <c r="E1577" s="267">
        <v>12</v>
      </c>
      <c r="F1577" s="268"/>
      <c r="G1577" s="268"/>
      <c r="H1577" s="267" t="s">
        <v>6</v>
      </c>
      <c r="I1577" s="269">
        <f>I1578+I1579+I1580+I1585+I1586+I1587+I1588+I1594</f>
        <v>521744</v>
      </c>
      <c r="J1577" s="269">
        <f>J1578+J1579+J1580+J1585+J1586+J1587+J1588+J1594</f>
        <v>474390</v>
      </c>
      <c r="K1577" s="269">
        <f>K1578+K1579+K1580+K1585+K1586+K1587+K1588+K1594</f>
        <v>476665</v>
      </c>
      <c r="L1577" s="270">
        <f>L1578+L1579+L1580+L1585+L1586+L1587+L1588+L1594</f>
        <v>335132</v>
      </c>
      <c r="M1577" s="270">
        <f>M1578+M1579+M1580+M1585+M1586+M1587+M1588+M1594</f>
        <v>344620</v>
      </c>
      <c r="N1577" s="534"/>
      <c r="O1577" s="269"/>
      <c r="P1577" s="269"/>
      <c r="Q1577" s="269"/>
      <c r="R1577" s="270">
        <f>R1595</f>
        <v>4968</v>
      </c>
      <c r="S1577" s="270">
        <f>S1595</f>
        <v>2303</v>
      </c>
      <c r="T1577" s="534"/>
      <c r="U1577" s="271">
        <f t="shared" si="85"/>
        <v>521744</v>
      </c>
    </row>
    <row r="1578" spans="2:24" x14ac:dyDescent="0.2">
      <c r="B1578" s="8">
        <f t="shared" si="86"/>
        <v>885</v>
      </c>
      <c r="C1578" s="24"/>
      <c r="D1578" s="24"/>
      <c r="E1578" s="24"/>
      <c r="F1578" s="149" t="s">
        <v>85</v>
      </c>
      <c r="G1578" s="150">
        <v>610</v>
      </c>
      <c r="H1578" s="24" t="s">
        <v>141</v>
      </c>
      <c r="I1578" s="25">
        <v>66062</v>
      </c>
      <c r="J1578" s="25">
        <v>57044</v>
      </c>
      <c r="K1578" s="25">
        <v>57044</v>
      </c>
      <c r="L1578" s="26">
        <v>51620</v>
      </c>
      <c r="M1578" s="26">
        <v>51620</v>
      </c>
      <c r="N1578" s="501"/>
      <c r="O1578" s="25"/>
      <c r="P1578" s="25"/>
      <c r="Q1578" s="25"/>
      <c r="R1578" s="26"/>
      <c r="S1578" s="26"/>
      <c r="T1578" s="501"/>
      <c r="U1578" s="151">
        <f t="shared" si="85"/>
        <v>66062</v>
      </c>
      <c r="X1578" s="2"/>
    </row>
    <row r="1579" spans="2:24" x14ac:dyDescent="0.2">
      <c r="B1579" s="8">
        <f t="shared" si="86"/>
        <v>886</v>
      </c>
      <c r="C1579" s="24"/>
      <c r="D1579" s="24"/>
      <c r="E1579" s="24"/>
      <c r="F1579" s="149" t="s">
        <v>85</v>
      </c>
      <c r="G1579" s="150">
        <v>620</v>
      </c>
      <c r="H1579" s="24" t="s">
        <v>134</v>
      </c>
      <c r="I1579" s="25">
        <v>23245</v>
      </c>
      <c r="J1579" s="25">
        <v>20103</v>
      </c>
      <c r="K1579" s="25">
        <v>20103</v>
      </c>
      <c r="L1579" s="26">
        <v>18473</v>
      </c>
      <c r="M1579" s="26">
        <v>18473</v>
      </c>
      <c r="N1579" s="501"/>
      <c r="O1579" s="25"/>
      <c r="P1579" s="25"/>
      <c r="Q1579" s="25"/>
      <c r="R1579" s="26"/>
      <c r="S1579" s="26"/>
      <c r="T1579" s="501"/>
      <c r="U1579" s="151">
        <f t="shared" si="85"/>
        <v>23245</v>
      </c>
      <c r="X1579" s="2"/>
    </row>
    <row r="1580" spans="2:24" x14ac:dyDescent="0.2">
      <c r="B1580" s="8">
        <f t="shared" si="86"/>
        <v>887</v>
      </c>
      <c r="C1580" s="24"/>
      <c r="D1580" s="24"/>
      <c r="E1580" s="24"/>
      <c r="F1580" s="149" t="s">
        <v>85</v>
      </c>
      <c r="G1580" s="150">
        <v>630</v>
      </c>
      <c r="H1580" s="24" t="s">
        <v>131</v>
      </c>
      <c r="I1580" s="25">
        <f>I1584+I1583+I1582+I1581</f>
        <v>198105</v>
      </c>
      <c r="J1580" s="25">
        <f>J1584+J1583+J1582+J1581</f>
        <v>201083</v>
      </c>
      <c r="K1580" s="25">
        <f>K1584+K1583+K1582+K1581</f>
        <v>201083</v>
      </c>
      <c r="L1580" s="26">
        <f>L1584+L1583+L1582+L1581</f>
        <v>164704</v>
      </c>
      <c r="M1580" s="26">
        <f>M1584+M1583+M1582+M1581</f>
        <v>95109</v>
      </c>
      <c r="N1580" s="501"/>
      <c r="O1580" s="25"/>
      <c r="P1580" s="25"/>
      <c r="Q1580" s="25"/>
      <c r="R1580" s="26"/>
      <c r="S1580" s="26"/>
      <c r="T1580" s="501"/>
      <c r="U1580" s="151">
        <f t="shared" si="85"/>
        <v>198105</v>
      </c>
    </row>
    <row r="1581" spans="2:24" x14ac:dyDescent="0.2">
      <c r="B1581" s="8">
        <f t="shared" si="86"/>
        <v>888</v>
      </c>
      <c r="C1581" s="18"/>
      <c r="D1581" s="18"/>
      <c r="E1581" s="18"/>
      <c r="F1581" s="152"/>
      <c r="G1581" s="153">
        <v>632</v>
      </c>
      <c r="H1581" s="18" t="s">
        <v>144</v>
      </c>
      <c r="I1581" s="19">
        <f>7800+7360+3200+600</f>
        <v>18960</v>
      </c>
      <c r="J1581" s="19">
        <v>12450</v>
      </c>
      <c r="K1581" s="19">
        <v>12450</v>
      </c>
      <c r="L1581" s="20">
        <v>8485</v>
      </c>
      <c r="M1581" s="20">
        <v>8500</v>
      </c>
      <c r="N1581" s="164"/>
      <c r="O1581" s="19"/>
      <c r="P1581" s="19"/>
      <c r="Q1581" s="19"/>
      <c r="R1581" s="20"/>
      <c r="S1581" s="20"/>
      <c r="T1581" s="164"/>
      <c r="U1581" s="154">
        <f t="shared" si="85"/>
        <v>18960</v>
      </c>
    </row>
    <row r="1582" spans="2:24" x14ac:dyDescent="0.2">
      <c r="B1582" s="8">
        <f t="shared" si="86"/>
        <v>889</v>
      </c>
      <c r="C1582" s="18"/>
      <c r="D1582" s="18"/>
      <c r="E1582" s="18"/>
      <c r="F1582" s="152"/>
      <c r="G1582" s="153">
        <v>633</v>
      </c>
      <c r="H1582" s="18" t="s">
        <v>135</v>
      </c>
      <c r="I1582" s="19">
        <v>141700</v>
      </c>
      <c r="J1582" s="19">
        <v>161400</v>
      </c>
      <c r="K1582" s="19">
        <v>161400</v>
      </c>
      <c r="L1582" s="20">
        <v>152012</v>
      </c>
      <c r="M1582" s="20">
        <v>60900</v>
      </c>
      <c r="N1582" s="164"/>
      <c r="O1582" s="19"/>
      <c r="P1582" s="19"/>
      <c r="Q1582" s="19"/>
      <c r="R1582" s="20"/>
      <c r="S1582" s="20"/>
      <c r="T1582" s="164"/>
      <c r="U1582" s="154">
        <f t="shared" si="85"/>
        <v>141700</v>
      </c>
    </row>
    <row r="1583" spans="2:24" x14ac:dyDescent="0.2">
      <c r="B1583" s="8">
        <f t="shared" si="86"/>
        <v>890</v>
      </c>
      <c r="C1583" s="18"/>
      <c r="D1583" s="18"/>
      <c r="E1583" s="18"/>
      <c r="F1583" s="152"/>
      <c r="G1583" s="153">
        <v>635</v>
      </c>
      <c r="H1583" s="18" t="s">
        <v>143</v>
      </c>
      <c r="I1583" s="19">
        <f>2000+1000</f>
        <v>3000</v>
      </c>
      <c r="J1583" s="19">
        <v>3000</v>
      </c>
      <c r="K1583" s="19">
        <v>3000</v>
      </c>
      <c r="L1583" s="20">
        <v>1746</v>
      </c>
      <c r="M1583" s="20">
        <v>1975</v>
      </c>
      <c r="N1583" s="164"/>
      <c r="O1583" s="19"/>
      <c r="P1583" s="19"/>
      <c r="Q1583" s="19"/>
      <c r="R1583" s="20"/>
      <c r="S1583" s="20"/>
      <c r="T1583" s="164"/>
      <c r="U1583" s="154">
        <f t="shared" si="85"/>
        <v>3000</v>
      </c>
    </row>
    <row r="1584" spans="2:24" x14ac:dyDescent="0.2">
      <c r="B1584" s="8">
        <f t="shared" si="86"/>
        <v>891</v>
      </c>
      <c r="C1584" s="18"/>
      <c r="D1584" s="18"/>
      <c r="E1584" s="18"/>
      <c r="F1584" s="152"/>
      <c r="G1584" s="153">
        <v>637</v>
      </c>
      <c r="H1584" s="18" t="s">
        <v>132</v>
      </c>
      <c r="I1584" s="19">
        <f>50+1400+55+30000+1100+960+880</f>
        <v>34445</v>
      </c>
      <c r="J1584" s="19">
        <v>24233</v>
      </c>
      <c r="K1584" s="19">
        <v>24233</v>
      </c>
      <c r="L1584" s="20">
        <v>2461</v>
      </c>
      <c r="M1584" s="20">
        <v>23734</v>
      </c>
      <c r="N1584" s="164"/>
      <c r="O1584" s="19"/>
      <c r="P1584" s="19"/>
      <c r="Q1584" s="19"/>
      <c r="R1584" s="20"/>
      <c r="S1584" s="20"/>
      <c r="T1584" s="164"/>
      <c r="U1584" s="154">
        <f t="shared" si="85"/>
        <v>34445</v>
      </c>
    </row>
    <row r="1585" spans="2:24" x14ac:dyDescent="0.2">
      <c r="B1585" s="8">
        <f t="shared" si="86"/>
        <v>892</v>
      </c>
      <c r="C1585" s="24"/>
      <c r="D1585" s="24"/>
      <c r="E1585" s="24"/>
      <c r="F1585" s="149" t="s">
        <v>85</v>
      </c>
      <c r="G1585" s="150">
        <v>640</v>
      </c>
      <c r="H1585" s="24" t="s">
        <v>139</v>
      </c>
      <c r="I1585" s="25">
        <v>1440</v>
      </c>
      <c r="J1585" s="25">
        <v>1440</v>
      </c>
      <c r="K1585" s="25">
        <v>1440</v>
      </c>
      <c r="L1585" s="26">
        <v>1200</v>
      </c>
      <c r="M1585" s="26">
        <v>1200</v>
      </c>
      <c r="N1585" s="501"/>
      <c r="O1585" s="25"/>
      <c r="P1585" s="25"/>
      <c r="Q1585" s="25"/>
      <c r="R1585" s="26"/>
      <c r="S1585" s="26"/>
      <c r="T1585" s="501"/>
      <c r="U1585" s="151">
        <f t="shared" si="85"/>
        <v>1440</v>
      </c>
    </row>
    <row r="1586" spans="2:24" x14ac:dyDescent="0.2">
      <c r="B1586" s="8">
        <f t="shared" si="86"/>
        <v>893</v>
      </c>
      <c r="C1586" s="24"/>
      <c r="D1586" s="24"/>
      <c r="E1586" s="24"/>
      <c r="F1586" s="149" t="s">
        <v>54</v>
      </c>
      <c r="G1586" s="150">
        <v>610</v>
      </c>
      <c r="H1586" s="24" t="s">
        <v>141</v>
      </c>
      <c r="I1586" s="25">
        <v>66062</v>
      </c>
      <c r="J1586" s="25">
        <v>56093</v>
      </c>
      <c r="K1586" s="25">
        <v>60553</v>
      </c>
      <c r="L1586" s="26">
        <v>49919</v>
      </c>
      <c r="M1586" s="26">
        <v>55919</v>
      </c>
      <c r="N1586" s="501"/>
      <c r="O1586" s="25"/>
      <c r="P1586" s="25"/>
      <c r="Q1586" s="25"/>
      <c r="R1586" s="26"/>
      <c r="S1586" s="26"/>
      <c r="T1586" s="501"/>
      <c r="U1586" s="151">
        <f t="shared" ref="U1586:U1649" si="87">I1586+O1586</f>
        <v>66062</v>
      </c>
      <c r="X1586" s="2"/>
    </row>
    <row r="1587" spans="2:24" x14ac:dyDescent="0.2">
      <c r="B1587" s="8">
        <f t="shared" si="86"/>
        <v>894</v>
      </c>
      <c r="C1587" s="24"/>
      <c r="D1587" s="24"/>
      <c r="E1587" s="24"/>
      <c r="F1587" s="149" t="s">
        <v>54</v>
      </c>
      <c r="G1587" s="150">
        <v>620</v>
      </c>
      <c r="H1587" s="24" t="s">
        <v>134</v>
      </c>
      <c r="I1587" s="25">
        <v>23565</v>
      </c>
      <c r="J1587" s="25">
        <v>20109</v>
      </c>
      <c r="K1587" s="25">
        <v>22424</v>
      </c>
      <c r="L1587" s="26">
        <v>18473</v>
      </c>
      <c r="M1587" s="26">
        <v>19978</v>
      </c>
      <c r="N1587" s="501"/>
      <c r="O1587" s="25"/>
      <c r="P1587" s="25"/>
      <c r="Q1587" s="25"/>
      <c r="R1587" s="26"/>
      <c r="S1587" s="26"/>
      <c r="T1587" s="501"/>
      <c r="U1587" s="151">
        <f t="shared" si="87"/>
        <v>23565</v>
      </c>
    </row>
    <row r="1588" spans="2:24" x14ac:dyDescent="0.2">
      <c r="B1588" s="8">
        <f t="shared" si="86"/>
        <v>895</v>
      </c>
      <c r="C1588" s="24"/>
      <c r="D1588" s="24"/>
      <c r="E1588" s="24"/>
      <c r="F1588" s="149" t="s">
        <v>54</v>
      </c>
      <c r="G1588" s="150">
        <v>630</v>
      </c>
      <c r="H1588" s="24" t="s">
        <v>131</v>
      </c>
      <c r="I1588" s="25">
        <f>I1593+I1592+I1591+I1590+I1589</f>
        <v>138825</v>
      </c>
      <c r="J1588" s="25">
        <f>J1593+J1592+J1591+J1590+J1589</f>
        <v>113778</v>
      </c>
      <c r="K1588" s="25">
        <f>K1593+K1592+K1591+K1590+K1589</f>
        <v>109278</v>
      </c>
      <c r="L1588" s="26">
        <f>L1593+L1592+L1591+L1590+L1589</f>
        <v>28833</v>
      </c>
      <c r="M1588" s="26">
        <f>M1593+M1592+M1591+M1590+M1589</f>
        <v>101314</v>
      </c>
      <c r="N1588" s="501"/>
      <c r="O1588" s="25"/>
      <c r="P1588" s="25"/>
      <c r="Q1588" s="25"/>
      <c r="R1588" s="26"/>
      <c r="S1588" s="26"/>
      <c r="T1588" s="501"/>
      <c r="U1588" s="151">
        <f t="shared" si="87"/>
        <v>138825</v>
      </c>
      <c r="X1588" s="2"/>
    </row>
    <row r="1589" spans="2:24" x14ac:dyDescent="0.2">
      <c r="B1589" s="8">
        <f t="shared" si="86"/>
        <v>896</v>
      </c>
      <c r="C1589" s="18"/>
      <c r="D1589" s="18"/>
      <c r="E1589" s="18"/>
      <c r="F1589" s="152"/>
      <c r="G1589" s="153">
        <v>631</v>
      </c>
      <c r="H1589" s="18" t="s">
        <v>137</v>
      </c>
      <c r="I1589" s="19">
        <v>55</v>
      </c>
      <c r="J1589" s="19">
        <v>55</v>
      </c>
      <c r="K1589" s="19">
        <v>55</v>
      </c>
      <c r="L1589" s="20">
        <v>0</v>
      </c>
      <c r="M1589" s="20"/>
      <c r="N1589" s="164"/>
      <c r="O1589" s="19"/>
      <c r="P1589" s="19"/>
      <c r="Q1589" s="19"/>
      <c r="R1589" s="20"/>
      <c r="S1589" s="20"/>
      <c r="T1589" s="164"/>
      <c r="U1589" s="154">
        <f t="shared" si="87"/>
        <v>55</v>
      </c>
    </row>
    <row r="1590" spans="2:24" x14ac:dyDescent="0.2">
      <c r="B1590" s="8">
        <f t="shared" si="86"/>
        <v>897</v>
      </c>
      <c r="C1590" s="18"/>
      <c r="D1590" s="18"/>
      <c r="E1590" s="18"/>
      <c r="F1590" s="152"/>
      <c r="G1590" s="153">
        <v>632</v>
      </c>
      <c r="H1590" s="18" t="s">
        <v>144</v>
      </c>
      <c r="I1590" s="19">
        <f>7800+7360+3200+600</f>
        <v>18960</v>
      </c>
      <c r="J1590" s="19">
        <v>14275</v>
      </c>
      <c r="K1590" s="19">
        <v>14275</v>
      </c>
      <c r="L1590" s="20">
        <v>9467</v>
      </c>
      <c r="M1590" s="20">
        <v>9562</v>
      </c>
      <c r="N1590" s="164"/>
      <c r="O1590" s="19"/>
      <c r="P1590" s="19"/>
      <c r="Q1590" s="19"/>
      <c r="R1590" s="20"/>
      <c r="S1590" s="20"/>
      <c r="T1590" s="164"/>
      <c r="U1590" s="154">
        <f t="shared" si="87"/>
        <v>18960</v>
      </c>
    </row>
    <row r="1591" spans="2:24" x14ac:dyDescent="0.2">
      <c r="B1591" s="8">
        <f t="shared" si="86"/>
        <v>898</v>
      </c>
      <c r="C1591" s="18"/>
      <c r="D1591" s="18"/>
      <c r="E1591" s="18"/>
      <c r="F1591" s="152"/>
      <c r="G1591" s="153">
        <v>633</v>
      </c>
      <c r="H1591" s="18" t="s">
        <v>135</v>
      </c>
      <c r="I1591" s="19">
        <v>109050</v>
      </c>
      <c r="J1591" s="19">
        <v>89000</v>
      </c>
      <c r="K1591" s="19">
        <v>80000</v>
      </c>
      <c r="L1591" s="20">
        <v>13584</v>
      </c>
      <c r="M1591" s="20">
        <f>76000+2697</f>
        <v>78697</v>
      </c>
      <c r="N1591" s="164"/>
      <c r="O1591" s="19"/>
      <c r="P1591" s="19"/>
      <c r="Q1591" s="19"/>
      <c r="R1591" s="20"/>
      <c r="S1591" s="20"/>
      <c r="T1591" s="164"/>
      <c r="U1591" s="154">
        <f t="shared" si="87"/>
        <v>109050</v>
      </c>
    </row>
    <row r="1592" spans="2:24" x14ac:dyDescent="0.2">
      <c r="B1592" s="8">
        <f t="shared" si="86"/>
        <v>899</v>
      </c>
      <c r="C1592" s="18"/>
      <c r="D1592" s="18"/>
      <c r="E1592" s="18"/>
      <c r="F1592" s="152"/>
      <c r="G1592" s="153">
        <v>635</v>
      </c>
      <c r="H1592" s="18" t="s">
        <v>143</v>
      </c>
      <c r="I1592" s="19">
        <f>3000+3150</f>
        <v>6150</v>
      </c>
      <c r="J1592" s="19">
        <v>6150</v>
      </c>
      <c r="K1592" s="19">
        <v>6150</v>
      </c>
      <c r="L1592" s="20">
        <v>3449</v>
      </c>
      <c r="M1592" s="20">
        <v>5150</v>
      </c>
      <c r="N1592" s="164"/>
      <c r="O1592" s="19"/>
      <c r="P1592" s="19"/>
      <c r="Q1592" s="19"/>
      <c r="R1592" s="20"/>
      <c r="S1592" s="20"/>
      <c r="T1592" s="164"/>
      <c r="U1592" s="154">
        <f t="shared" si="87"/>
        <v>6150</v>
      </c>
    </row>
    <row r="1593" spans="2:24" x14ac:dyDescent="0.2">
      <c r="B1593" s="8">
        <f t="shared" si="86"/>
        <v>900</v>
      </c>
      <c r="C1593" s="18"/>
      <c r="D1593" s="18"/>
      <c r="E1593" s="18"/>
      <c r="F1593" s="152"/>
      <c r="G1593" s="153">
        <v>637</v>
      </c>
      <c r="H1593" s="18" t="s">
        <v>132</v>
      </c>
      <c r="I1593" s="19">
        <f>50+1400+1200+960+1000</f>
        <v>4610</v>
      </c>
      <c r="J1593" s="19">
        <v>4298</v>
      </c>
      <c r="K1593" s="19">
        <v>8798</v>
      </c>
      <c r="L1593" s="20">
        <v>2333</v>
      </c>
      <c r="M1593" s="20">
        <v>7905</v>
      </c>
      <c r="N1593" s="164"/>
      <c r="O1593" s="19"/>
      <c r="P1593" s="19"/>
      <c r="Q1593" s="19"/>
      <c r="R1593" s="20"/>
      <c r="S1593" s="20"/>
      <c r="T1593" s="164"/>
      <c r="U1593" s="154">
        <f t="shared" si="87"/>
        <v>4610</v>
      </c>
    </row>
    <row r="1594" spans="2:24" x14ac:dyDescent="0.2">
      <c r="B1594" s="8">
        <f t="shared" si="86"/>
        <v>901</v>
      </c>
      <c r="C1594" s="24"/>
      <c r="D1594" s="24"/>
      <c r="E1594" s="24"/>
      <c r="F1594" s="149" t="s">
        <v>54</v>
      </c>
      <c r="G1594" s="150">
        <v>640</v>
      </c>
      <c r="H1594" s="24" t="s">
        <v>139</v>
      </c>
      <c r="I1594" s="25">
        <f>3000+1440</f>
        <v>4440</v>
      </c>
      <c r="J1594" s="25">
        <v>4740</v>
      </c>
      <c r="K1594" s="25">
        <v>4740</v>
      </c>
      <c r="L1594" s="26">
        <v>1910</v>
      </c>
      <c r="M1594" s="26">
        <v>1007</v>
      </c>
      <c r="N1594" s="501"/>
      <c r="O1594" s="25"/>
      <c r="P1594" s="25"/>
      <c r="Q1594" s="25"/>
      <c r="R1594" s="26"/>
      <c r="S1594" s="26"/>
      <c r="T1594" s="501"/>
      <c r="U1594" s="151">
        <f t="shared" si="87"/>
        <v>4440</v>
      </c>
    </row>
    <row r="1595" spans="2:24" x14ac:dyDescent="0.2">
      <c r="B1595" s="8">
        <f t="shared" si="86"/>
        <v>902</v>
      </c>
      <c r="C1595" s="24"/>
      <c r="D1595" s="24"/>
      <c r="E1595" s="24"/>
      <c r="F1595" s="149" t="s">
        <v>54</v>
      </c>
      <c r="G1595" s="150">
        <v>710</v>
      </c>
      <c r="H1595" s="24" t="s">
        <v>185</v>
      </c>
      <c r="I1595" s="25"/>
      <c r="J1595" s="25"/>
      <c r="K1595" s="25"/>
      <c r="L1595" s="26"/>
      <c r="M1595" s="26"/>
      <c r="N1595" s="501"/>
      <c r="O1595" s="25"/>
      <c r="P1595" s="25"/>
      <c r="Q1595" s="25"/>
      <c r="R1595" s="26">
        <f>R1596</f>
        <v>4968</v>
      </c>
      <c r="S1595" s="26">
        <f>S1596</f>
        <v>2303</v>
      </c>
      <c r="T1595" s="501"/>
      <c r="U1595" s="151">
        <f t="shared" si="87"/>
        <v>0</v>
      </c>
    </row>
    <row r="1596" spans="2:24" x14ac:dyDescent="0.2">
      <c r="B1596" s="8">
        <f t="shared" si="86"/>
        <v>903</v>
      </c>
      <c r="C1596" s="18"/>
      <c r="D1596" s="18"/>
      <c r="E1596" s="18"/>
      <c r="F1596" s="152"/>
      <c r="G1596" s="153">
        <v>713</v>
      </c>
      <c r="H1596" s="18" t="s">
        <v>230</v>
      </c>
      <c r="I1596" s="19"/>
      <c r="J1596" s="19"/>
      <c r="K1596" s="19"/>
      <c r="L1596" s="20"/>
      <c r="M1596" s="20"/>
      <c r="N1596" s="164"/>
      <c r="O1596" s="19"/>
      <c r="P1596" s="19"/>
      <c r="Q1596" s="19"/>
      <c r="R1596" s="20">
        <f>R1597</f>
        <v>4968</v>
      </c>
      <c r="S1596" s="20">
        <f>S1597</f>
        <v>2303</v>
      </c>
      <c r="T1596" s="164"/>
      <c r="U1596" s="154">
        <f t="shared" si="87"/>
        <v>0</v>
      </c>
    </row>
    <row r="1597" spans="2:24" s="165" customFormat="1" x14ac:dyDescent="0.2">
      <c r="B1597" s="8">
        <f t="shared" si="86"/>
        <v>904</v>
      </c>
      <c r="C1597" s="156"/>
      <c r="D1597" s="156"/>
      <c r="E1597" s="156"/>
      <c r="F1597" s="272"/>
      <c r="G1597" s="155"/>
      <c r="H1597" s="156" t="s">
        <v>586</v>
      </c>
      <c r="I1597" s="157"/>
      <c r="J1597" s="157"/>
      <c r="K1597" s="157"/>
      <c r="L1597" s="158"/>
      <c r="M1597" s="158"/>
      <c r="N1597" s="535"/>
      <c r="O1597" s="157"/>
      <c r="P1597" s="157"/>
      <c r="Q1597" s="157"/>
      <c r="R1597" s="158">
        <v>4968</v>
      </c>
      <c r="S1597" s="158">
        <v>2303</v>
      </c>
      <c r="T1597" s="535"/>
      <c r="U1597" s="159">
        <f t="shared" si="87"/>
        <v>0</v>
      </c>
    </row>
    <row r="1598" spans="2:24" ht="14.25" x14ac:dyDescent="0.2">
      <c r="B1598" s="8">
        <f t="shared" si="86"/>
        <v>905</v>
      </c>
      <c r="C1598" s="267"/>
      <c r="D1598" s="267"/>
      <c r="E1598" s="267">
        <v>13</v>
      </c>
      <c r="F1598" s="268"/>
      <c r="G1598" s="268"/>
      <c r="H1598" s="267" t="s">
        <v>14</v>
      </c>
      <c r="I1598" s="269">
        <f>I1599+I1601+I1602+I1603+I1608+I1609+I1610+I1611+I1616</f>
        <v>298852</v>
      </c>
      <c r="J1598" s="269">
        <f>J1599+J1601+J1602+J1603+J1608+J1609+J1610+J1611+J1616</f>
        <v>233292</v>
      </c>
      <c r="K1598" s="269">
        <f>K1599+K1601+K1602+K1603+K1608+K1609+K1610+K1611+K1616</f>
        <v>230992</v>
      </c>
      <c r="L1598" s="270">
        <f>L1599+L1601+L1602+L1603+L1608+L1609+L1610+L1611+L1616</f>
        <v>192417</v>
      </c>
      <c r="M1598" s="270">
        <f>M1599+M1601+M1602+M1603+M1608+M1609+M1610+M1611+M1616</f>
        <v>163015</v>
      </c>
      <c r="N1598" s="534"/>
      <c r="O1598" s="269"/>
      <c r="P1598" s="269"/>
      <c r="Q1598" s="269">
        <f>Q1617</f>
        <v>2300</v>
      </c>
      <c r="R1598" s="270"/>
      <c r="S1598" s="270">
        <f>S1617</f>
        <v>4800</v>
      </c>
      <c r="T1598" s="534"/>
      <c r="U1598" s="271">
        <f t="shared" si="87"/>
        <v>298852</v>
      </c>
    </row>
    <row r="1599" spans="2:24" x14ac:dyDescent="0.2">
      <c r="B1599" s="8">
        <f t="shared" si="86"/>
        <v>906</v>
      </c>
      <c r="C1599" s="24"/>
      <c r="D1599" s="24"/>
      <c r="E1599" s="24"/>
      <c r="F1599" s="149" t="s">
        <v>170</v>
      </c>
      <c r="G1599" s="150">
        <v>630</v>
      </c>
      <c r="H1599" s="24" t="s">
        <v>131</v>
      </c>
      <c r="I1599" s="25">
        <f>I1600</f>
        <v>27390</v>
      </c>
      <c r="J1599" s="25">
        <f>J1600</f>
        <v>19496</v>
      </c>
      <c r="K1599" s="25">
        <f>K1600</f>
        <v>19496</v>
      </c>
      <c r="L1599" s="26">
        <f>L1600</f>
        <v>16008</v>
      </c>
      <c r="M1599" s="26">
        <f>M1600</f>
        <v>21469</v>
      </c>
      <c r="N1599" s="501"/>
      <c r="O1599" s="25"/>
      <c r="P1599" s="25"/>
      <c r="Q1599" s="25"/>
      <c r="R1599" s="26"/>
      <c r="S1599" s="26"/>
      <c r="T1599" s="501"/>
      <c r="U1599" s="151">
        <f t="shared" si="87"/>
        <v>27390</v>
      </c>
    </row>
    <row r="1600" spans="2:24" x14ac:dyDescent="0.2">
      <c r="B1600" s="8">
        <f t="shared" si="86"/>
        <v>907</v>
      </c>
      <c r="C1600" s="18"/>
      <c r="D1600" s="18"/>
      <c r="E1600" s="18"/>
      <c r="F1600" s="152"/>
      <c r="G1600" s="153">
        <v>633</v>
      </c>
      <c r="H1600" s="18" t="s">
        <v>135</v>
      </c>
      <c r="I1600" s="19">
        <v>27390</v>
      </c>
      <c r="J1600" s="19">
        <v>19496</v>
      </c>
      <c r="K1600" s="19">
        <v>19496</v>
      </c>
      <c r="L1600" s="20">
        <v>16008</v>
      </c>
      <c r="M1600" s="20">
        <v>21469</v>
      </c>
      <c r="N1600" s="164"/>
      <c r="O1600" s="19"/>
      <c r="P1600" s="19"/>
      <c r="Q1600" s="19"/>
      <c r="R1600" s="20"/>
      <c r="S1600" s="20"/>
      <c r="T1600" s="164"/>
      <c r="U1600" s="154">
        <f t="shared" si="87"/>
        <v>27390</v>
      </c>
    </row>
    <row r="1601" spans="2:21" x14ac:dyDescent="0.2">
      <c r="B1601" s="8">
        <f t="shared" si="86"/>
        <v>908</v>
      </c>
      <c r="C1601" s="24"/>
      <c r="D1601" s="24"/>
      <c r="E1601" s="24"/>
      <c r="F1601" s="149" t="s">
        <v>85</v>
      </c>
      <c r="G1601" s="150">
        <v>610</v>
      </c>
      <c r="H1601" s="24" t="s">
        <v>141</v>
      </c>
      <c r="I1601" s="25">
        <v>40600</v>
      </c>
      <c r="J1601" s="25">
        <v>24416</v>
      </c>
      <c r="K1601" s="25">
        <v>24416</v>
      </c>
      <c r="L1601" s="26">
        <v>24212</v>
      </c>
      <c r="M1601" s="26">
        <v>26080</v>
      </c>
      <c r="N1601" s="501"/>
      <c r="O1601" s="25"/>
      <c r="P1601" s="25"/>
      <c r="Q1601" s="25"/>
      <c r="R1601" s="26"/>
      <c r="S1601" s="26"/>
      <c r="T1601" s="501"/>
      <c r="U1601" s="151">
        <f t="shared" si="87"/>
        <v>40600</v>
      </c>
    </row>
    <row r="1602" spans="2:21" x14ac:dyDescent="0.2">
      <c r="B1602" s="8">
        <f t="shared" si="86"/>
        <v>909</v>
      </c>
      <c r="C1602" s="24"/>
      <c r="D1602" s="24"/>
      <c r="E1602" s="24"/>
      <c r="F1602" s="149" t="s">
        <v>85</v>
      </c>
      <c r="G1602" s="150">
        <v>620</v>
      </c>
      <c r="H1602" s="24" t="s">
        <v>134</v>
      </c>
      <c r="I1602" s="25">
        <v>14890</v>
      </c>
      <c r="J1602" s="25">
        <v>8784</v>
      </c>
      <c r="K1602" s="25">
        <v>8784</v>
      </c>
      <c r="L1602" s="26">
        <v>8535</v>
      </c>
      <c r="M1602" s="26">
        <v>9424</v>
      </c>
      <c r="N1602" s="501"/>
      <c r="O1602" s="25"/>
      <c r="P1602" s="25"/>
      <c r="Q1602" s="25"/>
      <c r="R1602" s="26"/>
      <c r="S1602" s="26"/>
      <c r="T1602" s="501"/>
      <c r="U1602" s="151">
        <f t="shared" si="87"/>
        <v>14890</v>
      </c>
    </row>
    <row r="1603" spans="2:21" x14ac:dyDescent="0.2">
      <c r="B1603" s="8">
        <f t="shared" si="86"/>
        <v>910</v>
      </c>
      <c r="C1603" s="24"/>
      <c r="D1603" s="24"/>
      <c r="E1603" s="24"/>
      <c r="F1603" s="149" t="s">
        <v>85</v>
      </c>
      <c r="G1603" s="150">
        <v>630</v>
      </c>
      <c r="H1603" s="24" t="s">
        <v>131</v>
      </c>
      <c r="I1603" s="25">
        <f>I1607+I1606+I1605+I1604</f>
        <v>70392</v>
      </c>
      <c r="J1603" s="25">
        <f>J1607+J1606+J1605+J1604</f>
        <v>42268</v>
      </c>
      <c r="K1603" s="25">
        <f>K1607+K1606+K1605+K1604</f>
        <v>42268</v>
      </c>
      <c r="L1603" s="26">
        <f>L1607+L1606+L1605+L1604</f>
        <v>39408</v>
      </c>
      <c r="M1603" s="26">
        <f>M1607+M1606+M1605+M1604</f>
        <v>24812</v>
      </c>
      <c r="N1603" s="501"/>
      <c r="O1603" s="25"/>
      <c r="P1603" s="25"/>
      <c r="Q1603" s="25"/>
      <c r="R1603" s="26"/>
      <c r="S1603" s="26"/>
      <c r="T1603" s="501"/>
      <c r="U1603" s="151">
        <f t="shared" si="87"/>
        <v>70392</v>
      </c>
    </row>
    <row r="1604" spans="2:21" x14ac:dyDescent="0.2">
      <c r="B1604" s="8">
        <f t="shared" si="86"/>
        <v>911</v>
      </c>
      <c r="C1604" s="18"/>
      <c r="D1604" s="18"/>
      <c r="E1604" s="18"/>
      <c r="F1604" s="152"/>
      <c r="G1604" s="153">
        <v>632</v>
      </c>
      <c r="H1604" s="18" t="s">
        <v>144</v>
      </c>
      <c r="I1604" s="19">
        <f>200+150+2000+3000+6000+2165</f>
        <v>13515</v>
      </c>
      <c r="J1604" s="19">
        <v>10300</v>
      </c>
      <c r="K1604" s="19">
        <v>10300</v>
      </c>
      <c r="L1604" s="20">
        <v>7780</v>
      </c>
      <c r="M1604" s="20">
        <v>6500</v>
      </c>
      <c r="N1604" s="164"/>
      <c r="O1604" s="19"/>
      <c r="P1604" s="19"/>
      <c r="Q1604" s="19"/>
      <c r="R1604" s="20"/>
      <c r="S1604" s="20"/>
      <c r="T1604" s="164"/>
      <c r="U1604" s="154">
        <f t="shared" si="87"/>
        <v>13515</v>
      </c>
    </row>
    <row r="1605" spans="2:21" x14ac:dyDescent="0.2">
      <c r="B1605" s="8">
        <f t="shared" si="86"/>
        <v>912</v>
      </c>
      <c r="C1605" s="18"/>
      <c r="D1605" s="18"/>
      <c r="E1605" s="18"/>
      <c r="F1605" s="152"/>
      <c r="G1605" s="153">
        <v>633</v>
      </c>
      <c r="H1605" s="18" t="s">
        <v>135</v>
      </c>
      <c r="I1605" s="19">
        <f>70+1500+500+200+100+600+350+38907</f>
        <v>42227</v>
      </c>
      <c r="J1605" s="19">
        <v>18168</v>
      </c>
      <c r="K1605" s="19">
        <v>18168</v>
      </c>
      <c r="L1605" s="20">
        <v>17628</v>
      </c>
      <c r="M1605" s="20">
        <v>12812</v>
      </c>
      <c r="N1605" s="164"/>
      <c r="O1605" s="19"/>
      <c r="P1605" s="19"/>
      <c r="Q1605" s="19"/>
      <c r="R1605" s="20"/>
      <c r="S1605" s="20"/>
      <c r="T1605" s="164"/>
      <c r="U1605" s="154">
        <f t="shared" si="87"/>
        <v>42227</v>
      </c>
    </row>
    <row r="1606" spans="2:21" x14ac:dyDescent="0.2">
      <c r="B1606" s="8">
        <f t="shared" si="86"/>
        <v>913</v>
      </c>
      <c r="C1606" s="18"/>
      <c r="D1606" s="18"/>
      <c r="E1606" s="18"/>
      <c r="F1606" s="152"/>
      <c r="G1606" s="153">
        <v>635</v>
      </c>
      <c r="H1606" s="18" t="s">
        <v>143</v>
      </c>
      <c r="I1606" s="19">
        <f>700+10000</f>
        <v>10700</v>
      </c>
      <c r="J1606" s="19">
        <v>10600</v>
      </c>
      <c r="K1606" s="19">
        <v>10600</v>
      </c>
      <c r="L1606" s="20">
        <v>11000</v>
      </c>
      <c r="M1606" s="20">
        <v>1000</v>
      </c>
      <c r="N1606" s="164"/>
      <c r="O1606" s="19"/>
      <c r="P1606" s="19"/>
      <c r="Q1606" s="19"/>
      <c r="R1606" s="20"/>
      <c r="S1606" s="20"/>
      <c r="T1606" s="164"/>
      <c r="U1606" s="154">
        <f t="shared" si="87"/>
        <v>10700</v>
      </c>
    </row>
    <row r="1607" spans="2:21" x14ac:dyDescent="0.2">
      <c r="B1607" s="8">
        <f t="shared" si="86"/>
        <v>914</v>
      </c>
      <c r="C1607" s="18"/>
      <c r="D1607" s="18"/>
      <c r="E1607" s="18"/>
      <c r="F1607" s="152"/>
      <c r="G1607" s="153">
        <v>637</v>
      </c>
      <c r="H1607" s="18" t="s">
        <v>132</v>
      </c>
      <c r="I1607" s="19">
        <f>800+1500+250+750+650</f>
        <v>3950</v>
      </c>
      <c r="J1607" s="19">
        <v>3200</v>
      </c>
      <c r="K1607" s="19">
        <v>3200</v>
      </c>
      <c r="L1607" s="20">
        <v>3000</v>
      </c>
      <c r="M1607" s="20">
        <v>4500</v>
      </c>
      <c r="N1607" s="164"/>
      <c r="O1607" s="19"/>
      <c r="P1607" s="19"/>
      <c r="Q1607" s="19"/>
      <c r="R1607" s="20"/>
      <c r="S1607" s="20"/>
      <c r="T1607" s="164"/>
      <c r="U1607" s="154">
        <f t="shared" si="87"/>
        <v>3950</v>
      </c>
    </row>
    <row r="1608" spans="2:21" x14ac:dyDescent="0.2">
      <c r="B1608" s="8">
        <f t="shared" si="86"/>
        <v>915</v>
      </c>
      <c r="C1608" s="24"/>
      <c r="D1608" s="24"/>
      <c r="E1608" s="24"/>
      <c r="F1608" s="149" t="s">
        <v>85</v>
      </c>
      <c r="G1608" s="150">
        <v>640</v>
      </c>
      <c r="H1608" s="24" t="s">
        <v>139</v>
      </c>
      <c r="I1608" s="25">
        <f>1985+200+300</f>
        <v>2485</v>
      </c>
      <c r="J1608" s="25">
        <v>400</v>
      </c>
      <c r="K1608" s="25">
        <v>400</v>
      </c>
      <c r="L1608" s="26">
        <v>420</v>
      </c>
      <c r="M1608" s="26">
        <v>1523</v>
      </c>
      <c r="N1608" s="501"/>
      <c r="O1608" s="25"/>
      <c r="P1608" s="25"/>
      <c r="Q1608" s="25"/>
      <c r="R1608" s="26"/>
      <c r="S1608" s="26"/>
      <c r="T1608" s="501"/>
      <c r="U1608" s="151">
        <f t="shared" si="87"/>
        <v>2485</v>
      </c>
    </row>
    <row r="1609" spans="2:21" x14ac:dyDescent="0.2">
      <c r="B1609" s="8">
        <f t="shared" si="86"/>
        <v>916</v>
      </c>
      <c r="C1609" s="24"/>
      <c r="D1609" s="24"/>
      <c r="E1609" s="24"/>
      <c r="F1609" s="149" t="s">
        <v>54</v>
      </c>
      <c r="G1609" s="150">
        <v>610</v>
      </c>
      <c r="H1609" s="24" t="s">
        <v>141</v>
      </c>
      <c r="I1609" s="25">
        <v>41300</v>
      </c>
      <c r="J1609" s="25">
        <v>38025</v>
      </c>
      <c r="K1609" s="25">
        <v>38025</v>
      </c>
      <c r="L1609" s="26">
        <v>27815</v>
      </c>
      <c r="M1609" s="26">
        <v>33020</v>
      </c>
      <c r="N1609" s="501"/>
      <c r="O1609" s="25"/>
      <c r="P1609" s="25"/>
      <c r="Q1609" s="25"/>
      <c r="R1609" s="26"/>
      <c r="S1609" s="26"/>
      <c r="T1609" s="501"/>
      <c r="U1609" s="151">
        <f t="shared" si="87"/>
        <v>41300</v>
      </c>
    </row>
    <row r="1610" spans="2:21" x14ac:dyDescent="0.2">
      <c r="B1610" s="8">
        <f t="shared" si="86"/>
        <v>917</v>
      </c>
      <c r="C1610" s="24"/>
      <c r="D1610" s="24"/>
      <c r="E1610" s="24"/>
      <c r="F1610" s="149" t="s">
        <v>54</v>
      </c>
      <c r="G1610" s="150">
        <v>620</v>
      </c>
      <c r="H1610" s="24" t="s">
        <v>134</v>
      </c>
      <c r="I1610" s="25">
        <v>14400</v>
      </c>
      <c r="J1610" s="25">
        <v>13269</v>
      </c>
      <c r="K1610" s="25">
        <v>13269</v>
      </c>
      <c r="L1610" s="26">
        <v>9738</v>
      </c>
      <c r="M1610" s="26">
        <v>11590</v>
      </c>
      <c r="N1610" s="501"/>
      <c r="O1610" s="25"/>
      <c r="P1610" s="25"/>
      <c r="Q1610" s="25"/>
      <c r="R1610" s="26"/>
      <c r="S1610" s="26"/>
      <c r="T1610" s="501"/>
      <c r="U1610" s="151">
        <f t="shared" si="87"/>
        <v>14400</v>
      </c>
    </row>
    <row r="1611" spans="2:21" x14ac:dyDescent="0.2">
      <c r="B1611" s="8">
        <f t="shared" si="86"/>
        <v>918</v>
      </c>
      <c r="C1611" s="24"/>
      <c r="D1611" s="24"/>
      <c r="E1611" s="24"/>
      <c r="F1611" s="149" t="s">
        <v>54</v>
      </c>
      <c r="G1611" s="150">
        <v>630</v>
      </c>
      <c r="H1611" s="24" t="s">
        <v>131</v>
      </c>
      <c r="I1611" s="25">
        <f>I1615+I1614+I1613+I1612</f>
        <v>86895</v>
      </c>
      <c r="J1611" s="25">
        <f>J1615+J1614+J1613+J1612</f>
        <v>86134</v>
      </c>
      <c r="K1611" s="25">
        <f>K1615+K1614+K1613+K1612</f>
        <v>83834</v>
      </c>
      <c r="L1611" s="26">
        <f>L1615+L1614+L1613+L1612</f>
        <v>64706</v>
      </c>
      <c r="M1611" s="26">
        <f>M1615+M1614+M1613+M1612</f>
        <v>35097</v>
      </c>
      <c r="N1611" s="501"/>
      <c r="O1611" s="25"/>
      <c r="P1611" s="25"/>
      <c r="Q1611" s="25"/>
      <c r="R1611" s="26"/>
      <c r="S1611" s="26"/>
      <c r="T1611" s="501"/>
      <c r="U1611" s="151">
        <f t="shared" si="87"/>
        <v>86895</v>
      </c>
    </row>
    <row r="1612" spans="2:21" x14ac:dyDescent="0.2">
      <c r="B1612" s="8">
        <f t="shared" si="86"/>
        <v>919</v>
      </c>
      <c r="C1612" s="18"/>
      <c r="D1612" s="18"/>
      <c r="E1612" s="18"/>
      <c r="F1612" s="152"/>
      <c r="G1612" s="153">
        <v>632</v>
      </c>
      <c r="H1612" s="18" t="s">
        <v>144</v>
      </c>
      <c r="I1612" s="19">
        <f>100+350+150+2000+3000+7000+4000</f>
        <v>16600</v>
      </c>
      <c r="J1612" s="19">
        <v>12530</v>
      </c>
      <c r="K1612" s="19">
        <v>12530</v>
      </c>
      <c r="L1612" s="20">
        <v>7070</v>
      </c>
      <c r="M1612" s="20">
        <v>7120</v>
      </c>
      <c r="N1612" s="164"/>
      <c r="O1612" s="19"/>
      <c r="P1612" s="19"/>
      <c r="Q1612" s="19"/>
      <c r="R1612" s="20"/>
      <c r="S1612" s="20"/>
      <c r="T1612" s="164"/>
      <c r="U1612" s="154">
        <f t="shared" si="87"/>
        <v>16600</v>
      </c>
    </row>
    <row r="1613" spans="2:21" x14ac:dyDescent="0.2">
      <c r="B1613" s="8">
        <f t="shared" si="86"/>
        <v>920</v>
      </c>
      <c r="C1613" s="18"/>
      <c r="D1613" s="18"/>
      <c r="E1613" s="18"/>
      <c r="F1613" s="152"/>
      <c r="G1613" s="153">
        <v>633</v>
      </c>
      <c r="H1613" s="18" t="s">
        <v>135</v>
      </c>
      <c r="I1613" s="19">
        <f>1000+400+300+5000+400+56785</f>
        <v>63885</v>
      </c>
      <c r="J1613" s="19">
        <v>67614</v>
      </c>
      <c r="K1613" s="19">
        <v>65314</v>
      </c>
      <c r="L1613" s="20">
        <v>30311</v>
      </c>
      <c r="M1613" s="20">
        <v>14351</v>
      </c>
      <c r="N1613" s="164"/>
      <c r="O1613" s="19"/>
      <c r="P1613" s="19"/>
      <c r="Q1613" s="19"/>
      <c r="R1613" s="20"/>
      <c r="S1613" s="20"/>
      <c r="T1613" s="164"/>
      <c r="U1613" s="154">
        <f t="shared" si="87"/>
        <v>63885</v>
      </c>
    </row>
    <row r="1614" spans="2:21" x14ac:dyDescent="0.2">
      <c r="B1614" s="8">
        <f t="shared" si="86"/>
        <v>921</v>
      </c>
      <c r="C1614" s="18"/>
      <c r="D1614" s="18"/>
      <c r="E1614" s="18"/>
      <c r="F1614" s="152"/>
      <c r="G1614" s="153">
        <v>635</v>
      </c>
      <c r="H1614" s="18" t="s">
        <v>143</v>
      </c>
      <c r="I1614" s="19">
        <f>800+2000</f>
        <v>2800</v>
      </c>
      <c r="J1614" s="19">
        <v>2600</v>
      </c>
      <c r="K1614" s="19">
        <v>2600</v>
      </c>
      <c r="L1614" s="20">
        <v>6600</v>
      </c>
      <c r="M1614" s="20">
        <v>2600</v>
      </c>
      <c r="N1614" s="164"/>
      <c r="O1614" s="19"/>
      <c r="P1614" s="19"/>
      <c r="Q1614" s="19"/>
      <c r="R1614" s="20"/>
      <c r="S1614" s="20"/>
      <c r="T1614" s="164"/>
      <c r="U1614" s="154">
        <f t="shared" si="87"/>
        <v>2800</v>
      </c>
    </row>
    <row r="1615" spans="2:21" x14ac:dyDescent="0.2">
      <c r="B1615" s="8">
        <f t="shared" si="86"/>
        <v>922</v>
      </c>
      <c r="C1615" s="18"/>
      <c r="D1615" s="18"/>
      <c r="E1615" s="18"/>
      <c r="F1615" s="152"/>
      <c r="G1615" s="153">
        <v>637</v>
      </c>
      <c r="H1615" s="18" t="s">
        <v>132</v>
      </c>
      <c r="I1615" s="19">
        <f>60+1500+250+700+600+500</f>
        <v>3610</v>
      </c>
      <c r="J1615" s="19">
        <v>3390</v>
      </c>
      <c r="K1615" s="19">
        <v>3390</v>
      </c>
      <c r="L1615" s="20">
        <v>20725</v>
      </c>
      <c r="M1615" s="20">
        <v>11026</v>
      </c>
      <c r="N1615" s="164"/>
      <c r="O1615" s="19"/>
      <c r="P1615" s="19"/>
      <c r="Q1615" s="19"/>
      <c r="R1615" s="20"/>
      <c r="S1615" s="20"/>
      <c r="T1615" s="164"/>
      <c r="U1615" s="154">
        <f t="shared" si="87"/>
        <v>3610</v>
      </c>
    </row>
    <row r="1616" spans="2:21" x14ac:dyDescent="0.2">
      <c r="B1616" s="8">
        <f t="shared" si="86"/>
        <v>923</v>
      </c>
      <c r="C1616" s="24"/>
      <c r="D1616" s="24"/>
      <c r="E1616" s="24"/>
      <c r="F1616" s="149" t="s">
        <v>54</v>
      </c>
      <c r="G1616" s="150">
        <v>640</v>
      </c>
      <c r="H1616" s="24" t="s">
        <v>139</v>
      </c>
      <c r="I1616" s="25">
        <v>500</v>
      </c>
      <c r="J1616" s="25">
        <v>500</v>
      </c>
      <c r="K1616" s="25">
        <v>500</v>
      </c>
      <c r="L1616" s="26">
        <v>1575</v>
      </c>
      <c r="M1616" s="26"/>
      <c r="N1616" s="501"/>
      <c r="O1616" s="25"/>
      <c r="P1616" s="25"/>
      <c r="Q1616" s="25"/>
      <c r="R1616" s="26"/>
      <c r="S1616" s="26"/>
      <c r="T1616" s="501"/>
      <c r="U1616" s="151">
        <f t="shared" si="87"/>
        <v>500</v>
      </c>
    </row>
    <row r="1617" spans="2:21" x14ac:dyDescent="0.2">
      <c r="B1617" s="8">
        <f t="shared" si="86"/>
        <v>924</v>
      </c>
      <c r="C1617" s="24"/>
      <c r="D1617" s="24"/>
      <c r="E1617" s="24"/>
      <c r="F1617" s="149" t="s">
        <v>54</v>
      </c>
      <c r="G1617" s="150">
        <v>710</v>
      </c>
      <c r="H1617" s="24" t="s">
        <v>185</v>
      </c>
      <c r="I1617" s="25"/>
      <c r="J1617" s="25"/>
      <c r="K1617" s="25"/>
      <c r="L1617" s="26"/>
      <c r="M1617" s="26"/>
      <c r="N1617" s="501"/>
      <c r="O1617" s="25"/>
      <c r="P1617" s="25"/>
      <c r="Q1617" s="25">
        <f>Q1618</f>
        <v>2300</v>
      </c>
      <c r="R1617" s="26"/>
      <c r="S1617" s="26">
        <f>S1618</f>
        <v>4800</v>
      </c>
      <c r="T1617" s="501"/>
      <c r="U1617" s="151">
        <f t="shared" si="87"/>
        <v>0</v>
      </c>
    </row>
    <row r="1618" spans="2:21" x14ac:dyDescent="0.2">
      <c r="B1618" s="8">
        <f t="shared" si="86"/>
        <v>925</v>
      </c>
      <c r="C1618" s="18"/>
      <c r="D1618" s="18"/>
      <c r="E1618" s="18"/>
      <c r="F1618" s="152"/>
      <c r="G1618" s="153">
        <v>713</v>
      </c>
      <c r="H1618" s="18" t="s">
        <v>230</v>
      </c>
      <c r="I1618" s="19"/>
      <c r="J1618" s="19"/>
      <c r="K1618" s="19"/>
      <c r="L1618" s="20"/>
      <c r="M1618" s="20"/>
      <c r="N1618" s="164"/>
      <c r="O1618" s="19"/>
      <c r="P1618" s="19"/>
      <c r="Q1618" s="19">
        <f>Q1619</f>
        <v>2300</v>
      </c>
      <c r="R1618" s="20"/>
      <c r="S1618" s="20">
        <f>S1619</f>
        <v>4800</v>
      </c>
      <c r="T1618" s="164"/>
      <c r="U1618" s="154">
        <f t="shared" si="87"/>
        <v>0</v>
      </c>
    </row>
    <row r="1619" spans="2:21" s="165" customFormat="1" x14ac:dyDescent="0.2">
      <c r="B1619" s="8">
        <f t="shared" si="86"/>
        <v>926</v>
      </c>
      <c r="C1619" s="156"/>
      <c r="D1619" s="156"/>
      <c r="E1619" s="156"/>
      <c r="F1619" s="272"/>
      <c r="G1619" s="155"/>
      <c r="H1619" s="156" t="s">
        <v>586</v>
      </c>
      <c r="I1619" s="157"/>
      <c r="J1619" s="157"/>
      <c r="K1619" s="157"/>
      <c r="L1619" s="158"/>
      <c r="M1619" s="158"/>
      <c r="N1619" s="535"/>
      <c r="O1619" s="157"/>
      <c r="P1619" s="157"/>
      <c r="Q1619" s="157">
        <v>2300</v>
      </c>
      <c r="R1619" s="158"/>
      <c r="S1619" s="158">
        <v>4800</v>
      </c>
      <c r="T1619" s="535"/>
      <c r="U1619" s="159">
        <f t="shared" si="87"/>
        <v>0</v>
      </c>
    </row>
    <row r="1620" spans="2:21" ht="15.75" x14ac:dyDescent="0.25">
      <c r="B1620" s="8">
        <f t="shared" si="86"/>
        <v>927</v>
      </c>
      <c r="C1620" s="141">
        <v>5</v>
      </c>
      <c r="D1620" s="677" t="s">
        <v>130</v>
      </c>
      <c r="E1620" s="678"/>
      <c r="F1620" s="678"/>
      <c r="G1620" s="678"/>
      <c r="H1620" s="678"/>
      <c r="I1620" s="142">
        <f>I1621+I1627+I1636+I1641+I1644</f>
        <v>708418</v>
      </c>
      <c r="J1620" s="142">
        <f>J1621+J1627+J1636+J1641+J1644</f>
        <v>443688</v>
      </c>
      <c r="K1620" s="142">
        <f>K1621+K1627+K1636+K1641+K1644</f>
        <v>409240</v>
      </c>
      <c r="L1620" s="143">
        <f>L1621+L1627+L1636+L1641+L1644</f>
        <v>299855</v>
      </c>
      <c r="M1620" s="143">
        <f>M1621+M1627+M1636+M1641+M1644</f>
        <v>261368</v>
      </c>
      <c r="N1620" s="533"/>
      <c r="O1620" s="142"/>
      <c r="P1620" s="142">
        <f>P1621+P1627+P1636+P1644</f>
        <v>0</v>
      </c>
      <c r="Q1620" s="142">
        <f>Q1621+Q1627+Q1636+Q1644</f>
        <v>0</v>
      </c>
      <c r="R1620" s="143">
        <f>R1644</f>
        <v>20980</v>
      </c>
      <c r="S1620" s="143">
        <v>0</v>
      </c>
      <c r="T1620" s="533"/>
      <c r="U1620" s="144">
        <f t="shared" si="87"/>
        <v>708418</v>
      </c>
    </row>
    <row r="1621" spans="2:21" x14ac:dyDescent="0.2">
      <c r="B1621" s="8">
        <f t="shared" si="86"/>
        <v>928</v>
      </c>
      <c r="C1621" s="280"/>
      <c r="D1621" s="280"/>
      <c r="E1621" s="280"/>
      <c r="F1621" s="281"/>
      <c r="G1621" s="281"/>
      <c r="H1621" s="280" t="s">
        <v>138</v>
      </c>
      <c r="I1621" s="282">
        <f>I1622+I1623+I1624</f>
        <v>6520</v>
      </c>
      <c r="J1621" s="282">
        <f>J1622+J1623+J1624</f>
        <v>5756</v>
      </c>
      <c r="K1621" s="282">
        <f>K1622+K1623+K1624</f>
        <v>4940</v>
      </c>
      <c r="L1621" s="283">
        <f>L1622+L1623+L1624</f>
        <v>3173</v>
      </c>
      <c r="M1621" s="283">
        <f>M1622+M1623+M1624</f>
        <v>2218</v>
      </c>
      <c r="N1621" s="501"/>
      <c r="O1621" s="282"/>
      <c r="P1621" s="282"/>
      <c r="Q1621" s="282"/>
      <c r="R1621" s="283"/>
      <c r="S1621" s="283"/>
      <c r="T1621" s="501"/>
      <c r="U1621" s="284">
        <f t="shared" si="87"/>
        <v>6520</v>
      </c>
    </row>
    <row r="1622" spans="2:21" x14ac:dyDescent="0.2">
      <c r="B1622" s="8">
        <f t="shared" si="86"/>
        <v>929</v>
      </c>
      <c r="C1622" s="24"/>
      <c r="D1622" s="24"/>
      <c r="E1622" s="24"/>
      <c r="F1622" s="149" t="s">
        <v>55</v>
      </c>
      <c r="G1622" s="150">
        <v>610</v>
      </c>
      <c r="H1622" s="24" t="s">
        <v>141</v>
      </c>
      <c r="I1622" s="25">
        <v>1200</v>
      </c>
      <c r="J1622" s="25">
        <v>600</v>
      </c>
      <c r="K1622" s="25"/>
      <c r="L1622" s="26"/>
      <c r="M1622" s="26"/>
      <c r="N1622" s="501"/>
      <c r="O1622" s="25"/>
      <c r="P1622" s="25"/>
      <c r="Q1622" s="25"/>
      <c r="R1622" s="26"/>
      <c r="S1622" s="26"/>
      <c r="T1622" s="501"/>
      <c r="U1622" s="151">
        <f t="shared" si="87"/>
        <v>1200</v>
      </c>
    </row>
    <row r="1623" spans="2:21" x14ac:dyDescent="0.2">
      <c r="B1623" s="8">
        <f t="shared" si="86"/>
        <v>930</v>
      </c>
      <c r="C1623" s="24"/>
      <c r="D1623" s="24"/>
      <c r="E1623" s="24"/>
      <c r="F1623" s="149" t="s">
        <v>55</v>
      </c>
      <c r="G1623" s="150">
        <v>620</v>
      </c>
      <c r="H1623" s="24" t="s">
        <v>134</v>
      </c>
      <c r="I1623" s="25">
        <v>420</v>
      </c>
      <c r="J1623" s="25">
        <v>216</v>
      </c>
      <c r="K1623" s="25"/>
      <c r="L1623" s="26"/>
      <c r="M1623" s="26"/>
      <c r="N1623" s="501"/>
      <c r="O1623" s="25"/>
      <c r="P1623" s="25"/>
      <c r="Q1623" s="25"/>
      <c r="R1623" s="26"/>
      <c r="S1623" s="26"/>
      <c r="T1623" s="501"/>
      <c r="U1623" s="151">
        <f t="shared" si="87"/>
        <v>420</v>
      </c>
    </row>
    <row r="1624" spans="2:21" x14ac:dyDescent="0.2">
      <c r="B1624" s="8">
        <f t="shared" si="86"/>
        <v>931</v>
      </c>
      <c r="C1624" s="24"/>
      <c r="D1624" s="24"/>
      <c r="E1624" s="24"/>
      <c r="F1624" s="149" t="s">
        <v>55</v>
      </c>
      <c r="G1624" s="150">
        <v>630</v>
      </c>
      <c r="H1624" s="24" t="s">
        <v>131</v>
      </c>
      <c r="I1624" s="25">
        <f>I1625+I1626</f>
        <v>4900</v>
      </c>
      <c r="J1624" s="25">
        <f>J1625</f>
        <v>4940</v>
      </c>
      <c r="K1624" s="25">
        <f>K1625</f>
        <v>4940</v>
      </c>
      <c r="L1624" s="26">
        <f>L1625</f>
        <v>3173</v>
      </c>
      <c r="M1624" s="26">
        <f>M1625</f>
        <v>2218</v>
      </c>
      <c r="N1624" s="501"/>
      <c r="O1624" s="25"/>
      <c r="P1624" s="25"/>
      <c r="Q1624" s="25"/>
      <c r="R1624" s="26"/>
      <c r="S1624" s="26"/>
      <c r="T1624" s="501"/>
      <c r="U1624" s="151">
        <f t="shared" si="87"/>
        <v>4900</v>
      </c>
    </row>
    <row r="1625" spans="2:21" x14ac:dyDescent="0.2">
      <c r="B1625" s="8">
        <f t="shared" si="86"/>
        <v>932</v>
      </c>
      <c r="C1625" s="18"/>
      <c r="D1625" s="18"/>
      <c r="E1625" s="18"/>
      <c r="F1625" s="152"/>
      <c r="G1625" s="153">
        <v>633</v>
      </c>
      <c r="H1625" s="18" t="s">
        <v>135</v>
      </c>
      <c r="I1625" s="19">
        <f>900+4000</f>
        <v>4900</v>
      </c>
      <c r="J1625" s="19">
        <v>4940</v>
      </c>
      <c r="K1625" s="19">
        <v>4940</v>
      </c>
      <c r="L1625" s="20">
        <v>3173</v>
      </c>
      <c r="M1625" s="20">
        <v>2218</v>
      </c>
      <c r="N1625" s="164"/>
      <c r="O1625" s="19"/>
      <c r="P1625" s="19"/>
      <c r="Q1625" s="19"/>
      <c r="R1625" s="20"/>
      <c r="S1625" s="20"/>
      <c r="T1625" s="164"/>
      <c r="U1625" s="154">
        <f t="shared" si="87"/>
        <v>4900</v>
      </c>
    </row>
    <row r="1626" spans="2:21" x14ac:dyDescent="0.2">
      <c r="B1626" s="8">
        <f t="shared" si="86"/>
        <v>933</v>
      </c>
      <c r="C1626" s="18"/>
      <c r="D1626" s="18"/>
      <c r="E1626" s="18"/>
      <c r="F1626" s="152"/>
      <c r="G1626" s="153">
        <v>637</v>
      </c>
      <c r="H1626" s="18" t="s">
        <v>132</v>
      </c>
      <c r="I1626" s="19"/>
      <c r="J1626" s="19"/>
      <c r="K1626" s="19"/>
      <c r="L1626" s="20"/>
      <c r="M1626" s="20"/>
      <c r="N1626" s="164"/>
      <c r="O1626" s="19"/>
      <c r="P1626" s="19"/>
      <c r="Q1626" s="19"/>
      <c r="R1626" s="20"/>
      <c r="S1626" s="20"/>
      <c r="T1626" s="164"/>
      <c r="U1626" s="154">
        <f t="shared" si="87"/>
        <v>0</v>
      </c>
    </row>
    <row r="1627" spans="2:21" x14ac:dyDescent="0.2">
      <c r="B1627" s="8">
        <f t="shared" si="86"/>
        <v>934</v>
      </c>
      <c r="C1627" s="280"/>
      <c r="D1627" s="280"/>
      <c r="E1627" s="280"/>
      <c r="F1627" s="281"/>
      <c r="G1627" s="281"/>
      <c r="H1627" s="280" t="s">
        <v>133</v>
      </c>
      <c r="I1627" s="282">
        <f>I1628+I1629+I1630+I1634</f>
        <v>59650</v>
      </c>
      <c r="J1627" s="282">
        <f>J1628+J1629+J1630+J1634</f>
        <v>52379</v>
      </c>
      <c r="K1627" s="282">
        <f>K1628+K1629+K1630+K1634</f>
        <v>52379</v>
      </c>
      <c r="L1627" s="283">
        <f>L1628+L1629+L1630+L1634+L1635</f>
        <v>43547</v>
      </c>
      <c r="M1627" s="283">
        <f>M1628+M1629+M1630</f>
        <v>40794</v>
      </c>
      <c r="N1627" s="501"/>
      <c r="O1627" s="282"/>
      <c r="P1627" s="282"/>
      <c r="Q1627" s="282"/>
      <c r="R1627" s="283"/>
      <c r="S1627" s="283"/>
      <c r="T1627" s="501"/>
      <c r="U1627" s="284">
        <f t="shared" si="87"/>
        <v>59650</v>
      </c>
    </row>
    <row r="1628" spans="2:21" x14ac:dyDescent="0.2">
      <c r="B1628" s="8">
        <f t="shared" si="86"/>
        <v>935</v>
      </c>
      <c r="C1628" s="24"/>
      <c r="D1628" s="24"/>
      <c r="E1628" s="24"/>
      <c r="F1628" s="149" t="s">
        <v>55</v>
      </c>
      <c r="G1628" s="150">
        <v>610</v>
      </c>
      <c r="H1628" s="24" t="s">
        <v>141</v>
      </c>
      <c r="I1628" s="25">
        <f>33000+7000</f>
        <v>40000</v>
      </c>
      <c r="J1628" s="25">
        <v>36400</v>
      </c>
      <c r="K1628" s="25">
        <v>36400</v>
      </c>
      <c r="L1628" s="26">
        <v>30596</v>
      </c>
      <c r="M1628" s="26">
        <v>25913</v>
      </c>
      <c r="N1628" s="501"/>
      <c r="O1628" s="25"/>
      <c r="P1628" s="25"/>
      <c r="Q1628" s="25"/>
      <c r="R1628" s="26"/>
      <c r="S1628" s="26"/>
      <c r="T1628" s="501"/>
      <c r="U1628" s="151">
        <f t="shared" si="87"/>
        <v>40000</v>
      </c>
    </row>
    <row r="1629" spans="2:21" x14ac:dyDescent="0.2">
      <c r="B1629" s="8">
        <f t="shared" si="86"/>
        <v>936</v>
      </c>
      <c r="C1629" s="24"/>
      <c r="D1629" s="24"/>
      <c r="E1629" s="24"/>
      <c r="F1629" s="149" t="s">
        <v>55</v>
      </c>
      <c r="G1629" s="150">
        <v>620</v>
      </c>
      <c r="H1629" s="24" t="s">
        <v>134</v>
      </c>
      <c r="I1629" s="25">
        <f>4000+560+5600+320+1200+400+1900+800</f>
        <v>14780</v>
      </c>
      <c r="J1629" s="25">
        <v>13450</v>
      </c>
      <c r="K1629" s="25">
        <v>13450</v>
      </c>
      <c r="L1629" s="26">
        <v>11195</v>
      </c>
      <c r="M1629" s="26">
        <v>9578</v>
      </c>
      <c r="N1629" s="501"/>
      <c r="O1629" s="25"/>
      <c r="P1629" s="25"/>
      <c r="Q1629" s="25"/>
      <c r="R1629" s="26"/>
      <c r="S1629" s="26"/>
      <c r="T1629" s="501"/>
      <c r="U1629" s="151">
        <f t="shared" si="87"/>
        <v>14780</v>
      </c>
    </row>
    <row r="1630" spans="2:21" x14ac:dyDescent="0.2">
      <c r="B1630" s="8">
        <f t="shared" si="86"/>
        <v>937</v>
      </c>
      <c r="C1630" s="24"/>
      <c r="D1630" s="24"/>
      <c r="E1630" s="24"/>
      <c r="F1630" s="149" t="s">
        <v>55</v>
      </c>
      <c r="G1630" s="150">
        <v>630</v>
      </c>
      <c r="H1630" s="24" t="s">
        <v>131</v>
      </c>
      <c r="I1630" s="25">
        <f>SUM(I1631:I1633)</f>
        <v>2870</v>
      </c>
      <c r="J1630" s="25">
        <f>SUM(J1631:J1633)</f>
        <v>1231</v>
      </c>
      <c r="K1630" s="25">
        <f>SUM(K1631:K1633)</f>
        <v>1231</v>
      </c>
      <c r="L1630" s="26">
        <f>SUM(L1631:L1633)</f>
        <v>413</v>
      </c>
      <c r="M1630" s="26">
        <f>SUM(M1631:M1633)</f>
        <v>5303</v>
      </c>
      <c r="N1630" s="501"/>
      <c r="O1630" s="25"/>
      <c r="P1630" s="25"/>
      <c r="Q1630" s="25"/>
      <c r="R1630" s="26"/>
      <c r="S1630" s="26"/>
      <c r="T1630" s="501"/>
      <c r="U1630" s="151">
        <f t="shared" si="87"/>
        <v>2870</v>
      </c>
    </row>
    <row r="1631" spans="2:21" x14ac:dyDescent="0.2">
      <c r="B1631" s="8">
        <f t="shared" si="86"/>
        <v>938</v>
      </c>
      <c r="C1631" s="18"/>
      <c r="D1631" s="18"/>
      <c r="E1631" s="18"/>
      <c r="F1631" s="152"/>
      <c r="G1631" s="153">
        <v>632</v>
      </c>
      <c r="H1631" s="18" t="s">
        <v>144</v>
      </c>
      <c r="I1631" s="19"/>
      <c r="J1631" s="19"/>
      <c r="K1631" s="19"/>
      <c r="L1631" s="20">
        <v>13</v>
      </c>
      <c r="M1631" s="20">
        <v>84</v>
      </c>
      <c r="N1631" s="164"/>
      <c r="O1631" s="19"/>
      <c r="P1631" s="19"/>
      <c r="Q1631" s="19"/>
      <c r="R1631" s="20"/>
      <c r="S1631" s="20"/>
      <c r="T1631" s="164"/>
      <c r="U1631" s="154">
        <f t="shared" si="87"/>
        <v>0</v>
      </c>
    </row>
    <row r="1632" spans="2:21" x14ac:dyDescent="0.2">
      <c r="B1632" s="8">
        <f t="shared" si="86"/>
        <v>939</v>
      </c>
      <c r="C1632" s="18"/>
      <c r="D1632" s="18"/>
      <c r="E1632" s="18"/>
      <c r="F1632" s="152"/>
      <c r="G1632" s="153">
        <v>633</v>
      </c>
      <c r="H1632" s="18" t="s">
        <v>135</v>
      </c>
      <c r="I1632" s="19">
        <f>400+900</f>
        <v>1300</v>
      </c>
      <c r="J1632" s="19">
        <v>300</v>
      </c>
      <c r="K1632" s="19">
        <v>300</v>
      </c>
      <c r="L1632" s="20"/>
      <c r="M1632" s="20">
        <v>226</v>
      </c>
      <c r="N1632" s="164"/>
      <c r="O1632" s="19"/>
      <c r="P1632" s="19"/>
      <c r="Q1632" s="19"/>
      <c r="R1632" s="20"/>
      <c r="S1632" s="20"/>
      <c r="T1632" s="164"/>
      <c r="U1632" s="154">
        <f t="shared" si="87"/>
        <v>1300</v>
      </c>
    </row>
    <row r="1633" spans="2:27" x14ac:dyDescent="0.2">
      <c r="B1633" s="8">
        <f t="shared" si="86"/>
        <v>940</v>
      </c>
      <c r="C1633" s="18"/>
      <c r="D1633" s="18"/>
      <c r="E1633" s="18"/>
      <c r="F1633" s="152"/>
      <c r="G1633" s="153">
        <v>637</v>
      </c>
      <c r="H1633" s="18" t="s">
        <v>132</v>
      </c>
      <c r="I1633" s="19">
        <f>600+550+420</f>
        <v>1570</v>
      </c>
      <c r="J1633" s="19">
        <v>931</v>
      </c>
      <c r="K1633" s="19">
        <v>931</v>
      </c>
      <c r="L1633" s="20">
        <v>400</v>
      </c>
      <c r="M1633" s="20">
        <f>1281+3712</f>
        <v>4993</v>
      </c>
      <c r="N1633" s="164"/>
      <c r="O1633" s="19"/>
      <c r="P1633" s="19"/>
      <c r="Q1633" s="19"/>
      <c r="R1633" s="20"/>
      <c r="S1633" s="20"/>
      <c r="T1633" s="164"/>
      <c r="U1633" s="154">
        <f t="shared" si="87"/>
        <v>1570</v>
      </c>
    </row>
    <row r="1634" spans="2:27" x14ac:dyDescent="0.2">
      <c r="B1634" s="8">
        <f t="shared" si="86"/>
        <v>941</v>
      </c>
      <c r="C1634" s="18"/>
      <c r="D1634" s="18"/>
      <c r="E1634" s="18"/>
      <c r="F1634" s="152" t="s">
        <v>55</v>
      </c>
      <c r="G1634" s="150">
        <v>640</v>
      </c>
      <c r="H1634" s="24" t="s">
        <v>139</v>
      </c>
      <c r="I1634" s="25">
        <v>2000</v>
      </c>
      <c r="J1634" s="25">
        <v>1298</v>
      </c>
      <c r="K1634" s="25">
        <v>1298</v>
      </c>
      <c r="L1634" s="26">
        <v>1332</v>
      </c>
      <c r="M1634" s="20"/>
      <c r="N1634" s="164"/>
      <c r="O1634" s="19"/>
      <c r="P1634" s="19"/>
      <c r="Q1634" s="19"/>
      <c r="R1634" s="20"/>
      <c r="S1634" s="20"/>
      <c r="T1634" s="164"/>
      <c r="U1634" s="154">
        <f t="shared" si="87"/>
        <v>2000</v>
      </c>
    </row>
    <row r="1635" spans="2:27" x14ac:dyDescent="0.2">
      <c r="B1635" s="8">
        <f t="shared" ref="B1635:B1657" si="88">B1634+1</f>
        <v>942</v>
      </c>
      <c r="C1635" s="18"/>
      <c r="D1635" s="18"/>
      <c r="E1635" s="18"/>
      <c r="F1635" s="152"/>
      <c r="G1635" s="150">
        <v>630</v>
      </c>
      <c r="H1635" s="24" t="s">
        <v>534</v>
      </c>
      <c r="I1635" s="25"/>
      <c r="J1635" s="19"/>
      <c r="K1635" s="25"/>
      <c r="L1635" s="20">
        <v>11</v>
      </c>
      <c r="M1635" s="20"/>
      <c r="N1635" s="164"/>
      <c r="O1635" s="19"/>
      <c r="P1635" s="19"/>
      <c r="Q1635" s="19"/>
      <c r="R1635" s="20"/>
      <c r="S1635" s="20"/>
      <c r="T1635" s="164"/>
      <c r="U1635" s="154">
        <f t="shared" si="87"/>
        <v>0</v>
      </c>
    </row>
    <row r="1636" spans="2:27" x14ac:dyDescent="0.2">
      <c r="B1636" s="8">
        <f t="shared" si="88"/>
        <v>943</v>
      </c>
      <c r="C1636" s="289"/>
      <c r="D1636" s="289"/>
      <c r="E1636" s="289"/>
      <c r="F1636" s="290"/>
      <c r="G1636" s="291"/>
      <c r="H1636" s="289" t="s">
        <v>507</v>
      </c>
      <c r="I1636" s="279">
        <f>I1637</f>
        <v>30000</v>
      </c>
      <c r="J1636" s="279">
        <f>J1637</f>
        <v>24000</v>
      </c>
      <c r="K1636" s="279">
        <f>K1637</f>
        <v>30000</v>
      </c>
      <c r="L1636" s="292">
        <f>L1637</f>
        <v>48093</v>
      </c>
      <c r="M1636" s="292">
        <f>M1637</f>
        <v>15000</v>
      </c>
      <c r="N1636" s="501"/>
      <c r="O1636" s="279"/>
      <c r="P1636" s="279"/>
      <c r="Q1636" s="279"/>
      <c r="R1636" s="292"/>
      <c r="S1636" s="292"/>
      <c r="T1636" s="501"/>
      <c r="U1636" s="293">
        <f t="shared" si="87"/>
        <v>30000</v>
      </c>
    </row>
    <row r="1637" spans="2:27" x14ac:dyDescent="0.2">
      <c r="B1637" s="8">
        <f t="shared" si="88"/>
        <v>944</v>
      </c>
      <c r="C1637" s="24"/>
      <c r="D1637" s="24"/>
      <c r="E1637" s="24"/>
      <c r="F1637" s="149" t="s">
        <v>55</v>
      </c>
      <c r="G1637" s="150">
        <v>640</v>
      </c>
      <c r="H1637" s="24" t="s">
        <v>139</v>
      </c>
      <c r="I1637" s="25">
        <f>SUM(I1638:I1640)</f>
        <v>30000</v>
      </c>
      <c r="J1637" s="25">
        <f>SUM(J1638:J1640)</f>
        <v>24000</v>
      </c>
      <c r="K1637" s="25">
        <f>K1638+K1639+K1640</f>
        <v>30000</v>
      </c>
      <c r="L1637" s="26">
        <f>SUM(L1638:L1640)</f>
        <v>48093</v>
      </c>
      <c r="M1637" s="26">
        <f>M1638</f>
        <v>15000</v>
      </c>
      <c r="N1637" s="501"/>
      <c r="O1637" s="25"/>
      <c r="P1637" s="25"/>
      <c r="Q1637" s="25"/>
      <c r="R1637" s="26"/>
      <c r="S1637" s="26"/>
      <c r="T1637" s="501"/>
      <c r="U1637" s="151">
        <f t="shared" si="87"/>
        <v>30000</v>
      </c>
    </row>
    <row r="1638" spans="2:27" x14ac:dyDescent="0.2">
      <c r="B1638" s="8">
        <f t="shared" si="88"/>
        <v>945</v>
      </c>
      <c r="C1638" s="18"/>
      <c r="D1638" s="18"/>
      <c r="E1638" s="18"/>
      <c r="F1638" s="152"/>
      <c r="G1638" s="153"/>
      <c r="H1638" s="156" t="s">
        <v>280</v>
      </c>
      <c r="I1638" s="157">
        <v>15000</v>
      </c>
      <c r="J1638" s="157">
        <v>12000</v>
      </c>
      <c r="K1638" s="157">
        <v>14300</v>
      </c>
      <c r="L1638" s="158">
        <v>14516</v>
      </c>
      <c r="M1638" s="158">
        <v>15000</v>
      </c>
      <c r="N1638" s="164"/>
      <c r="O1638" s="19"/>
      <c r="P1638" s="19"/>
      <c r="Q1638" s="19"/>
      <c r="R1638" s="20"/>
      <c r="S1638" s="20"/>
      <c r="T1638" s="164"/>
      <c r="U1638" s="154">
        <f t="shared" si="87"/>
        <v>15000</v>
      </c>
    </row>
    <row r="1639" spans="2:27" s="294" customFormat="1" ht="12" x14ac:dyDescent="0.2">
      <c r="B1639" s="8">
        <f t="shared" si="88"/>
        <v>946</v>
      </c>
      <c r="C1639" s="18"/>
      <c r="D1639" s="18"/>
      <c r="E1639" s="18"/>
      <c r="F1639" s="152"/>
      <c r="G1639" s="153"/>
      <c r="H1639" s="156" t="s">
        <v>15</v>
      </c>
      <c r="I1639" s="157">
        <v>15000</v>
      </c>
      <c r="J1639" s="157">
        <v>12000</v>
      </c>
      <c r="K1639" s="157">
        <v>15700</v>
      </c>
      <c r="L1639" s="158">
        <v>13577</v>
      </c>
      <c r="M1639" s="158"/>
      <c r="N1639" s="164"/>
      <c r="O1639" s="19"/>
      <c r="P1639" s="19"/>
      <c r="Q1639" s="19"/>
      <c r="R1639" s="20"/>
      <c r="S1639" s="20"/>
      <c r="T1639" s="164"/>
      <c r="U1639" s="154">
        <f t="shared" si="87"/>
        <v>15000</v>
      </c>
    </row>
    <row r="1640" spans="2:27" s="294" customFormat="1" ht="12" x14ac:dyDescent="0.2">
      <c r="B1640" s="8">
        <f t="shared" si="88"/>
        <v>947</v>
      </c>
      <c r="C1640" s="18"/>
      <c r="D1640" s="18"/>
      <c r="E1640" s="18"/>
      <c r="F1640" s="152"/>
      <c r="G1640" s="153"/>
      <c r="H1640" s="156" t="s">
        <v>784</v>
      </c>
      <c r="I1640" s="157"/>
      <c r="J1640" s="157"/>
      <c r="K1640" s="157"/>
      <c r="L1640" s="158">
        <v>20000</v>
      </c>
      <c r="M1640" s="158"/>
      <c r="N1640" s="164"/>
      <c r="O1640" s="19"/>
      <c r="P1640" s="19"/>
      <c r="Q1640" s="19"/>
      <c r="R1640" s="20"/>
      <c r="S1640" s="20"/>
      <c r="T1640" s="164"/>
      <c r="U1640" s="154">
        <f t="shared" si="87"/>
        <v>0</v>
      </c>
    </row>
    <row r="1641" spans="2:27" x14ac:dyDescent="0.2">
      <c r="B1641" s="8">
        <f t="shared" si="88"/>
        <v>948</v>
      </c>
      <c r="C1641" s="289"/>
      <c r="D1641" s="289"/>
      <c r="E1641" s="289"/>
      <c r="F1641" s="290"/>
      <c r="G1641" s="291"/>
      <c r="H1641" s="289" t="s">
        <v>139</v>
      </c>
      <c r="I1641" s="279">
        <f t="shared" ref="I1641:K1642" si="89">I1642</f>
        <v>224238</v>
      </c>
      <c r="J1641" s="279">
        <f t="shared" si="89"/>
        <v>43052</v>
      </c>
      <c r="K1641" s="279">
        <f t="shared" si="89"/>
        <v>1120</v>
      </c>
      <c r="L1641" s="292"/>
      <c r="M1641" s="292"/>
      <c r="N1641" s="501"/>
      <c r="O1641" s="279"/>
      <c r="P1641" s="279"/>
      <c r="Q1641" s="279"/>
      <c r="R1641" s="292"/>
      <c r="S1641" s="292"/>
      <c r="T1641" s="501"/>
      <c r="U1641" s="293">
        <f t="shared" si="87"/>
        <v>224238</v>
      </c>
    </row>
    <row r="1642" spans="2:27" x14ac:dyDescent="0.2">
      <c r="B1642" s="8">
        <f t="shared" si="88"/>
        <v>949</v>
      </c>
      <c r="C1642" s="18"/>
      <c r="D1642" s="18"/>
      <c r="E1642" s="18"/>
      <c r="F1642" s="152" t="s">
        <v>129</v>
      </c>
      <c r="G1642" s="153">
        <v>640</v>
      </c>
      <c r="H1642" s="18" t="s">
        <v>140</v>
      </c>
      <c r="I1642" s="19">
        <f t="shared" si="89"/>
        <v>224238</v>
      </c>
      <c r="J1642" s="19">
        <f t="shared" si="89"/>
        <v>43052</v>
      </c>
      <c r="K1642" s="19">
        <f t="shared" si="89"/>
        <v>1120</v>
      </c>
      <c r="L1642" s="20"/>
      <c r="M1642" s="20"/>
      <c r="N1642" s="164"/>
      <c r="O1642" s="19"/>
      <c r="P1642" s="19"/>
      <c r="Q1642" s="19"/>
      <c r="R1642" s="20"/>
      <c r="S1642" s="20"/>
      <c r="T1642" s="164"/>
      <c r="U1642" s="154">
        <f t="shared" si="87"/>
        <v>224238</v>
      </c>
    </row>
    <row r="1643" spans="2:27" s="294" customFormat="1" ht="12" x14ac:dyDescent="0.2">
      <c r="B1643" s="8">
        <f t="shared" si="88"/>
        <v>950</v>
      </c>
      <c r="C1643" s="156"/>
      <c r="D1643" s="156"/>
      <c r="E1643" s="156"/>
      <c r="F1643" s="155"/>
      <c r="G1643" s="155"/>
      <c r="H1643" s="156" t="s">
        <v>587</v>
      </c>
      <c r="I1643" s="157">
        <f>30000+33858+160380</f>
        <v>224238</v>
      </c>
      <c r="J1643" s="157">
        <v>43052</v>
      </c>
      <c r="K1643" s="157">
        <v>1120</v>
      </c>
      <c r="L1643" s="158"/>
      <c r="M1643" s="158"/>
      <c r="N1643" s="535"/>
      <c r="O1643" s="157"/>
      <c r="P1643" s="157"/>
      <c r="Q1643" s="157"/>
      <c r="R1643" s="158"/>
      <c r="S1643" s="158"/>
      <c r="T1643" s="535"/>
      <c r="U1643" s="159">
        <f t="shared" si="87"/>
        <v>224238</v>
      </c>
    </row>
    <row r="1644" spans="2:27" ht="14.25" x14ac:dyDescent="0.2">
      <c r="B1644" s="8">
        <f t="shared" si="88"/>
        <v>951</v>
      </c>
      <c r="C1644" s="267"/>
      <c r="D1644" s="267"/>
      <c r="E1644" s="267">
        <v>4</v>
      </c>
      <c r="F1644" s="268"/>
      <c r="G1644" s="268"/>
      <c r="H1644" s="267" t="s">
        <v>89</v>
      </c>
      <c r="I1644" s="269">
        <f>I1645+I1646+I1647+I1655</f>
        <v>388010</v>
      </c>
      <c r="J1644" s="269">
        <f>J1645+J1646+J1647+J1655</f>
        <v>318501</v>
      </c>
      <c r="K1644" s="269">
        <f>K1645+K1646+K1647+K1655</f>
        <v>320801</v>
      </c>
      <c r="L1644" s="270">
        <f>L1645+L1646+L1647+L1655</f>
        <v>205042</v>
      </c>
      <c r="M1644" s="270">
        <f>M1645+M1646+M1647+M1655</f>
        <v>203356</v>
      </c>
      <c r="N1644" s="534"/>
      <c r="O1644" s="269"/>
      <c r="P1644" s="269"/>
      <c r="Q1644" s="269"/>
      <c r="R1644" s="270">
        <f>R1656</f>
        <v>20980</v>
      </c>
      <c r="S1644" s="270"/>
      <c r="T1644" s="534"/>
      <c r="U1644" s="271">
        <f t="shared" si="87"/>
        <v>388010</v>
      </c>
      <c r="Y1644" s="2"/>
      <c r="Z1644" s="2"/>
      <c r="AA1644" s="2"/>
    </row>
    <row r="1645" spans="2:27" x14ac:dyDescent="0.2">
      <c r="B1645" s="8">
        <f t="shared" si="88"/>
        <v>952</v>
      </c>
      <c r="C1645" s="24"/>
      <c r="D1645" s="24"/>
      <c r="E1645" s="24"/>
      <c r="F1645" s="149" t="s">
        <v>78</v>
      </c>
      <c r="G1645" s="150">
        <v>610</v>
      </c>
      <c r="H1645" s="24" t="s">
        <v>141</v>
      </c>
      <c r="I1645" s="25">
        <f>91842+23616+5880+20223</f>
        <v>141561</v>
      </c>
      <c r="J1645" s="25">
        <v>111301</v>
      </c>
      <c r="K1645" s="25">
        <v>111301</v>
      </c>
      <c r="L1645" s="26">
        <v>108609</v>
      </c>
      <c r="M1645" s="26">
        <v>107276</v>
      </c>
      <c r="N1645" s="501"/>
      <c r="O1645" s="25"/>
      <c r="P1645" s="25"/>
      <c r="Q1645" s="25"/>
      <c r="R1645" s="26"/>
      <c r="S1645" s="26"/>
      <c r="T1645" s="501"/>
      <c r="U1645" s="151">
        <f t="shared" si="87"/>
        <v>141561</v>
      </c>
      <c r="Y1645" s="2"/>
      <c r="Z1645" s="2"/>
      <c r="AA1645" s="2"/>
    </row>
    <row r="1646" spans="2:27" x14ac:dyDescent="0.2">
      <c r="B1646" s="8">
        <f t="shared" si="88"/>
        <v>953</v>
      </c>
      <c r="C1646" s="24"/>
      <c r="D1646" s="24"/>
      <c r="E1646" s="24"/>
      <c r="F1646" s="149" t="s">
        <v>78</v>
      </c>
      <c r="G1646" s="150">
        <v>620</v>
      </c>
      <c r="H1646" s="24" t="s">
        <v>134</v>
      </c>
      <c r="I1646" s="25">
        <f>14872+2082+20820+1190+4461+1440+7064+2831</f>
        <v>54760</v>
      </c>
      <c r="J1646" s="25">
        <v>44577</v>
      </c>
      <c r="K1646" s="25">
        <v>44577</v>
      </c>
      <c r="L1646" s="26">
        <v>41050</v>
      </c>
      <c r="M1646" s="26">
        <v>38780</v>
      </c>
      <c r="N1646" s="501"/>
      <c r="O1646" s="25"/>
      <c r="P1646" s="25"/>
      <c r="Q1646" s="25"/>
      <c r="R1646" s="26"/>
      <c r="S1646" s="26"/>
      <c r="T1646" s="501"/>
      <c r="U1646" s="151">
        <f t="shared" si="87"/>
        <v>54760</v>
      </c>
      <c r="Y1646" s="2"/>
      <c r="Z1646" s="2"/>
      <c r="AA1646" s="2"/>
    </row>
    <row r="1647" spans="2:27" x14ac:dyDescent="0.2">
      <c r="B1647" s="8">
        <f t="shared" si="88"/>
        <v>954</v>
      </c>
      <c r="C1647" s="24"/>
      <c r="D1647" s="24"/>
      <c r="E1647" s="24"/>
      <c r="F1647" s="149" t="s">
        <v>78</v>
      </c>
      <c r="G1647" s="150">
        <v>630</v>
      </c>
      <c r="H1647" s="24" t="s">
        <v>131</v>
      </c>
      <c r="I1647" s="25">
        <f>SUM(I1648:I1654)</f>
        <v>184695</v>
      </c>
      <c r="J1647" s="25">
        <f>J1654+J1653+J1651+J1650+J1649+J1652</f>
        <v>153065</v>
      </c>
      <c r="K1647" s="25">
        <f>K1654+K1653+K1651+K1650+K1649+K1652</f>
        <v>155365</v>
      </c>
      <c r="L1647" s="26">
        <f>L1654+L1653+L1651+L1650+L1649</f>
        <v>51393</v>
      </c>
      <c r="M1647" s="26">
        <f>M1654+M1653+M1651+M1650+M1649</f>
        <v>56540</v>
      </c>
      <c r="N1647" s="501"/>
      <c r="O1647" s="25"/>
      <c r="P1647" s="25"/>
      <c r="Q1647" s="25"/>
      <c r="R1647" s="26"/>
      <c r="S1647" s="26"/>
      <c r="T1647" s="501"/>
      <c r="U1647" s="151">
        <f t="shared" si="87"/>
        <v>184695</v>
      </c>
      <c r="Y1647" s="2"/>
      <c r="Z1647" s="2"/>
      <c r="AA1647" s="2"/>
    </row>
    <row r="1648" spans="2:27" x14ac:dyDescent="0.2">
      <c r="B1648" s="8">
        <f t="shared" si="88"/>
        <v>955</v>
      </c>
      <c r="C1648" s="18"/>
      <c r="D1648" s="18"/>
      <c r="E1648" s="18"/>
      <c r="F1648" s="152"/>
      <c r="G1648" s="153">
        <v>631</v>
      </c>
      <c r="H1648" s="18" t="s">
        <v>137</v>
      </c>
      <c r="I1648" s="19">
        <v>200</v>
      </c>
      <c r="J1648" s="19"/>
      <c r="K1648" s="19"/>
      <c r="L1648" s="20"/>
      <c r="M1648" s="20"/>
      <c r="N1648" s="164"/>
      <c r="O1648" s="19"/>
      <c r="P1648" s="19"/>
      <c r="Q1648" s="19"/>
      <c r="R1648" s="20"/>
      <c r="S1648" s="20"/>
      <c r="T1648" s="164"/>
      <c r="U1648" s="154">
        <f t="shared" si="87"/>
        <v>200</v>
      </c>
      <c r="Y1648" s="2"/>
      <c r="Z1648" s="2"/>
      <c r="AA1648" s="2"/>
    </row>
    <row r="1649" spans="2:27" x14ac:dyDescent="0.2">
      <c r="B1649" s="8">
        <f t="shared" si="88"/>
        <v>956</v>
      </c>
      <c r="C1649" s="18"/>
      <c r="D1649" s="18"/>
      <c r="E1649" s="18"/>
      <c r="F1649" s="152"/>
      <c r="G1649" s="153">
        <v>632</v>
      </c>
      <c r="H1649" s="18" t="s">
        <v>144</v>
      </c>
      <c r="I1649" s="19">
        <f>300+700</f>
        <v>1000</v>
      </c>
      <c r="J1649" s="19">
        <v>1000</v>
      </c>
      <c r="K1649" s="19">
        <v>1000</v>
      </c>
      <c r="L1649" s="20">
        <v>766</v>
      </c>
      <c r="M1649" s="20">
        <v>763</v>
      </c>
      <c r="N1649" s="164"/>
      <c r="O1649" s="19"/>
      <c r="P1649" s="19"/>
      <c r="Q1649" s="19"/>
      <c r="R1649" s="20"/>
      <c r="S1649" s="20"/>
      <c r="T1649" s="164"/>
      <c r="U1649" s="154">
        <f t="shared" si="87"/>
        <v>1000</v>
      </c>
      <c r="Y1649" s="2"/>
      <c r="Z1649" s="2"/>
      <c r="AA1649" s="2"/>
    </row>
    <row r="1650" spans="2:27" x14ac:dyDescent="0.2">
      <c r="B1650" s="8">
        <f t="shared" si="88"/>
        <v>957</v>
      </c>
      <c r="C1650" s="18"/>
      <c r="D1650" s="18"/>
      <c r="E1650" s="18"/>
      <c r="F1650" s="152"/>
      <c r="G1650" s="153">
        <v>633</v>
      </c>
      <c r="H1650" s="18" t="s">
        <v>135</v>
      </c>
      <c r="I1650" s="19">
        <f>500+900+2100+500+500</f>
        <v>4500</v>
      </c>
      <c r="J1650" s="19">
        <v>4500</v>
      </c>
      <c r="K1650" s="19">
        <v>4500</v>
      </c>
      <c r="L1650" s="20">
        <v>3099</v>
      </c>
      <c r="M1650" s="20">
        <v>8618</v>
      </c>
      <c r="N1650" s="164"/>
      <c r="O1650" s="19"/>
      <c r="P1650" s="19"/>
      <c r="Q1650" s="19"/>
      <c r="R1650" s="20"/>
      <c r="S1650" s="20"/>
      <c r="T1650" s="164"/>
      <c r="U1650" s="154">
        <f t="shared" ref="U1650:U1658" si="90">I1650+O1650</f>
        <v>4500</v>
      </c>
      <c r="Y1650" s="2"/>
      <c r="Z1650" s="2"/>
      <c r="AA1650" s="2"/>
    </row>
    <row r="1651" spans="2:27" x14ac:dyDescent="0.2">
      <c r="B1651" s="8">
        <f t="shared" si="88"/>
        <v>958</v>
      </c>
      <c r="C1651" s="18"/>
      <c r="D1651" s="18"/>
      <c r="E1651" s="18"/>
      <c r="F1651" s="152"/>
      <c r="G1651" s="153">
        <v>634</v>
      </c>
      <c r="H1651" s="18" t="s">
        <v>142</v>
      </c>
      <c r="I1651" s="19">
        <f>2000+2000+800</f>
        <v>4800</v>
      </c>
      <c r="J1651" s="19">
        <v>4300</v>
      </c>
      <c r="K1651" s="19">
        <v>4300</v>
      </c>
      <c r="L1651" s="20">
        <v>2215</v>
      </c>
      <c r="M1651" s="20">
        <v>2774</v>
      </c>
      <c r="N1651" s="164"/>
      <c r="O1651" s="19"/>
      <c r="P1651" s="19"/>
      <c r="Q1651" s="19"/>
      <c r="R1651" s="20"/>
      <c r="S1651" s="20"/>
      <c r="T1651" s="164"/>
      <c r="U1651" s="154">
        <f t="shared" si="90"/>
        <v>4800</v>
      </c>
      <c r="Y1651" s="2"/>
      <c r="Z1651" s="2"/>
      <c r="AA1651" s="2"/>
    </row>
    <row r="1652" spans="2:27" x14ac:dyDescent="0.2">
      <c r="B1652" s="8">
        <f t="shared" si="88"/>
        <v>959</v>
      </c>
      <c r="C1652" s="18"/>
      <c r="D1652" s="18"/>
      <c r="E1652" s="18"/>
      <c r="F1652" s="152"/>
      <c r="G1652" s="153">
        <v>635</v>
      </c>
      <c r="H1652" s="18" t="s">
        <v>143</v>
      </c>
      <c r="I1652" s="19">
        <f>300+80000</f>
        <v>80300</v>
      </c>
      <c r="J1652" s="19">
        <v>60000</v>
      </c>
      <c r="K1652" s="19">
        <v>60000</v>
      </c>
      <c r="L1652" s="20"/>
      <c r="M1652" s="20"/>
      <c r="N1652" s="164"/>
      <c r="O1652" s="19"/>
      <c r="P1652" s="19"/>
      <c r="Q1652" s="19"/>
      <c r="R1652" s="20"/>
      <c r="S1652" s="20"/>
      <c r="T1652" s="164"/>
      <c r="U1652" s="154">
        <f t="shared" si="90"/>
        <v>80300</v>
      </c>
      <c r="Y1652" s="2"/>
      <c r="Z1652" s="2"/>
      <c r="AA1652" s="2"/>
    </row>
    <row r="1653" spans="2:27" x14ac:dyDescent="0.2">
      <c r="B1653" s="8">
        <f t="shared" si="88"/>
        <v>960</v>
      </c>
      <c r="C1653" s="18"/>
      <c r="D1653" s="18"/>
      <c r="E1653" s="18"/>
      <c r="F1653" s="152"/>
      <c r="G1653" s="153">
        <v>636</v>
      </c>
      <c r="H1653" s="18" t="s">
        <v>136</v>
      </c>
      <c r="I1653" s="19">
        <f>7000+280</f>
        <v>7280</v>
      </c>
      <c r="J1653" s="19">
        <v>4480</v>
      </c>
      <c r="K1653" s="19">
        <v>6780</v>
      </c>
      <c r="L1653" s="20">
        <v>2739</v>
      </c>
      <c r="M1653" s="20">
        <v>2455</v>
      </c>
      <c r="N1653" s="164"/>
      <c r="O1653" s="19"/>
      <c r="P1653" s="19"/>
      <c r="Q1653" s="19"/>
      <c r="R1653" s="20"/>
      <c r="S1653" s="20"/>
      <c r="T1653" s="164"/>
      <c r="U1653" s="154">
        <f t="shared" si="90"/>
        <v>7280</v>
      </c>
      <c r="Y1653" s="2"/>
      <c r="Z1653" s="2"/>
      <c r="AA1653" s="2"/>
    </row>
    <row r="1654" spans="2:27" x14ac:dyDescent="0.2">
      <c r="B1654" s="8">
        <f t="shared" si="88"/>
        <v>961</v>
      </c>
      <c r="C1654" s="114"/>
      <c r="D1654" s="114"/>
      <c r="E1654" s="114"/>
      <c r="F1654" s="299"/>
      <c r="G1654" s="300">
        <v>637</v>
      </c>
      <c r="H1654" s="114" t="s">
        <v>132</v>
      </c>
      <c r="I1654" s="115">
        <f>400+7525+12000+54725+4320+720+2125+4800</f>
        <v>86615</v>
      </c>
      <c r="J1654" s="115">
        <v>78785</v>
      </c>
      <c r="K1654" s="115">
        <v>78785</v>
      </c>
      <c r="L1654" s="116">
        <v>42574</v>
      </c>
      <c r="M1654" s="116">
        <f>31871+10059</f>
        <v>41930</v>
      </c>
      <c r="N1654" s="522"/>
      <c r="O1654" s="115"/>
      <c r="P1654" s="115"/>
      <c r="Q1654" s="115"/>
      <c r="R1654" s="116"/>
      <c r="S1654" s="20"/>
      <c r="T1654" s="164"/>
      <c r="U1654" s="154">
        <f t="shared" si="90"/>
        <v>86615</v>
      </c>
      <c r="Y1654" s="2"/>
      <c r="Z1654" s="2"/>
      <c r="AA1654" s="2"/>
    </row>
    <row r="1655" spans="2:27" x14ac:dyDescent="0.2">
      <c r="B1655" s="8">
        <f t="shared" si="88"/>
        <v>962</v>
      </c>
      <c r="C1655" s="391"/>
      <c r="D1655" s="391"/>
      <c r="E1655" s="391"/>
      <c r="F1655" s="392" t="s">
        <v>78</v>
      </c>
      <c r="G1655" s="419">
        <v>640</v>
      </c>
      <c r="H1655" s="391" t="s">
        <v>139</v>
      </c>
      <c r="I1655" s="420">
        <f>2354+4190+450</f>
        <v>6994</v>
      </c>
      <c r="J1655" s="420">
        <v>9558</v>
      </c>
      <c r="K1655" s="420">
        <v>9558</v>
      </c>
      <c r="L1655" s="421">
        <v>3990</v>
      </c>
      <c r="M1655" s="421">
        <v>760</v>
      </c>
      <c r="N1655" s="556"/>
      <c r="O1655" s="420"/>
      <c r="P1655" s="420"/>
      <c r="Q1655" s="420"/>
      <c r="R1655" s="421"/>
      <c r="S1655" s="323"/>
      <c r="T1655" s="563"/>
      <c r="U1655" s="324">
        <f t="shared" si="90"/>
        <v>6994</v>
      </c>
    </row>
    <row r="1656" spans="2:27" x14ac:dyDescent="0.2">
      <c r="B1656" s="8">
        <f t="shared" si="88"/>
        <v>963</v>
      </c>
      <c r="C1656" s="391"/>
      <c r="D1656" s="391"/>
      <c r="E1656" s="391"/>
      <c r="F1656" s="392" t="s">
        <v>54</v>
      </c>
      <c r="G1656" s="419">
        <v>710</v>
      </c>
      <c r="H1656" s="391" t="s">
        <v>185</v>
      </c>
      <c r="I1656" s="420"/>
      <c r="J1656" s="420"/>
      <c r="K1656" s="420"/>
      <c r="L1656" s="421"/>
      <c r="M1656" s="421"/>
      <c r="N1656" s="556"/>
      <c r="O1656" s="420"/>
      <c r="P1656" s="420"/>
      <c r="Q1656" s="420"/>
      <c r="R1656" s="421">
        <f>R1657</f>
        <v>20980</v>
      </c>
      <c r="S1656" s="440"/>
      <c r="T1656" s="568"/>
      <c r="U1656" s="441">
        <f t="shared" si="90"/>
        <v>0</v>
      </c>
    </row>
    <row r="1657" spans="2:27" x14ac:dyDescent="0.2">
      <c r="B1657" s="8">
        <f t="shared" si="88"/>
        <v>964</v>
      </c>
      <c r="C1657" s="394"/>
      <c r="D1657" s="394"/>
      <c r="E1657" s="394"/>
      <c r="F1657" s="422"/>
      <c r="G1657" s="393">
        <v>714</v>
      </c>
      <c r="H1657" s="394" t="s">
        <v>186</v>
      </c>
      <c r="I1657" s="395"/>
      <c r="J1657" s="395"/>
      <c r="K1657" s="395"/>
      <c r="L1657" s="396"/>
      <c r="M1657" s="396"/>
      <c r="N1657" s="557"/>
      <c r="O1657" s="395"/>
      <c r="P1657" s="395"/>
      <c r="Q1657" s="395"/>
      <c r="R1657" s="396">
        <f>R1658</f>
        <v>20980</v>
      </c>
      <c r="S1657" s="20"/>
      <c r="T1657" s="164"/>
      <c r="U1657" s="154">
        <f t="shared" si="90"/>
        <v>0</v>
      </c>
    </row>
    <row r="1658" spans="2:27" s="165" customFormat="1" x14ac:dyDescent="0.2">
      <c r="B1658" s="325">
        <f>B1657+1</f>
        <v>965</v>
      </c>
      <c r="C1658" s="398"/>
      <c r="D1658" s="398"/>
      <c r="E1658" s="398"/>
      <c r="F1658" s="399"/>
      <c r="G1658" s="400"/>
      <c r="H1658" s="398" t="s">
        <v>966</v>
      </c>
      <c r="I1658" s="401"/>
      <c r="J1658" s="401"/>
      <c r="K1658" s="401"/>
      <c r="L1658" s="402"/>
      <c r="M1658" s="402"/>
      <c r="N1658" s="558"/>
      <c r="O1658" s="401"/>
      <c r="P1658" s="401"/>
      <c r="Q1658" s="401"/>
      <c r="R1658" s="402">
        <v>20980</v>
      </c>
      <c r="S1658" s="442"/>
      <c r="T1658" s="569"/>
      <c r="U1658" s="443">
        <f t="shared" si="90"/>
        <v>0</v>
      </c>
    </row>
    <row r="1663" spans="2:27" ht="27" x14ac:dyDescent="0.35">
      <c r="B1663" s="679" t="s">
        <v>808</v>
      </c>
      <c r="C1663" s="680"/>
      <c r="D1663" s="680"/>
      <c r="E1663" s="680"/>
      <c r="F1663" s="680"/>
      <c r="G1663" s="680"/>
      <c r="H1663" s="680"/>
      <c r="I1663" s="680"/>
      <c r="J1663" s="680"/>
      <c r="K1663" s="680"/>
      <c r="L1663" s="680"/>
      <c r="M1663" s="680"/>
      <c r="N1663" s="680"/>
      <c r="O1663" s="680"/>
      <c r="P1663" s="680"/>
      <c r="Q1663" s="680"/>
      <c r="R1663" s="680"/>
      <c r="S1663" s="680"/>
      <c r="T1663" s="680"/>
      <c r="U1663" s="680"/>
    </row>
    <row r="1664" spans="2:27" ht="21.75" customHeight="1" x14ac:dyDescent="0.2">
      <c r="B1664" s="684" t="s">
        <v>842</v>
      </c>
      <c r="C1664" s="685"/>
      <c r="D1664" s="685"/>
      <c r="E1664" s="685"/>
      <c r="F1664" s="685"/>
      <c r="G1664" s="685"/>
      <c r="H1664" s="685"/>
      <c r="I1664" s="685"/>
      <c r="J1664" s="685"/>
      <c r="K1664" s="685"/>
      <c r="L1664" s="685"/>
      <c r="M1664" s="685"/>
      <c r="N1664" s="685"/>
      <c r="O1664" s="685"/>
      <c r="P1664" s="685"/>
      <c r="Q1664" s="685"/>
      <c r="R1664" s="685"/>
      <c r="S1664" s="685"/>
      <c r="T1664" s="567"/>
      <c r="U1664" s="682" t="s">
        <v>1207</v>
      </c>
    </row>
    <row r="1665" spans="2:23" ht="12.75" customHeight="1" x14ac:dyDescent="0.2">
      <c r="B1665" s="681"/>
      <c r="C1665" s="681" t="s">
        <v>122</v>
      </c>
      <c r="D1665" s="681" t="s">
        <v>123</v>
      </c>
      <c r="E1665" s="681"/>
      <c r="F1665" s="681" t="s">
        <v>124</v>
      </c>
      <c r="G1665" s="689" t="s">
        <v>125</v>
      </c>
      <c r="H1665" s="686" t="s">
        <v>126</v>
      </c>
      <c r="I1665" s="673" t="s">
        <v>1205</v>
      </c>
      <c r="J1665" s="674" t="s">
        <v>837</v>
      </c>
      <c r="K1665" s="674" t="s">
        <v>838</v>
      </c>
      <c r="L1665" s="672" t="s">
        <v>839</v>
      </c>
      <c r="M1665" s="672" t="s">
        <v>643</v>
      </c>
      <c r="N1665" s="493"/>
      <c r="O1665" s="673" t="s">
        <v>1206</v>
      </c>
      <c r="P1665" s="674" t="s">
        <v>840</v>
      </c>
      <c r="Q1665" s="674" t="s">
        <v>841</v>
      </c>
      <c r="R1665" s="672" t="s">
        <v>839</v>
      </c>
      <c r="S1665" s="672" t="s">
        <v>643</v>
      </c>
      <c r="T1665" s="493"/>
      <c r="U1665" s="683"/>
    </row>
    <row r="1666" spans="2:23" x14ac:dyDescent="0.2">
      <c r="B1666" s="681"/>
      <c r="C1666" s="681"/>
      <c r="D1666" s="681"/>
      <c r="E1666" s="681"/>
      <c r="F1666" s="681"/>
      <c r="G1666" s="689"/>
      <c r="H1666" s="686"/>
      <c r="I1666" s="673"/>
      <c r="J1666" s="674"/>
      <c r="K1666" s="674"/>
      <c r="L1666" s="672"/>
      <c r="M1666" s="672"/>
      <c r="N1666" s="493"/>
      <c r="O1666" s="673"/>
      <c r="P1666" s="674"/>
      <c r="Q1666" s="674"/>
      <c r="R1666" s="672"/>
      <c r="S1666" s="672"/>
      <c r="T1666" s="493"/>
      <c r="U1666" s="683"/>
    </row>
    <row r="1667" spans="2:23" x14ac:dyDescent="0.2">
      <c r="B1667" s="681"/>
      <c r="C1667" s="681"/>
      <c r="D1667" s="681"/>
      <c r="E1667" s="681"/>
      <c r="F1667" s="681"/>
      <c r="G1667" s="689"/>
      <c r="H1667" s="686"/>
      <c r="I1667" s="673"/>
      <c r="J1667" s="674"/>
      <c r="K1667" s="674"/>
      <c r="L1667" s="672"/>
      <c r="M1667" s="672"/>
      <c r="N1667" s="493"/>
      <c r="O1667" s="673"/>
      <c r="P1667" s="674"/>
      <c r="Q1667" s="674"/>
      <c r="R1667" s="672"/>
      <c r="S1667" s="672"/>
      <c r="T1667" s="493"/>
      <c r="U1667" s="683"/>
    </row>
    <row r="1668" spans="2:23" x14ac:dyDescent="0.2">
      <c r="B1668" s="681"/>
      <c r="C1668" s="681"/>
      <c r="D1668" s="681"/>
      <c r="E1668" s="681"/>
      <c r="F1668" s="681"/>
      <c r="G1668" s="689"/>
      <c r="H1668" s="686"/>
      <c r="I1668" s="673"/>
      <c r="J1668" s="674"/>
      <c r="K1668" s="674"/>
      <c r="L1668" s="672"/>
      <c r="M1668" s="672"/>
      <c r="N1668" s="493"/>
      <c r="O1668" s="673"/>
      <c r="P1668" s="674"/>
      <c r="Q1668" s="674"/>
      <c r="R1668" s="672"/>
      <c r="S1668" s="672"/>
      <c r="T1668" s="493"/>
      <c r="U1668" s="683"/>
    </row>
    <row r="1669" spans="2:23" ht="15.75" x14ac:dyDescent="0.2">
      <c r="B1669" s="8">
        <v>1</v>
      </c>
      <c r="C1669" s="687" t="s">
        <v>808</v>
      </c>
      <c r="D1669" s="688"/>
      <c r="E1669" s="688"/>
      <c r="F1669" s="688"/>
      <c r="G1669" s="688"/>
      <c r="H1669" s="688"/>
      <c r="I1669" s="138">
        <f>I1670+I1673+I1706+I1794</f>
        <v>3091945</v>
      </c>
      <c r="J1669" s="138">
        <f>J1794+J1706+J1673+J1670</f>
        <v>3599280</v>
      </c>
      <c r="K1669" s="138">
        <f>K1794+K1706+K1673+K1670</f>
        <v>3661280</v>
      </c>
      <c r="L1669" s="139">
        <f>L1794+L1706+L1673+L1670</f>
        <v>2630181</v>
      </c>
      <c r="M1669" s="139">
        <f>M1794+M1706+M1673+M1670</f>
        <v>1707703</v>
      </c>
      <c r="N1669" s="532"/>
      <c r="O1669" s="138">
        <f>O1794+O1706+O1673+O1670</f>
        <v>48452429</v>
      </c>
      <c r="P1669" s="138">
        <f>P1794+P1706+P1673+P1670</f>
        <v>29621742</v>
      </c>
      <c r="Q1669" s="138">
        <f>Q1794+Q1706+Q1673+Q1670</f>
        <v>36439731</v>
      </c>
      <c r="R1669" s="139">
        <f>R1794+R1706+R1673+R1670</f>
        <v>3848048</v>
      </c>
      <c r="S1669" s="139">
        <f>S1794+S1706+S1673+S1670</f>
        <v>1235890</v>
      </c>
      <c r="T1669" s="532"/>
      <c r="U1669" s="140">
        <f t="shared" ref="U1669:U1733" si="91">I1669+O1669</f>
        <v>51544374</v>
      </c>
      <c r="W1669" s="2"/>
    </row>
    <row r="1670" spans="2:23" ht="15.75" x14ac:dyDescent="0.25">
      <c r="B1670" s="8">
        <f>B1669+1</f>
        <v>2</v>
      </c>
      <c r="C1670" s="141">
        <v>1</v>
      </c>
      <c r="D1670" s="677" t="s">
        <v>239</v>
      </c>
      <c r="E1670" s="678"/>
      <c r="F1670" s="678"/>
      <c r="G1670" s="678"/>
      <c r="H1670" s="678"/>
      <c r="I1670" s="142">
        <f>I1671</f>
        <v>5415</v>
      </c>
      <c r="J1670" s="142">
        <f t="shared" ref="J1670:M1671" si="92">J1671</f>
        <v>3800</v>
      </c>
      <c r="K1670" s="430">
        <f t="shared" si="92"/>
        <v>3800</v>
      </c>
      <c r="L1670" s="143">
        <f t="shared" si="92"/>
        <v>0</v>
      </c>
      <c r="M1670" s="143">
        <f t="shared" si="92"/>
        <v>0</v>
      </c>
      <c r="N1670" s="533"/>
      <c r="O1670" s="142"/>
      <c r="P1670" s="142"/>
      <c r="Q1670" s="142"/>
      <c r="R1670" s="143"/>
      <c r="S1670" s="143"/>
      <c r="T1670" s="533"/>
      <c r="U1670" s="144">
        <f t="shared" si="91"/>
        <v>5415</v>
      </c>
    </row>
    <row r="1671" spans="2:23" x14ac:dyDescent="0.2">
      <c r="B1671" s="8">
        <f t="shared" ref="B1671:B1703" si="93">B1670+1</f>
        <v>3</v>
      </c>
      <c r="C1671" s="24"/>
      <c r="D1671" s="24"/>
      <c r="E1671" s="24"/>
      <c r="F1671" s="149" t="s">
        <v>189</v>
      </c>
      <c r="G1671" s="150">
        <v>630</v>
      </c>
      <c r="H1671" s="24" t="s">
        <v>131</v>
      </c>
      <c r="I1671" s="25">
        <f>I1672</f>
        <v>5415</v>
      </c>
      <c r="J1671" s="25">
        <f t="shared" si="92"/>
        <v>3800</v>
      </c>
      <c r="K1671" s="25">
        <f t="shared" si="92"/>
        <v>3800</v>
      </c>
      <c r="L1671" s="26"/>
      <c r="M1671" s="26"/>
      <c r="N1671" s="501"/>
      <c r="O1671" s="25"/>
      <c r="P1671" s="25"/>
      <c r="Q1671" s="25"/>
      <c r="R1671" s="26"/>
      <c r="S1671" s="26"/>
      <c r="T1671" s="501"/>
      <c r="U1671" s="151">
        <f t="shared" si="91"/>
        <v>5415</v>
      </c>
    </row>
    <row r="1672" spans="2:23" x14ac:dyDescent="0.2">
      <c r="B1672" s="8">
        <f t="shared" si="93"/>
        <v>4</v>
      </c>
      <c r="C1672" s="18"/>
      <c r="D1672" s="18"/>
      <c r="E1672" s="18"/>
      <c r="F1672" s="152"/>
      <c r="G1672" s="153">
        <v>637</v>
      </c>
      <c r="H1672" s="18" t="s">
        <v>132</v>
      </c>
      <c r="I1672" s="19">
        <v>5415</v>
      </c>
      <c r="J1672" s="19">
        <v>3800</v>
      </c>
      <c r="K1672" s="19">
        <v>3800</v>
      </c>
      <c r="L1672" s="20"/>
      <c r="M1672" s="20"/>
      <c r="N1672" s="164"/>
      <c r="O1672" s="19"/>
      <c r="P1672" s="19"/>
      <c r="Q1672" s="19"/>
      <c r="R1672" s="20"/>
      <c r="S1672" s="20"/>
      <c r="T1672" s="164"/>
      <c r="U1672" s="154">
        <f t="shared" si="91"/>
        <v>5415</v>
      </c>
    </row>
    <row r="1673" spans="2:23" ht="15.75" x14ac:dyDescent="0.25">
      <c r="B1673" s="8">
        <f t="shared" si="93"/>
        <v>5</v>
      </c>
      <c r="C1673" s="141">
        <v>2</v>
      </c>
      <c r="D1673" s="677" t="s">
        <v>608</v>
      </c>
      <c r="E1673" s="678"/>
      <c r="F1673" s="678"/>
      <c r="G1673" s="678"/>
      <c r="H1673" s="678"/>
      <c r="I1673" s="142">
        <f>I1674</f>
        <v>215000</v>
      </c>
      <c r="J1673" s="430">
        <f>J1674</f>
        <v>172000</v>
      </c>
      <c r="K1673" s="430">
        <f>K1674</f>
        <v>222500</v>
      </c>
      <c r="L1673" s="143">
        <f>L1674</f>
        <v>354420</v>
      </c>
      <c r="M1673" s="143">
        <f>M1674</f>
        <v>254401</v>
      </c>
      <c r="N1673" s="533"/>
      <c r="O1673" s="142"/>
      <c r="P1673" s="142"/>
      <c r="Q1673" s="142"/>
      <c r="R1673" s="143"/>
      <c r="S1673" s="143"/>
      <c r="T1673" s="533"/>
      <c r="U1673" s="144">
        <f t="shared" si="91"/>
        <v>215000</v>
      </c>
    </row>
    <row r="1674" spans="2:23" x14ac:dyDescent="0.2">
      <c r="B1674" s="8">
        <f t="shared" si="93"/>
        <v>6</v>
      </c>
      <c r="C1674" s="24"/>
      <c r="D1674" s="24"/>
      <c r="E1674" s="24"/>
      <c r="F1674" s="149" t="s">
        <v>189</v>
      </c>
      <c r="G1674" s="150">
        <v>640</v>
      </c>
      <c r="H1674" s="24" t="s">
        <v>139</v>
      </c>
      <c r="I1674" s="25">
        <f>SUM(I1675:I1689)</f>
        <v>215000</v>
      </c>
      <c r="J1674" s="25">
        <f>SUM(J1675:J1703)</f>
        <v>172000</v>
      </c>
      <c r="K1674" s="25">
        <f>SUM(K1675:K1705)</f>
        <v>222500</v>
      </c>
      <c r="L1674" s="26">
        <f>SUM(L1675:L1705)</f>
        <v>354420</v>
      </c>
      <c r="M1674" s="26">
        <f>SUM(M1675:M1705)</f>
        <v>254401</v>
      </c>
      <c r="N1674" s="501"/>
      <c r="O1674" s="25"/>
      <c r="P1674" s="25"/>
      <c r="Q1674" s="25"/>
      <c r="R1674" s="26"/>
      <c r="S1674" s="26"/>
      <c r="T1674" s="501"/>
      <c r="U1674" s="151">
        <f t="shared" si="91"/>
        <v>215000</v>
      </c>
    </row>
    <row r="1675" spans="2:23" x14ac:dyDescent="0.2">
      <c r="B1675" s="8">
        <f t="shared" si="93"/>
        <v>7</v>
      </c>
      <c r="C1675" s="120"/>
      <c r="D1675" s="120"/>
      <c r="E1675" s="120"/>
      <c r="F1675" s="298"/>
      <c r="G1675" s="298"/>
      <c r="H1675" s="156" t="s">
        <v>1049</v>
      </c>
      <c r="I1675" s="157">
        <v>40000</v>
      </c>
      <c r="J1675" s="157">
        <v>32000</v>
      </c>
      <c r="K1675" s="157">
        <v>30383</v>
      </c>
      <c r="L1675" s="158">
        <v>27009</v>
      </c>
      <c r="M1675" s="158">
        <v>34143</v>
      </c>
      <c r="N1675" s="541"/>
      <c r="O1675" s="158"/>
      <c r="P1675" s="158"/>
      <c r="Q1675" s="158"/>
      <c r="R1675" s="158"/>
      <c r="S1675" s="157"/>
      <c r="T1675" s="535"/>
      <c r="U1675" s="159">
        <f t="shared" si="91"/>
        <v>40000</v>
      </c>
    </row>
    <row r="1676" spans="2:23" x14ac:dyDescent="0.2">
      <c r="B1676" s="8">
        <f t="shared" si="93"/>
        <v>8</v>
      </c>
      <c r="C1676" s="120"/>
      <c r="D1676" s="120"/>
      <c r="E1676" s="120"/>
      <c r="F1676" s="298"/>
      <c r="G1676" s="298"/>
      <c r="H1676" s="156" t="s">
        <v>15</v>
      </c>
      <c r="I1676" s="157"/>
      <c r="J1676" s="157"/>
      <c r="K1676" s="157"/>
      <c r="L1676" s="158"/>
      <c r="M1676" s="158">
        <v>12301</v>
      </c>
      <c r="N1676" s="541"/>
      <c r="O1676" s="158"/>
      <c r="P1676" s="158"/>
      <c r="Q1676" s="158"/>
      <c r="R1676" s="158"/>
      <c r="S1676" s="157"/>
      <c r="T1676" s="535"/>
      <c r="U1676" s="159">
        <f t="shared" si="91"/>
        <v>0</v>
      </c>
    </row>
    <row r="1677" spans="2:23" x14ac:dyDescent="0.2">
      <c r="B1677" s="8">
        <f t="shared" si="93"/>
        <v>9</v>
      </c>
      <c r="C1677" s="120"/>
      <c r="D1677" s="120"/>
      <c r="E1677" s="120"/>
      <c r="F1677" s="298"/>
      <c r="G1677" s="298"/>
      <c r="H1677" s="156" t="s">
        <v>1048</v>
      </c>
      <c r="I1677" s="157">
        <v>35000</v>
      </c>
      <c r="J1677" s="157">
        <v>28000</v>
      </c>
      <c r="K1677" s="157">
        <v>35000</v>
      </c>
      <c r="L1677" s="158">
        <v>36975</v>
      </c>
      <c r="M1677" s="158">
        <v>33600</v>
      </c>
      <c r="N1677" s="541"/>
      <c r="O1677" s="158"/>
      <c r="P1677" s="158"/>
      <c r="Q1677" s="158"/>
      <c r="R1677" s="158"/>
      <c r="S1677" s="157"/>
      <c r="T1677" s="535"/>
      <c r="U1677" s="159">
        <f t="shared" si="91"/>
        <v>35000</v>
      </c>
    </row>
    <row r="1678" spans="2:23" x14ac:dyDescent="0.2">
      <c r="B1678" s="8">
        <f t="shared" si="93"/>
        <v>10</v>
      </c>
      <c r="C1678" s="120"/>
      <c r="D1678" s="120"/>
      <c r="E1678" s="120"/>
      <c r="F1678" s="298"/>
      <c r="G1678" s="298"/>
      <c r="H1678" s="156" t="s">
        <v>588</v>
      </c>
      <c r="I1678" s="157">
        <v>120000</v>
      </c>
      <c r="J1678" s="157">
        <v>96000</v>
      </c>
      <c r="K1678" s="157"/>
      <c r="L1678" s="158"/>
      <c r="M1678" s="158"/>
      <c r="N1678" s="541"/>
      <c r="O1678" s="158"/>
      <c r="P1678" s="158"/>
      <c r="Q1678" s="158"/>
      <c r="R1678" s="158"/>
      <c r="S1678" s="157"/>
      <c r="T1678" s="535"/>
      <c r="U1678" s="159">
        <f t="shared" si="91"/>
        <v>120000</v>
      </c>
    </row>
    <row r="1679" spans="2:23" x14ac:dyDescent="0.2">
      <c r="B1679" s="8">
        <f t="shared" si="93"/>
        <v>11</v>
      </c>
      <c r="C1679" s="120"/>
      <c r="D1679" s="120"/>
      <c r="E1679" s="120"/>
      <c r="F1679" s="298"/>
      <c r="G1679" s="298"/>
      <c r="H1679" s="156" t="s">
        <v>590</v>
      </c>
      <c r="I1679" s="157"/>
      <c r="J1679" s="157"/>
      <c r="K1679" s="157"/>
      <c r="L1679" s="158"/>
      <c r="M1679" s="158">
        <v>15500</v>
      </c>
      <c r="N1679" s="541"/>
      <c r="O1679" s="158"/>
      <c r="P1679" s="158"/>
      <c r="Q1679" s="158"/>
      <c r="R1679" s="158"/>
      <c r="S1679" s="157"/>
      <c r="T1679" s="535"/>
      <c r="U1679" s="159">
        <f t="shared" si="91"/>
        <v>0</v>
      </c>
    </row>
    <row r="1680" spans="2:23" x14ac:dyDescent="0.2">
      <c r="B1680" s="8">
        <f t="shared" si="93"/>
        <v>12</v>
      </c>
      <c r="C1680" s="120"/>
      <c r="D1680" s="120"/>
      <c r="E1680" s="120"/>
      <c r="F1680" s="298"/>
      <c r="G1680" s="298"/>
      <c r="H1680" s="156" t="s">
        <v>785</v>
      </c>
      <c r="I1680" s="157"/>
      <c r="J1680" s="157"/>
      <c r="K1680" s="157"/>
      <c r="L1680" s="158">
        <v>7000</v>
      </c>
      <c r="M1680" s="158"/>
      <c r="N1680" s="541"/>
      <c r="O1680" s="158"/>
      <c r="P1680" s="158"/>
      <c r="Q1680" s="158"/>
      <c r="R1680" s="158"/>
      <c r="S1680" s="157"/>
      <c r="T1680" s="535"/>
      <c r="U1680" s="159">
        <f t="shared" si="91"/>
        <v>0</v>
      </c>
    </row>
    <row r="1681" spans="2:21" x14ac:dyDescent="0.2">
      <c r="B1681" s="8">
        <f t="shared" si="93"/>
        <v>13</v>
      </c>
      <c r="C1681" s="120"/>
      <c r="D1681" s="120"/>
      <c r="E1681" s="120"/>
      <c r="F1681" s="298"/>
      <c r="G1681" s="298"/>
      <c r="H1681" s="156" t="s">
        <v>969</v>
      </c>
      <c r="I1681" s="157"/>
      <c r="J1681" s="157"/>
      <c r="K1681" s="157">
        <v>7000</v>
      </c>
      <c r="L1681" s="158">
        <v>7000</v>
      </c>
      <c r="M1681" s="158"/>
      <c r="N1681" s="541"/>
      <c r="O1681" s="158"/>
      <c r="P1681" s="158"/>
      <c r="Q1681" s="158"/>
      <c r="R1681" s="158"/>
      <c r="S1681" s="157"/>
      <c r="T1681" s="535"/>
      <c r="U1681" s="159">
        <f t="shared" si="91"/>
        <v>0</v>
      </c>
    </row>
    <row r="1682" spans="2:21" x14ac:dyDescent="0.2">
      <c r="B1682" s="8">
        <f t="shared" si="93"/>
        <v>14</v>
      </c>
      <c r="C1682" s="120"/>
      <c r="D1682" s="120"/>
      <c r="E1682" s="120"/>
      <c r="F1682" s="298"/>
      <c r="G1682" s="298"/>
      <c r="H1682" s="156" t="s">
        <v>786</v>
      </c>
      <c r="I1682" s="157"/>
      <c r="J1682" s="157"/>
      <c r="K1682" s="157">
        <v>3524</v>
      </c>
      <c r="L1682" s="158">
        <v>4016</v>
      </c>
      <c r="M1682" s="158"/>
      <c r="N1682" s="541"/>
      <c r="O1682" s="158"/>
      <c r="P1682" s="158"/>
      <c r="Q1682" s="158"/>
      <c r="R1682" s="158"/>
      <c r="S1682" s="157"/>
      <c r="T1682" s="535"/>
      <c r="U1682" s="159">
        <f t="shared" si="91"/>
        <v>0</v>
      </c>
    </row>
    <row r="1683" spans="2:21" x14ac:dyDescent="0.2">
      <c r="B1683" s="8">
        <f t="shared" si="93"/>
        <v>15</v>
      </c>
      <c r="C1683" s="120"/>
      <c r="D1683" s="120"/>
      <c r="E1683" s="120"/>
      <c r="F1683" s="298"/>
      <c r="G1683" s="298"/>
      <c r="H1683" s="156" t="s">
        <v>592</v>
      </c>
      <c r="I1683" s="157"/>
      <c r="J1683" s="157"/>
      <c r="K1683" s="157"/>
      <c r="L1683" s="158"/>
      <c r="M1683" s="158"/>
      <c r="N1683" s="541"/>
      <c r="O1683" s="158"/>
      <c r="P1683" s="158"/>
      <c r="Q1683" s="158"/>
      <c r="R1683" s="158"/>
      <c r="S1683" s="157"/>
      <c r="T1683" s="535"/>
      <c r="U1683" s="159">
        <f t="shared" si="91"/>
        <v>0</v>
      </c>
    </row>
    <row r="1684" spans="2:21" x14ac:dyDescent="0.2">
      <c r="B1684" s="8">
        <f t="shared" si="93"/>
        <v>16</v>
      </c>
      <c r="C1684" s="120"/>
      <c r="D1684" s="120"/>
      <c r="E1684" s="120"/>
      <c r="F1684" s="298"/>
      <c r="G1684" s="298"/>
      <c r="H1684" s="156" t="s">
        <v>589</v>
      </c>
      <c r="I1684" s="157">
        <v>10000</v>
      </c>
      <c r="J1684" s="157">
        <v>8000</v>
      </c>
      <c r="K1684" s="157">
        <v>10000</v>
      </c>
      <c r="L1684" s="158">
        <v>10000</v>
      </c>
      <c r="M1684" s="158">
        <v>5000</v>
      </c>
      <c r="N1684" s="541"/>
      <c r="O1684" s="158"/>
      <c r="P1684" s="158"/>
      <c r="Q1684" s="158"/>
      <c r="R1684" s="158"/>
      <c r="S1684" s="157"/>
      <c r="T1684" s="535"/>
      <c r="U1684" s="159">
        <f t="shared" si="91"/>
        <v>10000</v>
      </c>
    </row>
    <row r="1685" spans="2:21" x14ac:dyDescent="0.2">
      <c r="B1685" s="8">
        <f t="shared" si="93"/>
        <v>17</v>
      </c>
      <c r="C1685" s="120"/>
      <c r="D1685" s="120"/>
      <c r="E1685" s="120"/>
      <c r="F1685" s="298"/>
      <c r="G1685" s="298"/>
      <c r="H1685" s="156" t="s">
        <v>1114</v>
      </c>
      <c r="I1685" s="157"/>
      <c r="J1685" s="157"/>
      <c r="K1685" s="157">
        <v>2000</v>
      </c>
      <c r="L1685" s="158"/>
      <c r="M1685" s="158"/>
      <c r="N1685" s="541"/>
      <c r="O1685" s="158"/>
      <c r="P1685" s="158"/>
      <c r="Q1685" s="158"/>
      <c r="R1685" s="158"/>
      <c r="S1685" s="157"/>
      <c r="T1685" s="535"/>
      <c r="U1685" s="159">
        <f t="shared" si="91"/>
        <v>0</v>
      </c>
    </row>
    <row r="1686" spans="2:21" x14ac:dyDescent="0.2">
      <c r="B1686" s="8">
        <f t="shared" si="93"/>
        <v>18</v>
      </c>
      <c r="C1686" s="120"/>
      <c r="D1686" s="120"/>
      <c r="E1686" s="120"/>
      <c r="F1686" s="298"/>
      <c r="G1686" s="298"/>
      <c r="H1686" s="156" t="s">
        <v>593</v>
      </c>
      <c r="I1686" s="157"/>
      <c r="J1686" s="157"/>
      <c r="K1686" s="157"/>
      <c r="L1686" s="158"/>
      <c r="M1686" s="158"/>
      <c r="N1686" s="541"/>
      <c r="O1686" s="158"/>
      <c r="P1686" s="158"/>
      <c r="Q1686" s="158"/>
      <c r="R1686" s="158"/>
      <c r="S1686" s="157"/>
      <c r="T1686" s="535"/>
      <c r="U1686" s="159">
        <f t="shared" si="91"/>
        <v>0</v>
      </c>
    </row>
    <row r="1687" spans="2:21" x14ac:dyDescent="0.2">
      <c r="B1687" s="8">
        <f t="shared" si="93"/>
        <v>19</v>
      </c>
      <c r="C1687" s="120"/>
      <c r="D1687" s="120"/>
      <c r="E1687" s="120"/>
      <c r="F1687" s="298"/>
      <c r="G1687" s="298"/>
      <c r="H1687" s="156" t="s">
        <v>293</v>
      </c>
      <c r="I1687" s="157">
        <v>10000</v>
      </c>
      <c r="J1687" s="157">
        <v>8000</v>
      </c>
      <c r="K1687" s="157">
        <v>10000</v>
      </c>
      <c r="L1687" s="158">
        <v>10000</v>
      </c>
      <c r="M1687" s="158">
        <v>7000</v>
      </c>
      <c r="N1687" s="541"/>
      <c r="O1687" s="158"/>
      <c r="P1687" s="158"/>
      <c r="Q1687" s="158"/>
      <c r="R1687" s="158"/>
      <c r="S1687" s="157"/>
      <c r="T1687" s="535"/>
      <c r="U1687" s="159">
        <f t="shared" si="91"/>
        <v>10000</v>
      </c>
    </row>
    <row r="1688" spans="2:21" x14ac:dyDescent="0.2">
      <c r="B1688" s="8">
        <f t="shared" si="93"/>
        <v>20</v>
      </c>
      <c r="C1688" s="120"/>
      <c r="D1688" s="120"/>
      <c r="E1688" s="120"/>
      <c r="F1688" s="298"/>
      <c r="G1688" s="298"/>
      <c r="H1688" s="156" t="s">
        <v>386</v>
      </c>
      <c r="I1688" s="157"/>
      <c r="J1688" s="157"/>
      <c r="K1688" s="157"/>
      <c r="L1688" s="158"/>
      <c r="M1688" s="158">
        <v>8500</v>
      </c>
      <c r="N1688" s="541"/>
      <c r="O1688" s="158"/>
      <c r="P1688" s="158"/>
      <c r="Q1688" s="158"/>
      <c r="R1688" s="158"/>
      <c r="S1688" s="157"/>
      <c r="T1688" s="535"/>
      <c r="U1688" s="159">
        <f t="shared" si="91"/>
        <v>0</v>
      </c>
    </row>
    <row r="1689" spans="2:21" x14ac:dyDescent="0.2">
      <c r="B1689" s="8">
        <f t="shared" si="93"/>
        <v>21</v>
      </c>
      <c r="C1689" s="120"/>
      <c r="D1689" s="120"/>
      <c r="E1689" s="120"/>
      <c r="F1689" s="298"/>
      <c r="G1689" s="298"/>
      <c r="H1689" s="156" t="s">
        <v>387</v>
      </c>
      <c r="I1689" s="157"/>
      <c r="J1689" s="157"/>
      <c r="K1689" s="157">
        <v>23375</v>
      </c>
      <c r="L1689" s="158">
        <v>14000</v>
      </c>
      <c r="M1689" s="158">
        <v>9500</v>
      </c>
      <c r="N1689" s="541"/>
      <c r="O1689" s="158"/>
      <c r="P1689" s="158"/>
      <c r="Q1689" s="158"/>
      <c r="R1689" s="158"/>
      <c r="S1689" s="157"/>
      <c r="T1689" s="535"/>
      <c r="U1689" s="159">
        <f t="shared" si="91"/>
        <v>0</v>
      </c>
    </row>
    <row r="1690" spans="2:21" x14ac:dyDescent="0.2">
      <c r="B1690" s="8">
        <f t="shared" si="93"/>
        <v>22</v>
      </c>
      <c r="C1690" s="120"/>
      <c r="D1690" s="120"/>
      <c r="E1690" s="120"/>
      <c r="F1690" s="298"/>
      <c r="G1690" s="298"/>
      <c r="H1690" s="156" t="s">
        <v>388</v>
      </c>
      <c r="I1690" s="157"/>
      <c r="J1690" s="157"/>
      <c r="K1690" s="157"/>
      <c r="L1690" s="158"/>
      <c r="M1690" s="158">
        <v>7000</v>
      </c>
      <c r="N1690" s="541"/>
      <c r="O1690" s="158"/>
      <c r="P1690" s="158"/>
      <c r="Q1690" s="158"/>
      <c r="R1690" s="158"/>
      <c r="S1690" s="157"/>
      <c r="T1690" s="535"/>
      <c r="U1690" s="159">
        <f t="shared" si="91"/>
        <v>0</v>
      </c>
    </row>
    <row r="1691" spans="2:21" x14ac:dyDescent="0.2">
      <c r="B1691" s="8">
        <f t="shared" si="93"/>
        <v>23</v>
      </c>
      <c r="C1691" s="120"/>
      <c r="D1691" s="120"/>
      <c r="E1691" s="120"/>
      <c r="F1691" s="298"/>
      <c r="G1691" s="298"/>
      <c r="H1691" s="156" t="s">
        <v>390</v>
      </c>
      <c r="I1691" s="157"/>
      <c r="J1691" s="157"/>
      <c r="K1691" s="157">
        <v>6093</v>
      </c>
      <c r="L1691" s="158">
        <v>7000</v>
      </c>
      <c r="M1691" s="158">
        <v>7000</v>
      </c>
      <c r="N1691" s="541"/>
      <c r="O1691" s="158"/>
      <c r="P1691" s="158"/>
      <c r="Q1691" s="158"/>
      <c r="R1691" s="158"/>
      <c r="S1691" s="157"/>
      <c r="T1691" s="535"/>
      <c r="U1691" s="159">
        <f t="shared" si="91"/>
        <v>0</v>
      </c>
    </row>
    <row r="1692" spans="2:21" x14ac:dyDescent="0.2">
      <c r="B1692" s="8">
        <f t="shared" si="93"/>
        <v>24</v>
      </c>
      <c r="C1692" s="120"/>
      <c r="D1692" s="120"/>
      <c r="E1692" s="120"/>
      <c r="F1692" s="298"/>
      <c r="G1692" s="298"/>
      <c r="H1692" s="156" t="s">
        <v>391</v>
      </c>
      <c r="I1692" s="157"/>
      <c r="J1692" s="157"/>
      <c r="K1692" s="157"/>
      <c r="L1692" s="158"/>
      <c r="M1692" s="158">
        <v>3857</v>
      </c>
      <c r="N1692" s="541"/>
      <c r="O1692" s="158"/>
      <c r="P1692" s="158"/>
      <c r="Q1692" s="158"/>
      <c r="R1692" s="158"/>
      <c r="S1692" s="157"/>
      <c r="T1692" s="535"/>
      <c r="U1692" s="159">
        <f t="shared" si="91"/>
        <v>0</v>
      </c>
    </row>
    <row r="1693" spans="2:21" x14ac:dyDescent="0.2">
      <c r="B1693" s="8">
        <f t="shared" si="93"/>
        <v>25</v>
      </c>
      <c r="C1693" s="120"/>
      <c r="D1693" s="120"/>
      <c r="E1693" s="120"/>
      <c r="F1693" s="298"/>
      <c r="G1693" s="298"/>
      <c r="H1693" s="156" t="s">
        <v>675</v>
      </c>
      <c r="I1693" s="157"/>
      <c r="J1693" s="157"/>
      <c r="K1693" s="157">
        <v>38000</v>
      </c>
      <c r="L1693" s="158">
        <v>38000</v>
      </c>
      <c r="M1693" s="158">
        <v>68000</v>
      </c>
      <c r="N1693" s="541"/>
      <c r="O1693" s="158"/>
      <c r="P1693" s="158"/>
      <c r="Q1693" s="158"/>
      <c r="R1693" s="158"/>
      <c r="S1693" s="157"/>
      <c r="T1693" s="535"/>
      <c r="U1693" s="159">
        <f t="shared" si="91"/>
        <v>0</v>
      </c>
    </row>
    <row r="1694" spans="2:21" ht="24" x14ac:dyDescent="0.2">
      <c r="B1694" s="8">
        <f t="shared" si="93"/>
        <v>26</v>
      </c>
      <c r="C1694" s="120"/>
      <c r="D1694" s="120"/>
      <c r="E1694" s="120"/>
      <c r="F1694" s="298"/>
      <c r="G1694" s="298"/>
      <c r="H1694" s="371" t="s">
        <v>1003</v>
      </c>
      <c r="I1694" s="157"/>
      <c r="J1694" s="157"/>
      <c r="K1694" s="157">
        <v>2000</v>
      </c>
      <c r="L1694" s="158"/>
      <c r="M1694" s="158"/>
      <c r="N1694" s="541"/>
      <c r="O1694" s="158"/>
      <c r="P1694" s="158"/>
      <c r="Q1694" s="158"/>
      <c r="R1694" s="158"/>
      <c r="S1694" s="157"/>
      <c r="T1694" s="535"/>
      <c r="U1694" s="159">
        <f t="shared" si="91"/>
        <v>0</v>
      </c>
    </row>
    <row r="1695" spans="2:21" x14ac:dyDescent="0.2">
      <c r="B1695" s="8">
        <f t="shared" si="93"/>
        <v>27</v>
      </c>
      <c r="C1695" s="120"/>
      <c r="D1695" s="120"/>
      <c r="E1695" s="120"/>
      <c r="F1695" s="298"/>
      <c r="G1695" s="298"/>
      <c r="H1695" s="156" t="s">
        <v>594</v>
      </c>
      <c r="I1695" s="157"/>
      <c r="J1695" s="157"/>
      <c r="K1695" s="157"/>
      <c r="L1695" s="158">
        <v>2080</v>
      </c>
      <c r="M1695" s="158"/>
      <c r="N1695" s="541"/>
      <c r="O1695" s="158"/>
      <c r="P1695" s="158"/>
      <c r="Q1695" s="158"/>
      <c r="R1695" s="158"/>
      <c r="S1695" s="157"/>
      <c r="T1695" s="535"/>
      <c r="U1695" s="159">
        <f t="shared" si="91"/>
        <v>0</v>
      </c>
    </row>
    <row r="1696" spans="2:21" x14ac:dyDescent="0.2">
      <c r="B1696" s="8">
        <f t="shared" si="93"/>
        <v>28</v>
      </c>
      <c r="C1696" s="120"/>
      <c r="D1696" s="120"/>
      <c r="E1696" s="120"/>
      <c r="F1696" s="298"/>
      <c r="G1696" s="298"/>
      <c r="H1696" s="156" t="s">
        <v>591</v>
      </c>
      <c r="I1696" s="157"/>
      <c r="J1696" s="157"/>
      <c r="K1696" s="157"/>
      <c r="L1696" s="158">
        <v>6240</v>
      </c>
      <c r="M1696" s="158"/>
      <c r="N1696" s="541"/>
      <c r="O1696" s="158"/>
      <c r="P1696" s="158"/>
      <c r="Q1696" s="158"/>
      <c r="R1696" s="158"/>
      <c r="S1696" s="157"/>
      <c r="T1696" s="535"/>
      <c r="U1696" s="159">
        <f t="shared" si="91"/>
        <v>0</v>
      </c>
    </row>
    <row r="1697" spans="2:21" x14ac:dyDescent="0.2">
      <c r="B1697" s="8">
        <f t="shared" si="93"/>
        <v>29</v>
      </c>
      <c r="C1697" s="120"/>
      <c r="D1697" s="120"/>
      <c r="E1697" s="120"/>
      <c r="F1697" s="298"/>
      <c r="G1697" s="298"/>
      <c r="H1697" s="156" t="s">
        <v>595</v>
      </c>
      <c r="I1697" s="157"/>
      <c r="J1697" s="157"/>
      <c r="K1697" s="157"/>
      <c r="L1697" s="158">
        <v>116100</v>
      </c>
      <c r="M1697" s="158"/>
      <c r="N1697" s="541"/>
      <c r="O1697" s="158"/>
      <c r="P1697" s="158"/>
      <c r="Q1697" s="158"/>
      <c r="R1697" s="158"/>
      <c r="S1697" s="157"/>
      <c r="T1697" s="535"/>
      <c r="U1697" s="159">
        <f t="shared" si="91"/>
        <v>0</v>
      </c>
    </row>
    <row r="1698" spans="2:21" x14ac:dyDescent="0.2">
      <c r="B1698" s="8">
        <f t="shared" si="93"/>
        <v>30</v>
      </c>
      <c r="C1698" s="120"/>
      <c r="D1698" s="120"/>
      <c r="E1698" s="120"/>
      <c r="F1698" s="298"/>
      <c r="G1698" s="298"/>
      <c r="H1698" s="156" t="s">
        <v>297</v>
      </c>
      <c r="I1698" s="157"/>
      <c r="J1698" s="157"/>
      <c r="K1698" s="157">
        <v>40000</v>
      </c>
      <c r="L1698" s="158">
        <v>40000</v>
      </c>
      <c r="M1698" s="158">
        <v>40000</v>
      </c>
      <c r="N1698" s="541"/>
      <c r="O1698" s="158"/>
      <c r="P1698" s="158"/>
      <c r="Q1698" s="158"/>
      <c r="R1698" s="158"/>
      <c r="S1698" s="157"/>
      <c r="T1698" s="535"/>
      <c r="U1698" s="159">
        <f t="shared" si="91"/>
        <v>0</v>
      </c>
    </row>
    <row r="1699" spans="2:21" x14ac:dyDescent="0.2">
      <c r="B1699" s="8">
        <f t="shared" si="93"/>
        <v>31</v>
      </c>
      <c r="C1699" s="120"/>
      <c r="D1699" s="120"/>
      <c r="E1699" s="120"/>
      <c r="F1699" s="298"/>
      <c r="G1699" s="298"/>
      <c r="H1699" s="156" t="s">
        <v>967</v>
      </c>
      <c r="I1699" s="157"/>
      <c r="J1699" s="157"/>
      <c r="K1699" s="157"/>
      <c r="L1699" s="158">
        <v>15000</v>
      </c>
      <c r="M1699" s="158"/>
      <c r="N1699" s="541"/>
      <c r="O1699" s="158"/>
      <c r="P1699" s="158"/>
      <c r="Q1699" s="158"/>
      <c r="R1699" s="158"/>
      <c r="S1699" s="157"/>
      <c r="T1699" s="535"/>
      <c r="U1699" s="159">
        <f t="shared" si="91"/>
        <v>0</v>
      </c>
    </row>
    <row r="1700" spans="2:21" x14ac:dyDescent="0.2">
      <c r="B1700" s="8">
        <f t="shared" si="93"/>
        <v>32</v>
      </c>
      <c r="C1700" s="120"/>
      <c r="D1700" s="120"/>
      <c r="E1700" s="120"/>
      <c r="F1700" s="298"/>
      <c r="G1700" s="298"/>
      <c r="H1700" s="156" t="s">
        <v>968</v>
      </c>
      <c r="I1700" s="157"/>
      <c r="J1700" s="157"/>
      <c r="K1700" s="157">
        <v>11625</v>
      </c>
      <c r="L1700" s="158">
        <v>14000</v>
      </c>
      <c r="M1700" s="158"/>
      <c r="N1700" s="541"/>
      <c r="O1700" s="158"/>
      <c r="P1700" s="158"/>
      <c r="Q1700" s="158"/>
      <c r="R1700" s="158"/>
      <c r="S1700" s="157"/>
      <c r="T1700" s="535"/>
      <c r="U1700" s="159">
        <f t="shared" si="91"/>
        <v>0</v>
      </c>
    </row>
    <row r="1701" spans="2:21" x14ac:dyDescent="0.2">
      <c r="B1701" s="8">
        <f t="shared" si="93"/>
        <v>33</v>
      </c>
      <c r="C1701" s="120"/>
      <c r="D1701" s="120"/>
      <c r="E1701" s="120"/>
      <c r="F1701" s="298"/>
      <c r="G1701" s="298"/>
      <c r="H1701" s="156" t="s">
        <v>1004</v>
      </c>
      <c r="I1701" s="157"/>
      <c r="J1701" s="157"/>
      <c r="K1701" s="157">
        <v>2500</v>
      </c>
      <c r="L1701" s="158"/>
      <c r="M1701" s="158"/>
      <c r="N1701" s="541"/>
      <c r="O1701" s="158"/>
      <c r="P1701" s="158"/>
      <c r="Q1701" s="158"/>
      <c r="R1701" s="158"/>
      <c r="S1701" s="157"/>
      <c r="T1701" s="535"/>
      <c r="U1701" s="159">
        <f t="shared" si="91"/>
        <v>0</v>
      </c>
    </row>
    <row r="1702" spans="2:21" s="13" customFormat="1" ht="36" x14ac:dyDescent="0.2">
      <c r="B1702" s="8">
        <f t="shared" si="93"/>
        <v>34</v>
      </c>
      <c r="C1702" s="166"/>
      <c r="D1702" s="166"/>
      <c r="E1702" s="166"/>
      <c r="F1702" s="313"/>
      <c r="G1702" s="313"/>
      <c r="H1702" s="168" t="s">
        <v>1005</v>
      </c>
      <c r="I1702" s="169"/>
      <c r="J1702" s="169"/>
      <c r="K1702" s="169">
        <v>1000</v>
      </c>
      <c r="L1702" s="170"/>
      <c r="M1702" s="170"/>
      <c r="N1702" s="566"/>
      <c r="O1702" s="170"/>
      <c r="P1702" s="170"/>
      <c r="Q1702" s="170"/>
      <c r="R1702" s="170"/>
      <c r="S1702" s="169"/>
      <c r="T1702" s="536"/>
      <c r="U1702" s="171">
        <f t="shared" si="91"/>
        <v>0</v>
      </c>
    </row>
    <row r="1703" spans="2:21" x14ac:dyDescent="0.2">
      <c r="B1703" s="8">
        <f t="shared" si="93"/>
        <v>35</v>
      </c>
      <c r="C1703" s="120"/>
      <c r="D1703" s="120"/>
      <c r="E1703" s="120"/>
      <c r="F1703" s="298"/>
      <c r="G1703" s="298"/>
      <c r="H1703" s="156" t="s">
        <v>294</v>
      </c>
      <c r="I1703" s="157"/>
      <c r="J1703" s="157"/>
      <c r="K1703" s="157"/>
      <c r="L1703" s="158"/>
      <c r="M1703" s="158"/>
      <c r="N1703" s="541"/>
      <c r="O1703" s="158"/>
      <c r="P1703" s="158"/>
      <c r="Q1703" s="158"/>
      <c r="R1703" s="158"/>
      <c r="S1703" s="157"/>
      <c r="T1703" s="535"/>
      <c r="U1703" s="159">
        <f t="shared" si="91"/>
        <v>0</v>
      </c>
    </row>
    <row r="1704" spans="2:21" x14ac:dyDescent="0.2">
      <c r="B1704" s="8">
        <f t="shared" ref="B1704:B1767" si="94">B1703+1</f>
        <v>36</v>
      </c>
      <c r="C1704" s="120"/>
      <c r="D1704" s="120"/>
      <c r="E1704" s="120"/>
      <c r="F1704" s="298"/>
      <c r="G1704" s="298"/>
      <c r="H1704" s="156" t="s">
        <v>674</v>
      </c>
      <c r="I1704" s="157"/>
      <c r="J1704" s="157"/>
      <c r="K1704" s="157"/>
      <c r="L1704" s="158"/>
      <c r="M1704" s="158">
        <v>1000</v>
      </c>
      <c r="N1704" s="541"/>
      <c r="O1704" s="158"/>
      <c r="P1704" s="158"/>
      <c r="Q1704" s="158"/>
      <c r="R1704" s="158"/>
      <c r="S1704" s="157"/>
      <c r="T1704" s="535"/>
      <c r="U1704" s="159">
        <f t="shared" si="91"/>
        <v>0</v>
      </c>
    </row>
    <row r="1705" spans="2:21" x14ac:dyDescent="0.2">
      <c r="B1705" s="8">
        <f t="shared" si="94"/>
        <v>37</v>
      </c>
      <c r="C1705" s="120"/>
      <c r="D1705" s="120"/>
      <c r="E1705" s="120"/>
      <c r="F1705" s="298"/>
      <c r="G1705" s="298"/>
      <c r="H1705" s="156" t="s">
        <v>637</v>
      </c>
      <c r="I1705" s="157"/>
      <c r="J1705" s="157"/>
      <c r="K1705" s="157"/>
      <c r="L1705" s="158"/>
      <c r="M1705" s="158">
        <v>2000</v>
      </c>
      <c r="N1705" s="541"/>
      <c r="O1705" s="158"/>
      <c r="P1705" s="158"/>
      <c r="Q1705" s="158"/>
      <c r="R1705" s="158"/>
      <c r="S1705" s="157"/>
      <c r="T1705" s="535"/>
      <c r="U1705" s="159">
        <f t="shared" si="91"/>
        <v>0</v>
      </c>
    </row>
    <row r="1706" spans="2:21" ht="15.75" x14ac:dyDescent="0.25">
      <c r="B1706" s="8">
        <f t="shared" si="94"/>
        <v>38</v>
      </c>
      <c r="C1706" s="141">
        <v>3</v>
      </c>
      <c r="D1706" s="677" t="s">
        <v>208</v>
      </c>
      <c r="E1706" s="678"/>
      <c r="F1706" s="678"/>
      <c r="G1706" s="678"/>
      <c r="H1706" s="678"/>
      <c r="I1706" s="142">
        <f>I1707+I1717+I1733+I1767+I1789</f>
        <v>2695315</v>
      </c>
      <c r="J1706" s="142">
        <f>J1789+J1767+J1733+J1717+J1707</f>
        <v>3289880</v>
      </c>
      <c r="K1706" s="142">
        <f>K1789+K1767+K1733+K1717+K1707</f>
        <v>3285380</v>
      </c>
      <c r="L1706" s="143">
        <f>L1789+L1767+L1733+L1717+L1707</f>
        <v>2175042</v>
      </c>
      <c r="M1706" s="143">
        <f>M1789+M1767+M1733+M1717+M1707</f>
        <v>1338150</v>
      </c>
      <c r="N1706" s="533"/>
      <c r="O1706" s="142">
        <f>O1789+O1767+O1733+O1717+O1707</f>
        <v>11949645</v>
      </c>
      <c r="P1706" s="142">
        <f>P1789+P1767+P1733+P1717+P1707</f>
        <v>1609300</v>
      </c>
      <c r="Q1706" s="142">
        <f>Q1789+Q1767+Q1733+Q1717+Q1707</f>
        <v>3216473</v>
      </c>
      <c r="R1706" s="143">
        <f>R1789+R1767+R1733+R1717+R1707</f>
        <v>3009502</v>
      </c>
      <c r="S1706" s="143">
        <f>S1789+S1767+S1733+S1717+S1707</f>
        <v>62588</v>
      </c>
      <c r="T1706" s="533"/>
      <c r="U1706" s="144">
        <f t="shared" si="91"/>
        <v>14644960</v>
      </c>
    </row>
    <row r="1707" spans="2:21" ht="14.25" x14ac:dyDescent="0.2">
      <c r="B1707" s="8">
        <f t="shared" si="94"/>
        <v>39</v>
      </c>
      <c r="C1707" s="160"/>
      <c r="D1707" s="160">
        <v>1</v>
      </c>
      <c r="E1707" s="675" t="s">
        <v>207</v>
      </c>
      <c r="F1707" s="676"/>
      <c r="G1707" s="676"/>
      <c r="H1707" s="676"/>
      <c r="I1707" s="161">
        <f>I1708</f>
        <v>252480</v>
      </c>
      <c r="J1707" s="161">
        <f>J1708</f>
        <v>252250</v>
      </c>
      <c r="K1707" s="161">
        <f>K1708</f>
        <v>252250</v>
      </c>
      <c r="L1707" s="162">
        <f>L1708</f>
        <v>264050</v>
      </c>
      <c r="M1707" s="162">
        <f>M1708</f>
        <v>169169</v>
      </c>
      <c r="N1707" s="534"/>
      <c r="O1707" s="161">
        <f>O1713</f>
        <v>35000</v>
      </c>
      <c r="P1707" s="161"/>
      <c r="Q1707" s="161">
        <f>Q1713</f>
        <v>1360000</v>
      </c>
      <c r="R1707" s="162"/>
      <c r="S1707" s="162"/>
      <c r="T1707" s="534"/>
      <c r="U1707" s="163">
        <f t="shared" si="91"/>
        <v>287480</v>
      </c>
    </row>
    <row r="1708" spans="2:21" x14ac:dyDescent="0.2">
      <c r="B1708" s="8">
        <f t="shared" si="94"/>
        <v>40</v>
      </c>
      <c r="C1708" s="24"/>
      <c r="D1708" s="24"/>
      <c r="E1708" s="24"/>
      <c r="F1708" s="149" t="s">
        <v>189</v>
      </c>
      <c r="G1708" s="150">
        <v>630</v>
      </c>
      <c r="H1708" s="24" t="s">
        <v>131</v>
      </c>
      <c r="I1708" s="25">
        <f>SUM(I1711:I1712)</f>
        <v>252480</v>
      </c>
      <c r="J1708" s="25">
        <f>J1712+J1711+J1709+J1710</f>
        <v>252250</v>
      </c>
      <c r="K1708" s="25">
        <f>K1712+K1711+K1709+K1710</f>
        <v>252250</v>
      </c>
      <c r="L1708" s="26">
        <f>SUM(L1709:L1712)</f>
        <v>264050</v>
      </c>
      <c r="M1708" s="26">
        <f>SUM(M1709:M1712)</f>
        <v>169169</v>
      </c>
      <c r="N1708" s="501"/>
      <c r="O1708" s="25"/>
      <c r="P1708" s="25"/>
      <c r="Q1708" s="25"/>
      <c r="R1708" s="26"/>
      <c r="S1708" s="26"/>
      <c r="T1708" s="501"/>
      <c r="U1708" s="151">
        <f t="shared" si="91"/>
        <v>252480</v>
      </c>
    </row>
    <row r="1709" spans="2:21" x14ac:dyDescent="0.2">
      <c r="B1709" s="8">
        <f t="shared" si="94"/>
        <v>41</v>
      </c>
      <c r="C1709" s="24"/>
      <c r="D1709" s="24"/>
      <c r="E1709" s="24"/>
      <c r="F1709" s="149"/>
      <c r="G1709" s="153">
        <v>633</v>
      </c>
      <c r="H1709" s="18" t="s">
        <v>135</v>
      </c>
      <c r="I1709" s="25"/>
      <c r="J1709" s="19"/>
      <c r="K1709" s="19"/>
      <c r="L1709" s="20">
        <v>12949</v>
      </c>
      <c r="M1709" s="20">
        <v>1755</v>
      </c>
      <c r="N1709" s="501"/>
      <c r="O1709" s="25"/>
      <c r="P1709" s="25"/>
      <c r="Q1709" s="25"/>
      <c r="R1709" s="26"/>
      <c r="S1709" s="26"/>
      <c r="T1709" s="501"/>
      <c r="U1709" s="154">
        <f t="shared" si="91"/>
        <v>0</v>
      </c>
    </row>
    <row r="1710" spans="2:21" x14ac:dyDescent="0.2">
      <c r="B1710" s="8">
        <f t="shared" si="94"/>
        <v>42</v>
      </c>
      <c r="C1710" s="24"/>
      <c r="D1710" s="24"/>
      <c r="E1710" s="24"/>
      <c r="F1710" s="149"/>
      <c r="G1710" s="153">
        <v>635</v>
      </c>
      <c r="H1710" s="18" t="s">
        <v>143</v>
      </c>
      <c r="I1710" s="25"/>
      <c r="J1710" s="25"/>
      <c r="K1710" s="19"/>
      <c r="L1710" s="20"/>
      <c r="M1710" s="20">
        <v>5996</v>
      </c>
      <c r="N1710" s="501"/>
      <c r="O1710" s="25"/>
      <c r="P1710" s="25"/>
      <c r="Q1710" s="25"/>
      <c r="R1710" s="26"/>
      <c r="S1710" s="26"/>
      <c r="T1710" s="501"/>
      <c r="U1710" s="154">
        <f t="shared" si="91"/>
        <v>0</v>
      </c>
    </row>
    <row r="1711" spans="2:21" x14ac:dyDescent="0.2">
      <c r="B1711" s="8">
        <f t="shared" si="94"/>
        <v>43</v>
      </c>
      <c r="C1711" s="18"/>
      <c r="D1711" s="18"/>
      <c r="E1711" s="18"/>
      <c r="F1711" s="152"/>
      <c r="G1711" s="153">
        <v>636</v>
      </c>
      <c r="H1711" s="18" t="s">
        <v>136</v>
      </c>
      <c r="I1711" s="19">
        <v>250000</v>
      </c>
      <c r="J1711" s="19">
        <v>250000</v>
      </c>
      <c r="K1711" s="19">
        <v>250000</v>
      </c>
      <c r="L1711" s="20">
        <v>250000</v>
      </c>
      <c r="M1711" s="20">
        <v>159950</v>
      </c>
      <c r="N1711" s="164"/>
      <c r="O1711" s="19"/>
      <c r="P1711" s="19"/>
      <c r="Q1711" s="19"/>
      <c r="R1711" s="20"/>
      <c r="S1711" s="20"/>
      <c r="T1711" s="164"/>
      <c r="U1711" s="154">
        <f t="shared" si="91"/>
        <v>250000</v>
      </c>
    </row>
    <row r="1712" spans="2:21" x14ac:dyDescent="0.2">
      <c r="B1712" s="8">
        <f t="shared" si="94"/>
        <v>44</v>
      </c>
      <c r="C1712" s="18"/>
      <c r="D1712" s="18"/>
      <c r="E1712" s="18"/>
      <c r="F1712" s="152"/>
      <c r="G1712" s="153">
        <v>637</v>
      </c>
      <c r="H1712" s="18" t="s">
        <v>132</v>
      </c>
      <c r="I1712" s="19">
        <v>2480</v>
      </c>
      <c r="J1712" s="19">
        <v>2250</v>
      </c>
      <c r="K1712" s="19">
        <v>2250</v>
      </c>
      <c r="L1712" s="20">
        <v>1101</v>
      </c>
      <c r="M1712" s="20">
        <v>1468</v>
      </c>
      <c r="N1712" s="164"/>
      <c r="O1712" s="19"/>
      <c r="P1712" s="19"/>
      <c r="Q1712" s="19"/>
      <c r="R1712" s="20"/>
      <c r="S1712" s="20"/>
      <c r="T1712" s="164"/>
      <c r="U1712" s="154">
        <f t="shared" si="91"/>
        <v>2480</v>
      </c>
    </row>
    <row r="1713" spans="2:21" x14ac:dyDescent="0.2">
      <c r="B1713" s="8">
        <f t="shared" si="94"/>
        <v>45</v>
      </c>
      <c r="C1713" s="18"/>
      <c r="D1713" s="18"/>
      <c r="E1713" s="18"/>
      <c r="F1713" s="149" t="s">
        <v>189</v>
      </c>
      <c r="G1713" s="150">
        <v>710</v>
      </c>
      <c r="H1713" s="24" t="s">
        <v>185</v>
      </c>
      <c r="I1713" s="19"/>
      <c r="J1713" s="19"/>
      <c r="K1713" s="19"/>
      <c r="L1713" s="20"/>
      <c r="M1713" s="20"/>
      <c r="N1713" s="164"/>
      <c r="O1713" s="25">
        <f>O1714</f>
        <v>35000</v>
      </c>
      <c r="P1713" s="25"/>
      <c r="Q1713" s="25">
        <f>Q1714</f>
        <v>1360000</v>
      </c>
      <c r="R1713" s="26"/>
      <c r="S1713" s="26"/>
      <c r="T1713" s="164"/>
      <c r="U1713" s="154">
        <f t="shared" si="91"/>
        <v>35000</v>
      </c>
    </row>
    <row r="1714" spans="2:21" x14ac:dyDescent="0.2">
      <c r="B1714" s="8">
        <f t="shared" si="94"/>
        <v>46</v>
      </c>
      <c r="C1714" s="18"/>
      <c r="D1714" s="18"/>
      <c r="E1714" s="18"/>
      <c r="F1714" s="152"/>
      <c r="G1714" s="153">
        <v>717</v>
      </c>
      <c r="H1714" s="18" t="s">
        <v>192</v>
      </c>
      <c r="I1714" s="19"/>
      <c r="J1714" s="19"/>
      <c r="K1714" s="19"/>
      <c r="L1714" s="20"/>
      <c r="M1714" s="20"/>
      <c r="N1714" s="164"/>
      <c r="O1714" s="19">
        <f>O1716</f>
        <v>35000</v>
      </c>
      <c r="P1714" s="19"/>
      <c r="Q1714" s="19">
        <f>Q1715</f>
        <v>1360000</v>
      </c>
      <c r="R1714" s="20"/>
      <c r="S1714" s="20"/>
      <c r="T1714" s="164"/>
      <c r="U1714" s="154">
        <f t="shared" si="91"/>
        <v>35000</v>
      </c>
    </row>
    <row r="1715" spans="2:21" x14ac:dyDescent="0.2">
      <c r="B1715" s="8">
        <f t="shared" si="94"/>
        <v>47</v>
      </c>
      <c r="C1715" s="18"/>
      <c r="D1715" s="18"/>
      <c r="E1715" s="18"/>
      <c r="F1715" s="272"/>
      <c r="G1715" s="155"/>
      <c r="H1715" s="156" t="s">
        <v>734</v>
      </c>
      <c r="I1715" s="19"/>
      <c r="J1715" s="19"/>
      <c r="K1715" s="19"/>
      <c r="L1715" s="20"/>
      <c r="M1715" s="20"/>
      <c r="N1715" s="164"/>
      <c r="O1715" s="19"/>
      <c r="P1715" s="19"/>
      <c r="Q1715" s="19">
        <v>1360000</v>
      </c>
      <c r="R1715" s="20"/>
      <c r="S1715" s="20"/>
      <c r="T1715" s="164"/>
      <c r="U1715" s="154">
        <f t="shared" si="91"/>
        <v>0</v>
      </c>
    </row>
    <row r="1716" spans="2:21" x14ac:dyDescent="0.2">
      <c r="B1716" s="8">
        <f t="shared" si="94"/>
        <v>48</v>
      </c>
      <c r="C1716" s="18"/>
      <c r="D1716" s="18"/>
      <c r="E1716" s="18"/>
      <c r="F1716" s="272"/>
      <c r="G1716" s="155"/>
      <c r="H1716" s="156" t="s">
        <v>1097</v>
      </c>
      <c r="I1716" s="19"/>
      <c r="J1716" s="19"/>
      <c r="K1716" s="19"/>
      <c r="L1716" s="20"/>
      <c r="M1716" s="20"/>
      <c r="N1716" s="164"/>
      <c r="O1716" s="157">
        <v>35000</v>
      </c>
      <c r="P1716" s="157"/>
      <c r="Q1716" s="157"/>
      <c r="R1716" s="158"/>
      <c r="S1716" s="158"/>
      <c r="T1716" s="535"/>
      <c r="U1716" s="159">
        <f t="shared" si="91"/>
        <v>35000</v>
      </c>
    </row>
    <row r="1717" spans="2:21" ht="14.25" x14ac:dyDescent="0.2">
      <c r="B1717" s="8">
        <f t="shared" si="94"/>
        <v>49</v>
      </c>
      <c r="C1717" s="160"/>
      <c r="D1717" s="160">
        <v>2</v>
      </c>
      <c r="E1717" s="675" t="s">
        <v>209</v>
      </c>
      <c r="F1717" s="676"/>
      <c r="G1717" s="676"/>
      <c r="H1717" s="676"/>
      <c r="I1717" s="161">
        <f>I1718</f>
        <v>528050</v>
      </c>
      <c r="J1717" s="161">
        <f>J1718</f>
        <v>520410</v>
      </c>
      <c r="K1717" s="161">
        <f>K1718</f>
        <v>520410</v>
      </c>
      <c r="L1717" s="162">
        <f>L1718</f>
        <v>517812</v>
      </c>
      <c r="M1717" s="162">
        <f>M1718</f>
        <v>206659</v>
      </c>
      <c r="N1717" s="534"/>
      <c r="O1717" s="161"/>
      <c r="P1717" s="161">
        <f>P1722</f>
        <v>400000</v>
      </c>
      <c r="Q1717" s="161">
        <f>Q1722+Q1731</f>
        <v>421122</v>
      </c>
      <c r="R1717" s="162">
        <f>R1722+R1731</f>
        <v>37327</v>
      </c>
      <c r="S1717" s="162">
        <f>S1722</f>
        <v>31118</v>
      </c>
      <c r="T1717" s="534"/>
      <c r="U1717" s="163">
        <f t="shared" si="91"/>
        <v>528050</v>
      </c>
    </row>
    <row r="1718" spans="2:21" x14ac:dyDescent="0.2">
      <c r="B1718" s="8">
        <f t="shared" si="94"/>
        <v>50</v>
      </c>
      <c r="C1718" s="24"/>
      <c r="D1718" s="24"/>
      <c r="E1718" s="24"/>
      <c r="F1718" s="149" t="s">
        <v>189</v>
      </c>
      <c r="G1718" s="150">
        <v>630</v>
      </c>
      <c r="H1718" s="24" t="s">
        <v>131</v>
      </c>
      <c r="I1718" s="25">
        <f>SUM(I1719:I1721)</f>
        <v>528050</v>
      </c>
      <c r="J1718" s="25">
        <f>J1721+J1720+J1719</f>
        <v>520410</v>
      </c>
      <c r="K1718" s="25">
        <f>K1721+K1720+K1719</f>
        <v>520410</v>
      </c>
      <c r="L1718" s="26">
        <f>L1721+L1720+L1719</f>
        <v>517812</v>
      </c>
      <c r="M1718" s="26">
        <f>M1721+M1720+M1719</f>
        <v>206659</v>
      </c>
      <c r="N1718" s="501"/>
      <c r="O1718" s="25"/>
      <c r="P1718" s="25"/>
      <c r="Q1718" s="25"/>
      <c r="R1718" s="26"/>
      <c r="S1718" s="26"/>
      <c r="T1718" s="501"/>
      <c r="U1718" s="151">
        <f t="shared" si="91"/>
        <v>528050</v>
      </c>
    </row>
    <row r="1719" spans="2:21" x14ac:dyDescent="0.2">
      <c r="B1719" s="8">
        <f t="shared" si="94"/>
        <v>51</v>
      </c>
      <c r="C1719" s="18"/>
      <c r="D1719" s="18"/>
      <c r="E1719" s="18"/>
      <c r="F1719" s="152"/>
      <c r="G1719" s="153">
        <v>632</v>
      </c>
      <c r="H1719" s="18" t="s">
        <v>144</v>
      </c>
      <c r="I1719" s="19">
        <v>27200</v>
      </c>
      <c r="J1719" s="19">
        <v>19610</v>
      </c>
      <c r="K1719" s="19">
        <v>19610</v>
      </c>
      <c r="L1719" s="20">
        <v>17189</v>
      </c>
      <c r="M1719" s="20">
        <v>6192</v>
      </c>
      <c r="N1719" s="164"/>
      <c r="O1719" s="19"/>
      <c r="P1719" s="19"/>
      <c r="Q1719" s="19"/>
      <c r="R1719" s="20"/>
      <c r="S1719" s="20"/>
      <c r="T1719" s="164"/>
      <c r="U1719" s="154">
        <f t="shared" si="91"/>
        <v>27200</v>
      </c>
    </row>
    <row r="1720" spans="2:21" x14ac:dyDescent="0.2">
      <c r="B1720" s="8">
        <f t="shared" si="94"/>
        <v>52</v>
      </c>
      <c r="C1720" s="18"/>
      <c r="D1720" s="18"/>
      <c r="E1720" s="18"/>
      <c r="F1720" s="152"/>
      <c r="G1720" s="153">
        <v>636</v>
      </c>
      <c r="H1720" s="18" t="s">
        <v>136</v>
      </c>
      <c r="I1720" s="19">
        <v>500000</v>
      </c>
      <c r="J1720" s="19">
        <v>500000</v>
      </c>
      <c r="K1720" s="19">
        <v>500000</v>
      </c>
      <c r="L1720" s="20">
        <v>500000</v>
      </c>
      <c r="M1720" s="20">
        <v>200000</v>
      </c>
      <c r="N1720" s="164"/>
      <c r="O1720" s="19"/>
      <c r="P1720" s="19"/>
      <c r="Q1720" s="19"/>
      <c r="R1720" s="20"/>
      <c r="S1720" s="20"/>
      <c r="T1720" s="164"/>
      <c r="U1720" s="154">
        <f t="shared" si="91"/>
        <v>500000</v>
      </c>
    </row>
    <row r="1721" spans="2:21" x14ac:dyDescent="0.2">
      <c r="B1721" s="8">
        <f t="shared" si="94"/>
        <v>53</v>
      </c>
      <c r="C1721" s="18"/>
      <c r="D1721" s="18"/>
      <c r="E1721" s="18"/>
      <c r="F1721" s="152"/>
      <c r="G1721" s="153">
        <v>637</v>
      </c>
      <c r="H1721" s="18" t="s">
        <v>132</v>
      </c>
      <c r="I1721" s="19">
        <v>850</v>
      </c>
      <c r="J1721" s="19">
        <v>800</v>
      </c>
      <c r="K1721" s="19">
        <v>800</v>
      </c>
      <c r="L1721" s="20">
        <v>623</v>
      </c>
      <c r="M1721" s="20">
        <v>467</v>
      </c>
      <c r="N1721" s="164"/>
      <c r="O1721" s="19"/>
      <c r="P1721" s="19"/>
      <c r="Q1721" s="19"/>
      <c r="R1721" s="20"/>
      <c r="S1721" s="20"/>
      <c r="T1721" s="164"/>
      <c r="U1721" s="154">
        <f t="shared" si="91"/>
        <v>850</v>
      </c>
    </row>
    <row r="1722" spans="2:21" x14ac:dyDescent="0.2">
      <c r="B1722" s="8">
        <f t="shared" si="94"/>
        <v>54</v>
      </c>
      <c r="C1722" s="24"/>
      <c r="D1722" s="24"/>
      <c r="E1722" s="24"/>
      <c r="F1722" s="149" t="s">
        <v>189</v>
      </c>
      <c r="G1722" s="150">
        <v>710</v>
      </c>
      <c r="H1722" s="24" t="s">
        <v>185</v>
      </c>
      <c r="I1722" s="25"/>
      <c r="J1722" s="25"/>
      <c r="K1722" s="25"/>
      <c r="L1722" s="26"/>
      <c r="M1722" s="26"/>
      <c r="N1722" s="501"/>
      <c r="O1722" s="25"/>
      <c r="P1722" s="25">
        <f>P1727+P1723+P1731</f>
        <v>400000</v>
      </c>
      <c r="Q1722" s="25">
        <f>Q1727+Q1723</f>
        <v>421122</v>
      </c>
      <c r="R1722" s="26">
        <f>R1723+R1727</f>
        <v>27327</v>
      </c>
      <c r="S1722" s="26">
        <f>S1723+S1727</f>
        <v>31118</v>
      </c>
      <c r="T1722" s="501"/>
      <c r="U1722" s="151">
        <f t="shared" si="91"/>
        <v>0</v>
      </c>
    </row>
    <row r="1723" spans="2:21" x14ac:dyDescent="0.2">
      <c r="B1723" s="8">
        <f t="shared" si="94"/>
        <v>55</v>
      </c>
      <c r="C1723" s="18"/>
      <c r="D1723" s="18"/>
      <c r="E1723" s="18"/>
      <c r="F1723" s="152"/>
      <c r="G1723" s="153">
        <v>716</v>
      </c>
      <c r="H1723" s="18" t="s">
        <v>226</v>
      </c>
      <c r="I1723" s="19"/>
      <c r="J1723" s="19"/>
      <c r="K1723" s="19"/>
      <c r="L1723" s="20"/>
      <c r="M1723" s="20"/>
      <c r="N1723" s="164"/>
      <c r="O1723" s="19"/>
      <c r="P1723" s="19"/>
      <c r="Q1723" s="19">
        <f>Q1725</f>
        <v>600</v>
      </c>
      <c r="R1723" s="20">
        <f>SUM(R1724:R1726)</f>
        <v>9196</v>
      </c>
      <c r="S1723" s="20">
        <f>SUM(S1724:S1726)</f>
        <v>2886</v>
      </c>
      <c r="T1723" s="164"/>
      <c r="U1723" s="154">
        <f t="shared" si="91"/>
        <v>0</v>
      </c>
    </row>
    <row r="1724" spans="2:21" x14ac:dyDescent="0.2">
      <c r="B1724" s="8">
        <f t="shared" si="94"/>
        <v>56</v>
      </c>
      <c r="C1724" s="120"/>
      <c r="D1724" s="120"/>
      <c r="E1724" s="120"/>
      <c r="F1724" s="298"/>
      <c r="G1724" s="298"/>
      <c r="H1724" s="156" t="s">
        <v>424</v>
      </c>
      <c r="I1724" s="157"/>
      <c r="J1724" s="157"/>
      <c r="K1724" s="157"/>
      <c r="L1724" s="157"/>
      <c r="M1724" s="157"/>
      <c r="N1724" s="535"/>
      <c r="O1724" s="157"/>
      <c r="P1724" s="157"/>
      <c r="Q1724" s="157"/>
      <c r="R1724" s="158">
        <v>9196</v>
      </c>
      <c r="S1724" s="157">
        <v>711</v>
      </c>
      <c r="T1724" s="535"/>
      <c r="U1724" s="159">
        <f t="shared" si="91"/>
        <v>0</v>
      </c>
    </row>
    <row r="1725" spans="2:21" x14ac:dyDescent="0.2">
      <c r="B1725" s="8">
        <f t="shared" si="94"/>
        <v>57</v>
      </c>
      <c r="C1725" s="120"/>
      <c r="D1725" s="120"/>
      <c r="E1725" s="120"/>
      <c r="F1725" s="298"/>
      <c r="G1725" s="298"/>
      <c r="H1725" s="156" t="s">
        <v>1006</v>
      </c>
      <c r="I1725" s="157"/>
      <c r="J1725" s="157"/>
      <c r="K1725" s="157"/>
      <c r="L1725" s="157"/>
      <c r="M1725" s="157"/>
      <c r="N1725" s="535"/>
      <c r="O1725" s="157"/>
      <c r="P1725" s="157"/>
      <c r="Q1725" s="157">
        <v>600</v>
      </c>
      <c r="R1725" s="158"/>
      <c r="S1725" s="157"/>
      <c r="T1725" s="535"/>
      <c r="U1725" s="159">
        <f t="shared" si="91"/>
        <v>0</v>
      </c>
    </row>
    <row r="1726" spans="2:21" x14ac:dyDescent="0.2">
      <c r="B1726" s="8">
        <f t="shared" si="94"/>
        <v>58</v>
      </c>
      <c r="C1726" s="120"/>
      <c r="D1726" s="120"/>
      <c r="E1726" s="120"/>
      <c r="F1726" s="298"/>
      <c r="G1726" s="298"/>
      <c r="H1726" s="120" t="s">
        <v>379</v>
      </c>
      <c r="I1726" s="158"/>
      <c r="J1726" s="158"/>
      <c r="K1726" s="157"/>
      <c r="L1726" s="158"/>
      <c r="M1726" s="158"/>
      <c r="N1726" s="541"/>
      <c r="O1726" s="158"/>
      <c r="P1726" s="158"/>
      <c r="Q1726" s="158"/>
      <c r="R1726" s="158"/>
      <c r="S1726" s="158">
        <v>2175</v>
      </c>
      <c r="T1726" s="541"/>
      <c r="U1726" s="181">
        <f t="shared" si="91"/>
        <v>0</v>
      </c>
    </row>
    <row r="1727" spans="2:21" x14ac:dyDescent="0.2">
      <c r="B1727" s="8">
        <f t="shared" si="94"/>
        <v>59</v>
      </c>
      <c r="C1727" s="18"/>
      <c r="D1727" s="18"/>
      <c r="E1727" s="18"/>
      <c r="F1727" s="152"/>
      <c r="G1727" s="153">
        <v>717</v>
      </c>
      <c r="H1727" s="18" t="s">
        <v>192</v>
      </c>
      <c r="I1727" s="19"/>
      <c r="J1727" s="19"/>
      <c r="K1727" s="19"/>
      <c r="L1727" s="20"/>
      <c r="M1727" s="20"/>
      <c r="N1727" s="164"/>
      <c r="O1727" s="19"/>
      <c r="P1727" s="19">
        <f>P1728+P1730</f>
        <v>400000</v>
      </c>
      <c r="Q1727" s="19">
        <f>SUM(Q1728:Q1729)</f>
        <v>420522</v>
      </c>
      <c r="R1727" s="20">
        <f>SUM(R1728:R1730)</f>
        <v>18131</v>
      </c>
      <c r="S1727" s="20">
        <f>SUM(S1728:S1730)</f>
        <v>28232</v>
      </c>
      <c r="T1727" s="164"/>
      <c r="U1727" s="154">
        <f t="shared" si="91"/>
        <v>0</v>
      </c>
    </row>
    <row r="1728" spans="2:21" x14ac:dyDescent="0.2">
      <c r="B1728" s="8">
        <f t="shared" si="94"/>
        <v>60</v>
      </c>
      <c r="C1728" s="120"/>
      <c r="D1728" s="120"/>
      <c r="E1728" s="120"/>
      <c r="F1728" s="298"/>
      <c r="G1728" s="298"/>
      <c r="H1728" s="156" t="s">
        <v>424</v>
      </c>
      <c r="I1728" s="157"/>
      <c r="J1728" s="157"/>
      <c r="K1728" s="157"/>
      <c r="L1728" s="157"/>
      <c r="M1728" s="157"/>
      <c r="N1728" s="535"/>
      <c r="O1728" s="157"/>
      <c r="P1728" s="157">
        <v>400000</v>
      </c>
      <c r="Q1728" s="157">
        <v>396913</v>
      </c>
      <c r="R1728" s="158">
        <v>11990</v>
      </c>
      <c r="S1728" s="157">
        <v>2292</v>
      </c>
      <c r="T1728" s="535"/>
      <c r="U1728" s="159">
        <f t="shared" si="91"/>
        <v>0</v>
      </c>
    </row>
    <row r="1729" spans="2:21" x14ac:dyDescent="0.2">
      <c r="B1729" s="8">
        <f t="shared" si="94"/>
        <v>61</v>
      </c>
      <c r="C1729" s="120"/>
      <c r="D1729" s="120"/>
      <c r="E1729" s="120"/>
      <c r="F1729" s="298"/>
      <c r="G1729" s="298"/>
      <c r="H1729" s="156" t="s">
        <v>1007</v>
      </c>
      <c r="I1729" s="157"/>
      <c r="J1729" s="157"/>
      <c r="K1729" s="157"/>
      <c r="L1729" s="157"/>
      <c r="M1729" s="157"/>
      <c r="N1729" s="535"/>
      <c r="O1729" s="157"/>
      <c r="P1729" s="157"/>
      <c r="Q1729" s="157">
        <v>23609</v>
      </c>
      <c r="R1729" s="158"/>
      <c r="S1729" s="157"/>
      <c r="T1729" s="535"/>
      <c r="U1729" s="159">
        <f t="shared" si="91"/>
        <v>0</v>
      </c>
    </row>
    <row r="1730" spans="2:21" x14ac:dyDescent="0.2">
      <c r="B1730" s="8">
        <f t="shared" si="94"/>
        <v>62</v>
      </c>
      <c r="C1730" s="120"/>
      <c r="D1730" s="120"/>
      <c r="E1730" s="120"/>
      <c r="F1730" s="298"/>
      <c r="G1730" s="298"/>
      <c r="H1730" s="156" t="s">
        <v>379</v>
      </c>
      <c r="I1730" s="157"/>
      <c r="J1730" s="157"/>
      <c r="K1730" s="157"/>
      <c r="L1730" s="157"/>
      <c r="M1730" s="157"/>
      <c r="N1730" s="535"/>
      <c r="O1730" s="157"/>
      <c r="P1730" s="157"/>
      <c r="Q1730" s="157"/>
      <c r="R1730" s="158">
        <v>6141</v>
      </c>
      <c r="S1730" s="157">
        <v>25940</v>
      </c>
      <c r="T1730" s="535"/>
      <c r="U1730" s="159">
        <f t="shared" si="91"/>
        <v>0</v>
      </c>
    </row>
    <row r="1731" spans="2:21" x14ac:dyDescent="0.2">
      <c r="B1731" s="8">
        <f t="shared" si="94"/>
        <v>63</v>
      </c>
      <c r="C1731" s="120"/>
      <c r="D1731" s="120"/>
      <c r="E1731" s="120"/>
      <c r="F1731" s="149" t="s">
        <v>189</v>
      </c>
      <c r="G1731" s="150">
        <v>720</v>
      </c>
      <c r="H1731" s="24" t="s">
        <v>4</v>
      </c>
      <c r="I1731" s="286"/>
      <c r="J1731" s="286"/>
      <c r="K1731" s="286"/>
      <c r="L1731" s="286"/>
      <c r="M1731" s="286"/>
      <c r="N1731" s="555"/>
      <c r="O1731" s="286"/>
      <c r="P1731" s="25"/>
      <c r="Q1731" s="286"/>
      <c r="R1731" s="287">
        <f>R1732</f>
        <v>10000</v>
      </c>
      <c r="S1731" s="157"/>
      <c r="T1731" s="535"/>
      <c r="U1731" s="159">
        <f t="shared" si="91"/>
        <v>0</v>
      </c>
    </row>
    <row r="1732" spans="2:21" x14ac:dyDescent="0.2">
      <c r="B1732" s="8">
        <f t="shared" si="94"/>
        <v>64</v>
      </c>
      <c r="C1732" s="120"/>
      <c r="D1732" s="120"/>
      <c r="E1732" s="120"/>
      <c r="F1732" s="298"/>
      <c r="G1732" s="298"/>
      <c r="H1732" s="156" t="s">
        <v>735</v>
      </c>
      <c r="I1732" s="157"/>
      <c r="J1732" s="157"/>
      <c r="K1732" s="157"/>
      <c r="L1732" s="157"/>
      <c r="M1732" s="157"/>
      <c r="N1732" s="535"/>
      <c r="O1732" s="157"/>
      <c r="P1732" s="157"/>
      <c r="Q1732" s="157"/>
      <c r="R1732" s="158">
        <v>10000</v>
      </c>
      <c r="S1732" s="157"/>
      <c r="T1732" s="535"/>
      <c r="U1732" s="159">
        <f t="shared" si="91"/>
        <v>0</v>
      </c>
    </row>
    <row r="1733" spans="2:21" ht="14.25" x14ac:dyDescent="0.2">
      <c r="B1733" s="8">
        <f t="shared" si="94"/>
        <v>65</v>
      </c>
      <c r="C1733" s="160"/>
      <c r="D1733" s="160">
        <v>3</v>
      </c>
      <c r="E1733" s="675" t="s">
        <v>210</v>
      </c>
      <c r="F1733" s="676"/>
      <c r="G1733" s="676"/>
      <c r="H1733" s="676"/>
      <c r="I1733" s="161">
        <f>I1734+I1754+I1764</f>
        <v>936625</v>
      </c>
      <c r="J1733" s="161">
        <f>J1734+J1754+J1764</f>
        <v>1199070</v>
      </c>
      <c r="K1733" s="161">
        <f>K1734+K1754+K1764</f>
        <v>1214070</v>
      </c>
      <c r="L1733" s="162">
        <f>L1754+L1734+L1764</f>
        <v>539185</v>
      </c>
      <c r="M1733" s="162">
        <f>M1754+M1734+M1764</f>
        <v>429102</v>
      </c>
      <c r="N1733" s="534"/>
      <c r="O1733" s="161">
        <f>O1737+O1754</f>
        <v>11416645</v>
      </c>
      <c r="P1733" s="161">
        <f>P1737+P1754</f>
        <v>578600</v>
      </c>
      <c r="Q1733" s="161">
        <f>Q1737+Q1754</f>
        <v>882835</v>
      </c>
      <c r="R1733" s="162">
        <f>R1737</f>
        <v>2968090</v>
      </c>
      <c r="S1733" s="162">
        <f>S1737</f>
        <v>15660</v>
      </c>
      <c r="T1733" s="534"/>
      <c r="U1733" s="163">
        <f t="shared" si="91"/>
        <v>12353270</v>
      </c>
    </row>
    <row r="1734" spans="2:21" x14ac:dyDescent="0.2">
      <c r="B1734" s="8">
        <f t="shared" si="94"/>
        <v>66</v>
      </c>
      <c r="C1734" s="24"/>
      <c r="D1734" s="24"/>
      <c r="E1734" s="24"/>
      <c r="F1734" s="149" t="s">
        <v>189</v>
      </c>
      <c r="G1734" s="150">
        <v>630</v>
      </c>
      <c r="H1734" s="24" t="s">
        <v>131</v>
      </c>
      <c r="I1734" s="25">
        <f>SUM(I1735:I1736)</f>
        <v>21860</v>
      </c>
      <c r="J1734" s="25">
        <f>J1736+J1735</f>
        <v>41830</v>
      </c>
      <c r="K1734" s="25">
        <f>K1736+K1735</f>
        <v>41830</v>
      </c>
      <c r="L1734" s="26">
        <f>L1735+L1736</f>
        <v>38698</v>
      </c>
      <c r="M1734" s="26">
        <f>M1735+M1736</f>
        <v>39679</v>
      </c>
      <c r="N1734" s="501"/>
      <c r="O1734" s="25"/>
      <c r="P1734" s="25"/>
      <c r="Q1734" s="25"/>
      <c r="R1734" s="26"/>
      <c r="S1734" s="26"/>
      <c r="T1734" s="501"/>
      <c r="U1734" s="151">
        <f t="shared" ref="U1734:U1797" si="95">I1734+O1734</f>
        <v>21860</v>
      </c>
    </row>
    <row r="1735" spans="2:21" x14ac:dyDescent="0.2">
      <c r="B1735" s="8">
        <f t="shared" si="94"/>
        <v>67</v>
      </c>
      <c r="C1735" s="18"/>
      <c r="D1735" s="18"/>
      <c r="E1735" s="18"/>
      <c r="F1735" s="152"/>
      <c r="G1735" s="153">
        <v>636</v>
      </c>
      <c r="H1735" s="18" t="s">
        <v>136</v>
      </c>
      <c r="I1735" s="19">
        <v>14580</v>
      </c>
      <c r="J1735" s="19">
        <v>35000</v>
      </c>
      <c r="K1735" s="19">
        <v>35000</v>
      </c>
      <c r="L1735" s="20">
        <v>34992</v>
      </c>
      <c r="M1735" s="20">
        <v>34992</v>
      </c>
      <c r="N1735" s="164"/>
      <c r="O1735" s="19"/>
      <c r="P1735" s="19"/>
      <c r="Q1735" s="19"/>
      <c r="R1735" s="20"/>
      <c r="S1735" s="20"/>
      <c r="T1735" s="164"/>
      <c r="U1735" s="154">
        <f t="shared" si="95"/>
        <v>14580</v>
      </c>
    </row>
    <row r="1736" spans="2:21" x14ac:dyDescent="0.2">
      <c r="B1736" s="8">
        <f t="shared" si="94"/>
        <v>68</v>
      </c>
      <c r="C1736" s="18"/>
      <c r="D1736" s="18"/>
      <c r="E1736" s="18"/>
      <c r="F1736" s="152"/>
      <c r="G1736" s="153">
        <v>637</v>
      </c>
      <c r="H1736" s="18" t="s">
        <v>132</v>
      </c>
      <c r="I1736" s="19">
        <v>7280</v>
      </c>
      <c r="J1736" s="19">
        <v>6830</v>
      </c>
      <c r="K1736" s="19">
        <v>6830</v>
      </c>
      <c r="L1736" s="20">
        <v>3706</v>
      </c>
      <c r="M1736" s="20">
        <v>4687</v>
      </c>
      <c r="N1736" s="164"/>
      <c r="O1736" s="19"/>
      <c r="P1736" s="19"/>
      <c r="Q1736" s="19"/>
      <c r="R1736" s="20"/>
      <c r="S1736" s="20"/>
      <c r="T1736" s="164"/>
      <c r="U1736" s="154">
        <f t="shared" si="95"/>
        <v>7280</v>
      </c>
    </row>
    <row r="1737" spans="2:21" x14ac:dyDescent="0.2">
      <c r="B1737" s="8">
        <f t="shared" si="94"/>
        <v>69</v>
      </c>
      <c r="C1737" s="24"/>
      <c r="D1737" s="24"/>
      <c r="E1737" s="24"/>
      <c r="F1737" s="149" t="s">
        <v>189</v>
      </c>
      <c r="G1737" s="150">
        <v>710</v>
      </c>
      <c r="H1737" s="24" t="s">
        <v>185</v>
      </c>
      <c r="I1737" s="25"/>
      <c r="J1737" s="25"/>
      <c r="K1737" s="25"/>
      <c r="L1737" s="26"/>
      <c r="M1737" s="26"/>
      <c r="N1737" s="501"/>
      <c r="O1737" s="25">
        <f>O1738+O1740+O1745</f>
        <v>11416645</v>
      </c>
      <c r="P1737" s="25">
        <f>P1740+P1745</f>
        <v>578600</v>
      </c>
      <c r="Q1737" s="25">
        <f>Q1745+Q1740+Q1738</f>
        <v>882835</v>
      </c>
      <c r="R1737" s="26">
        <f>R1745+R1738</f>
        <v>2968090</v>
      </c>
      <c r="S1737" s="26">
        <f>S1745</f>
        <v>15660</v>
      </c>
      <c r="T1737" s="501"/>
      <c r="U1737" s="151">
        <f t="shared" si="95"/>
        <v>11416645</v>
      </c>
    </row>
    <row r="1738" spans="2:21" x14ac:dyDescent="0.2">
      <c r="B1738" s="8">
        <f t="shared" si="94"/>
        <v>70</v>
      </c>
      <c r="C1738" s="24"/>
      <c r="D1738" s="24"/>
      <c r="E1738" s="24"/>
      <c r="F1738" s="149"/>
      <c r="G1738" s="153">
        <v>713</v>
      </c>
      <c r="H1738" s="18" t="s">
        <v>230</v>
      </c>
      <c r="I1738" s="25"/>
      <c r="J1738" s="25"/>
      <c r="K1738" s="25"/>
      <c r="L1738" s="26"/>
      <c r="M1738" s="26"/>
      <c r="N1738" s="501"/>
      <c r="O1738" s="25"/>
      <c r="P1738" s="25"/>
      <c r="Q1738" s="25"/>
      <c r="R1738" s="20">
        <f>R1739</f>
        <v>179905</v>
      </c>
      <c r="S1738" s="26"/>
      <c r="T1738" s="501"/>
      <c r="U1738" s="151">
        <f t="shared" si="95"/>
        <v>0</v>
      </c>
    </row>
    <row r="1739" spans="2:21" x14ac:dyDescent="0.2">
      <c r="B1739" s="8">
        <f t="shared" si="94"/>
        <v>71</v>
      </c>
      <c r="C1739" s="24"/>
      <c r="D1739" s="24"/>
      <c r="E1739" s="24"/>
      <c r="F1739" s="149"/>
      <c r="G1739" s="298"/>
      <c r="H1739" s="156" t="s">
        <v>787</v>
      </c>
      <c r="I1739" s="25"/>
      <c r="J1739" s="25"/>
      <c r="K1739" s="25"/>
      <c r="L1739" s="25"/>
      <c r="M1739" s="25"/>
      <c r="N1739" s="501"/>
      <c r="O1739" s="25"/>
      <c r="P1739" s="25"/>
      <c r="Q1739" s="157"/>
      <c r="R1739" s="158">
        <v>179905</v>
      </c>
      <c r="S1739" s="25"/>
      <c r="T1739" s="501"/>
      <c r="U1739" s="151">
        <f t="shared" si="95"/>
        <v>0</v>
      </c>
    </row>
    <row r="1740" spans="2:21" x14ac:dyDescent="0.2">
      <c r="B1740" s="8">
        <f t="shared" si="94"/>
        <v>72</v>
      </c>
      <c r="C1740" s="18"/>
      <c r="D1740" s="18"/>
      <c r="E1740" s="18"/>
      <c r="F1740" s="152"/>
      <c r="G1740" s="153">
        <v>716</v>
      </c>
      <c r="H1740" s="18" t="s">
        <v>226</v>
      </c>
      <c r="I1740" s="19"/>
      <c r="J1740" s="19"/>
      <c r="K1740" s="19"/>
      <c r="L1740" s="20"/>
      <c r="M1740" s="20"/>
      <c r="N1740" s="164"/>
      <c r="O1740" s="19"/>
      <c r="P1740" s="19">
        <f>SUM(P1741:P1743)</f>
        <v>3600</v>
      </c>
      <c r="Q1740" s="19">
        <f>SUM(Q1741:Q1744)</f>
        <v>49920</v>
      </c>
      <c r="R1740" s="20"/>
      <c r="S1740" s="20"/>
      <c r="T1740" s="164"/>
      <c r="U1740" s="154">
        <f t="shared" si="95"/>
        <v>0</v>
      </c>
    </row>
    <row r="1741" spans="2:21" x14ac:dyDescent="0.2">
      <c r="B1741" s="8">
        <f t="shared" si="94"/>
        <v>73</v>
      </c>
      <c r="C1741" s="120"/>
      <c r="D1741" s="120"/>
      <c r="E1741" s="120"/>
      <c r="F1741" s="298"/>
      <c r="G1741" s="298"/>
      <c r="H1741" s="156" t="s">
        <v>915</v>
      </c>
      <c r="I1741" s="157"/>
      <c r="J1741" s="157"/>
      <c r="K1741" s="157"/>
      <c r="L1741" s="157"/>
      <c r="M1741" s="157"/>
      <c r="N1741" s="535"/>
      <c r="O1741" s="157"/>
      <c r="P1741" s="157">
        <v>3600</v>
      </c>
      <c r="Q1741" s="157">
        <v>5040</v>
      </c>
      <c r="R1741" s="158"/>
      <c r="S1741" s="157"/>
      <c r="T1741" s="535"/>
      <c r="U1741" s="159">
        <f t="shared" si="95"/>
        <v>0</v>
      </c>
    </row>
    <row r="1742" spans="2:21" x14ac:dyDescent="0.2">
      <c r="B1742" s="8">
        <f t="shared" si="94"/>
        <v>74</v>
      </c>
      <c r="C1742" s="120"/>
      <c r="D1742" s="120"/>
      <c r="E1742" s="120"/>
      <c r="F1742" s="298"/>
      <c r="G1742" s="298"/>
      <c r="H1742" s="156" t="s">
        <v>1008</v>
      </c>
      <c r="I1742" s="157"/>
      <c r="J1742" s="157"/>
      <c r="K1742" s="157"/>
      <c r="L1742" s="157"/>
      <c r="M1742" s="157"/>
      <c r="N1742" s="535"/>
      <c r="O1742" s="157"/>
      <c r="P1742" s="157"/>
      <c r="Q1742" s="157">
        <v>24000</v>
      </c>
      <c r="R1742" s="158"/>
      <c r="S1742" s="157"/>
      <c r="T1742" s="535"/>
      <c r="U1742" s="159">
        <f t="shared" si="95"/>
        <v>0</v>
      </c>
    </row>
    <row r="1743" spans="2:21" x14ac:dyDescent="0.2">
      <c r="B1743" s="8">
        <f t="shared" si="94"/>
        <v>75</v>
      </c>
      <c r="C1743" s="120"/>
      <c r="D1743" s="120"/>
      <c r="E1743" s="120"/>
      <c r="F1743" s="298"/>
      <c r="G1743" s="298"/>
      <c r="H1743" s="156" t="s">
        <v>1009</v>
      </c>
      <c r="I1743" s="157"/>
      <c r="J1743" s="157"/>
      <c r="K1743" s="157"/>
      <c r="L1743" s="157"/>
      <c r="M1743" s="157"/>
      <c r="N1743" s="535"/>
      <c r="O1743" s="157"/>
      <c r="P1743" s="157"/>
      <c r="Q1743" s="157">
        <v>11880</v>
      </c>
      <c r="R1743" s="158"/>
      <c r="S1743" s="157"/>
      <c r="T1743" s="535"/>
      <c r="U1743" s="159">
        <f t="shared" si="95"/>
        <v>0</v>
      </c>
    </row>
    <row r="1744" spans="2:21" x14ac:dyDescent="0.2">
      <c r="B1744" s="8">
        <f t="shared" si="94"/>
        <v>76</v>
      </c>
      <c r="C1744" s="120"/>
      <c r="D1744" s="120"/>
      <c r="E1744" s="120"/>
      <c r="F1744" s="298"/>
      <c r="G1744" s="298"/>
      <c r="H1744" s="156" t="s">
        <v>291</v>
      </c>
      <c r="I1744" s="157"/>
      <c r="J1744" s="157"/>
      <c r="K1744" s="157"/>
      <c r="L1744" s="157"/>
      <c r="M1744" s="157"/>
      <c r="N1744" s="535"/>
      <c r="O1744" s="157"/>
      <c r="P1744" s="157"/>
      <c r="Q1744" s="157">
        <v>9000</v>
      </c>
      <c r="R1744" s="158"/>
      <c r="S1744" s="157"/>
      <c r="T1744" s="535"/>
      <c r="U1744" s="159">
        <f t="shared" si="95"/>
        <v>0</v>
      </c>
    </row>
    <row r="1745" spans="2:21" x14ac:dyDescent="0.2">
      <c r="B1745" s="8">
        <f t="shared" si="94"/>
        <v>77</v>
      </c>
      <c r="C1745" s="18"/>
      <c r="D1745" s="18"/>
      <c r="E1745" s="18"/>
      <c r="F1745" s="152"/>
      <c r="G1745" s="153">
        <v>717</v>
      </c>
      <c r="H1745" s="18" t="s">
        <v>192</v>
      </c>
      <c r="I1745" s="19"/>
      <c r="J1745" s="19"/>
      <c r="K1745" s="19"/>
      <c r="L1745" s="20"/>
      <c r="M1745" s="20"/>
      <c r="N1745" s="164"/>
      <c r="O1745" s="19">
        <f>SUM(O1746:O1752)</f>
        <v>11416645</v>
      </c>
      <c r="P1745" s="19">
        <f>SUM(P1746:P1753)</f>
        <v>575000</v>
      </c>
      <c r="Q1745" s="19">
        <f>SUM(Q1746:Q1753)</f>
        <v>832915</v>
      </c>
      <c r="R1745" s="20">
        <f>SUM(R1746:R1753)</f>
        <v>2788185</v>
      </c>
      <c r="S1745" s="20">
        <f>SUM(S1746:S1753)</f>
        <v>15660</v>
      </c>
      <c r="T1745" s="164"/>
      <c r="U1745" s="154">
        <f t="shared" si="95"/>
        <v>11416645</v>
      </c>
    </row>
    <row r="1746" spans="2:21" x14ac:dyDescent="0.2">
      <c r="B1746" s="8">
        <f t="shared" si="94"/>
        <v>78</v>
      </c>
      <c r="C1746" s="120"/>
      <c r="D1746" s="120"/>
      <c r="E1746" s="120"/>
      <c r="F1746" s="298"/>
      <c r="G1746" s="298"/>
      <c r="H1746" s="156" t="s">
        <v>915</v>
      </c>
      <c r="I1746" s="157"/>
      <c r="J1746" s="157"/>
      <c r="K1746" s="157"/>
      <c r="L1746" s="157"/>
      <c r="M1746" s="157"/>
      <c r="N1746" s="535"/>
      <c r="O1746" s="157">
        <v>215900</v>
      </c>
      <c r="P1746" s="157">
        <v>155000</v>
      </c>
      <c r="Q1746" s="157">
        <v>215900</v>
      </c>
      <c r="R1746" s="158"/>
      <c r="S1746" s="157"/>
      <c r="T1746" s="535"/>
      <c r="U1746" s="159">
        <f t="shared" si="95"/>
        <v>215900</v>
      </c>
    </row>
    <row r="1747" spans="2:21" x14ac:dyDescent="0.2">
      <c r="B1747" s="8">
        <f t="shared" si="94"/>
        <v>79</v>
      </c>
      <c r="C1747" s="120"/>
      <c r="D1747" s="120"/>
      <c r="E1747" s="120"/>
      <c r="F1747" s="298"/>
      <c r="G1747" s="298"/>
      <c r="H1747" s="156" t="s">
        <v>549</v>
      </c>
      <c r="I1747" s="157"/>
      <c r="J1747" s="157"/>
      <c r="K1747" s="157"/>
      <c r="L1747" s="157"/>
      <c r="M1747" s="157"/>
      <c r="N1747" s="535"/>
      <c r="O1747" s="157"/>
      <c r="P1747" s="157"/>
      <c r="Q1747" s="157"/>
      <c r="R1747" s="158">
        <v>247950</v>
      </c>
      <c r="S1747" s="157"/>
      <c r="T1747" s="535"/>
      <c r="U1747" s="159">
        <f t="shared" si="95"/>
        <v>0</v>
      </c>
    </row>
    <row r="1748" spans="2:21" x14ac:dyDescent="0.2">
      <c r="B1748" s="8">
        <f t="shared" si="94"/>
        <v>80</v>
      </c>
      <c r="C1748" s="120"/>
      <c r="D1748" s="120"/>
      <c r="E1748" s="120"/>
      <c r="F1748" s="298"/>
      <c r="G1748" s="298"/>
      <c r="H1748" s="156" t="s">
        <v>291</v>
      </c>
      <c r="I1748" s="157"/>
      <c r="J1748" s="157"/>
      <c r="K1748" s="157"/>
      <c r="L1748" s="157"/>
      <c r="M1748" s="157"/>
      <c r="N1748" s="535"/>
      <c r="O1748" s="157">
        <v>11200745</v>
      </c>
      <c r="P1748" s="157"/>
      <c r="Q1748" s="157"/>
      <c r="R1748" s="158"/>
      <c r="S1748" s="157">
        <v>15660</v>
      </c>
      <c r="T1748" s="535"/>
      <c r="U1748" s="159">
        <f t="shared" si="95"/>
        <v>11200745</v>
      </c>
    </row>
    <row r="1749" spans="2:21" x14ac:dyDescent="0.2">
      <c r="B1749" s="8">
        <f t="shared" si="94"/>
        <v>81</v>
      </c>
      <c r="C1749" s="120"/>
      <c r="D1749" s="120"/>
      <c r="E1749" s="120"/>
      <c r="F1749" s="298"/>
      <c r="G1749" s="298"/>
      <c r="H1749" s="156" t="s">
        <v>1010</v>
      </c>
      <c r="I1749" s="157"/>
      <c r="J1749" s="157"/>
      <c r="K1749" s="157"/>
      <c r="L1749" s="157"/>
      <c r="M1749" s="157"/>
      <c r="N1749" s="535"/>
      <c r="O1749" s="157"/>
      <c r="P1749" s="157"/>
      <c r="Q1749" s="157">
        <v>84000</v>
      </c>
      <c r="R1749" s="158"/>
      <c r="S1749" s="157"/>
      <c r="T1749" s="535"/>
      <c r="U1749" s="159">
        <f t="shared" si="95"/>
        <v>0</v>
      </c>
    </row>
    <row r="1750" spans="2:21" x14ac:dyDescent="0.2">
      <c r="B1750" s="8">
        <f t="shared" si="94"/>
        <v>82</v>
      </c>
      <c r="C1750" s="120"/>
      <c r="D1750" s="120"/>
      <c r="E1750" s="120"/>
      <c r="F1750" s="298"/>
      <c r="G1750" s="298"/>
      <c r="H1750" s="156" t="s">
        <v>1011</v>
      </c>
      <c r="I1750" s="157"/>
      <c r="J1750" s="157"/>
      <c r="K1750" s="157"/>
      <c r="L1750" s="157"/>
      <c r="M1750" s="157"/>
      <c r="N1750" s="535"/>
      <c r="O1750" s="157"/>
      <c r="P1750" s="157"/>
      <c r="Q1750" s="157">
        <v>43468</v>
      </c>
      <c r="R1750" s="158"/>
      <c r="S1750" s="157"/>
      <c r="T1750" s="535"/>
      <c r="U1750" s="159">
        <f t="shared" si="95"/>
        <v>0</v>
      </c>
    </row>
    <row r="1751" spans="2:21" x14ac:dyDescent="0.2">
      <c r="B1751" s="8">
        <f t="shared" si="94"/>
        <v>83</v>
      </c>
      <c r="C1751" s="120"/>
      <c r="D1751" s="120"/>
      <c r="E1751" s="120"/>
      <c r="F1751" s="298"/>
      <c r="G1751" s="298"/>
      <c r="H1751" s="156" t="s">
        <v>1012</v>
      </c>
      <c r="I1751" s="157"/>
      <c r="J1751" s="157"/>
      <c r="K1751" s="157"/>
      <c r="L1751" s="157"/>
      <c r="M1751" s="157"/>
      <c r="N1751" s="535"/>
      <c r="O1751" s="157"/>
      <c r="P1751" s="157"/>
      <c r="Q1751" s="157">
        <v>18197</v>
      </c>
      <c r="R1751" s="158"/>
      <c r="S1751" s="157"/>
      <c r="T1751" s="535"/>
      <c r="U1751" s="159">
        <f t="shared" si="95"/>
        <v>0</v>
      </c>
    </row>
    <row r="1752" spans="2:21" x14ac:dyDescent="0.2">
      <c r="B1752" s="8">
        <f t="shared" si="94"/>
        <v>84</v>
      </c>
      <c r="C1752" s="120"/>
      <c r="D1752" s="120"/>
      <c r="E1752" s="120"/>
      <c r="F1752" s="298"/>
      <c r="G1752" s="298"/>
      <c r="H1752" s="156" t="s">
        <v>310</v>
      </c>
      <c r="I1752" s="157"/>
      <c r="J1752" s="157"/>
      <c r="K1752" s="157"/>
      <c r="L1752" s="157"/>
      <c r="M1752" s="157"/>
      <c r="N1752" s="535"/>
      <c r="O1752" s="157"/>
      <c r="P1752" s="157"/>
      <c r="Q1752" s="157"/>
      <c r="R1752" s="158"/>
      <c r="S1752" s="157"/>
      <c r="T1752" s="535"/>
      <c r="U1752" s="159">
        <f t="shared" si="95"/>
        <v>0</v>
      </c>
    </row>
    <row r="1753" spans="2:21" x14ac:dyDescent="0.2">
      <c r="B1753" s="8">
        <f t="shared" si="94"/>
        <v>85</v>
      </c>
      <c r="C1753" s="120"/>
      <c r="D1753" s="120"/>
      <c r="E1753" s="120"/>
      <c r="F1753" s="298"/>
      <c r="G1753" s="298"/>
      <c r="H1753" s="156" t="s">
        <v>393</v>
      </c>
      <c r="I1753" s="157"/>
      <c r="J1753" s="157"/>
      <c r="K1753" s="157"/>
      <c r="L1753" s="157"/>
      <c r="M1753" s="157"/>
      <c r="N1753" s="535"/>
      <c r="O1753" s="157"/>
      <c r="P1753" s="157">
        <v>420000</v>
      </c>
      <c r="Q1753" s="157">
        <v>471350</v>
      </c>
      <c r="R1753" s="158">
        <v>2540235</v>
      </c>
      <c r="S1753" s="157"/>
      <c r="T1753" s="535"/>
      <c r="U1753" s="159">
        <f t="shared" si="95"/>
        <v>0</v>
      </c>
    </row>
    <row r="1754" spans="2:21" ht="14.25" x14ac:dyDescent="0.2">
      <c r="B1754" s="8">
        <f t="shared" si="94"/>
        <v>86</v>
      </c>
      <c r="C1754" s="267"/>
      <c r="D1754" s="267"/>
      <c r="E1754" s="267">
        <v>2</v>
      </c>
      <c r="F1754" s="268"/>
      <c r="G1754" s="268"/>
      <c r="H1754" s="267" t="s">
        <v>13</v>
      </c>
      <c r="I1754" s="269">
        <f>I1755+I1756+I1757+I1763</f>
        <v>804765</v>
      </c>
      <c r="J1754" s="269">
        <f>J1755+J1756+J1757+J1763</f>
        <v>1047240</v>
      </c>
      <c r="K1754" s="269">
        <f>K1755+K1756+K1757+K1763</f>
        <v>1062240</v>
      </c>
      <c r="L1754" s="270">
        <f>L1755+L1756+L1757+L1763</f>
        <v>448437</v>
      </c>
      <c r="M1754" s="270">
        <f>M1755+M1756+M1757+M1763</f>
        <v>337723</v>
      </c>
      <c r="N1754" s="534"/>
      <c r="O1754" s="269"/>
      <c r="P1754" s="269"/>
      <c r="Q1754" s="269"/>
      <c r="R1754" s="270"/>
      <c r="S1754" s="270"/>
      <c r="T1754" s="534"/>
      <c r="U1754" s="271">
        <f t="shared" si="95"/>
        <v>804765</v>
      </c>
    </row>
    <row r="1755" spans="2:21" x14ac:dyDescent="0.2">
      <c r="B1755" s="8">
        <f t="shared" si="94"/>
        <v>87</v>
      </c>
      <c r="C1755" s="24"/>
      <c r="D1755" s="24"/>
      <c r="E1755" s="24"/>
      <c r="F1755" s="149" t="s">
        <v>189</v>
      </c>
      <c r="G1755" s="150">
        <v>610</v>
      </c>
      <c r="H1755" s="24" t="s">
        <v>141</v>
      </c>
      <c r="I1755" s="25">
        <v>102500</v>
      </c>
      <c r="J1755" s="25">
        <v>90590</v>
      </c>
      <c r="K1755" s="25">
        <v>90590</v>
      </c>
      <c r="L1755" s="26">
        <v>78031</v>
      </c>
      <c r="M1755" s="26">
        <v>67644</v>
      </c>
      <c r="N1755" s="501"/>
      <c r="O1755" s="25"/>
      <c r="P1755" s="25"/>
      <c r="Q1755" s="25"/>
      <c r="R1755" s="26"/>
      <c r="S1755" s="26"/>
      <c r="T1755" s="501"/>
      <c r="U1755" s="151">
        <f t="shared" si="95"/>
        <v>102500</v>
      </c>
    </row>
    <row r="1756" spans="2:21" x14ac:dyDescent="0.2">
      <c r="B1756" s="8">
        <f t="shared" si="94"/>
        <v>88</v>
      </c>
      <c r="C1756" s="24"/>
      <c r="D1756" s="24"/>
      <c r="E1756" s="24"/>
      <c r="F1756" s="149" t="s">
        <v>189</v>
      </c>
      <c r="G1756" s="150">
        <v>620</v>
      </c>
      <c r="H1756" s="24" t="s">
        <v>134</v>
      </c>
      <c r="I1756" s="25">
        <v>39065</v>
      </c>
      <c r="J1756" s="25">
        <v>33350</v>
      </c>
      <c r="K1756" s="25">
        <v>33350</v>
      </c>
      <c r="L1756" s="26">
        <v>28091</v>
      </c>
      <c r="M1756" s="26">
        <v>24440</v>
      </c>
      <c r="N1756" s="501"/>
      <c r="O1756" s="25"/>
      <c r="P1756" s="25"/>
      <c r="Q1756" s="25"/>
      <c r="R1756" s="26"/>
      <c r="S1756" s="26"/>
      <c r="T1756" s="501"/>
      <c r="U1756" s="151">
        <f t="shared" si="95"/>
        <v>39065</v>
      </c>
    </row>
    <row r="1757" spans="2:21" x14ac:dyDescent="0.2">
      <c r="B1757" s="8">
        <f t="shared" si="94"/>
        <v>89</v>
      </c>
      <c r="C1757" s="24"/>
      <c r="D1757" s="24"/>
      <c r="E1757" s="24"/>
      <c r="F1757" s="149" t="s">
        <v>189</v>
      </c>
      <c r="G1757" s="150">
        <v>630</v>
      </c>
      <c r="H1757" s="24" t="s">
        <v>131</v>
      </c>
      <c r="I1757" s="25">
        <f>I1762+I1761+I1760+I1759+I1758</f>
        <v>655200</v>
      </c>
      <c r="J1757" s="25">
        <f>J1762+J1761+J1760+J1759+J1758</f>
        <v>916450</v>
      </c>
      <c r="K1757" s="25">
        <f>K1762+K1761+K1760+K1759+K1758</f>
        <v>931450</v>
      </c>
      <c r="L1757" s="26">
        <f>L1762+L1761+L1760+L1759+L1758</f>
        <v>337236</v>
      </c>
      <c r="M1757" s="26">
        <f>M1762+M1761+M1760+M1759+M1758</f>
        <v>244891</v>
      </c>
      <c r="N1757" s="501"/>
      <c r="O1757" s="25"/>
      <c r="P1757" s="25"/>
      <c r="Q1757" s="25"/>
      <c r="R1757" s="26"/>
      <c r="S1757" s="26"/>
      <c r="T1757" s="501"/>
      <c r="U1757" s="151">
        <f t="shared" si="95"/>
        <v>655200</v>
      </c>
    </row>
    <row r="1758" spans="2:21" x14ac:dyDescent="0.2">
      <c r="B1758" s="8">
        <f t="shared" si="94"/>
        <v>90</v>
      </c>
      <c r="C1758" s="18"/>
      <c r="D1758" s="18"/>
      <c r="E1758" s="18"/>
      <c r="F1758" s="152"/>
      <c r="G1758" s="153">
        <v>632</v>
      </c>
      <c r="H1758" s="18" t="s">
        <v>144</v>
      </c>
      <c r="I1758" s="19">
        <v>530000</v>
      </c>
      <c r="J1758" s="19">
        <v>791800</v>
      </c>
      <c r="K1758" s="19">
        <v>791800</v>
      </c>
      <c r="L1758" s="20">
        <v>271543</v>
      </c>
      <c r="M1758" s="20">
        <v>175415</v>
      </c>
      <c r="N1758" s="164"/>
      <c r="O1758" s="19"/>
      <c r="P1758" s="19"/>
      <c r="Q1758" s="19"/>
      <c r="R1758" s="20"/>
      <c r="S1758" s="20"/>
      <c r="T1758" s="164"/>
      <c r="U1758" s="154">
        <f t="shared" si="95"/>
        <v>530000</v>
      </c>
    </row>
    <row r="1759" spans="2:21" x14ac:dyDescent="0.2">
      <c r="B1759" s="8">
        <f t="shared" si="94"/>
        <v>91</v>
      </c>
      <c r="C1759" s="18"/>
      <c r="D1759" s="18"/>
      <c r="E1759" s="18"/>
      <c r="F1759" s="152"/>
      <c r="G1759" s="153">
        <v>633</v>
      </c>
      <c r="H1759" s="18" t="s">
        <v>135</v>
      </c>
      <c r="I1759" s="19">
        <v>17000</v>
      </c>
      <c r="J1759" s="19">
        <v>12700</v>
      </c>
      <c r="K1759" s="19">
        <v>20000</v>
      </c>
      <c r="L1759" s="20">
        <v>17771</v>
      </c>
      <c r="M1759" s="20">
        <v>13970</v>
      </c>
      <c r="N1759" s="164"/>
      <c r="O1759" s="19"/>
      <c r="P1759" s="19"/>
      <c r="Q1759" s="19"/>
      <c r="R1759" s="20"/>
      <c r="S1759" s="20"/>
      <c r="T1759" s="164"/>
      <c r="U1759" s="154">
        <f t="shared" si="95"/>
        <v>17000</v>
      </c>
    </row>
    <row r="1760" spans="2:21" x14ac:dyDescent="0.2">
      <c r="B1760" s="8">
        <f t="shared" si="94"/>
        <v>92</v>
      </c>
      <c r="C1760" s="18"/>
      <c r="D1760" s="18"/>
      <c r="E1760" s="18"/>
      <c r="F1760" s="152"/>
      <c r="G1760" s="153">
        <v>635</v>
      </c>
      <c r="H1760" s="18" t="s">
        <v>143</v>
      </c>
      <c r="I1760" s="19">
        <v>50000</v>
      </c>
      <c r="J1760" s="19">
        <v>49500</v>
      </c>
      <c r="K1760" s="19">
        <v>60200</v>
      </c>
      <c r="L1760" s="20">
        <v>15629</v>
      </c>
      <c r="M1760" s="20">
        <v>29329</v>
      </c>
      <c r="N1760" s="164"/>
      <c r="O1760" s="19"/>
      <c r="P1760" s="19"/>
      <c r="Q1760" s="19"/>
      <c r="R1760" s="20"/>
      <c r="S1760" s="20"/>
      <c r="T1760" s="164"/>
      <c r="U1760" s="154">
        <f t="shared" si="95"/>
        <v>50000</v>
      </c>
    </row>
    <row r="1761" spans="2:21" x14ac:dyDescent="0.2">
      <c r="B1761" s="8">
        <f t="shared" si="94"/>
        <v>93</v>
      </c>
      <c r="C1761" s="18"/>
      <c r="D1761" s="18"/>
      <c r="E1761" s="18"/>
      <c r="F1761" s="152"/>
      <c r="G1761" s="153">
        <v>636</v>
      </c>
      <c r="H1761" s="18" t="s">
        <v>136</v>
      </c>
      <c r="I1761" s="19">
        <v>200</v>
      </c>
      <c r="J1761" s="19">
        <v>200</v>
      </c>
      <c r="K1761" s="19">
        <v>200</v>
      </c>
      <c r="L1761" s="20">
        <v>0</v>
      </c>
      <c r="M1761" s="20"/>
      <c r="N1761" s="164"/>
      <c r="O1761" s="19"/>
      <c r="P1761" s="19"/>
      <c r="Q1761" s="19"/>
      <c r="R1761" s="20"/>
      <c r="S1761" s="20"/>
      <c r="T1761" s="164"/>
      <c r="U1761" s="154">
        <f t="shared" si="95"/>
        <v>200</v>
      </c>
    </row>
    <row r="1762" spans="2:21" x14ac:dyDescent="0.2">
      <c r="B1762" s="8">
        <f t="shared" si="94"/>
        <v>94</v>
      </c>
      <c r="C1762" s="18"/>
      <c r="D1762" s="18"/>
      <c r="E1762" s="18"/>
      <c r="F1762" s="152"/>
      <c r="G1762" s="153">
        <v>637</v>
      </c>
      <c r="H1762" s="18" t="s">
        <v>132</v>
      </c>
      <c r="I1762" s="19">
        <v>58000</v>
      </c>
      <c r="J1762" s="19">
        <v>62250</v>
      </c>
      <c r="K1762" s="19">
        <v>59250</v>
      </c>
      <c r="L1762" s="20">
        <v>32293</v>
      </c>
      <c r="M1762" s="20">
        <f>25919+258</f>
        <v>26177</v>
      </c>
      <c r="N1762" s="164"/>
      <c r="O1762" s="19"/>
      <c r="P1762" s="19"/>
      <c r="Q1762" s="19"/>
      <c r="R1762" s="20"/>
      <c r="S1762" s="20"/>
      <c r="T1762" s="164"/>
      <c r="U1762" s="154">
        <f t="shared" si="95"/>
        <v>58000</v>
      </c>
    </row>
    <row r="1763" spans="2:21" x14ac:dyDescent="0.2">
      <c r="B1763" s="8">
        <f t="shared" si="94"/>
        <v>95</v>
      </c>
      <c r="C1763" s="24"/>
      <c r="D1763" s="24"/>
      <c r="E1763" s="24"/>
      <c r="F1763" s="149" t="s">
        <v>189</v>
      </c>
      <c r="G1763" s="150">
        <v>640</v>
      </c>
      <c r="H1763" s="24" t="s">
        <v>139</v>
      </c>
      <c r="I1763" s="25">
        <v>8000</v>
      </c>
      <c r="J1763" s="25">
        <v>6850</v>
      </c>
      <c r="K1763" s="25">
        <v>6850</v>
      </c>
      <c r="L1763" s="26">
        <v>5079</v>
      </c>
      <c r="M1763" s="26">
        <v>748</v>
      </c>
      <c r="N1763" s="501"/>
      <c r="O1763" s="25"/>
      <c r="P1763" s="25"/>
      <c r="Q1763" s="25"/>
      <c r="R1763" s="26"/>
      <c r="S1763" s="26"/>
      <c r="T1763" s="501"/>
      <c r="U1763" s="151">
        <f t="shared" si="95"/>
        <v>8000</v>
      </c>
    </row>
    <row r="1764" spans="2:21" ht="14.25" x14ac:dyDescent="0.2">
      <c r="B1764" s="8">
        <f t="shared" si="94"/>
        <v>96</v>
      </c>
      <c r="C1764" s="267"/>
      <c r="D1764" s="267"/>
      <c r="E1764" s="267">
        <v>8</v>
      </c>
      <c r="F1764" s="268"/>
      <c r="G1764" s="268"/>
      <c r="H1764" s="267" t="s">
        <v>7</v>
      </c>
      <c r="I1764" s="269">
        <f>I1765</f>
        <v>110000</v>
      </c>
      <c r="J1764" s="269">
        <f t="shared" ref="J1764:M1765" si="96">J1765</f>
        <v>110000</v>
      </c>
      <c r="K1764" s="269">
        <f t="shared" si="96"/>
        <v>110000</v>
      </c>
      <c r="L1764" s="270">
        <f t="shared" si="96"/>
        <v>52050</v>
      </c>
      <c r="M1764" s="270">
        <f t="shared" si="96"/>
        <v>51700</v>
      </c>
      <c r="N1764" s="534"/>
      <c r="O1764" s="269"/>
      <c r="P1764" s="269"/>
      <c r="Q1764" s="269"/>
      <c r="R1764" s="270"/>
      <c r="S1764" s="270"/>
      <c r="T1764" s="534"/>
      <c r="U1764" s="271">
        <f t="shared" si="95"/>
        <v>110000</v>
      </c>
    </row>
    <row r="1765" spans="2:21" x14ac:dyDescent="0.2">
      <c r="B1765" s="8">
        <f t="shared" si="94"/>
        <v>97</v>
      </c>
      <c r="C1765" s="24"/>
      <c r="D1765" s="24"/>
      <c r="E1765" s="24"/>
      <c r="F1765" s="149" t="s">
        <v>189</v>
      </c>
      <c r="G1765" s="150">
        <v>630</v>
      </c>
      <c r="H1765" s="24" t="s">
        <v>131</v>
      </c>
      <c r="I1765" s="25">
        <f>I1766</f>
        <v>110000</v>
      </c>
      <c r="J1765" s="25">
        <f t="shared" si="96"/>
        <v>110000</v>
      </c>
      <c r="K1765" s="25">
        <f t="shared" si="96"/>
        <v>110000</v>
      </c>
      <c r="L1765" s="26">
        <f t="shared" si="96"/>
        <v>52050</v>
      </c>
      <c r="M1765" s="26">
        <f t="shared" si="96"/>
        <v>51700</v>
      </c>
      <c r="N1765" s="501"/>
      <c r="O1765" s="25"/>
      <c r="P1765" s="25"/>
      <c r="Q1765" s="25"/>
      <c r="R1765" s="26"/>
      <c r="S1765" s="26"/>
      <c r="T1765" s="501"/>
      <c r="U1765" s="151">
        <f t="shared" si="95"/>
        <v>110000</v>
      </c>
    </row>
    <row r="1766" spans="2:21" x14ac:dyDescent="0.2">
      <c r="B1766" s="8">
        <f t="shared" si="94"/>
        <v>98</v>
      </c>
      <c r="C1766" s="18"/>
      <c r="D1766" s="18"/>
      <c r="E1766" s="18"/>
      <c r="F1766" s="152"/>
      <c r="G1766" s="153">
        <v>636</v>
      </c>
      <c r="H1766" s="18" t="s">
        <v>136</v>
      </c>
      <c r="I1766" s="19">
        <v>110000</v>
      </c>
      <c r="J1766" s="19">
        <v>110000</v>
      </c>
      <c r="K1766" s="19">
        <v>110000</v>
      </c>
      <c r="L1766" s="20">
        <v>52050</v>
      </c>
      <c r="M1766" s="20">
        <v>51700</v>
      </c>
      <c r="N1766" s="164"/>
      <c r="O1766" s="19"/>
      <c r="P1766" s="19"/>
      <c r="Q1766" s="19"/>
      <c r="R1766" s="20"/>
      <c r="S1766" s="20"/>
      <c r="T1766" s="164"/>
      <c r="U1766" s="154">
        <f t="shared" si="95"/>
        <v>110000</v>
      </c>
    </row>
    <row r="1767" spans="2:21" ht="14.25" x14ac:dyDescent="0.2">
      <c r="B1767" s="8">
        <f t="shared" si="94"/>
        <v>99</v>
      </c>
      <c r="C1767" s="160"/>
      <c r="D1767" s="160">
        <v>4</v>
      </c>
      <c r="E1767" s="675" t="s">
        <v>211</v>
      </c>
      <c r="F1767" s="676"/>
      <c r="G1767" s="676"/>
      <c r="H1767" s="676"/>
      <c r="I1767" s="161">
        <f>I1777</f>
        <v>977160</v>
      </c>
      <c r="J1767" s="161">
        <f>J1777</f>
        <v>1317150</v>
      </c>
      <c r="K1767" s="161">
        <f>K1777</f>
        <v>1297650</v>
      </c>
      <c r="L1767" s="162">
        <f>L1777</f>
        <v>852633</v>
      </c>
      <c r="M1767" s="162">
        <f>M1777</f>
        <v>532663</v>
      </c>
      <c r="N1767" s="534"/>
      <c r="O1767" s="161">
        <f>O1768</f>
        <v>498000</v>
      </c>
      <c r="P1767" s="161">
        <f>P1768</f>
        <v>630700</v>
      </c>
      <c r="Q1767" s="161">
        <f>Q1768+Q1777</f>
        <v>552516</v>
      </c>
      <c r="R1767" s="162">
        <f>R1768+R1777</f>
        <v>4085</v>
      </c>
      <c r="S1767" s="162">
        <f>S1768+S1777</f>
        <v>15810</v>
      </c>
      <c r="T1767" s="534"/>
      <c r="U1767" s="163">
        <f t="shared" si="95"/>
        <v>1475160</v>
      </c>
    </row>
    <row r="1768" spans="2:21" x14ac:dyDescent="0.2">
      <c r="B1768" s="8">
        <f>B1767+1</f>
        <v>100</v>
      </c>
      <c r="C1768" s="24"/>
      <c r="D1768" s="24"/>
      <c r="E1768" s="24"/>
      <c r="F1768" s="149" t="s">
        <v>189</v>
      </c>
      <c r="G1768" s="150">
        <v>710</v>
      </c>
      <c r="H1768" s="24" t="s">
        <v>185</v>
      </c>
      <c r="I1768" s="25"/>
      <c r="J1768" s="25"/>
      <c r="K1768" s="25"/>
      <c r="L1768" s="26"/>
      <c r="M1768" s="26"/>
      <c r="N1768" s="501"/>
      <c r="O1768" s="25">
        <f>O1769+O1773</f>
        <v>498000</v>
      </c>
      <c r="P1768" s="25">
        <f>P1769+P1773</f>
        <v>630700</v>
      </c>
      <c r="Q1768" s="25">
        <f>Q1769+Q1773</f>
        <v>552516</v>
      </c>
      <c r="R1768" s="26"/>
      <c r="S1768" s="26">
        <f>S1769+S1773</f>
        <v>15810</v>
      </c>
      <c r="T1768" s="501"/>
      <c r="U1768" s="151">
        <f t="shared" si="95"/>
        <v>498000</v>
      </c>
    </row>
    <row r="1769" spans="2:21" x14ac:dyDescent="0.2">
      <c r="B1769" s="8">
        <f>B1768+1</f>
        <v>101</v>
      </c>
      <c r="C1769" s="18"/>
      <c r="D1769" s="18"/>
      <c r="E1769" s="18"/>
      <c r="F1769" s="152"/>
      <c r="G1769" s="153">
        <v>716</v>
      </c>
      <c r="H1769" s="18" t="s">
        <v>226</v>
      </c>
      <c r="I1769" s="19"/>
      <c r="J1769" s="19"/>
      <c r="K1769" s="19"/>
      <c r="L1769" s="20"/>
      <c r="M1769" s="20"/>
      <c r="N1769" s="164"/>
      <c r="O1769" s="19"/>
      <c r="P1769" s="19">
        <f>SUM(P1770:P1772)</f>
        <v>50700</v>
      </c>
      <c r="Q1769" s="19">
        <f>SUM(Q1770:Q1772)</f>
        <v>54516</v>
      </c>
      <c r="R1769" s="20"/>
      <c r="S1769" s="20">
        <f>S1770</f>
        <v>7320</v>
      </c>
      <c r="T1769" s="164"/>
      <c r="U1769" s="154">
        <f t="shared" si="95"/>
        <v>0</v>
      </c>
    </row>
    <row r="1770" spans="2:21" x14ac:dyDescent="0.2">
      <c r="B1770" s="8">
        <f>B1769+1</f>
        <v>102</v>
      </c>
      <c r="C1770" s="120"/>
      <c r="D1770" s="120"/>
      <c r="E1770" s="120"/>
      <c r="F1770" s="298"/>
      <c r="G1770" s="298"/>
      <c r="H1770" s="156" t="s">
        <v>338</v>
      </c>
      <c r="I1770" s="157"/>
      <c r="J1770" s="157"/>
      <c r="K1770" s="157"/>
      <c r="L1770" s="157"/>
      <c r="M1770" s="157"/>
      <c r="N1770" s="535"/>
      <c r="O1770" s="157"/>
      <c r="P1770" s="157">
        <v>15100</v>
      </c>
      <c r="Q1770" s="157">
        <v>11976</v>
      </c>
      <c r="R1770" s="157"/>
      <c r="S1770" s="157">
        <v>7320</v>
      </c>
      <c r="T1770" s="535"/>
      <c r="U1770" s="159">
        <f t="shared" si="95"/>
        <v>0</v>
      </c>
    </row>
    <row r="1771" spans="2:21" x14ac:dyDescent="0.2">
      <c r="B1771" s="8">
        <f>B1770+1</f>
        <v>103</v>
      </c>
      <c r="C1771" s="120"/>
      <c r="D1771" s="120"/>
      <c r="E1771" s="120"/>
      <c r="F1771" s="298"/>
      <c r="G1771" s="298"/>
      <c r="H1771" s="156" t="s">
        <v>917</v>
      </c>
      <c r="I1771" s="157"/>
      <c r="J1771" s="157"/>
      <c r="K1771" s="157"/>
      <c r="L1771" s="157"/>
      <c r="M1771" s="157"/>
      <c r="N1771" s="535"/>
      <c r="O1771" s="157"/>
      <c r="P1771" s="157">
        <v>32000</v>
      </c>
      <c r="Q1771" s="157">
        <v>34700</v>
      </c>
      <c r="R1771" s="157"/>
      <c r="S1771" s="157"/>
      <c r="T1771" s="535"/>
      <c r="U1771" s="159">
        <f t="shared" si="95"/>
        <v>0</v>
      </c>
    </row>
    <row r="1772" spans="2:21" x14ac:dyDescent="0.2">
      <c r="B1772" s="8">
        <f>B1771+1</f>
        <v>104</v>
      </c>
      <c r="C1772" s="120"/>
      <c r="D1772" s="120"/>
      <c r="E1772" s="120"/>
      <c r="F1772" s="298"/>
      <c r="G1772" s="298"/>
      <c r="H1772" s="156" t="s">
        <v>916</v>
      </c>
      <c r="I1772" s="157"/>
      <c r="J1772" s="157"/>
      <c r="K1772" s="157"/>
      <c r="L1772" s="157"/>
      <c r="M1772" s="157"/>
      <c r="N1772" s="535"/>
      <c r="O1772" s="157"/>
      <c r="P1772" s="157">
        <v>3600</v>
      </c>
      <c r="Q1772" s="157">
        <v>7840</v>
      </c>
      <c r="R1772" s="157"/>
      <c r="S1772" s="157"/>
      <c r="T1772" s="535"/>
      <c r="U1772" s="159">
        <f t="shared" si="95"/>
        <v>0</v>
      </c>
    </row>
    <row r="1773" spans="2:21" x14ac:dyDescent="0.2">
      <c r="B1773" s="8">
        <f t="shared" ref="B1773:B1839" si="97">B1772+1</f>
        <v>105</v>
      </c>
      <c r="C1773" s="18"/>
      <c r="D1773" s="18"/>
      <c r="E1773" s="18"/>
      <c r="F1773" s="152"/>
      <c r="G1773" s="153">
        <v>717</v>
      </c>
      <c r="H1773" s="18" t="s">
        <v>192</v>
      </c>
      <c r="I1773" s="19"/>
      <c r="J1773" s="19"/>
      <c r="K1773" s="19"/>
      <c r="L1773" s="20"/>
      <c r="M1773" s="20"/>
      <c r="N1773" s="164"/>
      <c r="O1773" s="19">
        <f>O1776</f>
        <v>498000</v>
      </c>
      <c r="P1773" s="19">
        <f>SUM(P1775:P1776)</f>
        <v>580000</v>
      </c>
      <c r="Q1773" s="19">
        <f>SUM(Q1775:Q1776)</f>
        <v>498000</v>
      </c>
      <c r="R1773" s="20"/>
      <c r="S1773" s="20">
        <f>SUM(S1774:S1776)</f>
        <v>8490</v>
      </c>
      <c r="T1773" s="164"/>
      <c r="U1773" s="154">
        <f t="shared" si="95"/>
        <v>498000</v>
      </c>
    </row>
    <row r="1774" spans="2:21" x14ac:dyDescent="0.2">
      <c r="B1774" s="8">
        <f t="shared" si="97"/>
        <v>106</v>
      </c>
      <c r="C1774" s="120"/>
      <c r="D1774" s="120"/>
      <c r="E1774" s="120"/>
      <c r="F1774" s="298"/>
      <c r="G1774" s="298"/>
      <c r="H1774" s="156" t="s">
        <v>425</v>
      </c>
      <c r="I1774" s="157"/>
      <c r="J1774" s="157"/>
      <c r="K1774" s="157"/>
      <c r="L1774" s="157"/>
      <c r="M1774" s="157"/>
      <c r="N1774" s="535"/>
      <c r="O1774" s="157"/>
      <c r="P1774" s="157"/>
      <c r="Q1774" s="157"/>
      <c r="R1774" s="157"/>
      <c r="S1774" s="157">
        <v>8490</v>
      </c>
      <c r="T1774" s="535"/>
      <c r="U1774" s="159">
        <f t="shared" si="95"/>
        <v>0</v>
      </c>
    </row>
    <row r="1775" spans="2:21" x14ac:dyDescent="0.2">
      <c r="B1775" s="8">
        <f t="shared" si="97"/>
        <v>107</v>
      </c>
      <c r="C1775" s="120"/>
      <c r="D1775" s="120"/>
      <c r="E1775" s="120"/>
      <c r="F1775" s="298"/>
      <c r="G1775" s="298"/>
      <c r="H1775" s="156" t="s">
        <v>916</v>
      </c>
      <c r="I1775" s="157"/>
      <c r="J1775" s="157"/>
      <c r="K1775" s="157"/>
      <c r="L1775" s="157"/>
      <c r="M1775" s="157"/>
      <c r="N1775" s="535"/>
      <c r="O1775" s="157"/>
      <c r="P1775" s="157">
        <v>82000</v>
      </c>
      <c r="Q1775" s="157">
        <v>0</v>
      </c>
      <c r="R1775" s="157"/>
      <c r="S1775" s="157"/>
      <c r="T1775" s="535"/>
      <c r="U1775" s="159">
        <f t="shared" si="95"/>
        <v>0</v>
      </c>
    </row>
    <row r="1776" spans="2:21" x14ac:dyDescent="0.2">
      <c r="B1776" s="8">
        <f t="shared" si="97"/>
        <v>108</v>
      </c>
      <c r="C1776" s="120"/>
      <c r="D1776" s="120"/>
      <c r="E1776" s="120"/>
      <c r="F1776" s="298"/>
      <c r="G1776" s="298"/>
      <c r="H1776" s="156" t="s">
        <v>338</v>
      </c>
      <c r="I1776" s="158"/>
      <c r="J1776" s="158"/>
      <c r="K1776" s="157"/>
      <c r="L1776" s="158"/>
      <c r="M1776" s="158"/>
      <c r="N1776" s="541"/>
      <c r="O1776" s="158">
        <v>498000</v>
      </c>
      <c r="P1776" s="157">
        <v>498000</v>
      </c>
      <c r="Q1776" s="157">
        <v>498000</v>
      </c>
      <c r="R1776" s="158"/>
      <c r="S1776" s="158"/>
      <c r="T1776" s="541"/>
      <c r="U1776" s="181">
        <f t="shared" si="95"/>
        <v>498000</v>
      </c>
    </row>
    <row r="1777" spans="2:21" ht="14.25" x14ac:dyDescent="0.2">
      <c r="B1777" s="8">
        <f t="shared" si="97"/>
        <v>109</v>
      </c>
      <c r="C1777" s="267"/>
      <c r="D1777" s="267"/>
      <c r="E1777" s="267">
        <v>2</v>
      </c>
      <c r="F1777" s="268"/>
      <c r="G1777" s="268"/>
      <c r="H1777" s="267" t="s">
        <v>13</v>
      </c>
      <c r="I1777" s="269">
        <f>I1778+I1779+I1780+I1785</f>
        <v>977160</v>
      </c>
      <c r="J1777" s="269">
        <f>J1778+J1779+J1780+J1785</f>
        <v>1317150</v>
      </c>
      <c r="K1777" s="269">
        <f>K1778+K1779+K1780+K1785</f>
        <v>1297650</v>
      </c>
      <c r="L1777" s="270">
        <f>L1778+L1779+L1780+L1785</f>
        <v>852633</v>
      </c>
      <c r="M1777" s="270">
        <f>M1778+M1779+M1780+M1785</f>
        <v>532663</v>
      </c>
      <c r="N1777" s="534"/>
      <c r="O1777" s="269"/>
      <c r="P1777" s="269"/>
      <c r="Q1777" s="269"/>
      <c r="R1777" s="270">
        <f>R1786</f>
        <v>4085</v>
      </c>
      <c r="S1777" s="270"/>
      <c r="T1777" s="534"/>
      <c r="U1777" s="271">
        <f t="shared" si="95"/>
        <v>977160</v>
      </c>
    </row>
    <row r="1778" spans="2:21" x14ac:dyDescent="0.2">
      <c r="B1778" s="8">
        <f t="shared" si="97"/>
        <v>110</v>
      </c>
      <c r="C1778" s="24"/>
      <c r="D1778" s="24"/>
      <c r="E1778" s="24"/>
      <c r="F1778" s="149" t="s">
        <v>189</v>
      </c>
      <c r="G1778" s="150">
        <v>610</v>
      </c>
      <c r="H1778" s="24" t="s">
        <v>141</v>
      </c>
      <c r="I1778" s="25">
        <v>232500</v>
      </c>
      <c r="J1778" s="25">
        <v>190365</v>
      </c>
      <c r="K1778" s="25">
        <v>200365</v>
      </c>
      <c r="L1778" s="26">
        <v>176296</v>
      </c>
      <c r="M1778" s="26">
        <v>151758</v>
      </c>
      <c r="N1778" s="501"/>
      <c r="O1778" s="25"/>
      <c r="P1778" s="25"/>
      <c r="Q1778" s="25"/>
      <c r="R1778" s="26"/>
      <c r="S1778" s="26"/>
      <c r="T1778" s="501"/>
      <c r="U1778" s="151">
        <f t="shared" si="95"/>
        <v>232500</v>
      </c>
    </row>
    <row r="1779" spans="2:21" x14ac:dyDescent="0.2">
      <c r="B1779" s="8">
        <f t="shared" si="97"/>
        <v>111</v>
      </c>
      <c r="C1779" s="24"/>
      <c r="D1779" s="24"/>
      <c r="E1779" s="24"/>
      <c r="F1779" s="149" t="s">
        <v>189</v>
      </c>
      <c r="G1779" s="150">
        <v>620</v>
      </c>
      <c r="H1779" s="24" t="s">
        <v>134</v>
      </c>
      <c r="I1779" s="25">
        <f>24815+87495</f>
        <v>112310</v>
      </c>
      <c r="J1779" s="25">
        <v>96545</v>
      </c>
      <c r="K1779" s="25">
        <v>97045</v>
      </c>
      <c r="L1779" s="26">
        <v>79458</v>
      </c>
      <c r="M1779" s="26">
        <v>66596</v>
      </c>
      <c r="N1779" s="501"/>
      <c r="O1779" s="25"/>
      <c r="P1779" s="25"/>
      <c r="Q1779" s="25"/>
      <c r="R1779" s="26"/>
      <c r="S1779" s="26"/>
      <c r="T1779" s="501"/>
      <c r="U1779" s="151">
        <f t="shared" si="95"/>
        <v>112310</v>
      </c>
    </row>
    <row r="1780" spans="2:21" x14ac:dyDescent="0.2">
      <c r="B1780" s="8">
        <f t="shared" si="97"/>
        <v>112</v>
      </c>
      <c r="C1780" s="24"/>
      <c r="D1780" s="24"/>
      <c r="E1780" s="24"/>
      <c r="F1780" s="149" t="s">
        <v>189</v>
      </c>
      <c r="G1780" s="150">
        <v>630</v>
      </c>
      <c r="H1780" s="24" t="s">
        <v>131</v>
      </c>
      <c r="I1780" s="25">
        <f>I1784+I1783+I1782+I1781</f>
        <v>619000</v>
      </c>
      <c r="J1780" s="25">
        <f>J1784+J1783+J1782+J1781</f>
        <v>1016640</v>
      </c>
      <c r="K1780" s="25">
        <f>K1784+K1783+K1782+K1781</f>
        <v>986140</v>
      </c>
      <c r="L1780" s="26">
        <f>L1784+L1783+L1782+L1781</f>
        <v>587721</v>
      </c>
      <c r="M1780" s="26">
        <f>M1784+M1783+M1782+M1781</f>
        <v>312408</v>
      </c>
      <c r="N1780" s="501"/>
      <c r="O1780" s="25"/>
      <c r="P1780" s="25"/>
      <c r="Q1780" s="25"/>
      <c r="R1780" s="26"/>
      <c r="S1780" s="26"/>
      <c r="T1780" s="501"/>
      <c r="U1780" s="151">
        <f t="shared" si="95"/>
        <v>619000</v>
      </c>
    </row>
    <row r="1781" spans="2:21" x14ac:dyDescent="0.2">
      <c r="B1781" s="8">
        <f t="shared" si="97"/>
        <v>113</v>
      </c>
      <c r="C1781" s="18"/>
      <c r="D1781" s="18"/>
      <c r="E1781" s="18"/>
      <c r="F1781" s="152"/>
      <c r="G1781" s="153">
        <v>632</v>
      </c>
      <c r="H1781" s="18" t="s">
        <v>144</v>
      </c>
      <c r="I1781" s="19">
        <v>380000</v>
      </c>
      <c r="J1781" s="19">
        <v>765400</v>
      </c>
      <c r="K1781" s="19">
        <v>765400</v>
      </c>
      <c r="L1781" s="20">
        <v>398503</v>
      </c>
      <c r="M1781" s="20">
        <v>175634</v>
      </c>
      <c r="N1781" s="164"/>
      <c r="O1781" s="19"/>
      <c r="P1781" s="19"/>
      <c r="Q1781" s="19"/>
      <c r="R1781" s="20"/>
      <c r="S1781" s="20"/>
      <c r="T1781" s="164"/>
      <c r="U1781" s="154">
        <f t="shared" si="95"/>
        <v>380000</v>
      </c>
    </row>
    <row r="1782" spans="2:21" x14ac:dyDescent="0.2">
      <c r="B1782" s="8">
        <f t="shared" si="97"/>
        <v>114</v>
      </c>
      <c r="C1782" s="18"/>
      <c r="D1782" s="18"/>
      <c r="E1782" s="18"/>
      <c r="F1782" s="152"/>
      <c r="G1782" s="153">
        <v>633</v>
      </c>
      <c r="H1782" s="18" t="s">
        <v>135</v>
      </c>
      <c r="I1782" s="19">
        <v>70000</v>
      </c>
      <c r="J1782" s="19">
        <v>87600</v>
      </c>
      <c r="K1782" s="19">
        <v>68600</v>
      </c>
      <c r="L1782" s="20">
        <v>59673</v>
      </c>
      <c r="M1782" s="20">
        <v>42771</v>
      </c>
      <c r="N1782" s="164"/>
      <c r="O1782" s="19"/>
      <c r="P1782" s="19"/>
      <c r="Q1782" s="19"/>
      <c r="R1782" s="20"/>
      <c r="S1782" s="20"/>
      <c r="T1782" s="164"/>
      <c r="U1782" s="154">
        <f t="shared" si="95"/>
        <v>70000</v>
      </c>
    </row>
    <row r="1783" spans="2:21" x14ac:dyDescent="0.2">
      <c r="B1783" s="8">
        <f t="shared" si="97"/>
        <v>115</v>
      </c>
      <c r="C1783" s="18"/>
      <c r="D1783" s="18"/>
      <c r="E1783" s="18"/>
      <c r="F1783" s="152"/>
      <c r="G1783" s="153">
        <v>635</v>
      </c>
      <c r="H1783" s="18" t="s">
        <v>143</v>
      </c>
      <c r="I1783" s="19">
        <v>57000</v>
      </c>
      <c r="J1783" s="19">
        <v>56100</v>
      </c>
      <c r="K1783" s="19">
        <v>48100</v>
      </c>
      <c r="L1783" s="20">
        <v>47408</v>
      </c>
      <c r="M1783" s="20">
        <v>25977</v>
      </c>
      <c r="N1783" s="164"/>
      <c r="O1783" s="19"/>
      <c r="P1783" s="19"/>
      <c r="Q1783" s="19"/>
      <c r="R1783" s="20"/>
      <c r="S1783" s="20"/>
      <c r="T1783" s="164"/>
      <c r="U1783" s="154">
        <f t="shared" si="95"/>
        <v>57000</v>
      </c>
    </row>
    <row r="1784" spans="2:21" x14ac:dyDescent="0.2">
      <c r="B1784" s="8">
        <f t="shared" si="97"/>
        <v>116</v>
      </c>
      <c r="C1784" s="18"/>
      <c r="D1784" s="18"/>
      <c r="E1784" s="18"/>
      <c r="F1784" s="152"/>
      <c r="G1784" s="153">
        <v>637</v>
      </c>
      <c r="H1784" s="18" t="s">
        <v>132</v>
      </c>
      <c r="I1784" s="19">
        <v>112000</v>
      </c>
      <c r="J1784" s="19">
        <v>107540</v>
      </c>
      <c r="K1784" s="19">
        <v>104040</v>
      </c>
      <c r="L1784" s="20">
        <v>82137</v>
      </c>
      <c r="M1784" s="20">
        <f>67630+396</f>
        <v>68026</v>
      </c>
      <c r="N1784" s="164"/>
      <c r="O1784" s="19"/>
      <c r="P1784" s="19"/>
      <c r="Q1784" s="19"/>
      <c r="R1784" s="20"/>
      <c r="S1784" s="20"/>
      <c r="T1784" s="164"/>
      <c r="U1784" s="154">
        <f t="shared" si="95"/>
        <v>112000</v>
      </c>
    </row>
    <row r="1785" spans="2:21" x14ac:dyDescent="0.2">
      <c r="B1785" s="8">
        <f t="shared" si="97"/>
        <v>117</v>
      </c>
      <c r="C1785" s="24"/>
      <c r="D1785" s="24"/>
      <c r="E1785" s="24"/>
      <c r="F1785" s="149" t="s">
        <v>189</v>
      </c>
      <c r="G1785" s="150">
        <v>640</v>
      </c>
      <c r="H1785" s="24" t="s">
        <v>139</v>
      </c>
      <c r="I1785" s="25">
        <f>1650+11000+700</f>
        <v>13350</v>
      </c>
      <c r="J1785" s="25">
        <v>13600</v>
      </c>
      <c r="K1785" s="25">
        <v>14100</v>
      </c>
      <c r="L1785" s="26">
        <v>9158</v>
      </c>
      <c r="M1785" s="26">
        <v>1901</v>
      </c>
      <c r="N1785" s="501"/>
      <c r="O1785" s="25"/>
      <c r="P1785" s="25"/>
      <c r="Q1785" s="25"/>
      <c r="R1785" s="26"/>
      <c r="S1785" s="26"/>
      <c r="T1785" s="501"/>
      <c r="U1785" s="151">
        <f t="shared" si="95"/>
        <v>13350</v>
      </c>
    </row>
    <row r="1786" spans="2:21" x14ac:dyDescent="0.2">
      <c r="B1786" s="8">
        <f t="shared" si="97"/>
        <v>118</v>
      </c>
      <c r="C1786" s="24"/>
      <c r="D1786" s="24"/>
      <c r="E1786" s="24"/>
      <c r="F1786" s="149" t="s">
        <v>189</v>
      </c>
      <c r="G1786" s="150">
        <v>710</v>
      </c>
      <c r="H1786" s="24" t="s">
        <v>185</v>
      </c>
      <c r="I1786" s="25"/>
      <c r="J1786" s="25"/>
      <c r="K1786" s="25"/>
      <c r="L1786" s="26"/>
      <c r="M1786" s="26"/>
      <c r="N1786" s="501"/>
      <c r="O1786" s="25"/>
      <c r="P1786" s="25"/>
      <c r="Q1786" s="25"/>
      <c r="R1786" s="26">
        <f>R1787</f>
        <v>4085</v>
      </c>
      <c r="S1786" s="26"/>
      <c r="T1786" s="501"/>
      <c r="U1786" s="151">
        <f t="shared" si="95"/>
        <v>0</v>
      </c>
    </row>
    <row r="1787" spans="2:21" x14ac:dyDescent="0.2">
      <c r="B1787" s="8">
        <f t="shared" si="97"/>
        <v>119</v>
      </c>
      <c r="C1787" s="18"/>
      <c r="D1787" s="18"/>
      <c r="E1787" s="18"/>
      <c r="F1787" s="152"/>
      <c r="G1787" s="153">
        <v>713</v>
      </c>
      <c r="H1787" s="18" t="s">
        <v>230</v>
      </c>
      <c r="I1787" s="19"/>
      <c r="J1787" s="19"/>
      <c r="K1787" s="19"/>
      <c r="L1787" s="20"/>
      <c r="M1787" s="20"/>
      <c r="N1787" s="164"/>
      <c r="O1787" s="19"/>
      <c r="P1787" s="19"/>
      <c r="Q1787" s="19"/>
      <c r="R1787" s="20">
        <f>SUM(R1788:R1788)</f>
        <v>4085</v>
      </c>
      <c r="S1787" s="20"/>
      <c r="T1787" s="164"/>
      <c r="U1787" s="154">
        <f t="shared" si="95"/>
        <v>0</v>
      </c>
    </row>
    <row r="1788" spans="2:21" s="165" customFormat="1" x14ac:dyDescent="0.2">
      <c r="B1788" s="8">
        <f t="shared" si="97"/>
        <v>120</v>
      </c>
      <c r="C1788" s="156"/>
      <c r="D1788" s="156"/>
      <c r="E1788" s="156"/>
      <c r="F1788" s="272"/>
      <c r="G1788" s="155"/>
      <c r="H1788" s="156" t="s">
        <v>816</v>
      </c>
      <c r="I1788" s="157"/>
      <c r="J1788" s="157"/>
      <c r="K1788" s="157"/>
      <c r="L1788" s="158"/>
      <c r="M1788" s="158"/>
      <c r="N1788" s="535"/>
      <c r="O1788" s="157"/>
      <c r="P1788" s="157"/>
      <c r="Q1788" s="157"/>
      <c r="R1788" s="158">
        <v>4085</v>
      </c>
      <c r="S1788" s="158"/>
      <c r="T1788" s="535"/>
      <c r="U1788" s="159">
        <f t="shared" si="95"/>
        <v>0</v>
      </c>
    </row>
    <row r="1789" spans="2:21" ht="14.25" x14ac:dyDescent="0.2">
      <c r="B1789" s="8">
        <f t="shared" si="97"/>
        <v>121</v>
      </c>
      <c r="C1789" s="160"/>
      <c r="D1789" s="160">
        <v>5</v>
      </c>
      <c r="E1789" s="675" t="s">
        <v>261</v>
      </c>
      <c r="F1789" s="676"/>
      <c r="G1789" s="676"/>
      <c r="H1789" s="676"/>
      <c r="I1789" s="161">
        <f>I1790</f>
        <v>1000</v>
      </c>
      <c r="J1789" s="161">
        <f t="shared" ref="J1789:M1790" si="98">J1790</f>
        <v>1000</v>
      </c>
      <c r="K1789" s="161">
        <f t="shared" si="98"/>
        <v>1000</v>
      </c>
      <c r="L1789" s="162">
        <f t="shared" si="98"/>
        <v>1362</v>
      </c>
      <c r="M1789" s="162">
        <f t="shared" si="98"/>
        <v>557</v>
      </c>
      <c r="N1789" s="534"/>
      <c r="O1789" s="161"/>
      <c r="P1789" s="161"/>
      <c r="Q1789" s="161"/>
      <c r="R1789" s="162"/>
      <c r="S1789" s="162"/>
      <c r="T1789" s="534"/>
      <c r="U1789" s="163">
        <f t="shared" si="95"/>
        <v>1000</v>
      </c>
    </row>
    <row r="1790" spans="2:21" ht="14.25" x14ac:dyDescent="0.2">
      <c r="B1790" s="8">
        <f t="shared" si="97"/>
        <v>122</v>
      </c>
      <c r="C1790" s="267"/>
      <c r="D1790" s="267"/>
      <c r="E1790" s="267">
        <v>2</v>
      </c>
      <c r="F1790" s="268"/>
      <c r="G1790" s="268"/>
      <c r="H1790" s="267" t="s">
        <v>13</v>
      </c>
      <c r="I1790" s="269">
        <f>I1791</f>
        <v>1000</v>
      </c>
      <c r="J1790" s="269">
        <f t="shared" si="98"/>
        <v>1000</v>
      </c>
      <c r="K1790" s="269">
        <f t="shared" si="98"/>
        <v>1000</v>
      </c>
      <c r="L1790" s="270">
        <f t="shared" si="98"/>
        <v>1362</v>
      </c>
      <c r="M1790" s="270">
        <f t="shared" si="98"/>
        <v>557</v>
      </c>
      <c r="N1790" s="534"/>
      <c r="O1790" s="269"/>
      <c r="P1790" s="269"/>
      <c r="Q1790" s="269"/>
      <c r="R1790" s="270"/>
      <c r="S1790" s="270"/>
      <c r="T1790" s="534"/>
      <c r="U1790" s="271">
        <f t="shared" si="95"/>
        <v>1000</v>
      </c>
    </row>
    <row r="1791" spans="2:21" x14ac:dyDescent="0.2">
      <c r="B1791" s="8">
        <f t="shared" si="97"/>
        <v>123</v>
      </c>
      <c r="C1791" s="24"/>
      <c r="D1791" s="24"/>
      <c r="E1791" s="24"/>
      <c r="F1791" s="149" t="s">
        <v>189</v>
      </c>
      <c r="G1791" s="150">
        <v>630</v>
      </c>
      <c r="H1791" s="24" t="s">
        <v>131</v>
      </c>
      <c r="I1791" s="25">
        <f>SUM(I1792:I1793)</f>
        <v>1000</v>
      </c>
      <c r="J1791" s="25">
        <f>SUM(J1792:J1793)</f>
        <v>1000</v>
      </c>
      <c r="K1791" s="25">
        <f>SUM(K1792:K1793)</f>
        <v>1000</v>
      </c>
      <c r="L1791" s="26">
        <f>SUM(L1792:L1793)</f>
        <v>1362</v>
      </c>
      <c r="M1791" s="26">
        <f>SUM(M1792:M1793)</f>
        <v>557</v>
      </c>
      <c r="N1791" s="501"/>
      <c r="O1791" s="25"/>
      <c r="P1791" s="25"/>
      <c r="Q1791" s="25"/>
      <c r="R1791" s="26"/>
      <c r="S1791" s="26"/>
      <c r="T1791" s="501"/>
      <c r="U1791" s="151">
        <f t="shared" si="95"/>
        <v>1000</v>
      </c>
    </row>
    <row r="1792" spans="2:21" x14ac:dyDescent="0.2">
      <c r="B1792" s="8">
        <f t="shared" si="97"/>
        <v>124</v>
      </c>
      <c r="C1792" s="18"/>
      <c r="D1792" s="18"/>
      <c r="E1792" s="18"/>
      <c r="F1792" s="152"/>
      <c r="G1792" s="153">
        <v>635</v>
      </c>
      <c r="H1792" s="18" t="s">
        <v>143</v>
      </c>
      <c r="I1792" s="19"/>
      <c r="J1792" s="19"/>
      <c r="K1792" s="19"/>
      <c r="L1792" s="20">
        <v>706</v>
      </c>
      <c r="M1792" s="20"/>
      <c r="N1792" s="164"/>
      <c r="O1792" s="19"/>
      <c r="P1792" s="19"/>
      <c r="Q1792" s="19"/>
      <c r="R1792" s="20"/>
      <c r="S1792" s="20"/>
      <c r="T1792" s="164"/>
      <c r="U1792" s="154">
        <f t="shared" si="95"/>
        <v>0</v>
      </c>
    </row>
    <row r="1793" spans="2:21" x14ac:dyDescent="0.2">
      <c r="B1793" s="8">
        <f t="shared" si="97"/>
        <v>125</v>
      </c>
      <c r="C1793" s="18"/>
      <c r="D1793" s="18"/>
      <c r="E1793" s="18"/>
      <c r="F1793" s="152"/>
      <c r="G1793" s="153">
        <v>637</v>
      </c>
      <c r="H1793" s="18" t="s">
        <v>132</v>
      </c>
      <c r="I1793" s="19">
        <v>1000</v>
      </c>
      <c r="J1793" s="19">
        <v>1000</v>
      </c>
      <c r="K1793" s="19">
        <v>1000</v>
      </c>
      <c r="L1793" s="20">
        <v>656</v>
      </c>
      <c r="M1793" s="20">
        <v>557</v>
      </c>
      <c r="N1793" s="164"/>
      <c r="O1793" s="19"/>
      <c r="P1793" s="19"/>
      <c r="Q1793" s="19"/>
      <c r="R1793" s="20"/>
      <c r="S1793" s="20"/>
      <c r="T1793" s="164"/>
      <c r="U1793" s="154">
        <f t="shared" si="95"/>
        <v>1000</v>
      </c>
    </row>
    <row r="1794" spans="2:21" ht="15.75" x14ac:dyDescent="0.25">
      <c r="B1794" s="8">
        <f t="shared" si="97"/>
        <v>126</v>
      </c>
      <c r="C1794" s="141">
        <v>4</v>
      </c>
      <c r="D1794" s="677" t="s">
        <v>282</v>
      </c>
      <c r="E1794" s="678"/>
      <c r="F1794" s="678"/>
      <c r="G1794" s="678"/>
      <c r="H1794" s="678"/>
      <c r="I1794" s="142">
        <f>I1795+I1870</f>
        <v>176215</v>
      </c>
      <c r="J1794" s="142">
        <f>J1795+J1870</f>
        <v>133600</v>
      </c>
      <c r="K1794" s="142">
        <f>K1795+K1870</f>
        <v>149600</v>
      </c>
      <c r="L1794" s="143">
        <f>L1795+L1870</f>
        <v>100719</v>
      </c>
      <c r="M1794" s="143">
        <f>M1795+M1870</f>
        <v>115152</v>
      </c>
      <c r="N1794" s="533"/>
      <c r="O1794" s="142">
        <f>O1798+O1823</f>
        <v>36502784</v>
      </c>
      <c r="P1794" s="142">
        <f>P1797+P1870</f>
        <v>28012442</v>
      </c>
      <c r="Q1794" s="142">
        <f>Q1797+Q1870</f>
        <v>33223258</v>
      </c>
      <c r="R1794" s="143">
        <f>R1797+R1870</f>
        <v>838546</v>
      </c>
      <c r="S1794" s="143">
        <f>S1797+S1870</f>
        <v>1173302</v>
      </c>
      <c r="T1794" s="533"/>
      <c r="U1794" s="144">
        <f t="shared" si="95"/>
        <v>36678999</v>
      </c>
    </row>
    <row r="1795" spans="2:21" x14ac:dyDescent="0.2">
      <c r="B1795" s="8">
        <f t="shared" si="97"/>
        <v>127</v>
      </c>
      <c r="C1795" s="24"/>
      <c r="D1795" s="24"/>
      <c r="E1795" s="24"/>
      <c r="F1795" s="149" t="s">
        <v>202</v>
      </c>
      <c r="G1795" s="150">
        <v>630</v>
      </c>
      <c r="H1795" s="24"/>
      <c r="I1795" s="25"/>
      <c r="J1795" s="25"/>
      <c r="K1795" s="25"/>
      <c r="L1795" s="26">
        <f>L1796</f>
        <v>113</v>
      </c>
      <c r="M1795" s="26">
        <f>M1796</f>
        <v>2033</v>
      </c>
      <c r="N1795" s="501"/>
      <c r="O1795" s="25"/>
      <c r="P1795" s="25"/>
      <c r="Q1795" s="25"/>
      <c r="R1795" s="26"/>
      <c r="S1795" s="26"/>
      <c r="T1795" s="501"/>
      <c r="U1795" s="151">
        <f t="shared" si="95"/>
        <v>0</v>
      </c>
    </row>
    <row r="1796" spans="2:21" x14ac:dyDescent="0.2">
      <c r="B1796" s="8">
        <f t="shared" si="97"/>
        <v>128</v>
      </c>
      <c r="C1796" s="18"/>
      <c r="D1796" s="18"/>
      <c r="E1796" s="18"/>
      <c r="F1796" s="152"/>
      <c r="G1796" s="153">
        <v>632</v>
      </c>
      <c r="H1796" s="18" t="s">
        <v>144</v>
      </c>
      <c r="I1796" s="19"/>
      <c r="J1796" s="19"/>
      <c r="K1796" s="19"/>
      <c r="L1796" s="20">
        <v>113</v>
      </c>
      <c r="M1796" s="20">
        <v>2033</v>
      </c>
      <c r="N1796" s="164"/>
      <c r="O1796" s="19"/>
      <c r="P1796" s="19"/>
      <c r="Q1796" s="19"/>
      <c r="R1796" s="20"/>
      <c r="S1796" s="20"/>
      <c r="T1796" s="164"/>
      <c r="U1796" s="154">
        <f t="shared" si="95"/>
        <v>0</v>
      </c>
    </row>
    <row r="1797" spans="2:21" x14ac:dyDescent="0.2">
      <c r="B1797" s="8">
        <f t="shared" si="97"/>
        <v>129</v>
      </c>
      <c r="C1797" s="24"/>
      <c r="D1797" s="24"/>
      <c r="E1797" s="24"/>
      <c r="F1797" s="149" t="s">
        <v>202</v>
      </c>
      <c r="G1797" s="150">
        <v>710</v>
      </c>
      <c r="H1797" s="24" t="s">
        <v>185</v>
      </c>
      <c r="I1797" s="25"/>
      <c r="J1797" s="25"/>
      <c r="K1797" s="25"/>
      <c r="L1797" s="26"/>
      <c r="M1797" s="26"/>
      <c r="N1797" s="501"/>
      <c r="O1797" s="25"/>
      <c r="P1797" s="25">
        <f>P1798+P1823</f>
        <v>28008842</v>
      </c>
      <c r="Q1797" s="25">
        <f>Q1798+Q1823+Q1868</f>
        <v>33214758</v>
      </c>
      <c r="R1797" s="26">
        <f>R1798+R1823+R1868</f>
        <v>832676</v>
      </c>
      <c r="S1797" s="26">
        <f>S1798+S1823+S1868</f>
        <v>1173302</v>
      </c>
      <c r="T1797" s="501"/>
      <c r="U1797" s="151">
        <f t="shared" si="95"/>
        <v>0</v>
      </c>
    </row>
    <row r="1798" spans="2:21" x14ac:dyDescent="0.2">
      <c r="B1798" s="8">
        <f t="shared" si="97"/>
        <v>130</v>
      </c>
      <c r="C1798" s="273"/>
      <c r="D1798" s="273"/>
      <c r="E1798" s="273"/>
      <c r="F1798" s="274"/>
      <c r="G1798" s="275">
        <v>716</v>
      </c>
      <c r="H1798" s="273" t="s">
        <v>226</v>
      </c>
      <c r="I1798" s="276"/>
      <c r="J1798" s="276"/>
      <c r="K1798" s="276"/>
      <c r="L1798" s="277"/>
      <c r="M1798" s="277"/>
      <c r="N1798" s="164"/>
      <c r="O1798" s="276">
        <f>SUM(O1799:O1822)</f>
        <v>238984</v>
      </c>
      <c r="P1798" s="276">
        <f>SUM(P1799:P1821)</f>
        <v>180750</v>
      </c>
      <c r="Q1798" s="276">
        <f>SUM(Q1799:Q1821)</f>
        <v>344970</v>
      </c>
      <c r="R1798" s="277">
        <f>SUM(R1799:R1821)</f>
        <v>78175</v>
      </c>
      <c r="S1798" s="277">
        <f>SUM(S1799:S1821)</f>
        <v>18546</v>
      </c>
      <c r="T1798" s="164"/>
      <c r="U1798" s="278">
        <f t="shared" ref="U1798:U1865" si="99">I1798+O1798</f>
        <v>238984</v>
      </c>
    </row>
    <row r="1799" spans="2:21" x14ac:dyDescent="0.2">
      <c r="B1799" s="8">
        <f t="shared" si="97"/>
        <v>131</v>
      </c>
      <c r="C1799" s="120"/>
      <c r="D1799" s="120"/>
      <c r="E1799" s="120"/>
      <c r="F1799" s="298"/>
      <c r="G1799" s="298"/>
      <c r="H1799" s="156" t="s">
        <v>364</v>
      </c>
      <c r="I1799" s="157"/>
      <c r="J1799" s="157"/>
      <c r="K1799" s="157"/>
      <c r="L1799" s="158"/>
      <c r="M1799" s="158"/>
      <c r="N1799" s="541"/>
      <c r="O1799" s="158"/>
      <c r="P1799" s="158"/>
      <c r="Q1799" s="158"/>
      <c r="R1799" s="158">
        <v>14226</v>
      </c>
      <c r="S1799" s="157">
        <v>400</v>
      </c>
      <c r="T1799" s="535"/>
      <c r="U1799" s="159">
        <f t="shared" si="99"/>
        <v>0</v>
      </c>
    </row>
    <row r="1800" spans="2:21" x14ac:dyDescent="0.2">
      <c r="B1800" s="8">
        <f t="shared" si="97"/>
        <v>132</v>
      </c>
      <c r="C1800" s="120"/>
      <c r="D1800" s="120"/>
      <c r="E1800" s="120"/>
      <c r="F1800" s="298"/>
      <c r="G1800" s="298"/>
      <c r="H1800" s="156" t="s">
        <v>1191</v>
      </c>
      <c r="I1800" s="157"/>
      <c r="J1800" s="157"/>
      <c r="K1800" s="157"/>
      <c r="L1800" s="158"/>
      <c r="M1800" s="158"/>
      <c r="N1800" s="541"/>
      <c r="O1800" s="158">
        <v>2500</v>
      </c>
      <c r="P1800" s="158"/>
      <c r="Q1800" s="158"/>
      <c r="R1800" s="158"/>
      <c r="S1800" s="157"/>
      <c r="T1800" s="535"/>
      <c r="U1800" s="159">
        <f t="shared" si="99"/>
        <v>2500</v>
      </c>
    </row>
    <row r="1801" spans="2:21" x14ac:dyDescent="0.2">
      <c r="B1801" s="8">
        <f t="shared" si="97"/>
        <v>133</v>
      </c>
      <c r="C1801" s="120"/>
      <c r="D1801" s="120"/>
      <c r="E1801" s="120"/>
      <c r="F1801" s="298"/>
      <c r="G1801" s="298"/>
      <c r="H1801" s="156" t="s">
        <v>285</v>
      </c>
      <c r="I1801" s="157"/>
      <c r="J1801" s="157"/>
      <c r="K1801" s="157"/>
      <c r="L1801" s="158"/>
      <c r="M1801" s="158"/>
      <c r="N1801" s="541"/>
      <c r="O1801" s="158"/>
      <c r="P1801" s="158">
        <v>18950</v>
      </c>
      <c r="Q1801" s="158">
        <v>18950</v>
      </c>
      <c r="R1801" s="158"/>
      <c r="S1801" s="157">
        <v>10248</v>
      </c>
      <c r="T1801" s="535"/>
      <c r="U1801" s="159">
        <f t="shared" si="99"/>
        <v>0</v>
      </c>
    </row>
    <row r="1802" spans="2:21" x14ac:dyDescent="0.2">
      <c r="B1802" s="8">
        <f t="shared" si="97"/>
        <v>134</v>
      </c>
      <c r="C1802" s="120"/>
      <c r="D1802" s="120"/>
      <c r="E1802" s="120"/>
      <c r="F1802" s="298"/>
      <c r="G1802" s="298"/>
      <c r="H1802" s="156" t="s">
        <v>365</v>
      </c>
      <c r="I1802" s="157"/>
      <c r="J1802" s="157"/>
      <c r="K1802" s="157"/>
      <c r="L1802" s="158"/>
      <c r="M1802" s="158"/>
      <c r="N1802" s="541"/>
      <c r="O1802" s="158"/>
      <c r="P1802" s="158"/>
      <c r="Q1802" s="158"/>
      <c r="R1802" s="158"/>
      <c r="S1802" s="157">
        <v>1206</v>
      </c>
      <c r="T1802" s="535"/>
      <c r="U1802" s="159">
        <f t="shared" si="99"/>
        <v>0</v>
      </c>
    </row>
    <row r="1803" spans="2:21" x14ac:dyDescent="0.2">
      <c r="B1803" s="8">
        <f t="shared" si="97"/>
        <v>135</v>
      </c>
      <c r="C1803" s="120"/>
      <c r="D1803" s="120"/>
      <c r="E1803" s="120"/>
      <c r="F1803" s="298"/>
      <c r="G1803" s="298"/>
      <c r="H1803" s="156" t="s">
        <v>426</v>
      </c>
      <c r="I1803" s="157"/>
      <c r="J1803" s="157"/>
      <c r="K1803" s="157"/>
      <c r="L1803" s="158"/>
      <c r="M1803" s="158"/>
      <c r="N1803" s="541"/>
      <c r="O1803" s="158"/>
      <c r="P1803" s="158"/>
      <c r="Q1803" s="158"/>
      <c r="R1803" s="158"/>
      <c r="S1803" s="157">
        <v>942</v>
      </c>
      <c r="T1803" s="535"/>
      <c r="U1803" s="159">
        <f t="shared" si="99"/>
        <v>0</v>
      </c>
    </row>
    <row r="1804" spans="2:21" x14ac:dyDescent="0.2">
      <c r="B1804" s="8">
        <f t="shared" si="97"/>
        <v>136</v>
      </c>
      <c r="C1804" s="120"/>
      <c r="D1804" s="120"/>
      <c r="E1804" s="120"/>
      <c r="F1804" s="298"/>
      <c r="G1804" s="298"/>
      <c r="H1804" s="156" t="s">
        <v>429</v>
      </c>
      <c r="I1804" s="157"/>
      <c r="J1804" s="157"/>
      <c r="K1804" s="157"/>
      <c r="L1804" s="158"/>
      <c r="M1804" s="158"/>
      <c r="N1804" s="541"/>
      <c r="O1804" s="158"/>
      <c r="P1804" s="158"/>
      <c r="Q1804" s="158">
        <v>10000</v>
      </c>
      <c r="R1804" s="158">
        <v>15309</v>
      </c>
      <c r="S1804" s="157">
        <v>3300</v>
      </c>
      <c r="T1804" s="535"/>
      <c r="U1804" s="159">
        <f t="shared" si="99"/>
        <v>0</v>
      </c>
    </row>
    <row r="1805" spans="2:21" x14ac:dyDescent="0.2">
      <c r="B1805" s="8">
        <f t="shared" si="97"/>
        <v>137</v>
      </c>
      <c r="C1805" s="120"/>
      <c r="D1805" s="120"/>
      <c r="E1805" s="120"/>
      <c r="F1805" s="298"/>
      <c r="G1805" s="298"/>
      <c r="H1805" s="156" t="s">
        <v>428</v>
      </c>
      <c r="I1805" s="157"/>
      <c r="J1805" s="157"/>
      <c r="K1805" s="157"/>
      <c r="L1805" s="158"/>
      <c r="M1805" s="158"/>
      <c r="N1805" s="541"/>
      <c r="O1805" s="158"/>
      <c r="P1805" s="158"/>
      <c r="Q1805" s="158"/>
      <c r="R1805" s="158">
        <v>14775</v>
      </c>
      <c r="S1805" s="157">
        <v>200</v>
      </c>
      <c r="T1805" s="535"/>
      <c r="U1805" s="159">
        <f t="shared" si="99"/>
        <v>0</v>
      </c>
    </row>
    <row r="1806" spans="2:21" x14ac:dyDescent="0.2">
      <c r="B1806" s="8">
        <f t="shared" si="97"/>
        <v>138</v>
      </c>
      <c r="C1806" s="120"/>
      <c r="D1806" s="120"/>
      <c r="E1806" s="120"/>
      <c r="F1806" s="298"/>
      <c r="G1806" s="298"/>
      <c r="H1806" s="156" t="s">
        <v>736</v>
      </c>
      <c r="I1806" s="157"/>
      <c r="J1806" s="157"/>
      <c r="K1806" s="157"/>
      <c r="L1806" s="158"/>
      <c r="M1806" s="158"/>
      <c r="N1806" s="541"/>
      <c r="O1806" s="158"/>
      <c r="P1806" s="158"/>
      <c r="Q1806" s="158"/>
      <c r="R1806" s="158">
        <v>5147</v>
      </c>
      <c r="S1806" s="157"/>
      <c r="T1806" s="535"/>
      <c r="U1806" s="159">
        <f t="shared" si="99"/>
        <v>0</v>
      </c>
    </row>
    <row r="1807" spans="2:21" x14ac:dyDescent="0.2">
      <c r="B1807" s="8">
        <f t="shared" si="97"/>
        <v>139</v>
      </c>
      <c r="C1807" s="120"/>
      <c r="D1807" s="120"/>
      <c r="E1807" s="120"/>
      <c r="F1807" s="298"/>
      <c r="G1807" s="298"/>
      <c r="H1807" s="156" t="s">
        <v>746</v>
      </c>
      <c r="I1807" s="157"/>
      <c r="J1807" s="157"/>
      <c r="K1807" s="157"/>
      <c r="L1807" s="158"/>
      <c r="M1807" s="158"/>
      <c r="N1807" s="541"/>
      <c r="O1807" s="158">
        <v>37241</v>
      </c>
      <c r="P1807" s="158">
        <v>58000</v>
      </c>
      <c r="Q1807" s="158">
        <v>63600</v>
      </c>
      <c r="R1807" s="158"/>
      <c r="S1807" s="157"/>
      <c r="T1807" s="535"/>
      <c r="U1807" s="159">
        <f t="shared" si="99"/>
        <v>37241</v>
      </c>
    </row>
    <row r="1808" spans="2:21" x14ac:dyDescent="0.2">
      <c r="B1808" s="8">
        <f t="shared" si="97"/>
        <v>140</v>
      </c>
      <c r="C1808" s="120"/>
      <c r="D1808" s="120"/>
      <c r="E1808" s="120"/>
      <c r="F1808" s="298"/>
      <c r="G1808" s="298"/>
      <c r="H1808" s="156" t="s">
        <v>918</v>
      </c>
      <c r="I1808" s="157"/>
      <c r="J1808" s="157"/>
      <c r="K1808" s="157"/>
      <c r="L1808" s="158"/>
      <c r="M1808" s="158"/>
      <c r="N1808" s="541"/>
      <c r="O1808" s="158"/>
      <c r="P1808" s="158">
        <v>30000</v>
      </c>
      <c r="Q1808" s="158">
        <v>35000</v>
      </c>
      <c r="R1808" s="158"/>
      <c r="S1808" s="157"/>
      <c r="T1808" s="535"/>
      <c r="U1808" s="159">
        <f t="shared" si="99"/>
        <v>0</v>
      </c>
    </row>
    <row r="1809" spans="2:21" x14ac:dyDescent="0.2">
      <c r="B1809" s="8">
        <f t="shared" si="97"/>
        <v>141</v>
      </c>
      <c r="C1809" s="120"/>
      <c r="D1809" s="120"/>
      <c r="E1809" s="120"/>
      <c r="F1809" s="298"/>
      <c r="G1809" s="298"/>
      <c r="H1809" s="156" t="s">
        <v>1013</v>
      </c>
      <c r="I1809" s="157"/>
      <c r="J1809" s="157"/>
      <c r="K1809" s="157"/>
      <c r="L1809" s="158"/>
      <c r="M1809" s="158"/>
      <c r="N1809" s="541"/>
      <c r="O1809" s="158">
        <v>62000</v>
      </c>
      <c r="P1809" s="158"/>
      <c r="Q1809" s="158">
        <v>64320</v>
      </c>
      <c r="R1809" s="158"/>
      <c r="S1809" s="157"/>
      <c r="T1809" s="535"/>
      <c r="U1809" s="159">
        <f t="shared" si="99"/>
        <v>62000</v>
      </c>
    </row>
    <row r="1810" spans="2:21" x14ac:dyDescent="0.2">
      <c r="B1810" s="8">
        <f t="shared" si="97"/>
        <v>142</v>
      </c>
      <c r="C1810" s="120"/>
      <c r="D1810" s="120"/>
      <c r="E1810" s="120"/>
      <c r="F1810" s="298"/>
      <c r="G1810" s="298"/>
      <c r="H1810" s="156" t="s">
        <v>1014</v>
      </c>
      <c r="I1810" s="157"/>
      <c r="J1810" s="157"/>
      <c r="K1810" s="157"/>
      <c r="L1810" s="158"/>
      <c r="M1810" s="158"/>
      <c r="N1810" s="541"/>
      <c r="O1810" s="158"/>
      <c r="P1810" s="158"/>
      <c r="Q1810" s="158">
        <v>24000</v>
      </c>
      <c r="R1810" s="158"/>
      <c r="S1810" s="157"/>
      <c r="T1810" s="535"/>
      <c r="U1810" s="159">
        <f t="shared" si="99"/>
        <v>0</v>
      </c>
    </row>
    <row r="1811" spans="2:21" x14ac:dyDescent="0.2">
      <c r="B1811" s="8">
        <f t="shared" si="97"/>
        <v>143</v>
      </c>
      <c r="C1811" s="120"/>
      <c r="D1811" s="120"/>
      <c r="E1811" s="120"/>
      <c r="F1811" s="298"/>
      <c r="G1811" s="298"/>
      <c r="H1811" s="156" t="s">
        <v>298</v>
      </c>
      <c r="I1811" s="157"/>
      <c r="J1811" s="157"/>
      <c r="K1811" s="157"/>
      <c r="L1811" s="158"/>
      <c r="M1811" s="158"/>
      <c r="N1811" s="541"/>
      <c r="O1811" s="158"/>
      <c r="P1811" s="158">
        <v>4800</v>
      </c>
      <c r="Q1811" s="158">
        <v>13200</v>
      </c>
      <c r="R1811" s="158"/>
      <c r="S1811" s="157"/>
      <c r="T1811" s="535"/>
      <c r="U1811" s="159">
        <f t="shared" si="99"/>
        <v>0</v>
      </c>
    </row>
    <row r="1812" spans="2:21" x14ac:dyDescent="0.2">
      <c r="B1812" s="8">
        <f t="shared" si="97"/>
        <v>144</v>
      </c>
      <c r="C1812" s="120"/>
      <c r="D1812" s="120"/>
      <c r="E1812" s="120"/>
      <c r="F1812" s="298"/>
      <c r="G1812" s="298"/>
      <c r="H1812" s="156" t="s">
        <v>874</v>
      </c>
      <c r="I1812" s="157"/>
      <c r="J1812" s="157"/>
      <c r="K1812" s="157"/>
      <c r="L1812" s="158"/>
      <c r="M1812" s="158"/>
      <c r="N1812" s="541"/>
      <c r="O1812" s="158"/>
      <c r="P1812" s="158"/>
      <c r="Q1812" s="158">
        <v>8400</v>
      </c>
      <c r="R1812" s="158"/>
      <c r="S1812" s="157"/>
      <c r="T1812" s="535"/>
      <c r="U1812" s="159">
        <f t="shared" si="99"/>
        <v>0</v>
      </c>
    </row>
    <row r="1813" spans="2:21" x14ac:dyDescent="0.2">
      <c r="B1813" s="8">
        <f t="shared" si="97"/>
        <v>145</v>
      </c>
      <c r="C1813" s="120"/>
      <c r="D1813" s="120"/>
      <c r="E1813" s="120"/>
      <c r="F1813" s="298"/>
      <c r="G1813" s="298"/>
      <c r="H1813" s="156" t="s">
        <v>919</v>
      </c>
      <c r="I1813" s="157"/>
      <c r="J1813" s="157"/>
      <c r="K1813" s="157"/>
      <c r="L1813" s="158"/>
      <c r="M1813" s="158"/>
      <c r="N1813" s="541"/>
      <c r="O1813" s="158">
        <v>35743</v>
      </c>
      <c r="P1813" s="158">
        <v>49000</v>
      </c>
      <c r="Q1813" s="158">
        <v>49000</v>
      </c>
      <c r="R1813" s="158"/>
      <c r="S1813" s="157"/>
      <c r="T1813" s="535"/>
      <c r="U1813" s="159">
        <f t="shared" si="99"/>
        <v>35743</v>
      </c>
    </row>
    <row r="1814" spans="2:21" x14ac:dyDescent="0.2">
      <c r="B1814" s="8">
        <f t="shared" si="97"/>
        <v>146</v>
      </c>
      <c r="C1814" s="120"/>
      <c r="D1814" s="120"/>
      <c r="E1814" s="120"/>
      <c r="F1814" s="298"/>
      <c r="G1814" s="298"/>
      <c r="H1814" s="156" t="s">
        <v>1199</v>
      </c>
      <c r="I1814" s="157"/>
      <c r="J1814" s="157"/>
      <c r="K1814" s="157"/>
      <c r="L1814" s="158"/>
      <c r="M1814" s="158"/>
      <c r="N1814" s="541"/>
      <c r="O1814" s="158">
        <v>46000</v>
      </c>
      <c r="P1814" s="158"/>
      <c r="Q1814" s="158"/>
      <c r="R1814" s="158"/>
      <c r="S1814" s="157"/>
      <c r="T1814" s="535"/>
      <c r="U1814" s="159">
        <f t="shared" si="99"/>
        <v>46000</v>
      </c>
    </row>
    <row r="1815" spans="2:21" x14ac:dyDescent="0.2">
      <c r="B1815" s="8">
        <f t="shared" si="97"/>
        <v>147</v>
      </c>
      <c r="C1815" s="120"/>
      <c r="D1815" s="120"/>
      <c r="E1815" s="120"/>
      <c r="F1815" s="298"/>
      <c r="G1815" s="298"/>
      <c r="H1815" s="156" t="s">
        <v>295</v>
      </c>
      <c r="I1815" s="157"/>
      <c r="J1815" s="157"/>
      <c r="K1815" s="157"/>
      <c r="L1815" s="158"/>
      <c r="M1815" s="158"/>
      <c r="N1815" s="541"/>
      <c r="O1815" s="158">
        <v>20000</v>
      </c>
      <c r="P1815" s="158">
        <v>20000</v>
      </c>
      <c r="Q1815" s="158">
        <v>20000</v>
      </c>
      <c r="R1815" s="158">
        <v>3100</v>
      </c>
      <c r="S1815" s="157"/>
      <c r="T1815" s="535"/>
      <c r="U1815" s="159">
        <f t="shared" si="99"/>
        <v>20000</v>
      </c>
    </row>
    <row r="1816" spans="2:21" x14ac:dyDescent="0.2">
      <c r="B1816" s="8">
        <f t="shared" si="97"/>
        <v>148</v>
      </c>
      <c r="C1816" s="120"/>
      <c r="D1816" s="120"/>
      <c r="E1816" s="120"/>
      <c r="F1816" s="298"/>
      <c r="G1816" s="298"/>
      <c r="H1816" s="156" t="s">
        <v>427</v>
      </c>
      <c r="I1816" s="157"/>
      <c r="J1816" s="157"/>
      <c r="K1816" s="157"/>
      <c r="L1816" s="158"/>
      <c r="M1816" s="158"/>
      <c r="N1816" s="541"/>
      <c r="O1816" s="158"/>
      <c r="P1816" s="158"/>
      <c r="Q1816" s="158"/>
      <c r="R1816" s="158">
        <v>5653</v>
      </c>
      <c r="S1816" s="157"/>
      <c r="T1816" s="535"/>
      <c r="U1816" s="159">
        <f t="shared" si="99"/>
        <v>0</v>
      </c>
    </row>
    <row r="1817" spans="2:21" x14ac:dyDescent="0.2">
      <c r="B1817" s="8">
        <f t="shared" si="97"/>
        <v>149</v>
      </c>
      <c r="C1817" s="120"/>
      <c r="D1817" s="120"/>
      <c r="E1817" s="120"/>
      <c r="F1817" s="298"/>
      <c r="G1817" s="298"/>
      <c r="H1817" s="156" t="s">
        <v>737</v>
      </c>
      <c r="I1817" s="157"/>
      <c r="J1817" s="157"/>
      <c r="K1817" s="157"/>
      <c r="L1817" s="158"/>
      <c r="M1817" s="158"/>
      <c r="N1817" s="541"/>
      <c r="O1817" s="158"/>
      <c r="P1817" s="158"/>
      <c r="Q1817" s="158"/>
      <c r="R1817" s="158">
        <v>19965</v>
      </c>
      <c r="S1817" s="157"/>
      <c r="T1817" s="535"/>
      <c r="U1817" s="159">
        <f t="shared" si="99"/>
        <v>0</v>
      </c>
    </row>
    <row r="1818" spans="2:21" x14ac:dyDescent="0.2">
      <c r="B1818" s="8">
        <f t="shared" si="97"/>
        <v>150</v>
      </c>
      <c r="C1818" s="120"/>
      <c r="D1818" s="120"/>
      <c r="E1818" s="120"/>
      <c r="F1818" s="298"/>
      <c r="G1818" s="298"/>
      <c r="H1818" s="156" t="s">
        <v>367</v>
      </c>
      <c r="I1818" s="157"/>
      <c r="J1818" s="157"/>
      <c r="K1818" s="157"/>
      <c r="L1818" s="158"/>
      <c r="M1818" s="158"/>
      <c r="N1818" s="541"/>
      <c r="O1818" s="158"/>
      <c r="P1818" s="158"/>
      <c r="Q1818" s="158"/>
      <c r="R1818" s="158"/>
      <c r="S1818" s="157">
        <v>2250</v>
      </c>
      <c r="T1818" s="535"/>
      <c r="U1818" s="159">
        <f t="shared" si="99"/>
        <v>0</v>
      </c>
    </row>
    <row r="1819" spans="2:21" x14ac:dyDescent="0.2">
      <c r="B1819" s="8">
        <f t="shared" si="97"/>
        <v>151</v>
      </c>
      <c r="C1819" s="120"/>
      <c r="D1819" s="120"/>
      <c r="E1819" s="120"/>
      <c r="F1819" s="298"/>
      <c r="G1819" s="298"/>
      <c r="H1819" s="156" t="s">
        <v>1015</v>
      </c>
      <c r="I1819" s="157"/>
      <c r="J1819" s="157"/>
      <c r="K1819" s="157"/>
      <c r="L1819" s="158"/>
      <c r="M1819" s="158"/>
      <c r="N1819" s="541"/>
      <c r="O1819" s="158">
        <v>25500</v>
      </c>
      <c r="P1819" s="158"/>
      <c r="Q1819" s="158">
        <v>30000</v>
      </c>
      <c r="R1819" s="158"/>
      <c r="S1819" s="157"/>
      <c r="T1819" s="535"/>
      <c r="U1819" s="159">
        <f t="shared" si="99"/>
        <v>25500</v>
      </c>
    </row>
    <row r="1820" spans="2:21" x14ac:dyDescent="0.2">
      <c r="B1820" s="8">
        <f t="shared" si="97"/>
        <v>152</v>
      </c>
      <c r="C1820" s="120"/>
      <c r="D1820" s="120"/>
      <c r="E1820" s="120"/>
      <c r="F1820" s="298"/>
      <c r="G1820" s="298"/>
      <c r="H1820" s="156" t="s">
        <v>1016</v>
      </c>
      <c r="I1820" s="157"/>
      <c r="J1820" s="157"/>
      <c r="K1820" s="157"/>
      <c r="L1820" s="158"/>
      <c r="M1820" s="158"/>
      <c r="N1820" s="541"/>
      <c r="O1820" s="158"/>
      <c r="P1820" s="158"/>
      <c r="Q1820" s="158">
        <v>6000</v>
      </c>
      <c r="R1820" s="158"/>
      <c r="S1820" s="157"/>
      <c r="T1820" s="535"/>
      <c r="U1820" s="159">
        <f t="shared" si="99"/>
        <v>0</v>
      </c>
    </row>
    <row r="1821" spans="2:21" x14ac:dyDescent="0.2">
      <c r="B1821" s="8">
        <f t="shared" si="97"/>
        <v>153</v>
      </c>
      <c r="C1821" s="120"/>
      <c r="D1821" s="120"/>
      <c r="E1821" s="120"/>
      <c r="F1821" s="298"/>
      <c r="G1821" s="298"/>
      <c r="H1821" s="156" t="s">
        <v>1017</v>
      </c>
      <c r="I1821" s="157"/>
      <c r="J1821" s="157"/>
      <c r="K1821" s="157"/>
      <c r="L1821" s="158"/>
      <c r="M1821" s="158"/>
      <c r="N1821" s="541"/>
      <c r="O1821" s="158"/>
      <c r="P1821" s="158"/>
      <c r="Q1821" s="158">
        <v>2500</v>
      </c>
      <c r="R1821" s="158"/>
      <c r="S1821" s="157"/>
      <c r="T1821" s="535"/>
      <c r="U1821" s="159">
        <f t="shared" si="99"/>
        <v>0</v>
      </c>
    </row>
    <row r="1822" spans="2:21" x14ac:dyDescent="0.2">
      <c r="B1822" s="8">
        <f t="shared" si="97"/>
        <v>154</v>
      </c>
      <c r="C1822" s="120"/>
      <c r="D1822" s="120"/>
      <c r="E1822" s="120"/>
      <c r="F1822" s="298"/>
      <c r="G1822" s="298"/>
      <c r="H1822" s="156" t="s">
        <v>1190</v>
      </c>
      <c r="I1822" s="157"/>
      <c r="J1822" s="157"/>
      <c r="K1822" s="157"/>
      <c r="L1822" s="158"/>
      <c r="M1822" s="158"/>
      <c r="N1822" s="541"/>
      <c r="O1822" s="158">
        <v>10000</v>
      </c>
      <c r="P1822" s="158"/>
      <c r="Q1822" s="158"/>
      <c r="R1822" s="158"/>
      <c r="S1822" s="157"/>
      <c r="T1822" s="535"/>
      <c r="U1822" s="159">
        <f t="shared" si="99"/>
        <v>10000</v>
      </c>
    </row>
    <row r="1823" spans="2:21" x14ac:dyDescent="0.2">
      <c r="B1823" s="8">
        <f t="shared" si="97"/>
        <v>155</v>
      </c>
      <c r="C1823" s="273"/>
      <c r="D1823" s="273"/>
      <c r="E1823" s="273"/>
      <c r="F1823" s="274"/>
      <c r="G1823" s="275">
        <v>717</v>
      </c>
      <c r="H1823" s="273" t="s">
        <v>192</v>
      </c>
      <c r="I1823" s="276"/>
      <c r="J1823" s="276"/>
      <c r="K1823" s="276"/>
      <c r="L1823" s="277"/>
      <c r="M1823" s="277"/>
      <c r="N1823" s="164"/>
      <c r="O1823" s="276">
        <f>SUM(O1824:O1867)</f>
        <v>36263800</v>
      </c>
      <c r="P1823" s="276">
        <f>SUM(P1824:P1867)</f>
        <v>27828092</v>
      </c>
      <c r="Q1823" s="276">
        <f>SUM(Q1824:Q1867)</f>
        <v>32869242</v>
      </c>
      <c r="R1823" s="277">
        <f>SUM(R1824:R1866)</f>
        <v>754501</v>
      </c>
      <c r="S1823" s="277">
        <f>SUM(S1824:S1867)</f>
        <v>1152704</v>
      </c>
      <c r="T1823" s="164"/>
      <c r="U1823" s="278">
        <f t="shared" si="99"/>
        <v>36263800</v>
      </c>
    </row>
    <row r="1824" spans="2:21" x14ac:dyDescent="0.2">
      <c r="B1824" s="8">
        <f t="shared" si="97"/>
        <v>156</v>
      </c>
      <c r="C1824" s="120"/>
      <c r="D1824" s="120"/>
      <c r="E1824" s="120"/>
      <c r="F1824" s="298"/>
      <c r="G1824" s="298"/>
      <c r="H1824" s="156" t="s">
        <v>324</v>
      </c>
      <c r="I1824" s="157"/>
      <c r="J1824" s="157"/>
      <c r="K1824" s="157"/>
      <c r="L1824" s="158"/>
      <c r="M1824" s="158"/>
      <c r="N1824" s="541"/>
      <c r="O1824" s="158"/>
      <c r="P1824" s="158"/>
      <c r="Q1824" s="158"/>
      <c r="R1824" s="158"/>
      <c r="S1824" s="158">
        <v>19156</v>
      </c>
      <c r="T1824" s="535"/>
      <c r="U1824" s="159">
        <f t="shared" si="99"/>
        <v>0</v>
      </c>
    </row>
    <row r="1825" spans="2:21" x14ac:dyDescent="0.2">
      <c r="B1825" s="8">
        <f t="shared" si="97"/>
        <v>157</v>
      </c>
      <c r="C1825" s="120"/>
      <c r="D1825" s="120"/>
      <c r="E1825" s="120"/>
      <c r="F1825" s="298"/>
      <c r="G1825" s="298"/>
      <c r="H1825" s="156" t="s">
        <v>323</v>
      </c>
      <c r="I1825" s="157"/>
      <c r="J1825" s="157"/>
      <c r="K1825" s="157"/>
      <c r="L1825" s="158"/>
      <c r="M1825" s="158"/>
      <c r="N1825" s="541"/>
      <c r="O1825" s="158"/>
      <c r="P1825" s="158"/>
      <c r="Q1825" s="158"/>
      <c r="R1825" s="158">
        <v>59346</v>
      </c>
      <c r="S1825" s="158"/>
      <c r="T1825" s="535"/>
      <c r="U1825" s="159">
        <f t="shared" si="99"/>
        <v>0</v>
      </c>
    </row>
    <row r="1826" spans="2:21" x14ac:dyDescent="0.2">
      <c r="B1826" s="8">
        <f t="shared" si="97"/>
        <v>158</v>
      </c>
      <c r="C1826" s="120"/>
      <c r="D1826" s="120"/>
      <c r="E1826" s="120"/>
      <c r="F1826" s="298"/>
      <c r="G1826" s="298"/>
      <c r="H1826" s="156" t="s">
        <v>366</v>
      </c>
      <c r="I1826" s="157"/>
      <c r="J1826" s="157"/>
      <c r="K1826" s="157"/>
      <c r="L1826" s="158"/>
      <c r="M1826" s="158"/>
      <c r="N1826" s="541"/>
      <c r="O1826" s="158"/>
      <c r="P1826" s="158"/>
      <c r="Q1826" s="158"/>
      <c r="R1826" s="158">
        <v>8932</v>
      </c>
      <c r="S1826" s="158"/>
      <c r="T1826" s="535"/>
      <c r="U1826" s="159">
        <f t="shared" si="99"/>
        <v>0</v>
      </c>
    </row>
    <row r="1827" spans="2:21" x14ac:dyDescent="0.2">
      <c r="B1827" s="8">
        <f t="shared" si="97"/>
        <v>159</v>
      </c>
      <c r="C1827" s="120"/>
      <c r="D1827" s="120"/>
      <c r="E1827" s="120"/>
      <c r="F1827" s="298"/>
      <c r="G1827" s="298"/>
      <c r="H1827" s="156" t="s">
        <v>920</v>
      </c>
      <c r="I1827" s="157"/>
      <c r="J1827" s="157"/>
      <c r="K1827" s="157"/>
      <c r="L1827" s="158"/>
      <c r="M1827" s="158"/>
      <c r="N1827" s="541"/>
      <c r="O1827" s="158"/>
      <c r="P1827" s="158">
        <v>32000</v>
      </c>
      <c r="Q1827" s="158">
        <v>31000</v>
      </c>
      <c r="R1827" s="158"/>
      <c r="S1827" s="158"/>
      <c r="T1827" s="535"/>
      <c r="U1827" s="159">
        <f t="shared" si="99"/>
        <v>0</v>
      </c>
    </row>
    <row r="1828" spans="2:21" x14ac:dyDescent="0.2">
      <c r="B1828" s="8">
        <f t="shared" si="97"/>
        <v>160</v>
      </c>
      <c r="C1828" s="120"/>
      <c r="D1828" s="120"/>
      <c r="E1828" s="120"/>
      <c r="F1828" s="298"/>
      <c r="G1828" s="298"/>
      <c r="H1828" s="156" t="s">
        <v>738</v>
      </c>
      <c r="I1828" s="157"/>
      <c r="J1828" s="157"/>
      <c r="K1828" s="157"/>
      <c r="L1828" s="158"/>
      <c r="M1828" s="158"/>
      <c r="N1828" s="541"/>
      <c r="O1828" s="158"/>
      <c r="P1828" s="158"/>
      <c r="Q1828" s="158"/>
      <c r="R1828" s="158">
        <v>3901</v>
      </c>
      <c r="S1828" s="158"/>
      <c r="T1828" s="535"/>
      <c r="U1828" s="159">
        <f t="shared" si="99"/>
        <v>0</v>
      </c>
    </row>
    <row r="1829" spans="2:21" x14ac:dyDescent="0.2">
      <c r="B1829" s="8">
        <f t="shared" si="97"/>
        <v>161</v>
      </c>
      <c r="C1829" s="120"/>
      <c r="D1829" s="120"/>
      <c r="E1829" s="120"/>
      <c r="F1829" s="298"/>
      <c r="G1829" s="298"/>
      <c r="H1829" s="156" t="s">
        <v>292</v>
      </c>
      <c r="I1829" s="157"/>
      <c r="J1829" s="157"/>
      <c r="K1829" s="157"/>
      <c r="L1829" s="158"/>
      <c r="M1829" s="158"/>
      <c r="N1829" s="541"/>
      <c r="O1829" s="158"/>
      <c r="P1829" s="158"/>
      <c r="Q1829" s="158"/>
      <c r="R1829" s="158">
        <v>29400</v>
      </c>
      <c r="S1829" s="158"/>
      <c r="T1829" s="535"/>
      <c r="U1829" s="159">
        <f t="shared" si="99"/>
        <v>0</v>
      </c>
    </row>
    <row r="1830" spans="2:21" x14ac:dyDescent="0.2">
      <c r="B1830" s="8">
        <f t="shared" si="97"/>
        <v>162</v>
      </c>
      <c r="C1830" s="120"/>
      <c r="D1830" s="120"/>
      <c r="E1830" s="120"/>
      <c r="F1830" s="298"/>
      <c r="G1830" s="298"/>
      <c r="H1830" s="156" t="s">
        <v>921</v>
      </c>
      <c r="I1830" s="157"/>
      <c r="J1830" s="157"/>
      <c r="K1830" s="157"/>
      <c r="L1830" s="158"/>
      <c r="M1830" s="158"/>
      <c r="N1830" s="541"/>
      <c r="O1830" s="158"/>
      <c r="P1830" s="158">
        <v>31000</v>
      </c>
      <c r="Q1830" s="158">
        <v>31000</v>
      </c>
      <c r="R1830" s="158"/>
      <c r="S1830" s="158"/>
      <c r="T1830" s="535"/>
      <c r="U1830" s="159">
        <f t="shared" si="99"/>
        <v>0</v>
      </c>
    </row>
    <row r="1831" spans="2:21" x14ac:dyDescent="0.2">
      <c r="B1831" s="8">
        <f t="shared" si="97"/>
        <v>163</v>
      </c>
      <c r="C1831" s="120"/>
      <c r="D1831" s="120"/>
      <c r="E1831" s="120"/>
      <c r="F1831" s="298"/>
      <c r="G1831" s="298"/>
      <c r="H1831" s="156" t="s">
        <v>365</v>
      </c>
      <c r="I1831" s="157"/>
      <c r="J1831" s="157"/>
      <c r="K1831" s="157"/>
      <c r="L1831" s="158"/>
      <c r="M1831" s="158"/>
      <c r="N1831" s="541"/>
      <c r="O1831" s="158"/>
      <c r="P1831" s="158"/>
      <c r="Q1831" s="158"/>
      <c r="R1831" s="158">
        <v>22229</v>
      </c>
      <c r="S1831" s="158"/>
      <c r="T1831" s="535"/>
      <c r="U1831" s="159">
        <f t="shared" si="99"/>
        <v>0</v>
      </c>
    </row>
    <row r="1832" spans="2:21" x14ac:dyDescent="0.2">
      <c r="B1832" s="8">
        <f t="shared" si="97"/>
        <v>164</v>
      </c>
      <c r="C1832" s="120"/>
      <c r="D1832" s="120"/>
      <c r="E1832" s="120"/>
      <c r="F1832" s="298"/>
      <c r="G1832" s="298"/>
      <c r="H1832" s="156" t="s">
        <v>789</v>
      </c>
      <c r="I1832" s="157"/>
      <c r="J1832" s="157"/>
      <c r="K1832" s="157"/>
      <c r="L1832" s="158"/>
      <c r="M1832" s="158"/>
      <c r="N1832" s="541"/>
      <c r="O1832" s="158"/>
      <c r="P1832" s="158">
        <v>63000</v>
      </c>
      <c r="Q1832" s="158">
        <v>58700</v>
      </c>
      <c r="R1832" s="158"/>
      <c r="S1832" s="158"/>
      <c r="T1832" s="535"/>
      <c r="U1832" s="159">
        <f t="shared" si="99"/>
        <v>0</v>
      </c>
    </row>
    <row r="1833" spans="2:21" x14ac:dyDescent="0.2">
      <c r="B1833" s="8">
        <f t="shared" si="97"/>
        <v>165</v>
      </c>
      <c r="C1833" s="120"/>
      <c r="D1833" s="120"/>
      <c r="E1833" s="120"/>
      <c r="F1833" s="298"/>
      <c r="G1833" s="298"/>
      <c r="H1833" s="156" t="s">
        <v>1069</v>
      </c>
      <c r="I1833" s="157"/>
      <c r="J1833" s="157"/>
      <c r="K1833" s="157"/>
      <c r="L1833" s="158"/>
      <c r="M1833" s="158"/>
      <c r="N1833" s="541"/>
      <c r="O1833" s="158">
        <v>30000</v>
      </c>
      <c r="P1833" s="158"/>
      <c r="Q1833" s="158"/>
      <c r="R1833" s="158"/>
      <c r="S1833" s="158"/>
      <c r="T1833" s="535"/>
      <c r="U1833" s="159">
        <f t="shared" si="99"/>
        <v>30000</v>
      </c>
    </row>
    <row r="1834" spans="2:21" ht="13.5" customHeight="1" x14ac:dyDescent="0.2">
      <c r="B1834" s="8">
        <f t="shared" si="97"/>
        <v>166</v>
      </c>
      <c r="C1834" s="120"/>
      <c r="D1834" s="120"/>
      <c r="E1834" s="120"/>
      <c r="F1834" s="298"/>
      <c r="G1834" s="298"/>
      <c r="H1834" s="156" t="s">
        <v>363</v>
      </c>
      <c r="I1834" s="157"/>
      <c r="J1834" s="157"/>
      <c r="K1834" s="157"/>
      <c r="L1834" s="158"/>
      <c r="M1834" s="158"/>
      <c r="N1834" s="541"/>
      <c r="O1834" s="158"/>
      <c r="P1834" s="158"/>
      <c r="Q1834" s="158"/>
      <c r="R1834" s="158">
        <v>14693</v>
      </c>
      <c r="S1834" s="158"/>
      <c r="T1834" s="535"/>
      <c r="U1834" s="159">
        <f t="shared" si="99"/>
        <v>0</v>
      </c>
    </row>
    <row r="1835" spans="2:21" ht="13.5" customHeight="1" x14ac:dyDescent="0.2">
      <c r="B1835" s="8">
        <f t="shared" si="97"/>
        <v>167</v>
      </c>
      <c r="C1835" s="120"/>
      <c r="D1835" s="120"/>
      <c r="E1835" s="120"/>
      <c r="F1835" s="298"/>
      <c r="G1835" s="298"/>
      <c r="H1835" s="156" t="s">
        <v>1173</v>
      </c>
      <c r="I1835" s="157"/>
      <c r="J1835" s="157"/>
      <c r="K1835" s="157"/>
      <c r="L1835" s="158"/>
      <c r="M1835" s="158"/>
      <c r="N1835" s="541"/>
      <c r="O1835" s="158">
        <v>12500</v>
      </c>
      <c r="P1835" s="158"/>
      <c r="Q1835" s="158"/>
      <c r="R1835" s="158"/>
      <c r="S1835" s="158"/>
      <c r="T1835" s="535"/>
      <c r="U1835" s="159">
        <f t="shared" si="99"/>
        <v>12500</v>
      </c>
    </row>
    <row r="1836" spans="2:21" x14ac:dyDescent="0.2">
      <c r="B1836" s="8">
        <f t="shared" si="97"/>
        <v>168</v>
      </c>
      <c r="C1836" s="120"/>
      <c r="D1836" s="120"/>
      <c r="E1836" s="120"/>
      <c r="F1836" s="298"/>
      <c r="G1836" s="298"/>
      <c r="H1836" s="156" t="s">
        <v>305</v>
      </c>
      <c r="I1836" s="157"/>
      <c r="J1836" s="157"/>
      <c r="K1836" s="157"/>
      <c r="L1836" s="158"/>
      <c r="M1836" s="158"/>
      <c r="N1836" s="541"/>
      <c r="O1836" s="158"/>
      <c r="P1836" s="158"/>
      <c r="Q1836" s="158"/>
      <c r="R1836" s="158">
        <v>100883</v>
      </c>
      <c r="S1836" s="158">
        <v>358074</v>
      </c>
      <c r="T1836" s="535"/>
      <c r="U1836" s="159">
        <f t="shared" si="99"/>
        <v>0</v>
      </c>
    </row>
    <row r="1837" spans="2:21" x14ac:dyDescent="0.2">
      <c r="B1837" s="8">
        <f t="shared" si="97"/>
        <v>169</v>
      </c>
      <c r="C1837" s="120"/>
      <c r="D1837" s="120"/>
      <c r="E1837" s="120"/>
      <c r="F1837" s="298"/>
      <c r="G1837" s="298"/>
      <c r="H1837" s="156" t="s">
        <v>1018</v>
      </c>
      <c r="I1837" s="157"/>
      <c r="J1837" s="157"/>
      <c r="K1837" s="157"/>
      <c r="L1837" s="158"/>
      <c r="M1837" s="158"/>
      <c r="N1837" s="541"/>
      <c r="O1837" s="158"/>
      <c r="P1837" s="158"/>
      <c r="Q1837" s="158">
        <v>10250</v>
      </c>
      <c r="R1837" s="158"/>
      <c r="S1837" s="158"/>
      <c r="T1837" s="535"/>
      <c r="U1837" s="159">
        <f t="shared" si="99"/>
        <v>0</v>
      </c>
    </row>
    <row r="1838" spans="2:21" x14ac:dyDescent="0.2">
      <c r="B1838" s="8">
        <f t="shared" si="97"/>
        <v>170</v>
      </c>
      <c r="C1838" s="120"/>
      <c r="D1838" s="120"/>
      <c r="E1838" s="120"/>
      <c r="F1838" s="298"/>
      <c r="G1838" s="298"/>
      <c r="H1838" s="156" t="s">
        <v>878</v>
      </c>
      <c r="I1838" s="157"/>
      <c r="J1838" s="157"/>
      <c r="K1838" s="157"/>
      <c r="L1838" s="158"/>
      <c r="M1838" s="158"/>
      <c r="N1838" s="541"/>
      <c r="O1838" s="158"/>
      <c r="P1838" s="158">
        <v>6600000</v>
      </c>
      <c r="Q1838" s="158">
        <v>9700000</v>
      </c>
      <c r="R1838" s="158"/>
      <c r="S1838" s="158"/>
      <c r="T1838" s="535"/>
      <c r="U1838" s="159">
        <f t="shared" si="99"/>
        <v>0</v>
      </c>
    </row>
    <row r="1839" spans="2:21" x14ac:dyDescent="0.2">
      <c r="B1839" s="8">
        <f t="shared" si="97"/>
        <v>171</v>
      </c>
      <c r="C1839" s="120"/>
      <c r="D1839" s="120"/>
      <c r="E1839" s="120"/>
      <c r="F1839" s="298"/>
      <c r="G1839" s="298"/>
      <c r="H1839" s="156" t="s">
        <v>1046</v>
      </c>
      <c r="I1839" s="157"/>
      <c r="J1839" s="157"/>
      <c r="K1839" s="157"/>
      <c r="L1839" s="158"/>
      <c r="M1839" s="158"/>
      <c r="N1839" s="541"/>
      <c r="O1839" s="158">
        <v>40000</v>
      </c>
      <c r="P1839" s="158"/>
      <c r="Q1839" s="158"/>
      <c r="R1839" s="158"/>
      <c r="S1839" s="158"/>
      <c r="T1839" s="535"/>
      <c r="U1839" s="159">
        <f t="shared" si="99"/>
        <v>40000</v>
      </c>
    </row>
    <row r="1840" spans="2:21" x14ac:dyDescent="0.2">
      <c r="B1840" s="8">
        <f t="shared" ref="B1840:B1853" si="100">B1839+1</f>
        <v>172</v>
      </c>
      <c r="C1840" s="120"/>
      <c r="D1840" s="120"/>
      <c r="E1840" s="120"/>
      <c r="F1840" s="298"/>
      <c r="G1840" s="298"/>
      <c r="H1840" s="156" t="s">
        <v>924</v>
      </c>
      <c r="I1840" s="157"/>
      <c r="J1840" s="157"/>
      <c r="K1840" s="157"/>
      <c r="L1840" s="158"/>
      <c r="M1840" s="158"/>
      <c r="N1840" s="541"/>
      <c r="O1840" s="158"/>
      <c r="P1840" s="158">
        <v>310000</v>
      </c>
      <c r="Q1840" s="158">
        <v>243700</v>
      </c>
      <c r="R1840" s="158"/>
      <c r="S1840" s="158"/>
      <c r="T1840" s="535"/>
      <c r="U1840" s="159">
        <f t="shared" si="99"/>
        <v>0</v>
      </c>
    </row>
    <row r="1841" spans="2:21" x14ac:dyDescent="0.2">
      <c r="B1841" s="8">
        <f t="shared" si="100"/>
        <v>173</v>
      </c>
      <c r="C1841" s="120"/>
      <c r="D1841" s="120"/>
      <c r="E1841" s="120"/>
      <c r="F1841" s="298"/>
      <c r="G1841" s="298"/>
      <c r="H1841" s="156" t="s">
        <v>1056</v>
      </c>
      <c r="I1841" s="157"/>
      <c r="J1841" s="157"/>
      <c r="K1841" s="157"/>
      <c r="L1841" s="158"/>
      <c r="M1841" s="158"/>
      <c r="N1841" s="541"/>
      <c r="O1841" s="158">
        <v>720000</v>
      </c>
      <c r="P1841" s="158"/>
      <c r="Q1841" s="158"/>
      <c r="R1841" s="158"/>
      <c r="S1841" s="158"/>
      <c r="T1841" s="535"/>
      <c r="U1841" s="159">
        <f t="shared" si="99"/>
        <v>720000</v>
      </c>
    </row>
    <row r="1842" spans="2:21" x14ac:dyDescent="0.2">
      <c r="B1842" s="8">
        <f t="shared" si="100"/>
        <v>174</v>
      </c>
      <c r="C1842" s="120"/>
      <c r="D1842" s="120"/>
      <c r="E1842" s="120"/>
      <c r="F1842" s="298"/>
      <c r="G1842" s="298"/>
      <c r="H1842" s="156" t="s">
        <v>1131</v>
      </c>
      <c r="I1842" s="157"/>
      <c r="J1842" s="157"/>
      <c r="K1842" s="157"/>
      <c r="L1842" s="158"/>
      <c r="M1842" s="158"/>
      <c r="N1842" s="541"/>
      <c r="O1842" s="158">
        <v>9300</v>
      </c>
      <c r="P1842" s="158">
        <v>9300</v>
      </c>
      <c r="Q1842" s="158">
        <v>9300</v>
      </c>
      <c r="R1842" s="158"/>
      <c r="S1842" s="158"/>
      <c r="T1842" s="535"/>
      <c r="U1842" s="159">
        <f t="shared" si="99"/>
        <v>9300</v>
      </c>
    </row>
    <row r="1843" spans="2:21" x14ac:dyDescent="0.2">
      <c r="B1843" s="8">
        <f t="shared" si="100"/>
        <v>175</v>
      </c>
      <c r="C1843" s="120"/>
      <c r="D1843" s="120"/>
      <c r="E1843" s="120"/>
      <c r="F1843" s="298"/>
      <c r="G1843" s="298"/>
      <c r="H1843" s="156" t="s">
        <v>923</v>
      </c>
      <c r="I1843" s="157"/>
      <c r="J1843" s="157"/>
      <c r="K1843" s="157"/>
      <c r="L1843" s="158"/>
      <c r="M1843" s="158"/>
      <c r="N1843" s="541"/>
      <c r="O1843" s="158"/>
      <c r="P1843" s="158">
        <v>7500</v>
      </c>
      <c r="Q1843" s="158">
        <v>10000</v>
      </c>
      <c r="R1843" s="158"/>
      <c r="S1843" s="158"/>
      <c r="T1843" s="535"/>
      <c r="U1843" s="159">
        <f t="shared" si="99"/>
        <v>0</v>
      </c>
    </row>
    <row r="1844" spans="2:21" x14ac:dyDescent="0.2">
      <c r="B1844" s="8">
        <f t="shared" si="100"/>
        <v>176</v>
      </c>
      <c r="C1844" s="120"/>
      <c r="D1844" s="120"/>
      <c r="E1844" s="120"/>
      <c r="F1844" s="298"/>
      <c r="G1844" s="298"/>
      <c r="H1844" s="156" t="s">
        <v>790</v>
      </c>
      <c r="I1844" s="157"/>
      <c r="J1844" s="157"/>
      <c r="K1844" s="157"/>
      <c r="L1844" s="158"/>
      <c r="M1844" s="158"/>
      <c r="N1844" s="541"/>
      <c r="O1844" s="158"/>
      <c r="P1844" s="158">
        <v>36000</v>
      </c>
      <c r="Q1844" s="158">
        <v>36000</v>
      </c>
      <c r="R1844" s="158"/>
      <c r="S1844" s="158"/>
      <c r="T1844" s="535"/>
      <c r="U1844" s="159">
        <f t="shared" si="99"/>
        <v>0</v>
      </c>
    </row>
    <row r="1845" spans="2:21" x14ac:dyDescent="0.2">
      <c r="B1845" s="8">
        <f t="shared" si="100"/>
        <v>177</v>
      </c>
      <c r="C1845" s="120"/>
      <c r="D1845" s="120"/>
      <c r="E1845" s="120"/>
      <c r="F1845" s="298"/>
      <c r="G1845" s="298"/>
      <c r="H1845" s="156" t="s">
        <v>739</v>
      </c>
      <c r="I1845" s="157"/>
      <c r="J1845" s="157"/>
      <c r="K1845" s="157"/>
      <c r="L1845" s="158"/>
      <c r="M1845" s="158"/>
      <c r="N1845" s="541"/>
      <c r="O1845" s="158"/>
      <c r="P1845" s="158"/>
      <c r="Q1845" s="158"/>
      <c r="R1845" s="158">
        <v>15480</v>
      </c>
      <c r="S1845" s="158"/>
      <c r="T1845" s="535"/>
      <c r="U1845" s="159">
        <f t="shared" si="99"/>
        <v>0</v>
      </c>
    </row>
    <row r="1846" spans="2:21" x14ac:dyDescent="0.2">
      <c r="B1846" s="8">
        <f t="shared" si="100"/>
        <v>178</v>
      </c>
      <c r="C1846" s="120"/>
      <c r="D1846" s="120"/>
      <c r="E1846" s="120"/>
      <c r="F1846" s="298"/>
      <c r="G1846" s="298"/>
      <c r="H1846" s="156" t="s">
        <v>919</v>
      </c>
      <c r="I1846" s="157"/>
      <c r="J1846" s="157"/>
      <c r="K1846" s="157"/>
      <c r="L1846" s="158"/>
      <c r="M1846" s="158"/>
      <c r="N1846" s="541"/>
      <c r="O1846" s="158">
        <v>1700000</v>
      </c>
      <c r="P1846" s="158">
        <v>1500000</v>
      </c>
      <c r="Q1846" s="158">
        <v>1500000</v>
      </c>
      <c r="R1846" s="158"/>
      <c r="S1846" s="158"/>
      <c r="T1846" s="535"/>
      <c r="U1846" s="159">
        <f t="shared" si="99"/>
        <v>1700000</v>
      </c>
    </row>
    <row r="1847" spans="2:21" x14ac:dyDescent="0.2">
      <c r="B1847" s="8">
        <f t="shared" si="100"/>
        <v>179</v>
      </c>
      <c r="C1847" s="120"/>
      <c r="D1847" s="120"/>
      <c r="E1847" s="120"/>
      <c r="F1847" s="298"/>
      <c r="G1847" s="298"/>
      <c r="H1847" s="156" t="s">
        <v>1075</v>
      </c>
      <c r="I1847" s="157"/>
      <c r="J1847" s="157"/>
      <c r="K1847" s="157"/>
      <c r="L1847" s="158"/>
      <c r="M1847" s="158"/>
      <c r="N1847" s="541"/>
      <c r="O1847" s="158">
        <v>9700000</v>
      </c>
      <c r="P1847" s="158"/>
      <c r="Q1847" s="158"/>
      <c r="R1847" s="158"/>
      <c r="S1847" s="158"/>
      <c r="T1847" s="535"/>
      <c r="U1847" s="159">
        <f t="shared" si="99"/>
        <v>9700000</v>
      </c>
    </row>
    <row r="1848" spans="2:21" x14ac:dyDescent="0.2">
      <c r="B1848" s="8">
        <f t="shared" si="100"/>
        <v>180</v>
      </c>
      <c r="C1848" s="120"/>
      <c r="D1848" s="120"/>
      <c r="E1848" s="120"/>
      <c r="F1848" s="298"/>
      <c r="G1848" s="298"/>
      <c r="H1848" s="156" t="s">
        <v>922</v>
      </c>
      <c r="I1848" s="157"/>
      <c r="J1848" s="157"/>
      <c r="K1848" s="157"/>
      <c r="L1848" s="158"/>
      <c r="M1848" s="158"/>
      <c r="N1848" s="541"/>
      <c r="O1848" s="158"/>
      <c r="P1848" s="158">
        <v>1200000</v>
      </c>
      <c r="Q1848" s="158">
        <v>1200000</v>
      </c>
      <c r="R1848" s="158"/>
      <c r="S1848" s="158"/>
      <c r="T1848" s="535"/>
      <c r="U1848" s="159">
        <f t="shared" si="99"/>
        <v>0</v>
      </c>
    </row>
    <row r="1849" spans="2:21" x14ac:dyDescent="0.2">
      <c r="B1849" s="8">
        <f t="shared" si="100"/>
        <v>181</v>
      </c>
      <c r="C1849" s="120"/>
      <c r="D1849" s="120"/>
      <c r="E1849" s="120"/>
      <c r="F1849" s="298"/>
      <c r="G1849" s="298"/>
      <c r="H1849" s="156" t="s">
        <v>918</v>
      </c>
      <c r="I1849" s="157"/>
      <c r="J1849" s="157"/>
      <c r="K1849" s="157"/>
      <c r="L1849" s="158"/>
      <c r="M1849" s="158"/>
      <c r="N1849" s="541"/>
      <c r="O1849" s="158">
        <v>850000</v>
      </c>
      <c r="P1849" s="158">
        <v>640000</v>
      </c>
      <c r="Q1849" s="158">
        <v>640000</v>
      </c>
      <c r="R1849" s="158"/>
      <c r="S1849" s="158"/>
      <c r="T1849" s="535"/>
      <c r="U1849" s="159">
        <f t="shared" si="99"/>
        <v>850000</v>
      </c>
    </row>
    <row r="1850" spans="2:21" x14ac:dyDescent="0.2">
      <c r="B1850" s="8">
        <f t="shared" si="100"/>
        <v>182</v>
      </c>
      <c r="C1850" s="120"/>
      <c r="D1850" s="120"/>
      <c r="E1850" s="120"/>
      <c r="F1850" s="298"/>
      <c r="G1850" s="298"/>
      <c r="H1850" s="156" t="s">
        <v>1076</v>
      </c>
      <c r="I1850" s="157"/>
      <c r="J1850" s="157"/>
      <c r="K1850" s="157"/>
      <c r="L1850" s="158"/>
      <c r="M1850" s="158"/>
      <c r="N1850" s="541"/>
      <c r="O1850" s="158">
        <v>2000000</v>
      </c>
      <c r="P1850" s="158"/>
      <c r="Q1850" s="158"/>
      <c r="R1850" s="158"/>
      <c r="S1850" s="158"/>
      <c r="T1850" s="535"/>
      <c r="U1850" s="159">
        <f t="shared" si="99"/>
        <v>2000000</v>
      </c>
    </row>
    <row r="1851" spans="2:21" x14ac:dyDescent="0.2">
      <c r="B1851" s="8">
        <f t="shared" si="100"/>
        <v>183</v>
      </c>
      <c r="C1851" s="120"/>
      <c r="D1851" s="120"/>
      <c r="E1851" s="120"/>
      <c r="F1851" s="298"/>
      <c r="G1851" s="298"/>
      <c r="H1851" s="156" t="s">
        <v>736</v>
      </c>
      <c r="I1851" s="157"/>
      <c r="J1851" s="157"/>
      <c r="K1851" s="157"/>
      <c r="L1851" s="158"/>
      <c r="M1851" s="158"/>
      <c r="N1851" s="541"/>
      <c r="O1851" s="158">
        <f>135000+27000</f>
        <v>162000</v>
      </c>
      <c r="P1851" s="158">
        <v>135000</v>
      </c>
      <c r="Q1851" s="158">
        <v>135000</v>
      </c>
      <c r="R1851" s="158">
        <v>3642</v>
      </c>
      <c r="S1851" s="158"/>
      <c r="T1851" s="535"/>
      <c r="U1851" s="159">
        <f t="shared" si="99"/>
        <v>162000</v>
      </c>
    </row>
    <row r="1852" spans="2:21" x14ac:dyDescent="0.2">
      <c r="B1852" s="8">
        <f t="shared" si="100"/>
        <v>184</v>
      </c>
      <c r="C1852" s="120"/>
      <c r="D1852" s="120"/>
      <c r="E1852" s="120"/>
      <c r="F1852" s="298"/>
      <c r="G1852" s="298"/>
      <c r="H1852" s="156" t="s">
        <v>1068</v>
      </c>
      <c r="I1852" s="157"/>
      <c r="J1852" s="157"/>
      <c r="K1852" s="157"/>
      <c r="L1852" s="158"/>
      <c r="M1852" s="158"/>
      <c r="N1852" s="541"/>
      <c r="O1852" s="158">
        <v>2880000</v>
      </c>
      <c r="P1852" s="158">
        <v>2880000</v>
      </c>
      <c r="Q1852" s="158">
        <v>2880000</v>
      </c>
      <c r="R1852" s="158"/>
      <c r="S1852" s="158"/>
      <c r="T1852" s="535"/>
      <c r="U1852" s="159">
        <f t="shared" si="99"/>
        <v>2880000</v>
      </c>
    </row>
    <row r="1853" spans="2:21" ht="24" x14ac:dyDescent="0.2">
      <c r="B1853" s="8">
        <f t="shared" si="100"/>
        <v>185</v>
      </c>
      <c r="C1853" s="120"/>
      <c r="D1853" s="120"/>
      <c r="E1853" s="120"/>
      <c r="F1853" s="298"/>
      <c r="G1853" s="298"/>
      <c r="H1853" s="168" t="s">
        <v>429</v>
      </c>
      <c r="I1853" s="157"/>
      <c r="J1853" s="157"/>
      <c r="K1853" s="157"/>
      <c r="L1853" s="158"/>
      <c r="M1853" s="158"/>
      <c r="N1853" s="541"/>
      <c r="O1853" s="158">
        <v>1800000</v>
      </c>
      <c r="P1853" s="158"/>
      <c r="Q1853" s="158"/>
      <c r="R1853" s="158"/>
      <c r="S1853" s="158"/>
      <c r="T1853" s="535"/>
      <c r="U1853" s="159">
        <f t="shared" si="99"/>
        <v>1800000</v>
      </c>
    </row>
    <row r="1854" spans="2:21" x14ac:dyDescent="0.2">
      <c r="B1854" s="8">
        <f>B1853+1</f>
        <v>186</v>
      </c>
      <c r="C1854" s="120"/>
      <c r="D1854" s="120"/>
      <c r="E1854" s="120"/>
      <c r="F1854" s="298"/>
      <c r="G1854" s="298"/>
      <c r="H1854" s="156" t="s">
        <v>791</v>
      </c>
      <c r="I1854" s="157"/>
      <c r="J1854" s="157"/>
      <c r="K1854" s="157"/>
      <c r="L1854" s="158"/>
      <c r="M1854" s="158"/>
      <c r="N1854" s="541"/>
      <c r="O1854" s="158"/>
      <c r="P1854" s="158">
        <v>1036292</v>
      </c>
      <c r="Q1854" s="158">
        <v>1036292</v>
      </c>
      <c r="R1854" s="158"/>
      <c r="S1854" s="158"/>
      <c r="T1854" s="535"/>
      <c r="U1854" s="159">
        <f t="shared" si="99"/>
        <v>0</v>
      </c>
    </row>
    <row r="1855" spans="2:21" x14ac:dyDescent="0.2">
      <c r="B1855" s="8">
        <f>B1854+1</f>
        <v>187</v>
      </c>
      <c r="C1855" s="120"/>
      <c r="D1855" s="120"/>
      <c r="E1855" s="120"/>
      <c r="F1855" s="298"/>
      <c r="G1855" s="298"/>
      <c r="H1855" s="156" t="s">
        <v>428</v>
      </c>
      <c r="I1855" s="157"/>
      <c r="J1855" s="157"/>
      <c r="K1855" s="157"/>
      <c r="L1855" s="158"/>
      <c r="M1855" s="158"/>
      <c r="N1855" s="541"/>
      <c r="O1855" s="158">
        <v>360000</v>
      </c>
      <c r="P1855" s="158"/>
      <c r="Q1855" s="158"/>
      <c r="R1855" s="158"/>
      <c r="S1855" s="158"/>
      <c r="T1855" s="535"/>
      <c r="U1855" s="159">
        <f t="shared" si="99"/>
        <v>360000</v>
      </c>
    </row>
    <row r="1856" spans="2:21" x14ac:dyDescent="0.2">
      <c r="B1856" s="8">
        <f>B1855+1</f>
        <v>188</v>
      </c>
      <c r="C1856" s="120"/>
      <c r="D1856" s="120"/>
      <c r="E1856" s="120"/>
      <c r="F1856" s="298"/>
      <c r="G1856" s="298"/>
      <c r="H1856" s="156" t="s">
        <v>1015</v>
      </c>
      <c r="I1856" s="157"/>
      <c r="J1856" s="157"/>
      <c r="K1856" s="157"/>
      <c r="L1856" s="158"/>
      <c r="M1856" s="158"/>
      <c r="N1856" s="541"/>
      <c r="O1856" s="158">
        <v>1000000</v>
      </c>
      <c r="P1856" s="158"/>
      <c r="Q1856" s="158"/>
      <c r="R1856" s="158"/>
      <c r="S1856" s="158"/>
      <c r="T1856" s="535"/>
      <c r="U1856" s="159">
        <f t="shared" si="99"/>
        <v>1000000</v>
      </c>
    </row>
    <row r="1857" spans="2:21" x14ac:dyDescent="0.2">
      <c r="B1857" s="8">
        <f>B1856+1</f>
        <v>189</v>
      </c>
      <c r="C1857" s="120"/>
      <c r="D1857" s="120"/>
      <c r="E1857" s="120"/>
      <c r="F1857" s="298"/>
      <c r="G1857" s="298"/>
      <c r="H1857" s="156" t="s">
        <v>376</v>
      </c>
      <c r="I1857" s="157"/>
      <c r="J1857" s="157"/>
      <c r="K1857" s="157"/>
      <c r="L1857" s="158"/>
      <c r="M1857" s="158"/>
      <c r="N1857" s="541"/>
      <c r="O1857" s="158"/>
      <c r="P1857" s="158"/>
      <c r="Q1857" s="158"/>
      <c r="R1857" s="158">
        <v>16987</v>
      </c>
      <c r="S1857" s="158">
        <v>80368</v>
      </c>
      <c r="T1857" s="535"/>
      <c r="U1857" s="159">
        <f t="shared" si="99"/>
        <v>0</v>
      </c>
    </row>
    <row r="1858" spans="2:21" x14ac:dyDescent="0.2">
      <c r="B1858" s="8">
        <f t="shared" ref="B1858:B1865" si="101">B1857+1</f>
        <v>190</v>
      </c>
      <c r="C1858" s="120"/>
      <c r="D1858" s="120"/>
      <c r="E1858" s="120"/>
      <c r="F1858" s="298"/>
      <c r="G1858" s="298"/>
      <c r="H1858" s="156" t="s">
        <v>361</v>
      </c>
      <c r="I1858" s="157"/>
      <c r="J1858" s="157"/>
      <c r="K1858" s="157"/>
      <c r="L1858" s="158"/>
      <c r="M1858" s="158"/>
      <c r="N1858" s="541"/>
      <c r="O1858" s="158"/>
      <c r="P1858" s="158"/>
      <c r="Q1858" s="158"/>
      <c r="R1858" s="158"/>
      <c r="S1858" s="158">
        <v>7300</v>
      </c>
      <c r="T1858" s="535"/>
      <c r="U1858" s="159">
        <f t="shared" si="99"/>
        <v>0</v>
      </c>
    </row>
    <row r="1859" spans="2:21" x14ac:dyDescent="0.2">
      <c r="B1859" s="8">
        <f t="shared" si="101"/>
        <v>191</v>
      </c>
      <c r="C1859" s="120"/>
      <c r="D1859" s="120"/>
      <c r="E1859" s="120"/>
      <c r="F1859" s="298"/>
      <c r="G1859" s="298"/>
      <c r="H1859" s="156" t="s">
        <v>740</v>
      </c>
      <c r="I1859" s="157"/>
      <c r="J1859" s="157"/>
      <c r="K1859" s="157"/>
      <c r="L1859" s="158"/>
      <c r="M1859" s="158"/>
      <c r="N1859" s="541"/>
      <c r="O1859" s="158"/>
      <c r="P1859" s="158"/>
      <c r="Q1859" s="158"/>
      <c r="R1859" s="158">
        <v>290026</v>
      </c>
      <c r="S1859" s="158"/>
      <c r="T1859" s="535"/>
      <c r="U1859" s="159">
        <f t="shared" si="99"/>
        <v>0</v>
      </c>
    </row>
    <row r="1860" spans="2:21" x14ac:dyDescent="0.2">
      <c r="B1860" s="8">
        <f t="shared" si="101"/>
        <v>192</v>
      </c>
      <c r="C1860" s="120"/>
      <c r="D1860" s="120"/>
      <c r="E1860" s="120"/>
      <c r="F1860" s="298"/>
      <c r="G1860" s="298"/>
      <c r="H1860" s="156" t="s">
        <v>303</v>
      </c>
      <c r="I1860" s="157"/>
      <c r="J1860" s="157"/>
      <c r="K1860" s="157"/>
      <c r="L1860" s="158"/>
      <c r="M1860" s="158"/>
      <c r="N1860" s="541"/>
      <c r="O1860" s="158"/>
      <c r="P1860" s="158"/>
      <c r="Q1860" s="158"/>
      <c r="R1860" s="158"/>
      <c r="S1860" s="158">
        <v>191491</v>
      </c>
      <c r="T1860" s="535"/>
      <c r="U1860" s="159">
        <f t="shared" si="99"/>
        <v>0</v>
      </c>
    </row>
    <row r="1861" spans="2:21" x14ac:dyDescent="0.2">
      <c r="B1861" s="8">
        <f t="shared" si="101"/>
        <v>193</v>
      </c>
      <c r="C1861" s="120"/>
      <c r="D1861" s="120"/>
      <c r="E1861" s="120"/>
      <c r="F1861" s="298"/>
      <c r="G1861" s="298"/>
      <c r="H1861" s="156" t="s">
        <v>792</v>
      </c>
      <c r="I1861" s="157"/>
      <c r="J1861" s="157"/>
      <c r="K1861" s="157"/>
      <c r="L1861" s="158"/>
      <c r="M1861" s="158"/>
      <c r="N1861" s="541"/>
      <c r="O1861" s="158"/>
      <c r="P1861" s="158">
        <v>348000</v>
      </c>
      <c r="Q1861" s="158">
        <v>348000</v>
      </c>
      <c r="R1861" s="158"/>
      <c r="S1861" s="158"/>
      <c r="T1861" s="535"/>
      <c r="U1861" s="159">
        <f t="shared" si="99"/>
        <v>0</v>
      </c>
    </row>
    <row r="1862" spans="2:21" x14ac:dyDescent="0.2">
      <c r="B1862" s="8">
        <f t="shared" si="101"/>
        <v>194</v>
      </c>
      <c r="C1862" s="120"/>
      <c r="D1862" s="120"/>
      <c r="E1862" s="120"/>
      <c r="F1862" s="298"/>
      <c r="G1862" s="298"/>
      <c r="H1862" s="156" t="s">
        <v>1073</v>
      </c>
      <c r="I1862" s="157"/>
      <c r="J1862" s="157"/>
      <c r="K1862" s="157"/>
      <c r="L1862" s="158"/>
      <c r="M1862" s="158"/>
      <c r="N1862" s="541"/>
      <c r="O1862" s="158">
        <v>15000000</v>
      </c>
      <c r="P1862" s="158">
        <v>13000000</v>
      </c>
      <c r="Q1862" s="158">
        <v>15000000</v>
      </c>
      <c r="R1862" s="158"/>
      <c r="S1862" s="158"/>
      <c r="T1862" s="535"/>
      <c r="U1862" s="159">
        <f t="shared" si="99"/>
        <v>15000000</v>
      </c>
    </row>
    <row r="1863" spans="2:21" x14ac:dyDescent="0.2">
      <c r="B1863" s="8">
        <f t="shared" si="101"/>
        <v>195</v>
      </c>
      <c r="C1863" s="120"/>
      <c r="D1863" s="120"/>
      <c r="E1863" s="120"/>
      <c r="F1863" s="298"/>
      <c r="G1863" s="298"/>
      <c r="H1863" s="156" t="s">
        <v>362</v>
      </c>
      <c r="I1863" s="157"/>
      <c r="J1863" s="157"/>
      <c r="K1863" s="157"/>
      <c r="L1863" s="158"/>
      <c r="M1863" s="158"/>
      <c r="N1863" s="541"/>
      <c r="O1863" s="158"/>
      <c r="P1863" s="158"/>
      <c r="Q1863" s="158"/>
      <c r="R1863" s="158"/>
      <c r="S1863" s="158">
        <v>2984</v>
      </c>
      <c r="T1863" s="535"/>
      <c r="U1863" s="159">
        <f t="shared" si="99"/>
        <v>0</v>
      </c>
    </row>
    <row r="1864" spans="2:21" ht="48" x14ac:dyDescent="0.2">
      <c r="B1864" s="8">
        <f t="shared" si="101"/>
        <v>196</v>
      </c>
      <c r="C1864" s="120"/>
      <c r="D1864" s="120"/>
      <c r="E1864" s="120"/>
      <c r="F1864" s="298"/>
      <c r="G1864" s="298"/>
      <c r="H1864" s="371" t="s">
        <v>676</v>
      </c>
      <c r="I1864" s="157"/>
      <c r="J1864" s="157"/>
      <c r="K1864" s="157"/>
      <c r="L1864" s="158"/>
      <c r="M1864" s="158"/>
      <c r="N1864" s="541"/>
      <c r="O1864" s="158"/>
      <c r="P1864" s="158"/>
      <c r="Q1864" s="158"/>
      <c r="R1864" s="158"/>
      <c r="S1864" s="158">
        <v>486058</v>
      </c>
      <c r="T1864" s="535"/>
      <c r="U1864" s="159">
        <f t="shared" si="99"/>
        <v>0</v>
      </c>
    </row>
    <row r="1865" spans="2:21" ht="24" x14ac:dyDescent="0.2">
      <c r="B1865" s="8">
        <f t="shared" si="101"/>
        <v>197</v>
      </c>
      <c r="C1865" s="120"/>
      <c r="D1865" s="120"/>
      <c r="E1865" s="120"/>
      <c r="F1865" s="298"/>
      <c r="G1865" s="298"/>
      <c r="H1865" s="371" t="s">
        <v>360</v>
      </c>
      <c r="I1865" s="157"/>
      <c r="J1865" s="157"/>
      <c r="K1865" s="157"/>
      <c r="L1865" s="158"/>
      <c r="M1865" s="158"/>
      <c r="N1865" s="541"/>
      <c r="O1865" s="158"/>
      <c r="P1865" s="158"/>
      <c r="Q1865" s="158"/>
      <c r="R1865" s="158">
        <v>188982</v>
      </c>
      <c r="S1865" s="158"/>
      <c r="T1865" s="535"/>
      <c r="U1865" s="159">
        <f t="shared" si="99"/>
        <v>0</v>
      </c>
    </row>
    <row r="1866" spans="2:21" x14ac:dyDescent="0.2">
      <c r="B1866" s="8">
        <f>B1865+1</f>
        <v>198</v>
      </c>
      <c r="C1866" s="120"/>
      <c r="D1866" s="120"/>
      <c r="E1866" s="120"/>
      <c r="F1866" s="298"/>
      <c r="G1866" s="298"/>
      <c r="H1866" s="156" t="s">
        <v>302</v>
      </c>
      <c r="I1866" s="157"/>
      <c r="J1866" s="157"/>
      <c r="K1866" s="157"/>
      <c r="L1866" s="157"/>
      <c r="M1866" s="157"/>
      <c r="N1866" s="535"/>
      <c r="O1866" s="157"/>
      <c r="P1866" s="157"/>
      <c r="Q1866" s="157"/>
      <c r="R1866" s="157"/>
      <c r="S1866" s="158"/>
      <c r="T1866" s="535"/>
      <c r="U1866" s="159">
        <f t="shared" ref="U1866:U1886" si="102">I1866+O1866</f>
        <v>0</v>
      </c>
    </row>
    <row r="1867" spans="2:21" x14ac:dyDescent="0.2">
      <c r="B1867" s="8">
        <f>B1866+1</f>
        <v>199</v>
      </c>
      <c r="C1867" s="120"/>
      <c r="D1867" s="120"/>
      <c r="E1867" s="120"/>
      <c r="F1867" s="298"/>
      <c r="G1867" s="298"/>
      <c r="H1867" s="156" t="s">
        <v>639</v>
      </c>
      <c r="I1867" s="157"/>
      <c r="J1867" s="157"/>
      <c r="K1867" s="157"/>
      <c r="L1867" s="157"/>
      <c r="M1867" s="157"/>
      <c r="N1867" s="535"/>
      <c r="O1867" s="157"/>
      <c r="P1867" s="157"/>
      <c r="Q1867" s="157"/>
      <c r="R1867" s="157"/>
      <c r="S1867" s="158">
        <v>7273</v>
      </c>
      <c r="T1867" s="535"/>
      <c r="U1867" s="159">
        <f t="shared" si="102"/>
        <v>0</v>
      </c>
    </row>
    <row r="1868" spans="2:21" x14ac:dyDescent="0.2">
      <c r="B1868" s="8">
        <f t="shared" ref="B1868:B1876" si="103">B1867+1</f>
        <v>200</v>
      </c>
      <c r="C1868" s="120"/>
      <c r="D1868" s="120"/>
      <c r="E1868" s="120"/>
      <c r="F1868" s="298"/>
      <c r="G1868" s="275">
        <v>716</v>
      </c>
      <c r="H1868" s="273" t="s">
        <v>228</v>
      </c>
      <c r="I1868" s="276"/>
      <c r="J1868" s="276"/>
      <c r="K1868" s="276"/>
      <c r="L1868" s="277"/>
      <c r="M1868" s="277"/>
      <c r="N1868" s="164"/>
      <c r="O1868" s="276"/>
      <c r="P1868" s="276">
        <v>0</v>
      </c>
      <c r="Q1868" s="276">
        <f>Q1869</f>
        <v>546</v>
      </c>
      <c r="R1868" s="277"/>
      <c r="S1868" s="277">
        <f>SUM(S1869:S1890)</f>
        <v>2052</v>
      </c>
      <c r="T1868" s="164"/>
      <c r="U1868" s="278">
        <f t="shared" si="102"/>
        <v>0</v>
      </c>
    </row>
    <row r="1869" spans="2:21" x14ac:dyDescent="0.2">
      <c r="B1869" s="8">
        <f t="shared" si="103"/>
        <v>201</v>
      </c>
      <c r="C1869" s="120"/>
      <c r="D1869" s="120"/>
      <c r="E1869" s="120"/>
      <c r="F1869" s="298"/>
      <c r="G1869" s="298"/>
      <c r="H1869" s="156" t="s">
        <v>677</v>
      </c>
      <c r="I1869" s="157"/>
      <c r="J1869" s="157"/>
      <c r="K1869" s="157"/>
      <c r="L1869" s="157"/>
      <c r="M1869" s="157"/>
      <c r="N1869" s="535"/>
      <c r="O1869" s="157"/>
      <c r="P1869" s="157"/>
      <c r="Q1869" s="158">
        <v>546</v>
      </c>
      <c r="R1869" s="158"/>
      <c r="S1869" s="158">
        <v>2052</v>
      </c>
      <c r="T1869" s="535"/>
      <c r="U1869" s="159">
        <f t="shared" si="102"/>
        <v>0</v>
      </c>
    </row>
    <row r="1870" spans="2:21" ht="14.25" x14ac:dyDescent="0.2">
      <c r="B1870" s="8">
        <f t="shared" si="103"/>
        <v>202</v>
      </c>
      <c r="C1870" s="267"/>
      <c r="D1870" s="267"/>
      <c r="E1870" s="267">
        <v>2</v>
      </c>
      <c r="F1870" s="268"/>
      <c r="G1870" s="268"/>
      <c r="H1870" s="267" t="s">
        <v>13</v>
      </c>
      <c r="I1870" s="269">
        <f>I1871+I1872+I1873+I1880</f>
        <v>176215</v>
      </c>
      <c r="J1870" s="269">
        <f>J1871+J1872+J1873+J1880</f>
        <v>133600</v>
      </c>
      <c r="K1870" s="428">
        <f>K1871+K1872+K1873+K1880</f>
        <v>149600</v>
      </c>
      <c r="L1870" s="270">
        <f>L1871+L1872+L1873+L1880</f>
        <v>100606</v>
      </c>
      <c r="M1870" s="270">
        <f>M1871+M1872+M1873+M1880</f>
        <v>113119</v>
      </c>
      <c r="N1870" s="534"/>
      <c r="O1870" s="269"/>
      <c r="P1870" s="269">
        <f>P1881</f>
        <v>3600</v>
      </c>
      <c r="Q1870" s="269">
        <f>Q1881</f>
        <v>8500</v>
      </c>
      <c r="R1870" s="270">
        <f>R1886</f>
        <v>5870</v>
      </c>
      <c r="S1870" s="270"/>
      <c r="T1870" s="534"/>
      <c r="U1870" s="271">
        <f t="shared" si="102"/>
        <v>176215</v>
      </c>
    </row>
    <row r="1871" spans="2:21" x14ac:dyDescent="0.2">
      <c r="B1871" s="8">
        <f t="shared" si="103"/>
        <v>203</v>
      </c>
      <c r="C1871" s="24"/>
      <c r="D1871" s="24"/>
      <c r="E1871" s="24"/>
      <c r="F1871" s="149" t="s">
        <v>202</v>
      </c>
      <c r="G1871" s="150">
        <v>610</v>
      </c>
      <c r="H1871" s="24" t="s">
        <v>141</v>
      </c>
      <c r="I1871" s="25">
        <v>47900</v>
      </c>
      <c r="J1871" s="25">
        <v>41920</v>
      </c>
      <c r="K1871" s="25">
        <v>41920</v>
      </c>
      <c r="L1871" s="26">
        <v>42029</v>
      </c>
      <c r="M1871" s="26">
        <v>38229</v>
      </c>
      <c r="N1871" s="501"/>
      <c r="O1871" s="25"/>
      <c r="P1871" s="25"/>
      <c r="Q1871" s="25"/>
      <c r="R1871" s="26"/>
      <c r="S1871" s="26"/>
      <c r="T1871" s="501"/>
      <c r="U1871" s="151">
        <f t="shared" si="102"/>
        <v>47900</v>
      </c>
    </row>
    <row r="1872" spans="2:21" x14ac:dyDescent="0.2">
      <c r="B1872" s="8">
        <f t="shared" si="103"/>
        <v>204</v>
      </c>
      <c r="C1872" s="24"/>
      <c r="D1872" s="24"/>
      <c r="E1872" s="24"/>
      <c r="F1872" s="149" t="s">
        <v>202</v>
      </c>
      <c r="G1872" s="150">
        <v>620</v>
      </c>
      <c r="H1872" s="24" t="s">
        <v>134</v>
      </c>
      <c r="I1872" s="25">
        <v>20155</v>
      </c>
      <c r="J1872" s="25">
        <v>17175</v>
      </c>
      <c r="K1872" s="25">
        <v>17175</v>
      </c>
      <c r="L1872" s="26">
        <v>14996</v>
      </c>
      <c r="M1872" s="26">
        <v>13856</v>
      </c>
      <c r="N1872" s="501"/>
      <c r="O1872" s="25"/>
      <c r="P1872" s="25"/>
      <c r="Q1872" s="25"/>
      <c r="R1872" s="26"/>
      <c r="S1872" s="26"/>
      <c r="T1872" s="501"/>
      <c r="U1872" s="151">
        <f t="shared" si="102"/>
        <v>20155</v>
      </c>
    </row>
    <row r="1873" spans="2:21" x14ac:dyDescent="0.2">
      <c r="B1873" s="8">
        <f t="shared" si="103"/>
        <v>205</v>
      </c>
      <c r="C1873" s="24"/>
      <c r="D1873" s="24"/>
      <c r="E1873" s="24"/>
      <c r="F1873" s="149" t="s">
        <v>202</v>
      </c>
      <c r="G1873" s="150">
        <v>630</v>
      </c>
      <c r="H1873" s="24" t="s">
        <v>131</v>
      </c>
      <c r="I1873" s="25">
        <f>I1879+I1878+I1877+I1876+I1875+I1874</f>
        <v>103080</v>
      </c>
      <c r="J1873" s="25">
        <f>J1879+J1878+J1877+J1876+J1875+J1874</f>
        <v>71705</v>
      </c>
      <c r="K1873" s="25">
        <f>K1879+K1878+K1877+K1876+K1875+K1874</f>
        <v>87705</v>
      </c>
      <c r="L1873" s="26">
        <f>L1879+L1878+L1877+L1876+L1875+L1874</f>
        <v>41890</v>
      </c>
      <c r="M1873" s="26">
        <f>M1879+M1878+M1877+M1876+M1875+M1874</f>
        <v>60572</v>
      </c>
      <c r="N1873" s="501"/>
      <c r="O1873" s="25"/>
      <c r="P1873" s="25"/>
      <c r="Q1873" s="25"/>
      <c r="R1873" s="26"/>
      <c r="S1873" s="26"/>
      <c r="T1873" s="501"/>
      <c r="U1873" s="151">
        <f t="shared" si="102"/>
        <v>103080</v>
      </c>
    </row>
    <row r="1874" spans="2:21" x14ac:dyDescent="0.2">
      <c r="B1874" s="8">
        <f t="shared" si="103"/>
        <v>206</v>
      </c>
      <c r="C1874" s="18"/>
      <c r="D1874" s="18"/>
      <c r="E1874" s="18"/>
      <c r="F1874" s="152"/>
      <c r="G1874" s="153">
        <v>632</v>
      </c>
      <c r="H1874" s="18" t="s">
        <v>144</v>
      </c>
      <c r="I1874" s="19">
        <f>2100+2000</f>
        <v>4100</v>
      </c>
      <c r="J1874" s="19">
        <v>8500</v>
      </c>
      <c r="K1874" s="19">
        <v>8500</v>
      </c>
      <c r="L1874" s="20">
        <v>1281</v>
      </c>
      <c r="M1874" s="20">
        <v>613</v>
      </c>
      <c r="N1874" s="164"/>
      <c r="O1874" s="19"/>
      <c r="P1874" s="19"/>
      <c r="Q1874" s="19"/>
      <c r="R1874" s="20"/>
      <c r="S1874" s="20"/>
      <c r="T1874" s="164"/>
      <c r="U1874" s="154">
        <f t="shared" si="102"/>
        <v>4100</v>
      </c>
    </row>
    <row r="1875" spans="2:21" x14ac:dyDescent="0.2">
      <c r="B1875" s="8">
        <f t="shared" si="103"/>
        <v>207</v>
      </c>
      <c r="C1875" s="18"/>
      <c r="D1875" s="18"/>
      <c r="E1875" s="18"/>
      <c r="F1875" s="152"/>
      <c r="G1875" s="153">
        <v>633</v>
      </c>
      <c r="H1875" s="18" t="s">
        <v>135</v>
      </c>
      <c r="I1875" s="19">
        <f>1000+53000+750+500-5425</f>
        <v>49825</v>
      </c>
      <c r="J1875" s="19">
        <v>31750</v>
      </c>
      <c r="K1875" s="19">
        <v>32250</v>
      </c>
      <c r="L1875" s="20">
        <v>23095</v>
      </c>
      <c r="M1875" s="20">
        <v>36029</v>
      </c>
      <c r="N1875" s="164"/>
      <c r="O1875" s="19"/>
      <c r="P1875" s="19"/>
      <c r="Q1875" s="19"/>
      <c r="R1875" s="20"/>
      <c r="S1875" s="20"/>
      <c r="T1875" s="164"/>
      <c r="U1875" s="154">
        <f t="shared" si="102"/>
        <v>49825</v>
      </c>
    </row>
    <row r="1876" spans="2:21" x14ac:dyDescent="0.2">
      <c r="B1876" s="8">
        <f t="shared" si="103"/>
        <v>208</v>
      </c>
      <c r="C1876" s="18"/>
      <c r="D1876" s="18"/>
      <c r="E1876" s="18"/>
      <c r="F1876" s="152"/>
      <c r="G1876" s="153">
        <v>634</v>
      </c>
      <c r="H1876" s="18" t="s">
        <v>142</v>
      </c>
      <c r="I1876" s="19">
        <v>2500</v>
      </c>
      <c r="J1876" s="19">
        <v>2500</v>
      </c>
      <c r="K1876" s="19">
        <v>2500</v>
      </c>
      <c r="L1876" s="20">
        <v>2073</v>
      </c>
      <c r="M1876" s="20">
        <v>1423</v>
      </c>
      <c r="N1876" s="164"/>
      <c r="O1876" s="19"/>
      <c r="P1876" s="19"/>
      <c r="Q1876" s="19"/>
      <c r="R1876" s="20"/>
      <c r="S1876" s="20"/>
      <c r="T1876" s="164"/>
      <c r="U1876" s="154">
        <f t="shared" si="102"/>
        <v>2500</v>
      </c>
    </row>
    <row r="1877" spans="2:21" x14ac:dyDescent="0.2">
      <c r="B1877" s="8">
        <f t="shared" ref="B1877:B1886" si="104">B1876+1</f>
        <v>209</v>
      </c>
      <c r="C1877" s="18"/>
      <c r="D1877" s="18"/>
      <c r="E1877" s="18"/>
      <c r="F1877" s="152"/>
      <c r="G1877" s="153">
        <v>635</v>
      </c>
      <c r="H1877" s="18" t="s">
        <v>143</v>
      </c>
      <c r="I1877" s="19">
        <f>200+30000</f>
        <v>30200</v>
      </c>
      <c r="J1877" s="19">
        <v>14000</v>
      </c>
      <c r="K1877" s="19">
        <v>29500</v>
      </c>
      <c r="L1877" s="20">
        <v>8353</v>
      </c>
      <c r="M1877" s="20">
        <v>14289</v>
      </c>
      <c r="N1877" s="164"/>
      <c r="O1877" s="19"/>
      <c r="P1877" s="19"/>
      <c r="Q1877" s="19"/>
      <c r="R1877" s="20"/>
      <c r="S1877" s="20"/>
      <c r="T1877" s="164"/>
      <c r="U1877" s="154">
        <f t="shared" si="102"/>
        <v>30200</v>
      </c>
    </row>
    <row r="1878" spans="2:21" x14ac:dyDescent="0.2">
      <c r="B1878" s="8">
        <f t="shared" si="104"/>
        <v>210</v>
      </c>
      <c r="C1878" s="18"/>
      <c r="D1878" s="18"/>
      <c r="E1878" s="18"/>
      <c r="F1878" s="152"/>
      <c r="G1878" s="153">
        <v>636</v>
      </c>
      <c r="H1878" s="18" t="s">
        <v>136</v>
      </c>
      <c r="I1878" s="19">
        <v>1500</v>
      </c>
      <c r="J1878" s="19">
        <v>1500</v>
      </c>
      <c r="K1878" s="19">
        <v>1500</v>
      </c>
      <c r="L1878" s="20">
        <v>776</v>
      </c>
      <c r="M1878" s="20">
        <v>771</v>
      </c>
      <c r="N1878" s="164"/>
      <c r="O1878" s="19"/>
      <c r="P1878" s="19"/>
      <c r="Q1878" s="19"/>
      <c r="R1878" s="20"/>
      <c r="S1878" s="20"/>
      <c r="T1878" s="164"/>
      <c r="U1878" s="154">
        <f t="shared" si="102"/>
        <v>1500</v>
      </c>
    </row>
    <row r="1879" spans="2:21" x14ac:dyDescent="0.2">
      <c r="B1879" s="8">
        <f t="shared" si="104"/>
        <v>211</v>
      </c>
      <c r="C1879" s="18"/>
      <c r="D1879" s="18"/>
      <c r="E1879" s="18"/>
      <c r="F1879" s="152"/>
      <c r="G1879" s="153">
        <v>637</v>
      </c>
      <c r="H1879" s="18" t="s">
        <v>132</v>
      </c>
      <c r="I1879" s="19">
        <f>150+3130+925+250+3500+1000+6000</f>
        <v>14955</v>
      </c>
      <c r="J1879" s="19">
        <v>13455</v>
      </c>
      <c r="K1879" s="19">
        <v>13455</v>
      </c>
      <c r="L1879" s="20">
        <v>6312</v>
      </c>
      <c r="M1879" s="20">
        <f>6952+495</f>
        <v>7447</v>
      </c>
      <c r="N1879" s="164"/>
      <c r="O1879" s="19"/>
      <c r="P1879" s="19"/>
      <c r="Q1879" s="19"/>
      <c r="R1879" s="20"/>
      <c r="S1879" s="20"/>
      <c r="T1879" s="164"/>
      <c r="U1879" s="154">
        <f t="shared" si="102"/>
        <v>14955</v>
      </c>
    </row>
    <row r="1880" spans="2:21" x14ac:dyDescent="0.2">
      <c r="B1880" s="8">
        <f t="shared" si="104"/>
        <v>212</v>
      </c>
      <c r="C1880" s="24"/>
      <c r="D1880" s="24"/>
      <c r="E1880" s="24"/>
      <c r="F1880" s="149" t="s">
        <v>202</v>
      </c>
      <c r="G1880" s="150">
        <v>640</v>
      </c>
      <c r="H1880" s="24" t="s">
        <v>139</v>
      </c>
      <c r="I1880" s="25">
        <f>2280+2100+700</f>
        <v>5080</v>
      </c>
      <c r="J1880" s="25">
        <v>2800</v>
      </c>
      <c r="K1880" s="25">
        <v>2800</v>
      </c>
      <c r="L1880" s="26">
        <v>1691</v>
      </c>
      <c r="M1880" s="26">
        <v>462</v>
      </c>
      <c r="N1880" s="501"/>
      <c r="O1880" s="25"/>
      <c r="P1880" s="25"/>
      <c r="Q1880" s="25"/>
      <c r="R1880" s="26"/>
      <c r="S1880" s="26"/>
      <c r="T1880" s="501"/>
      <c r="U1880" s="151">
        <f t="shared" si="102"/>
        <v>5080</v>
      </c>
    </row>
    <row r="1881" spans="2:21" x14ac:dyDescent="0.2">
      <c r="B1881" s="8">
        <f t="shared" si="104"/>
        <v>213</v>
      </c>
      <c r="C1881" s="24"/>
      <c r="D1881" s="24"/>
      <c r="E1881" s="24"/>
      <c r="F1881" s="149" t="s">
        <v>202</v>
      </c>
      <c r="G1881" s="150">
        <v>710</v>
      </c>
      <c r="H1881" s="24" t="s">
        <v>185</v>
      </c>
      <c r="I1881" s="25"/>
      <c r="J1881" s="25"/>
      <c r="K1881" s="25"/>
      <c r="L1881" s="26"/>
      <c r="M1881" s="26"/>
      <c r="N1881" s="501"/>
      <c r="O1881" s="25"/>
      <c r="P1881" s="25">
        <f>P1884</f>
        <v>3600</v>
      </c>
      <c r="Q1881" s="25">
        <f>Q1882+Q1884</f>
        <v>8500</v>
      </c>
      <c r="R1881" s="26"/>
      <c r="S1881" s="26"/>
      <c r="T1881" s="501"/>
      <c r="U1881" s="151">
        <f t="shared" si="102"/>
        <v>0</v>
      </c>
    </row>
    <row r="1882" spans="2:21" x14ac:dyDescent="0.2">
      <c r="B1882" s="8">
        <f t="shared" si="104"/>
        <v>214</v>
      </c>
      <c r="C1882" s="18"/>
      <c r="D1882" s="18"/>
      <c r="E1882" s="18"/>
      <c r="F1882" s="152"/>
      <c r="G1882" s="153">
        <v>713</v>
      </c>
      <c r="H1882" s="18" t="s">
        <v>230</v>
      </c>
      <c r="I1882" s="19"/>
      <c r="J1882" s="19"/>
      <c r="K1882" s="19"/>
      <c r="L1882" s="20"/>
      <c r="M1882" s="20"/>
      <c r="N1882" s="164"/>
      <c r="O1882" s="19"/>
      <c r="P1882" s="19"/>
      <c r="Q1882" s="19">
        <f>Q1883</f>
        <v>4900</v>
      </c>
      <c r="R1882" s="20"/>
      <c r="S1882" s="20"/>
      <c r="T1882" s="164"/>
      <c r="U1882" s="154">
        <f t="shared" si="102"/>
        <v>0</v>
      </c>
    </row>
    <row r="1883" spans="2:21" x14ac:dyDescent="0.2">
      <c r="B1883" s="8">
        <f t="shared" si="104"/>
        <v>215</v>
      </c>
      <c r="C1883" s="18"/>
      <c r="D1883" s="18"/>
      <c r="E1883" s="18"/>
      <c r="F1883" s="152"/>
      <c r="G1883" s="153"/>
      <c r="H1883" s="156" t="s">
        <v>1019</v>
      </c>
      <c r="I1883" s="157"/>
      <c r="J1883" s="157"/>
      <c r="K1883" s="157"/>
      <c r="L1883" s="158"/>
      <c r="M1883" s="158"/>
      <c r="N1883" s="535"/>
      <c r="O1883" s="157"/>
      <c r="P1883" s="157"/>
      <c r="Q1883" s="157">
        <v>4900</v>
      </c>
      <c r="R1883" s="158"/>
      <c r="S1883" s="158"/>
      <c r="T1883" s="535"/>
      <c r="U1883" s="159">
        <f t="shared" si="102"/>
        <v>0</v>
      </c>
    </row>
    <row r="1884" spans="2:21" x14ac:dyDescent="0.2">
      <c r="B1884" s="8">
        <f t="shared" si="104"/>
        <v>216</v>
      </c>
      <c r="C1884" s="18"/>
      <c r="D1884" s="18"/>
      <c r="E1884" s="18"/>
      <c r="F1884" s="152"/>
      <c r="G1884" s="153">
        <v>717</v>
      </c>
      <c r="H1884" s="18" t="s">
        <v>192</v>
      </c>
      <c r="I1884" s="19"/>
      <c r="J1884" s="19"/>
      <c r="K1884" s="19"/>
      <c r="L1884" s="20"/>
      <c r="M1884" s="20"/>
      <c r="N1884" s="164"/>
      <c r="O1884" s="19"/>
      <c r="P1884" s="19">
        <f>P1885</f>
        <v>3600</v>
      </c>
      <c r="Q1884" s="19">
        <f>Q1885</f>
        <v>3600</v>
      </c>
      <c r="R1884" s="20"/>
      <c r="S1884" s="20"/>
      <c r="T1884" s="164"/>
      <c r="U1884" s="154">
        <f t="shared" si="102"/>
        <v>0</v>
      </c>
    </row>
    <row r="1885" spans="2:21" x14ac:dyDescent="0.2">
      <c r="B1885" s="8">
        <f t="shared" si="104"/>
        <v>217</v>
      </c>
      <c r="C1885" s="114"/>
      <c r="D1885" s="114"/>
      <c r="E1885" s="114"/>
      <c r="F1885" s="299"/>
      <c r="G1885" s="300"/>
      <c r="H1885" s="173" t="s">
        <v>788</v>
      </c>
      <c r="I1885" s="115"/>
      <c r="J1885" s="115"/>
      <c r="K1885" s="115"/>
      <c r="L1885" s="116"/>
      <c r="M1885" s="116"/>
      <c r="N1885" s="522"/>
      <c r="O1885" s="115"/>
      <c r="P1885" s="115">
        <v>3600</v>
      </c>
      <c r="Q1885" s="115">
        <v>3600</v>
      </c>
      <c r="R1885" s="116"/>
      <c r="S1885" s="116"/>
      <c r="T1885" s="522"/>
      <c r="U1885" s="301">
        <f t="shared" si="102"/>
        <v>0</v>
      </c>
    </row>
    <row r="1886" spans="2:21" x14ac:dyDescent="0.2">
      <c r="B1886" s="354">
        <f t="shared" si="104"/>
        <v>218</v>
      </c>
      <c r="C1886" s="482"/>
      <c r="D1886" s="482"/>
      <c r="E1886" s="482"/>
      <c r="F1886" s="483"/>
      <c r="G1886" s="484"/>
      <c r="H1886" s="485" t="s">
        <v>793</v>
      </c>
      <c r="I1886" s="486"/>
      <c r="J1886" s="486"/>
      <c r="K1886" s="486"/>
      <c r="L1886" s="487"/>
      <c r="M1886" s="487"/>
      <c r="N1886" s="559"/>
      <c r="O1886" s="486"/>
      <c r="P1886" s="486"/>
      <c r="Q1886" s="486"/>
      <c r="R1886" s="487">
        <v>5870</v>
      </c>
      <c r="S1886" s="487"/>
      <c r="T1886" s="559"/>
      <c r="U1886" s="488">
        <f t="shared" si="102"/>
        <v>0</v>
      </c>
    </row>
    <row r="1887" spans="2:21" x14ac:dyDescent="0.2">
      <c r="C1887" s="295"/>
      <c r="D1887" s="295"/>
      <c r="E1887" s="295"/>
      <c r="F1887" s="257"/>
      <c r="G1887" s="258"/>
      <c r="H1887" s="295"/>
      <c r="I1887" s="296"/>
      <c r="J1887" s="296"/>
      <c r="K1887" s="297"/>
      <c r="L1887" s="297"/>
      <c r="M1887" s="297"/>
      <c r="N1887" s="560"/>
      <c r="O1887" s="296"/>
      <c r="P1887" s="296"/>
      <c r="Q1887" s="296"/>
      <c r="R1887" s="297"/>
      <c r="S1887" s="297"/>
      <c r="T1887" s="560"/>
      <c r="U1887" s="296"/>
    </row>
    <row r="1888" spans="2:21" x14ac:dyDescent="0.2">
      <c r="C1888" s="295"/>
      <c r="D1888" s="295"/>
      <c r="E1888" s="295"/>
      <c r="F1888" s="257"/>
      <c r="G1888" s="258"/>
      <c r="H1888" s="295"/>
      <c r="I1888" s="296"/>
      <c r="J1888" s="296"/>
      <c r="K1888" s="297"/>
      <c r="L1888" s="297"/>
      <c r="M1888" s="297"/>
      <c r="N1888" s="560"/>
      <c r="O1888" s="296"/>
      <c r="P1888" s="296"/>
      <c r="Q1888" s="296"/>
      <c r="R1888" s="297"/>
      <c r="S1888" s="297"/>
      <c r="T1888" s="560"/>
      <c r="U1888" s="296"/>
    </row>
    <row r="1889" spans="2:24" x14ac:dyDescent="0.2">
      <c r="C1889" s="295"/>
      <c r="D1889" s="295"/>
      <c r="E1889" s="295"/>
      <c r="F1889" s="257"/>
      <c r="G1889" s="258"/>
      <c r="H1889" s="295"/>
      <c r="I1889" s="296"/>
      <c r="J1889" s="296"/>
      <c r="K1889" s="297"/>
      <c r="L1889" s="297"/>
      <c r="M1889" s="297"/>
      <c r="N1889" s="560"/>
      <c r="O1889" s="296"/>
      <c r="P1889" s="296"/>
      <c r="Q1889" s="296"/>
      <c r="R1889" s="297"/>
      <c r="S1889" s="297"/>
      <c r="T1889" s="560"/>
      <c r="U1889" s="296"/>
    </row>
    <row r="1890" spans="2:24" x14ac:dyDescent="0.2">
      <c r="C1890" s="295"/>
      <c r="D1890" s="295"/>
      <c r="E1890" s="295"/>
      <c r="F1890" s="257"/>
      <c r="G1890" s="258"/>
      <c r="H1890" s="295"/>
      <c r="I1890" s="296"/>
      <c r="J1890" s="296"/>
      <c r="K1890" s="297"/>
      <c r="L1890" s="297"/>
      <c r="M1890" s="297"/>
      <c r="N1890" s="560"/>
      <c r="O1890" s="296"/>
      <c r="P1890" s="296"/>
      <c r="Q1890" s="296"/>
      <c r="R1890" s="297"/>
      <c r="S1890" s="297"/>
      <c r="T1890" s="560"/>
      <c r="U1890" s="296"/>
    </row>
    <row r="1892" spans="2:24" ht="27" x14ac:dyDescent="0.35">
      <c r="B1892" s="679" t="s">
        <v>24</v>
      </c>
      <c r="C1892" s="680"/>
      <c r="D1892" s="680"/>
      <c r="E1892" s="680"/>
      <c r="F1892" s="680"/>
      <c r="G1892" s="680"/>
      <c r="H1892" s="680"/>
      <c r="I1892" s="680"/>
      <c r="J1892" s="680"/>
      <c r="K1892" s="680"/>
      <c r="L1892" s="680"/>
      <c r="M1892" s="680"/>
      <c r="N1892" s="680"/>
      <c r="O1892" s="680"/>
      <c r="P1892" s="680"/>
      <c r="Q1892" s="680"/>
      <c r="R1892" s="680"/>
      <c r="S1892" s="680"/>
      <c r="T1892" s="680"/>
      <c r="U1892" s="680"/>
    </row>
    <row r="1893" spans="2:24" ht="13.5" customHeight="1" x14ac:dyDescent="0.2">
      <c r="B1893" s="684" t="s">
        <v>842</v>
      </c>
      <c r="C1893" s="685"/>
      <c r="D1893" s="685"/>
      <c r="E1893" s="685"/>
      <c r="F1893" s="685"/>
      <c r="G1893" s="685"/>
      <c r="H1893" s="685"/>
      <c r="I1893" s="685"/>
      <c r="J1893" s="685"/>
      <c r="K1893" s="685"/>
      <c r="L1893" s="685"/>
      <c r="M1893" s="685"/>
      <c r="N1893" s="685"/>
      <c r="O1893" s="685"/>
      <c r="P1893" s="685"/>
      <c r="Q1893" s="685"/>
      <c r="R1893" s="685"/>
      <c r="S1893" s="685"/>
      <c r="T1893" s="567"/>
      <c r="U1893" s="682" t="s">
        <v>1207</v>
      </c>
    </row>
    <row r="1894" spans="2:24" ht="12.75" customHeight="1" x14ac:dyDescent="0.2">
      <c r="B1894" s="681"/>
      <c r="C1894" s="681" t="s">
        <v>122</v>
      </c>
      <c r="D1894" s="681" t="s">
        <v>123</v>
      </c>
      <c r="E1894" s="681"/>
      <c r="F1894" s="681" t="s">
        <v>124</v>
      </c>
      <c r="G1894" s="689" t="s">
        <v>125</v>
      </c>
      <c r="H1894" s="686" t="s">
        <v>126</v>
      </c>
      <c r="I1894" s="673" t="s">
        <v>1205</v>
      </c>
      <c r="J1894" s="674" t="s">
        <v>837</v>
      </c>
      <c r="K1894" s="674" t="s">
        <v>838</v>
      </c>
      <c r="L1894" s="672" t="s">
        <v>839</v>
      </c>
      <c r="M1894" s="672" t="s">
        <v>643</v>
      </c>
      <c r="N1894" s="493"/>
      <c r="O1894" s="673" t="s">
        <v>1206</v>
      </c>
      <c r="P1894" s="674" t="s">
        <v>840</v>
      </c>
      <c r="Q1894" s="674" t="s">
        <v>841</v>
      </c>
      <c r="R1894" s="672" t="s">
        <v>839</v>
      </c>
      <c r="S1894" s="672" t="s">
        <v>643</v>
      </c>
      <c r="T1894" s="493"/>
      <c r="U1894" s="683"/>
    </row>
    <row r="1895" spans="2:24" x14ac:dyDescent="0.2">
      <c r="B1895" s="681"/>
      <c r="C1895" s="681"/>
      <c r="D1895" s="681"/>
      <c r="E1895" s="681"/>
      <c r="F1895" s="681"/>
      <c r="G1895" s="689"/>
      <c r="H1895" s="686"/>
      <c r="I1895" s="673"/>
      <c r="J1895" s="674"/>
      <c r="K1895" s="674"/>
      <c r="L1895" s="672"/>
      <c r="M1895" s="672"/>
      <c r="N1895" s="493"/>
      <c r="O1895" s="673"/>
      <c r="P1895" s="674"/>
      <c r="Q1895" s="674"/>
      <c r="R1895" s="672"/>
      <c r="S1895" s="672"/>
      <c r="T1895" s="493"/>
      <c r="U1895" s="683"/>
    </row>
    <row r="1896" spans="2:24" x14ac:dyDescent="0.2">
      <c r="B1896" s="681"/>
      <c r="C1896" s="681"/>
      <c r="D1896" s="681"/>
      <c r="E1896" s="681"/>
      <c r="F1896" s="681"/>
      <c r="G1896" s="689"/>
      <c r="H1896" s="686"/>
      <c r="I1896" s="673"/>
      <c r="J1896" s="674"/>
      <c r="K1896" s="674"/>
      <c r="L1896" s="672"/>
      <c r="M1896" s="672"/>
      <c r="N1896" s="493"/>
      <c r="O1896" s="673"/>
      <c r="P1896" s="674"/>
      <c r="Q1896" s="674"/>
      <c r="R1896" s="672"/>
      <c r="S1896" s="672"/>
      <c r="T1896" s="493"/>
      <c r="U1896" s="683"/>
    </row>
    <row r="1897" spans="2:24" x14ac:dyDescent="0.2">
      <c r="B1897" s="681"/>
      <c r="C1897" s="681"/>
      <c r="D1897" s="681"/>
      <c r="E1897" s="681"/>
      <c r="F1897" s="681"/>
      <c r="G1897" s="689"/>
      <c r="H1897" s="686"/>
      <c r="I1897" s="673"/>
      <c r="J1897" s="674"/>
      <c r="K1897" s="674"/>
      <c r="L1897" s="672"/>
      <c r="M1897" s="672"/>
      <c r="N1897" s="493"/>
      <c r="O1897" s="673"/>
      <c r="P1897" s="674"/>
      <c r="Q1897" s="674"/>
      <c r="R1897" s="672"/>
      <c r="S1897" s="672"/>
      <c r="T1897" s="493"/>
      <c r="U1897" s="683"/>
    </row>
    <row r="1898" spans="2:24" ht="15.75" x14ac:dyDescent="0.2">
      <c r="B1898" s="8">
        <v>1</v>
      </c>
      <c r="C1898" s="687" t="s">
        <v>24</v>
      </c>
      <c r="D1898" s="688"/>
      <c r="E1898" s="688"/>
      <c r="F1898" s="688"/>
      <c r="G1898" s="688"/>
      <c r="H1898" s="688"/>
      <c r="I1898" s="138">
        <f>I1970+I1967+I1938+I1928+I1899+I2009</f>
        <v>2102150</v>
      </c>
      <c r="J1898" s="138">
        <f>J1970+J1967+J1938+J1928+J1899+J2009</f>
        <v>2042168</v>
      </c>
      <c r="K1898" s="138">
        <f>K1970+K1967+K1938+K1928+K1899+K2009</f>
        <v>2030168</v>
      </c>
      <c r="L1898" s="139">
        <f>L1970+L1967+L1938+L1928+L1899+L2009</f>
        <v>1504469</v>
      </c>
      <c r="M1898" s="139">
        <f>M1970+M1967+M1938+M1928+M1899</f>
        <v>395277</v>
      </c>
      <c r="N1898" s="532">
        <f>N1970+N1967+N1938+N1928+N1899</f>
        <v>0</v>
      </c>
      <c r="O1898" s="138">
        <f>O1970+O1967+O1938+O1928+O1899+O2009</f>
        <v>8371139</v>
      </c>
      <c r="P1898" s="138">
        <f>P1970+P1967+P1938+P1928+P1899</f>
        <v>13197607</v>
      </c>
      <c r="Q1898" s="138">
        <f>Q1970+Q1967+Q1938+Q1928+Q1899+Q2009</f>
        <v>13453227</v>
      </c>
      <c r="R1898" s="139">
        <f>R1970+R1967+R1938+R1928+R1899</f>
        <v>2302377</v>
      </c>
      <c r="S1898" s="139">
        <f>S1970+S1967+S1938+S1928+S1899</f>
        <v>934547</v>
      </c>
      <c r="T1898" s="532"/>
      <c r="U1898" s="140">
        <f t="shared" ref="U1898:U1910" si="105">I1898+O1898</f>
        <v>10473289</v>
      </c>
      <c r="X1898" s="2"/>
    </row>
    <row r="1899" spans="2:24" ht="15.75" x14ac:dyDescent="0.25">
      <c r="B1899" s="8">
        <f>B1898+1</f>
        <v>2</v>
      </c>
      <c r="C1899" s="141">
        <v>1</v>
      </c>
      <c r="D1899" s="677" t="s">
        <v>240</v>
      </c>
      <c r="E1899" s="678"/>
      <c r="F1899" s="678"/>
      <c r="G1899" s="678"/>
      <c r="H1899" s="678"/>
      <c r="I1899" s="142">
        <f>I1900</f>
        <v>173000</v>
      </c>
      <c r="J1899" s="142">
        <f>J1900</f>
        <v>96000</v>
      </c>
      <c r="K1899" s="430">
        <f>K1900</f>
        <v>160500</v>
      </c>
      <c r="L1899" s="143">
        <f>L1900</f>
        <v>146300</v>
      </c>
      <c r="M1899" s="143">
        <f>M1900</f>
        <v>144381</v>
      </c>
      <c r="N1899" s="533"/>
      <c r="O1899" s="142"/>
      <c r="P1899" s="142"/>
      <c r="Q1899" s="142">
        <f>Q1926</f>
        <v>32320</v>
      </c>
      <c r="R1899" s="143"/>
      <c r="S1899" s="143"/>
      <c r="T1899" s="533"/>
      <c r="U1899" s="144">
        <f t="shared" si="105"/>
        <v>173000</v>
      </c>
    </row>
    <row r="1900" spans="2:24" x14ac:dyDescent="0.2">
      <c r="B1900" s="8">
        <f t="shared" ref="B1900:B1966" si="106">B1899+1</f>
        <v>3</v>
      </c>
      <c r="C1900" s="24"/>
      <c r="D1900" s="24"/>
      <c r="E1900" s="24"/>
      <c r="F1900" s="149" t="s">
        <v>80</v>
      </c>
      <c r="G1900" s="150">
        <v>640</v>
      </c>
      <c r="H1900" s="24" t="s">
        <v>139</v>
      </c>
      <c r="I1900" s="25">
        <f>SUM(I1901:I1925)</f>
        <v>173000</v>
      </c>
      <c r="J1900" s="25">
        <f>SUM(J1901:J1925)</f>
        <v>96000</v>
      </c>
      <c r="K1900" s="25">
        <f>SUM(K1901:K1925)</f>
        <v>160500</v>
      </c>
      <c r="L1900" s="26">
        <f>SUM(L1901:L1925)</f>
        <v>146300</v>
      </c>
      <c r="M1900" s="26">
        <f>SUM(M1901:M1925)</f>
        <v>144381</v>
      </c>
      <c r="N1900" s="501"/>
      <c r="O1900" s="25"/>
      <c r="P1900" s="25"/>
      <c r="Q1900" s="25"/>
      <c r="R1900" s="26"/>
      <c r="S1900" s="26"/>
      <c r="T1900" s="501"/>
      <c r="U1900" s="151">
        <f t="shared" si="105"/>
        <v>173000</v>
      </c>
    </row>
    <row r="1901" spans="2:24" x14ac:dyDescent="0.2">
      <c r="B1901" s="8">
        <f t="shared" si="106"/>
        <v>4</v>
      </c>
      <c r="C1901" s="120"/>
      <c r="D1901" s="120"/>
      <c r="E1901" s="120"/>
      <c r="F1901" s="298"/>
      <c r="G1901" s="298"/>
      <c r="H1901" s="156" t="s">
        <v>280</v>
      </c>
      <c r="I1901" s="157">
        <v>58000</v>
      </c>
      <c r="J1901" s="157">
        <v>50400</v>
      </c>
      <c r="K1901" s="157">
        <v>58000</v>
      </c>
      <c r="L1901" s="158">
        <v>53100</v>
      </c>
      <c r="M1901" s="158">
        <v>56181</v>
      </c>
      <c r="N1901" s="541"/>
      <c r="O1901" s="158"/>
      <c r="P1901" s="158"/>
      <c r="Q1901" s="158"/>
      <c r="R1901" s="158"/>
      <c r="S1901" s="157"/>
      <c r="T1901" s="535"/>
      <c r="U1901" s="181">
        <f t="shared" si="105"/>
        <v>58000</v>
      </c>
    </row>
    <row r="1902" spans="2:24" x14ac:dyDescent="0.2">
      <c r="B1902" s="8">
        <f t="shared" si="106"/>
        <v>5</v>
      </c>
      <c r="C1902" s="120"/>
      <c r="D1902" s="120"/>
      <c r="E1902" s="120"/>
      <c r="F1902" s="298"/>
      <c r="G1902" s="298"/>
      <c r="H1902" s="156" t="s">
        <v>540</v>
      </c>
      <c r="I1902" s="157"/>
      <c r="J1902" s="157"/>
      <c r="K1902" s="157"/>
      <c r="L1902" s="158">
        <v>6000</v>
      </c>
      <c r="M1902" s="158">
        <v>7400</v>
      </c>
      <c r="N1902" s="541"/>
      <c r="O1902" s="158"/>
      <c r="P1902" s="158"/>
      <c r="Q1902" s="158"/>
      <c r="R1902" s="158"/>
      <c r="S1902" s="157"/>
      <c r="T1902" s="535"/>
      <c r="U1902" s="181">
        <f t="shared" si="105"/>
        <v>0</v>
      </c>
    </row>
    <row r="1903" spans="2:24" x14ac:dyDescent="0.2">
      <c r="B1903" s="8">
        <f t="shared" si="106"/>
        <v>6</v>
      </c>
      <c r="C1903" s="120"/>
      <c r="D1903" s="120"/>
      <c r="E1903" s="120"/>
      <c r="F1903" s="298"/>
      <c r="G1903" s="298"/>
      <c r="H1903" s="156" t="s">
        <v>794</v>
      </c>
      <c r="I1903" s="157"/>
      <c r="J1903" s="157"/>
      <c r="K1903" s="157"/>
      <c r="L1903" s="158">
        <v>3000</v>
      </c>
      <c r="M1903" s="158"/>
      <c r="N1903" s="541"/>
      <c r="O1903" s="158"/>
      <c r="P1903" s="158"/>
      <c r="Q1903" s="158"/>
      <c r="R1903" s="158"/>
      <c r="S1903" s="157"/>
      <c r="T1903" s="535"/>
      <c r="U1903" s="181">
        <f t="shared" si="105"/>
        <v>0</v>
      </c>
    </row>
    <row r="1904" spans="2:24" x14ac:dyDescent="0.2">
      <c r="B1904" s="8">
        <f t="shared" si="106"/>
        <v>7</v>
      </c>
      <c r="C1904" s="120"/>
      <c r="D1904" s="120"/>
      <c r="E1904" s="120"/>
      <c r="F1904" s="298"/>
      <c r="G1904" s="298"/>
      <c r="H1904" s="156" t="s">
        <v>795</v>
      </c>
      <c r="I1904" s="157"/>
      <c r="J1904" s="157"/>
      <c r="K1904" s="157"/>
      <c r="L1904" s="158">
        <v>9000</v>
      </c>
      <c r="M1904" s="158"/>
      <c r="N1904" s="541"/>
      <c r="O1904" s="158"/>
      <c r="P1904" s="158"/>
      <c r="Q1904" s="158"/>
      <c r="R1904" s="158"/>
      <c r="S1904" s="157"/>
      <c r="T1904" s="535"/>
      <c r="U1904" s="181">
        <f t="shared" si="105"/>
        <v>0</v>
      </c>
    </row>
    <row r="1905" spans="2:21" x14ac:dyDescent="0.2">
      <c r="B1905" s="8">
        <f t="shared" si="106"/>
        <v>8</v>
      </c>
      <c r="C1905" s="120"/>
      <c r="D1905" s="120"/>
      <c r="E1905" s="120"/>
      <c r="F1905" s="298"/>
      <c r="G1905" s="298"/>
      <c r="H1905" s="156" t="s">
        <v>541</v>
      </c>
      <c r="I1905" s="157"/>
      <c r="J1905" s="157"/>
      <c r="K1905" s="157"/>
      <c r="L1905" s="158"/>
      <c r="M1905" s="158">
        <v>3000</v>
      </c>
      <c r="N1905" s="541"/>
      <c r="O1905" s="158"/>
      <c r="P1905" s="158"/>
      <c r="Q1905" s="158"/>
      <c r="R1905" s="158"/>
      <c r="S1905" s="157"/>
      <c r="T1905" s="535"/>
      <c r="U1905" s="181">
        <f t="shared" si="105"/>
        <v>0</v>
      </c>
    </row>
    <row r="1906" spans="2:21" x14ac:dyDescent="0.2">
      <c r="B1906" s="8">
        <f t="shared" si="106"/>
        <v>9</v>
      </c>
      <c r="C1906" s="120"/>
      <c r="D1906" s="120"/>
      <c r="E1906" s="120"/>
      <c r="F1906" s="298"/>
      <c r="G1906" s="298"/>
      <c r="H1906" s="156" t="s">
        <v>596</v>
      </c>
      <c r="I1906" s="157">
        <v>10000</v>
      </c>
      <c r="J1906" s="157">
        <v>8000</v>
      </c>
      <c r="K1906" s="157">
        <v>10000</v>
      </c>
      <c r="L1906" s="158">
        <v>10000</v>
      </c>
      <c r="M1906" s="158">
        <v>10000</v>
      </c>
      <c r="N1906" s="541"/>
      <c r="O1906" s="158"/>
      <c r="P1906" s="158"/>
      <c r="Q1906" s="158"/>
      <c r="R1906" s="158"/>
      <c r="S1906" s="157"/>
      <c r="T1906" s="535"/>
      <c r="U1906" s="181">
        <f t="shared" si="105"/>
        <v>10000</v>
      </c>
    </row>
    <row r="1907" spans="2:21" ht="24" x14ac:dyDescent="0.2">
      <c r="B1907" s="8">
        <f t="shared" si="106"/>
        <v>10</v>
      </c>
      <c r="C1907" s="120"/>
      <c r="D1907" s="120"/>
      <c r="E1907" s="120"/>
      <c r="F1907" s="298"/>
      <c r="G1907" s="298"/>
      <c r="H1907" s="371" t="s">
        <v>796</v>
      </c>
      <c r="I1907" s="157"/>
      <c r="J1907" s="157"/>
      <c r="K1907" s="157"/>
      <c r="L1907" s="158">
        <v>1200</v>
      </c>
      <c r="M1907" s="158"/>
      <c r="N1907" s="541"/>
      <c r="O1907" s="158"/>
      <c r="P1907" s="158"/>
      <c r="Q1907" s="158"/>
      <c r="R1907" s="158"/>
      <c r="S1907" s="157"/>
      <c r="T1907" s="535"/>
      <c r="U1907" s="181">
        <f t="shared" si="105"/>
        <v>0</v>
      </c>
    </row>
    <row r="1908" spans="2:21" ht="36" x14ac:dyDescent="0.2">
      <c r="B1908" s="8">
        <f t="shared" si="106"/>
        <v>11</v>
      </c>
      <c r="C1908" s="120"/>
      <c r="D1908" s="120"/>
      <c r="E1908" s="120"/>
      <c r="F1908" s="298"/>
      <c r="G1908" s="298"/>
      <c r="H1908" s="371" t="s">
        <v>797</v>
      </c>
      <c r="I1908" s="157"/>
      <c r="J1908" s="157"/>
      <c r="K1908" s="157"/>
      <c r="L1908" s="158">
        <v>4000</v>
      </c>
      <c r="M1908" s="158"/>
      <c r="N1908" s="541"/>
      <c r="O1908" s="158"/>
      <c r="P1908" s="158"/>
      <c r="Q1908" s="158"/>
      <c r="R1908" s="158"/>
      <c r="S1908" s="157"/>
      <c r="T1908" s="535"/>
      <c r="U1908" s="181">
        <f t="shared" si="105"/>
        <v>0</v>
      </c>
    </row>
    <row r="1909" spans="2:21" ht="27" customHeight="1" x14ac:dyDescent="0.2">
      <c r="B1909" s="8">
        <f t="shared" si="106"/>
        <v>12</v>
      </c>
      <c r="C1909" s="120"/>
      <c r="D1909" s="120"/>
      <c r="E1909" s="120"/>
      <c r="F1909" s="298"/>
      <c r="G1909" s="298"/>
      <c r="H1909" s="371" t="s">
        <v>798</v>
      </c>
      <c r="I1909" s="157"/>
      <c r="J1909" s="157"/>
      <c r="K1909" s="157"/>
      <c r="L1909" s="158">
        <v>3000</v>
      </c>
      <c r="M1909" s="158"/>
      <c r="N1909" s="541"/>
      <c r="O1909" s="158"/>
      <c r="P1909" s="158"/>
      <c r="Q1909" s="158"/>
      <c r="R1909" s="158"/>
      <c r="S1909" s="157"/>
      <c r="T1909" s="535"/>
      <c r="U1909" s="181">
        <f t="shared" si="105"/>
        <v>0</v>
      </c>
    </row>
    <row r="1910" spans="2:21" x14ac:dyDescent="0.2">
      <c r="B1910" s="8">
        <f t="shared" si="106"/>
        <v>13</v>
      </c>
      <c r="C1910" s="120"/>
      <c r="D1910" s="120"/>
      <c r="E1910" s="120"/>
      <c r="F1910" s="298"/>
      <c r="G1910" s="298"/>
      <c r="H1910" s="156" t="s">
        <v>492</v>
      </c>
      <c r="I1910" s="157">
        <v>7000</v>
      </c>
      <c r="J1910" s="157">
        <v>5600</v>
      </c>
      <c r="K1910" s="157">
        <v>7000</v>
      </c>
      <c r="L1910" s="158">
        <v>7000</v>
      </c>
      <c r="M1910" s="158">
        <v>5000</v>
      </c>
      <c r="N1910" s="541"/>
      <c r="O1910" s="158"/>
      <c r="P1910" s="158"/>
      <c r="Q1910" s="158"/>
      <c r="R1910" s="158"/>
      <c r="S1910" s="157"/>
      <c r="T1910" s="535"/>
      <c r="U1910" s="181">
        <f t="shared" si="105"/>
        <v>7000</v>
      </c>
    </row>
    <row r="1911" spans="2:21" x14ac:dyDescent="0.2">
      <c r="B1911" s="8">
        <f>B1910+1</f>
        <v>14</v>
      </c>
      <c r="C1911" s="120"/>
      <c r="D1911" s="120"/>
      <c r="E1911" s="120"/>
      <c r="F1911" s="298"/>
      <c r="G1911" s="298"/>
      <c r="H1911" s="156" t="s">
        <v>1081</v>
      </c>
      <c r="I1911" s="157">
        <v>25000</v>
      </c>
      <c r="J1911" s="157"/>
      <c r="K1911" s="157">
        <v>25000</v>
      </c>
      <c r="L1911" s="158"/>
      <c r="M1911" s="158"/>
      <c r="N1911" s="541"/>
      <c r="O1911" s="158"/>
      <c r="P1911" s="158"/>
      <c r="Q1911" s="158"/>
      <c r="R1911" s="158"/>
      <c r="S1911" s="157"/>
      <c r="T1911" s="535"/>
      <c r="U1911" s="181"/>
    </row>
    <row r="1912" spans="2:21" x14ac:dyDescent="0.2">
      <c r="B1912" s="8">
        <f t="shared" si="106"/>
        <v>15</v>
      </c>
      <c r="C1912" s="120"/>
      <c r="D1912" s="120"/>
      <c r="E1912" s="120"/>
      <c r="F1912" s="298"/>
      <c r="G1912" s="298"/>
      <c r="H1912" s="156" t="s">
        <v>1020</v>
      </c>
      <c r="I1912" s="157"/>
      <c r="J1912" s="157"/>
      <c r="K1912" s="157">
        <v>1500</v>
      </c>
      <c r="L1912" s="158"/>
      <c r="M1912" s="158"/>
      <c r="N1912" s="541"/>
      <c r="O1912" s="158"/>
      <c r="P1912" s="158"/>
      <c r="Q1912" s="158"/>
      <c r="R1912" s="158"/>
      <c r="S1912" s="157"/>
      <c r="T1912" s="535"/>
      <c r="U1912" s="181">
        <f t="shared" ref="U1912:U1955" si="107">I1912+O1912</f>
        <v>0</v>
      </c>
    </row>
    <row r="1913" spans="2:21" x14ac:dyDescent="0.2">
      <c r="B1913" s="8">
        <f t="shared" si="106"/>
        <v>16</v>
      </c>
      <c r="C1913" s="120"/>
      <c r="D1913" s="120"/>
      <c r="E1913" s="120"/>
      <c r="F1913" s="298"/>
      <c r="G1913" s="298"/>
      <c r="H1913" s="156" t="s">
        <v>1021</v>
      </c>
      <c r="I1913" s="157">
        <v>5000</v>
      </c>
      <c r="J1913" s="157"/>
      <c r="K1913" s="157">
        <v>7000</v>
      </c>
      <c r="L1913" s="158"/>
      <c r="M1913" s="158"/>
      <c r="N1913" s="541"/>
      <c r="O1913" s="158"/>
      <c r="P1913" s="158"/>
      <c r="Q1913" s="158"/>
      <c r="R1913" s="158"/>
      <c r="S1913" s="157"/>
      <c r="T1913" s="535"/>
      <c r="U1913" s="181">
        <f t="shared" si="107"/>
        <v>5000</v>
      </c>
    </row>
    <row r="1914" spans="2:21" x14ac:dyDescent="0.2">
      <c r="B1914" s="8">
        <f t="shared" si="106"/>
        <v>17</v>
      </c>
      <c r="C1914" s="120"/>
      <c r="D1914" s="120"/>
      <c r="E1914" s="120"/>
      <c r="F1914" s="298"/>
      <c r="G1914" s="298"/>
      <c r="H1914" s="156" t="s">
        <v>1082</v>
      </c>
      <c r="I1914" s="157">
        <v>6000</v>
      </c>
      <c r="J1914" s="157"/>
      <c r="K1914" s="157"/>
      <c r="L1914" s="158">
        <v>4000</v>
      </c>
      <c r="M1914" s="158">
        <v>6000</v>
      </c>
      <c r="N1914" s="541"/>
      <c r="O1914" s="158"/>
      <c r="P1914" s="158"/>
      <c r="Q1914" s="158"/>
      <c r="R1914" s="158"/>
      <c r="S1914" s="157"/>
      <c r="T1914" s="535"/>
      <c r="U1914" s="181">
        <f t="shared" si="107"/>
        <v>6000</v>
      </c>
    </row>
    <row r="1915" spans="2:21" x14ac:dyDescent="0.2">
      <c r="B1915" s="8">
        <f t="shared" si="106"/>
        <v>18</v>
      </c>
      <c r="C1915" s="120"/>
      <c r="D1915" s="120"/>
      <c r="E1915" s="120"/>
      <c r="F1915" s="298"/>
      <c r="G1915" s="298"/>
      <c r="H1915" s="156" t="s">
        <v>547</v>
      </c>
      <c r="I1915" s="157"/>
      <c r="J1915" s="157"/>
      <c r="K1915" s="157"/>
      <c r="L1915" s="158"/>
      <c r="M1915" s="158"/>
      <c r="N1915" s="541"/>
      <c r="O1915" s="158"/>
      <c r="P1915" s="158"/>
      <c r="Q1915" s="158"/>
      <c r="R1915" s="158"/>
      <c r="S1915" s="157"/>
      <c r="T1915" s="535"/>
      <c r="U1915" s="181">
        <f t="shared" si="107"/>
        <v>0</v>
      </c>
    </row>
    <row r="1916" spans="2:21" x14ac:dyDescent="0.2">
      <c r="B1916" s="8">
        <f t="shared" si="106"/>
        <v>19</v>
      </c>
      <c r="C1916" s="120"/>
      <c r="D1916" s="120"/>
      <c r="E1916" s="120"/>
      <c r="F1916" s="298"/>
      <c r="G1916" s="298"/>
      <c r="H1916" s="156" t="s">
        <v>597</v>
      </c>
      <c r="I1916" s="157">
        <v>7000</v>
      </c>
      <c r="J1916" s="157"/>
      <c r="K1916" s="157"/>
      <c r="L1916" s="158">
        <v>4000</v>
      </c>
      <c r="M1916" s="158">
        <v>7100</v>
      </c>
      <c r="N1916" s="541"/>
      <c r="O1916" s="158"/>
      <c r="P1916" s="158"/>
      <c r="Q1916" s="158"/>
      <c r="R1916" s="158"/>
      <c r="S1916" s="157"/>
      <c r="T1916" s="535"/>
      <c r="U1916" s="181">
        <f t="shared" si="107"/>
        <v>7000</v>
      </c>
    </row>
    <row r="1917" spans="2:21" x14ac:dyDescent="0.2">
      <c r="B1917" s="8">
        <f t="shared" si="106"/>
        <v>20</v>
      </c>
      <c r="C1917" s="120"/>
      <c r="D1917" s="120"/>
      <c r="E1917" s="120"/>
      <c r="F1917" s="298"/>
      <c r="G1917" s="298"/>
      <c r="H1917" s="156" t="s">
        <v>1022</v>
      </c>
      <c r="I1917" s="157"/>
      <c r="J1917" s="157"/>
      <c r="K1917" s="157">
        <v>7000</v>
      </c>
      <c r="L1917" s="158"/>
      <c r="M1917" s="158"/>
      <c r="N1917" s="541"/>
      <c r="O1917" s="158"/>
      <c r="P1917" s="158"/>
      <c r="Q1917" s="158"/>
      <c r="R1917" s="158"/>
      <c r="S1917" s="157"/>
      <c r="T1917" s="535"/>
      <c r="U1917" s="181">
        <f t="shared" si="107"/>
        <v>0</v>
      </c>
    </row>
    <row r="1918" spans="2:21" x14ac:dyDescent="0.2">
      <c r="B1918" s="8">
        <f t="shared" si="106"/>
        <v>21</v>
      </c>
      <c r="C1918" s="120"/>
      <c r="D1918" s="120"/>
      <c r="E1918" s="120"/>
      <c r="F1918" s="298"/>
      <c r="G1918" s="298"/>
      <c r="H1918" s="156" t="s">
        <v>283</v>
      </c>
      <c r="I1918" s="157">
        <v>35000</v>
      </c>
      <c r="J1918" s="157">
        <v>16000</v>
      </c>
      <c r="K1918" s="157">
        <v>20000</v>
      </c>
      <c r="L1918" s="158">
        <v>20000</v>
      </c>
      <c r="M1918" s="158">
        <v>23000</v>
      </c>
      <c r="N1918" s="541"/>
      <c r="O1918" s="158"/>
      <c r="P1918" s="158"/>
      <c r="Q1918" s="158"/>
      <c r="R1918" s="158"/>
      <c r="S1918" s="157"/>
      <c r="T1918" s="535"/>
      <c r="U1918" s="181">
        <f t="shared" si="107"/>
        <v>35000</v>
      </c>
    </row>
    <row r="1919" spans="2:21" x14ac:dyDescent="0.2">
      <c r="B1919" s="8">
        <f t="shared" si="106"/>
        <v>22</v>
      </c>
      <c r="C1919" s="120"/>
      <c r="D1919" s="120"/>
      <c r="E1919" s="120"/>
      <c r="F1919" s="298"/>
      <c r="G1919" s="298"/>
      <c r="H1919" s="156" t="s">
        <v>1023</v>
      </c>
      <c r="I1919" s="157"/>
      <c r="J1919" s="157"/>
      <c r="K1919" s="157">
        <v>5000</v>
      </c>
      <c r="L1919" s="158"/>
      <c r="M1919" s="158"/>
      <c r="N1919" s="541"/>
      <c r="O1919" s="158"/>
      <c r="P1919" s="158"/>
      <c r="Q1919" s="158"/>
      <c r="R1919" s="158"/>
      <c r="S1919" s="157"/>
      <c r="T1919" s="535"/>
      <c r="U1919" s="181">
        <f t="shared" si="107"/>
        <v>0</v>
      </c>
    </row>
    <row r="1920" spans="2:21" x14ac:dyDescent="0.2">
      <c r="B1920" s="8">
        <f t="shared" si="106"/>
        <v>23</v>
      </c>
      <c r="C1920" s="120"/>
      <c r="D1920" s="120"/>
      <c r="E1920" s="120"/>
      <c r="F1920" s="298"/>
      <c r="G1920" s="298"/>
      <c r="H1920" s="156" t="s">
        <v>638</v>
      </c>
      <c r="I1920" s="157"/>
      <c r="J1920" s="157"/>
      <c r="K1920" s="157"/>
      <c r="L1920" s="158"/>
      <c r="M1920" s="158">
        <v>3700</v>
      </c>
      <c r="N1920" s="541"/>
      <c r="O1920" s="158"/>
      <c r="P1920" s="158"/>
      <c r="Q1920" s="158"/>
      <c r="R1920" s="158"/>
      <c r="S1920" s="157"/>
      <c r="T1920" s="535"/>
      <c r="U1920" s="181">
        <f t="shared" si="107"/>
        <v>0</v>
      </c>
    </row>
    <row r="1921" spans="2:21" ht="24" x14ac:dyDescent="0.2">
      <c r="B1921" s="8">
        <f t="shared" si="106"/>
        <v>24</v>
      </c>
      <c r="C1921" s="120"/>
      <c r="D1921" s="120"/>
      <c r="E1921" s="120"/>
      <c r="F1921" s="298"/>
      <c r="G1921" s="298"/>
      <c r="H1921" s="371" t="s">
        <v>799</v>
      </c>
      <c r="I1921" s="157"/>
      <c r="J1921" s="157"/>
      <c r="K1921" s="157"/>
      <c r="L1921" s="158">
        <v>1000</v>
      </c>
      <c r="M1921" s="158"/>
      <c r="N1921" s="541"/>
      <c r="O1921" s="158"/>
      <c r="P1921" s="158"/>
      <c r="Q1921" s="158"/>
      <c r="R1921" s="158"/>
      <c r="S1921" s="157"/>
      <c r="T1921" s="535"/>
      <c r="U1921" s="181">
        <f t="shared" si="107"/>
        <v>0</v>
      </c>
    </row>
    <row r="1922" spans="2:21" x14ac:dyDescent="0.2">
      <c r="B1922" s="8">
        <f>B1921+1</f>
        <v>25</v>
      </c>
      <c r="C1922" s="120"/>
      <c r="D1922" s="120"/>
      <c r="E1922" s="120"/>
      <c r="F1922" s="298"/>
      <c r="G1922" s="298"/>
      <c r="H1922" s="156" t="s">
        <v>389</v>
      </c>
      <c r="I1922" s="157"/>
      <c r="J1922" s="157"/>
      <c r="K1922" s="157"/>
      <c r="L1922" s="158"/>
      <c r="M1922" s="158">
        <v>3000</v>
      </c>
      <c r="N1922" s="541"/>
      <c r="O1922" s="158"/>
      <c r="P1922" s="158"/>
      <c r="Q1922" s="158"/>
      <c r="R1922" s="158"/>
      <c r="S1922" s="157"/>
      <c r="T1922" s="535"/>
      <c r="U1922" s="181">
        <f t="shared" si="107"/>
        <v>0</v>
      </c>
    </row>
    <row r="1923" spans="2:21" x14ac:dyDescent="0.2">
      <c r="B1923" s="8">
        <f t="shared" si="106"/>
        <v>26</v>
      </c>
      <c r="C1923" s="120"/>
      <c r="D1923" s="120"/>
      <c r="E1923" s="120"/>
      <c r="F1923" s="298"/>
      <c r="G1923" s="298"/>
      <c r="H1923" s="156" t="s">
        <v>552</v>
      </c>
      <c r="I1923" s="157"/>
      <c r="J1923" s="157"/>
      <c r="K1923" s="157"/>
      <c r="L1923" s="158"/>
      <c r="M1923" s="158"/>
      <c r="N1923" s="541"/>
      <c r="O1923" s="158"/>
      <c r="P1923" s="158"/>
      <c r="Q1923" s="158"/>
      <c r="R1923" s="158"/>
      <c r="S1923" s="157"/>
      <c r="T1923" s="535"/>
      <c r="U1923" s="181">
        <f t="shared" si="107"/>
        <v>0</v>
      </c>
    </row>
    <row r="1924" spans="2:21" x14ac:dyDescent="0.2">
      <c r="B1924" s="8">
        <f t="shared" si="106"/>
        <v>27</v>
      </c>
      <c r="C1924" s="120"/>
      <c r="D1924" s="120"/>
      <c r="E1924" s="120"/>
      <c r="F1924" s="298"/>
      <c r="G1924" s="298"/>
      <c r="H1924" s="156" t="s">
        <v>493</v>
      </c>
      <c r="I1924" s="157">
        <v>20000</v>
      </c>
      <c r="J1924" s="157">
        <v>16000</v>
      </c>
      <c r="K1924" s="157">
        <v>20000</v>
      </c>
      <c r="L1924" s="158">
        <v>20000</v>
      </c>
      <c r="M1924" s="158">
        <v>20000</v>
      </c>
      <c r="N1924" s="541"/>
      <c r="O1924" s="158"/>
      <c r="P1924" s="158"/>
      <c r="Q1924" s="157"/>
      <c r="R1924" s="158"/>
      <c r="S1924" s="157"/>
      <c r="T1924" s="535"/>
      <c r="U1924" s="181">
        <f t="shared" si="107"/>
        <v>20000</v>
      </c>
    </row>
    <row r="1925" spans="2:21" x14ac:dyDescent="0.2">
      <c r="B1925" s="8">
        <f t="shared" si="106"/>
        <v>28</v>
      </c>
      <c r="C1925" s="120"/>
      <c r="D1925" s="120"/>
      <c r="E1925" s="120"/>
      <c r="F1925" s="298"/>
      <c r="G1925" s="298"/>
      <c r="H1925" s="156" t="s">
        <v>800</v>
      </c>
      <c r="I1925" s="157"/>
      <c r="J1925" s="157"/>
      <c r="K1925" s="157"/>
      <c r="L1925" s="158">
        <v>1000</v>
      </c>
      <c r="M1925" s="158"/>
      <c r="N1925" s="541"/>
      <c r="O1925" s="158"/>
      <c r="P1925" s="158"/>
      <c r="Q1925" s="157"/>
      <c r="R1925" s="158"/>
      <c r="S1925" s="157"/>
      <c r="T1925" s="535"/>
      <c r="U1925" s="181">
        <f t="shared" si="107"/>
        <v>0</v>
      </c>
    </row>
    <row r="1926" spans="2:21" x14ac:dyDescent="0.2">
      <c r="B1926" s="8">
        <f t="shared" si="106"/>
        <v>29</v>
      </c>
      <c r="C1926" s="120"/>
      <c r="D1926" s="120"/>
      <c r="E1926" s="120"/>
      <c r="F1926" s="149" t="s">
        <v>80</v>
      </c>
      <c r="G1926" s="150">
        <v>720</v>
      </c>
      <c r="H1926" s="24" t="s">
        <v>4</v>
      </c>
      <c r="I1926" s="25"/>
      <c r="J1926" s="25"/>
      <c r="K1926" s="25"/>
      <c r="L1926" s="158"/>
      <c r="M1926" s="158"/>
      <c r="N1926" s="541"/>
      <c r="O1926" s="158"/>
      <c r="P1926" s="158"/>
      <c r="Q1926" s="25">
        <f>Q1927</f>
        <v>32320</v>
      </c>
      <c r="R1926" s="158"/>
      <c r="S1926" s="158"/>
      <c r="T1926" s="541"/>
      <c r="U1926" s="181">
        <f t="shared" si="107"/>
        <v>0</v>
      </c>
    </row>
    <row r="1927" spans="2:21" x14ac:dyDescent="0.2">
      <c r="B1927" s="8">
        <f t="shared" si="106"/>
        <v>30</v>
      </c>
      <c r="C1927" s="120"/>
      <c r="D1927" s="120"/>
      <c r="E1927" s="120"/>
      <c r="F1927" s="298"/>
      <c r="G1927" s="298"/>
      <c r="H1927" s="156" t="s">
        <v>1024</v>
      </c>
      <c r="I1927" s="157"/>
      <c r="J1927" s="157"/>
      <c r="K1927" s="157"/>
      <c r="L1927" s="158"/>
      <c r="M1927" s="158"/>
      <c r="N1927" s="541"/>
      <c r="O1927" s="158"/>
      <c r="P1927" s="158"/>
      <c r="Q1927" s="157">
        <v>32320</v>
      </c>
      <c r="R1927" s="158"/>
      <c r="S1927" s="158"/>
      <c r="T1927" s="541"/>
      <c r="U1927" s="181">
        <f t="shared" si="107"/>
        <v>0</v>
      </c>
    </row>
    <row r="1928" spans="2:21" ht="15.75" x14ac:dyDescent="0.25">
      <c r="B1928" s="8">
        <f t="shared" si="106"/>
        <v>31</v>
      </c>
      <c r="C1928" s="141">
        <v>2</v>
      </c>
      <c r="D1928" s="677" t="s">
        <v>181</v>
      </c>
      <c r="E1928" s="678"/>
      <c r="F1928" s="678"/>
      <c r="G1928" s="678"/>
      <c r="H1928" s="678"/>
      <c r="I1928" s="142">
        <f>I1929</f>
        <v>150000</v>
      </c>
      <c r="J1928" s="142">
        <f>J1929</f>
        <v>100000</v>
      </c>
      <c r="K1928" s="142">
        <f>K1929</f>
        <v>106300</v>
      </c>
      <c r="L1928" s="143">
        <f>L1929</f>
        <v>130475</v>
      </c>
      <c r="M1928" s="143">
        <f>M1929</f>
        <v>25681</v>
      </c>
      <c r="N1928" s="533"/>
      <c r="O1928" s="142"/>
      <c r="P1928" s="142"/>
      <c r="Q1928" s="142"/>
      <c r="R1928" s="143">
        <f>R1933</f>
        <v>2917</v>
      </c>
      <c r="S1928" s="143">
        <f>S1933</f>
        <v>5648</v>
      </c>
      <c r="T1928" s="533"/>
      <c r="U1928" s="144">
        <f t="shared" si="107"/>
        <v>150000</v>
      </c>
    </row>
    <row r="1929" spans="2:21" x14ac:dyDescent="0.2">
      <c r="B1929" s="8">
        <f t="shared" si="106"/>
        <v>32</v>
      </c>
      <c r="C1929" s="24"/>
      <c r="D1929" s="24"/>
      <c r="E1929" s="24"/>
      <c r="F1929" s="149" t="s">
        <v>80</v>
      </c>
      <c r="G1929" s="150">
        <v>630</v>
      </c>
      <c r="H1929" s="24" t="s">
        <v>131</v>
      </c>
      <c r="I1929" s="25">
        <f>I1932+I1931+I1930</f>
        <v>150000</v>
      </c>
      <c r="J1929" s="25">
        <f>J1932+J1931+J1930</f>
        <v>100000</v>
      </c>
      <c r="K1929" s="25">
        <f>K1932+K1931+K1930</f>
        <v>106300</v>
      </c>
      <c r="L1929" s="26">
        <f>L1932+L1931+L1930</f>
        <v>130475</v>
      </c>
      <c r="M1929" s="26">
        <f>M1932+M1931+M1930</f>
        <v>25681</v>
      </c>
      <c r="N1929" s="501"/>
      <c r="O1929" s="25"/>
      <c r="P1929" s="25"/>
      <c r="Q1929" s="25"/>
      <c r="R1929" s="26"/>
      <c r="S1929" s="26"/>
      <c r="T1929" s="501"/>
      <c r="U1929" s="151">
        <f t="shared" si="107"/>
        <v>150000</v>
      </c>
    </row>
    <row r="1930" spans="2:21" x14ac:dyDescent="0.2">
      <c r="B1930" s="8">
        <f t="shared" si="106"/>
        <v>33</v>
      </c>
      <c r="C1930" s="18"/>
      <c r="D1930" s="18"/>
      <c r="E1930" s="18"/>
      <c r="F1930" s="152"/>
      <c r="G1930" s="153">
        <v>633</v>
      </c>
      <c r="H1930" s="18" t="s">
        <v>135</v>
      </c>
      <c r="I1930" s="19">
        <v>6000</v>
      </c>
      <c r="J1930" s="19">
        <v>6000</v>
      </c>
      <c r="K1930" s="19">
        <v>5000</v>
      </c>
      <c r="L1930" s="20">
        <v>3868</v>
      </c>
      <c r="M1930" s="20">
        <v>1000</v>
      </c>
      <c r="N1930" s="164"/>
      <c r="O1930" s="19"/>
      <c r="P1930" s="19"/>
      <c r="Q1930" s="19"/>
      <c r="R1930" s="20"/>
      <c r="S1930" s="20"/>
      <c r="T1930" s="164"/>
      <c r="U1930" s="154">
        <f t="shared" si="107"/>
        <v>6000</v>
      </c>
    </row>
    <row r="1931" spans="2:21" x14ac:dyDescent="0.2">
      <c r="B1931" s="8">
        <f t="shared" si="106"/>
        <v>34</v>
      </c>
      <c r="C1931" s="18"/>
      <c r="D1931" s="18"/>
      <c r="E1931" s="18"/>
      <c r="F1931" s="152"/>
      <c r="G1931" s="153">
        <v>636</v>
      </c>
      <c r="H1931" s="18" t="s">
        <v>136</v>
      </c>
      <c r="I1931" s="19"/>
      <c r="J1931" s="19"/>
      <c r="K1931" s="19"/>
      <c r="L1931" s="20">
        <v>350</v>
      </c>
      <c r="M1931" s="20">
        <v>24681</v>
      </c>
      <c r="N1931" s="164"/>
      <c r="O1931" s="19"/>
      <c r="P1931" s="19"/>
      <c r="Q1931" s="19"/>
      <c r="R1931" s="20"/>
      <c r="S1931" s="20"/>
      <c r="T1931" s="164"/>
      <c r="U1931" s="154">
        <f t="shared" si="107"/>
        <v>0</v>
      </c>
    </row>
    <row r="1932" spans="2:21" x14ac:dyDescent="0.2">
      <c r="B1932" s="8">
        <f t="shared" si="106"/>
        <v>35</v>
      </c>
      <c r="C1932" s="18"/>
      <c r="D1932" s="18"/>
      <c r="E1932" s="18"/>
      <c r="F1932" s="152"/>
      <c r="G1932" s="153">
        <v>637</v>
      </c>
      <c r="H1932" s="18" t="s">
        <v>132</v>
      </c>
      <c r="I1932" s="19">
        <f>60000+40000+7000+35000+5000+5000+15000+8000+30000+12000+2000-75000</f>
        <v>144000</v>
      </c>
      <c r="J1932" s="19">
        <v>94000</v>
      </c>
      <c r="K1932" s="19">
        <v>101300</v>
      </c>
      <c r="L1932" s="20">
        <v>126257</v>
      </c>
      <c r="M1932" s="20"/>
      <c r="N1932" s="164"/>
      <c r="O1932" s="19"/>
      <c r="P1932" s="19"/>
      <c r="Q1932" s="19"/>
      <c r="R1932" s="20"/>
      <c r="S1932" s="20"/>
      <c r="T1932" s="164"/>
      <c r="U1932" s="154">
        <f t="shared" si="107"/>
        <v>144000</v>
      </c>
    </row>
    <row r="1933" spans="2:21" x14ac:dyDescent="0.2">
      <c r="B1933" s="8">
        <f t="shared" si="106"/>
        <v>36</v>
      </c>
      <c r="C1933" s="24"/>
      <c r="D1933" s="24"/>
      <c r="E1933" s="24"/>
      <c r="F1933" s="149" t="s">
        <v>80</v>
      </c>
      <c r="G1933" s="150">
        <v>710</v>
      </c>
      <c r="H1933" s="24" t="s">
        <v>185</v>
      </c>
      <c r="I1933" s="25"/>
      <c r="J1933" s="25"/>
      <c r="K1933" s="25"/>
      <c r="L1933" s="26"/>
      <c r="M1933" s="26"/>
      <c r="N1933" s="501"/>
      <c r="O1933" s="25"/>
      <c r="P1933" s="25"/>
      <c r="Q1933" s="25"/>
      <c r="R1933" s="26">
        <f>R1936</f>
        <v>2917</v>
      </c>
      <c r="S1933" s="26">
        <f>S1934+S1936</f>
        <v>5648</v>
      </c>
      <c r="T1933" s="501"/>
      <c r="U1933" s="151">
        <f t="shared" si="107"/>
        <v>0</v>
      </c>
    </row>
    <row r="1934" spans="2:21" x14ac:dyDescent="0.2">
      <c r="B1934" s="8">
        <f t="shared" si="106"/>
        <v>37</v>
      </c>
      <c r="C1934" s="18"/>
      <c r="D1934" s="18"/>
      <c r="E1934" s="18"/>
      <c r="F1934" s="152"/>
      <c r="G1934" s="153">
        <v>716</v>
      </c>
      <c r="H1934" s="18" t="s">
        <v>226</v>
      </c>
      <c r="I1934" s="19"/>
      <c r="J1934" s="19"/>
      <c r="K1934" s="19"/>
      <c r="L1934" s="20"/>
      <c r="M1934" s="20"/>
      <c r="N1934" s="164"/>
      <c r="O1934" s="19"/>
      <c r="P1934" s="19"/>
      <c r="Q1934" s="19"/>
      <c r="R1934" s="20"/>
      <c r="S1934" s="20">
        <f>S1935</f>
        <v>358</v>
      </c>
      <c r="T1934" s="164"/>
      <c r="U1934" s="154">
        <f t="shared" si="107"/>
        <v>0</v>
      </c>
    </row>
    <row r="1935" spans="2:21" x14ac:dyDescent="0.2">
      <c r="B1935" s="8">
        <f t="shared" si="106"/>
        <v>38</v>
      </c>
      <c r="C1935" s="120"/>
      <c r="D1935" s="120"/>
      <c r="E1935" s="120"/>
      <c r="F1935" s="298"/>
      <c r="G1935" s="298"/>
      <c r="H1935" s="156" t="s">
        <v>368</v>
      </c>
      <c r="I1935" s="157"/>
      <c r="J1935" s="157"/>
      <c r="K1935" s="157"/>
      <c r="L1935" s="157"/>
      <c r="M1935" s="157"/>
      <c r="N1935" s="535"/>
      <c r="O1935" s="157"/>
      <c r="P1935" s="157"/>
      <c r="Q1935" s="157"/>
      <c r="R1935" s="157"/>
      <c r="S1935" s="157">
        <v>358</v>
      </c>
      <c r="T1935" s="535"/>
      <c r="U1935" s="159">
        <f t="shared" si="107"/>
        <v>0</v>
      </c>
    </row>
    <row r="1936" spans="2:21" x14ac:dyDescent="0.2">
      <c r="B1936" s="8">
        <f t="shared" si="106"/>
        <v>39</v>
      </c>
      <c r="C1936" s="18"/>
      <c r="D1936" s="18"/>
      <c r="E1936" s="18"/>
      <c r="F1936" s="152"/>
      <c r="G1936" s="153">
        <v>717</v>
      </c>
      <c r="H1936" s="18" t="s">
        <v>192</v>
      </c>
      <c r="I1936" s="19"/>
      <c r="J1936" s="19"/>
      <c r="K1936" s="19"/>
      <c r="L1936" s="19"/>
      <c r="M1936" s="19"/>
      <c r="N1936" s="164"/>
      <c r="O1936" s="19"/>
      <c r="P1936" s="19"/>
      <c r="Q1936" s="19"/>
      <c r="R1936" s="19">
        <f>R1937</f>
        <v>2917</v>
      </c>
      <c r="S1936" s="19">
        <f>S1937</f>
        <v>5290</v>
      </c>
      <c r="T1936" s="164"/>
      <c r="U1936" s="154">
        <f t="shared" si="107"/>
        <v>0</v>
      </c>
    </row>
    <row r="1937" spans="2:21" x14ac:dyDescent="0.2">
      <c r="B1937" s="8">
        <f t="shared" si="106"/>
        <v>40</v>
      </c>
      <c r="C1937" s="120"/>
      <c r="D1937" s="120"/>
      <c r="E1937" s="120"/>
      <c r="F1937" s="298"/>
      <c r="G1937" s="298"/>
      <c r="H1937" s="156" t="s">
        <v>368</v>
      </c>
      <c r="I1937" s="157"/>
      <c r="J1937" s="157"/>
      <c r="K1937" s="157"/>
      <c r="L1937" s="157"/>
      <c r="M1937" s="157"/>
      <c r="N1937" s="535"/>
      <c r="O1937" s="157"/>
      <c r="P1937" s="157"/>
      <c r="Q1937" s="157"/>
      <c r="R1937" s="157">
        <v>2917</v>
      </c>
      <c r="S1937" s="157">
        <v>5290</v>
      </c>
      <c r="T1937" s="535"/>
      <c r="U1937" s="159">
        <f t="shared" si="107"/>
        <v>0</v>
      </c>
    </row>
    <row r="1938" spans="2:21" ht="15.75" x14ac:dyDescent="0.25">
      <c r="B1938" s="8">
        <f t="shared" si="106"/>
        <v>41</v>
      </c>
      <c r="C1938" s="141">
        <v>3</v>
      </c>
      <c r="D1938" s="677" t="s">
        <v>147</v>
      </c>
      <c r="E1938" s="678"/>
      <c r="F1938" s="678"/>
      <c r="G1938" s="678"/>
      <c r="H1938" s="678"/>
      <c r="I1938" s="142">
        <f>I1939+I1940+I1941</f>
        <v>327200</v>
      </c>
      <c r="J1938" s="142">
        <f>J1939+J1940+J1941</f>
        <v>313417</v>
      </c>
      <c r="K1938" s="142">
        <f>K1939+K1940+K1941</f>
        <v>318417</v>
      </c>
      <c r="L1938" s="143">
        <f>L1939+L1940+L1941</f>
        <v>164560</v>
      </c>
      <c r="M1938" s="143">
        <f>M1939+M1940+M1941</f>
        <v>113223</v>
      </c>
      <c r="N1938" s="533"/>
      <c r="O1938" s="142">
        <f>O1947</f>
        <v>4547300</v>
      </c>
      <c r="P1938" s="142">
        <f>P1947</f>
        <v>3745000</v>
      </c>
      <c r="Q1938" s="142">
        <f>Q1947</f>
        <v>3751000</v>
      </c>
      <c r="R1938" s="143">
        <f>R1947</f>
        <v>287142</v>
      </c>
      <c r="S1938" s="143">
        <f>S1947</f>
        <v>325877</v>
      </c>
      <c r="T1938" s="533"/>
      <c r="U1938" s="144">
        <f t="shared" si="107"/>
        <v>4874500</v>
      </c>
    </row>
    <row r="1939" spans="2:21" x14ac:dyDescent="0.2">
      <c r="B1939" s="8">
        <f t="shared" si="106"/>
        <v>42</v>
      </c>
      <c r="C1939" s="24"/>
      <c r="D1939" s="24"/>
      <c r="E1939" s="24"/>
      <c r="F1939" s="149" t="s">
        <v>80</v>
      </c>
      <c r="G1939" s="150">
        <v>610</v>
      </c>
      <c r="H1939" s="24" t="s">
        <v>141</v>
      </c>
      <c r="I1939" s="25">
        <v>1000</v>
      </c>
      <c r="J1939" s="25">
        <v>1000</v>
      </c>
      <c r="K1939" s="25">
        <v>1000</v>
      </c>
      <c r="L1939" s="26"/>
      <c r="M1939" s="26"/>
      <c r="N1939" s="501"/>
      <c r="O1939" s="25"/>
      <c r="P1939" s="25"/>
      <c r="Q1939" s="25"/>
      <c r="R1939" s="26"/>
      <c r="S1939" s="26"/>
      <c r="T1939" s="501"/>
      <c r="U1939" s="151">
        <f t="shared" si="107"/>
        <v>1000</v>
      </c>
    </row>
    <row r="1940" spans="2:21" x14ac:dyDescent="0.2">
      <c r="B1940" s="8">
        <f t="shared" si="106"/>
        <v>43</v>
      </c>
      <c r="C1940" s="24"/>
      <c r="D1940" s="24"/>
      <c r="E1940" s="24"/>
      <c r="F1940" s="149" t="s">
        <v>80</v>
      </c>
      <c r="G1940" s="150">
        <v>620</v>
      </c>
      <c r="H1940" s="24" t="s">
        <v>134</v>
      </c>
      <c r="I1940" s="25">
        <f>1200+1000+270+2800+180+600+200+950</f>
        <v>7200</v>
      </c>
      <c r="J1940" s="25">
        <v>7200</v>
      </c>
      <c r="K1940" s="25">
        <v>7200</v>
      </c>
      <c r="L1940" s="26">
        <v>2698</v>
      </c>
      <c r="M1940" s="26">
        <v>2452</v>
      </c>
      <c r="N1940" s="501"/>
      <c r="O1940" s="25"/>
      <c r="P1940" s="25"/>
      <c r="Q1940" s="25"/>
      <c r="R1940" s="26"/>
      <c r="S1940" s="26"/>
      <c r="T1940" s="501"/>
      <c r="U1940" s="151">
        <f t="shared" si="107"/>
        <v>7200</v>
      </c>
    </row>
    <row r="1941" spans="2:21" x14ac:dyDescent="0.2">
      <c r="B1941" s="8">
        <f t="shared" si="106"/>
        <v>44</v>
      </c>
      <c r="C1941" s="24"/>
      <c r="D1941" s="24"/>
      <c r="E1941" s="24"/>
      <c r="F1941" s="149" t="s">
        <v>80</v>
      </c>
      <c r="G1941" s="150">
        <v>630</v>
      </c>
      <c r="H1941" s="24" t="s">
        <v>131</v>
      </c>
      <c r="I1941" s="25">
        <f>I1945+I1944+I1943+I1942</f>
        <v>319000</v>
      </c>
      <c r="J1941" s="25">
        <f>J1942+J1943+J1944+J1945</f>
        <v>305217</v>
      </c>
      <c r="K1941" s="25">
        <f>K1942+K1943+K1944+K1945</f>
        <v>310217</v>
      </c>
      <c r="L1941" s="26">
        <f>L1945+L1944+L1943+L1942</f>
        <v>161862</v>
      </c>
      <c r="M1941" s="26">
        <f>M1945+M1944+M1943+M1942</f>
        <v>110771</v>
      </c>
      <c r="N1941" s="501"/>
      <c r="O1941" s="25"/>
      <c r="P1941" s="25"/>
      <c r="Q1941" s="25"/>
      <c r="R1941" s="26"/>
      <c r="S1941" s="26"/>
      <c r="T1941" s="501"/>
      <c r="U1941" s="151">
        <f t="shared" si="107"/>
        <v>319000</v>
      </c>
    </row>
    <row r="1942" spans="2:21" x14ac:dyDescent="0.2">
      <c r="B1942" s="8">
        <f t="shared" si="106"/>
        <v>45</v>
      </c>
      <c r="C1942" s="18"/>
      <c r="D1942" s="18"/>
      <c r="E1942" s="18"/>
      <c r="F1942" s="152"/>
      <c r="G1942" s="153">
        <v>632</v>
      </c>
      <c r="H1942" s="18" t="s">
        <v>144</v>
      </c>
      <c r="I1942" s="19">
        <v>253000</v>
      </c>
      <c r="J1942" s="19">
        <v>250417</v>
      </c>
      <c r="K1942" s="19">
        <v>250417</v>
      </c>
      <c r="L1942" s="20">
        <v>108524</v>
      </c>
      <c r="M1942" s="20">
        <v>65353</v>
      </c>
      <c r="N1942" s="164"/>
      <c r="O1942" s="19"/>
      <c r="P1942" s="19"/>
      <c r="Q1942" s="19"/>
      <c r="R1942" s="20"/>
      <c r="S1942" s="20"/>
      <c r="T1942" s="164"/>
      <c r="U1942" s="154">
        <f t="shared" si="107"/>
        <v>253000</v>
      </c>
    </row>
    <row r="1943" spans="2:21" x14ac:dyDescent="0.2">
      <c r="B1943" s="8">
        <f t="shared" si="106"/>
        <v>46</v>
      </c>
      <c r="C1943" s="18"/>
      <c r="D1943" s="18"/>
      <c r="E1943" s="18"/>
      <c r="F1943" s="152"/>
      <c r="G1943" s="153">
        <v>633</v>
      </c>
      <c r="H1943" s="18" t="s">
        <v>135</v>
      </c>
      <c r="I1943" s="19">
        <v>9000</v>
      </c>
      <c r="J1943" s="19">
        <v>6000</v>
      </c>
      <c r="K1943" s="19">
        <v>6000</v>
      </c>
      <c r="L1943" s="20">
        <v>15592</v>
      </c>
      <c r="M1943" s="20">
        <v>5108</v>
      </c>
      <c r="N1943" s="164"/>
      <c r="O1943" s="19"/>
      <c r="P1943" s="19"/>
      <c r="Q1943" s="19"/>
      <c r="R1943" s="20"/>
      <c r="S1943" s="20"/>
      <c r="T1943" s="164"/>
      <c r="U1943" s="154">
        <f t="shared" si="107"/>
        <v>9000</v>
      </c>
    </row>
    <row r="1944" spans="2:21" x14ac:dyDescent="0.2">
      <c r="B1944" s="8">
        <f t="shared" si="106"/>
        <v>47</v>
      </c>
      <c r="C1944" s="18"/>
      <c r="D1944" s="18"/>
      <c r="E1944" s="18"/>
      <c r="F1944" s="152"/>
      <c r="G1944" s="153">
        <v>635</v>
      </c>
      <c r="H1944" s="18" t="s">
        <v>143</v>
      </c>
      <c r="I1944" s="19">
        <v>24000</v>
      </c>
      <c r="J1944" s="19">
        <v>17000</v>
      </c>
      <c r="K1944" s="19">
        <v>22000</v>
      </c>
      <c r="L1944" s="20">
        <v>20283</v>
      </c>
      <c r="M1944" s="20">
        <v>24470</v>
      </c>
      <c r="N1944" s="164"/>
      <c r="O1944" s="19"/>
      <c r="P1944" s="19"/>
      <c r="Q1944" s="19"/>
      <c r="R1944" s="20"/>
      <c r="S1944" s="20"/>
      <c r="T1944" s="164"/>
      <c r="U1944" s="154">
        <f t="shared" si="107"/>
        <v>24000</v>
      </c>
    </row>
    <row r="1945" spans="2:21" x14ac:dyDescent="0.2">
      <c r="B1945" s="8">
        <f t="shared" si="106"/>
        <v>48</v>
      </c>
      <c r="C1945" s="18"/>
      <c r="D1945" s="18"/>
      <c r="E1945" s="18"/>
      <c r="F1945" s="152"/>
      <c r="G1945" s="153">
        <v>637</v>
      </c>
      <c r="H1945" s="18" t="s">
        <v>132</v>
      </c>
      <c r="I1945" s="19">
        <v>33000</v>
      </c>
      <c r="J1945" s="19">
        <v>31800</v>
      </c>
      <c r="K1945" s="19">
        <v>31800</v>
      </c>
      <c r="L1945" s="20">
        <v>17463</v>
      </c>
      <c r="M1945" s="20">
        <v>15840</v>
      </c>
      <c r="N1945" s="164"/>
      <c r="O1945" s="19"/>
      <c r="P1945" s="19"/>
      <c r="Q1945" s="19"/>
      <c r="R1945" s="20"/>
      <c r="S1945" s="20"/>
      <c r="T1945" s="164"/>
      <c r="U1945" s="154">
        <f t="shared" si="107"/>
        <v>33000</v>
      </c>
    </row>
    <row r="1946" spans="2:21" x14ac:dyDescent="0.2">
      <c r="B1946" s="8">
        <f t="shared" si="106"/>
        <v>49</v>
      </c>
      <c r="C1946" s="18"/>
      <c r="D1946" s="18"/>
      <c r="E1946" s="18"/>
      <c r="F1946" s="152"/>
      <c r="G1946" s="153"/>
      <c r="H1946" s="18" t="s">
        <v>632</v>
      </c>
      <c r="I1946" s="19"/>
      <c r="J1946" s="19"/>
      <c r="K1946" s="19"/>
      <c r="L1946" s="20"/>
      <c r="M1946" s="20"/>
      <c r="N1946" s="164"/>
      <c r="O1946" s="19"/>
      <c r="P1946" s="19"/>
      <c r="Q1946" s="19"/>
      <c r="R1946" s="20"/>
      <c r="S1946" s="20"/>
      <c r="T1946" s="164"/>
      <c r="U1946" s="154">
        <f t="shared" si="107"/>
        <v>0</v>
      </c>
    </row>
    <row r="1947" spans="2:21" x14ac:dyDescent="0.2">
      <c r="B1947" s="8">
        <f t="shared" si="106"/>
        <v>50</v>
      </c>
      <c r="C1947" s="24"/>
      <c r="D1947" s="24"/>
      <c r="E1947" s="24"/>
      <c r="F1947" s="149" t="s">
        <v>80</v>
      </c>
      <c r="G1947" s="150">
        <v>710</v>
      </c>
      <c r="H1947" s="24" t="s">
        <v>185</v>
      </c>
      <c r="I1947" s="25"/>
      <c r="J1947" s="25"/>
      <c r="K1947" s="25"/>
      <c r="L1947" s="26"/>
      <c r="M1947" s="26"/>
      <c r="N1947" s="501"/>
      <c r="O1947" s="25">
        <f>O1948+O1953</f>
        <v>4547300</v>
      </c>
      <c r="P1947" s="25">
        <f>P1953+P1948</f>
        <v>3745000</v>
      </c>
      <c r="Q1947" s="25">
        <f>Q1953+Q1948</f>
        <v>3751000</v>
      </c>
      <c r="R1947" s="26">
        <f>R1953+R1948</f>
        <v>287142</v>
      </c>
      <c r="S1947" s="26">
        <f>S1953+S1948</f>
        <v>325877</v>
      </c>
      <c r="T1947" s="501"/>
      <c r="U1947" s="151">
        <f t="shared" si="107"/>
        <v>4547300</v>
      </c>
    </row>
    <row r="1948" spans="2:21" x14ac:dyDescent="0.2">
      <c r="B1948" s="8">
        <f t="shared" si="106"/>
        <v>51</v>
      </c>
      <c r="C1948" s="18"/>
      <c r="D1948" s="18"/>
      <c r="E1948" s="18"/>
      <c r="F1948" s="152"/>
      <c r="G1948" s="153">
        <v>716</v>
      </c>
      <c r="H1948" s="18" t="s">
        <v>226</v>
      </c>
      <c r="I1948" s="19"/>
      <c r="J1948" s="19"/>
      <c r="K1948" s="19"/>
      <c r="L1948" s="20"/>
      <c r="M1948" s="20"/>
      <c r="N1948" s="164"/>
      <c r="O1948" s="19">
        <f>SUM(O1949:O1952)</f>
        <v>174000</v>
      </c>
      <c r="P1948" s="19">
        <f>SUM(P1949:P1952)</f>
        <v>245000</v>
      </c>
      <c r="Q1948" s="19">
        <f>SUM(Q1949:Q1952)</f>
        <v>245000</v>
      </c>
      <c r="R1948" s="20">
        <f>SUM(R1949:R1949)</f>
        <v>5590</v>
      </c>
      <c r="S1948" s="20">
        <f>SUM(S1949:S1952)</f>
        <v>21625</v>
      </c>
      <c r="T1948" s="164"/>
      <c r="U1948" s="154">
        <f t="shared" si="107"/>
        <v>174000</v>
      </c>
    </row>
    <row r="1949" spans="2:21" x14ac:dyDescent="0.2">
      <c r="B1949" s="8">
        <f t="shared" si="106"/>
        <v>52</v>
      </c>
      <c r="C1949" s="120"/>
      <c r="D1949" s="120"/>
      <c r="E1949" s="120"/>
      <c r="F1949" s="298"/>
      <c r="G1949" s="298"/>
      <c r="H1949" s="156" t="s">
        <v>1130</v>
      </c>
      <c r="I1949" s="157"/>
      <c r="J1949" s="157"/>
      <c r="K1949" s="157"/>
      <c r="L1949" s="157"/>
      <c r="M1949" s="157"/>
      <c r="N1949" s="535"/>
      <c r="O1949" s="157">
        <v>169000</v>
      </c>
      <c r="P1949" s="157">
        <v>225000</v>
      </c>
      <c r="Q1949" s="157">
        <v>225000</v>
      </c>
      <c r="R1949" s="158">
        <v>5590</v>
      </c>
      <c r="S1949" s="157"/>
      <c r="T1949" s="535"/>
      <c r="U1949" s="159">
        <f t="shared" si="107"/>
        <v>169000</v>
      </c>
    </row>
    <row r="1950" spans="2:21" x14ac:dyDescent="0.2">
      <c r="B1950" s="8">
        <f t="shared" si="106"/>
        <v>53</v>
      </c>
      <c r="C1950" s="120"/>
      <c r="D1950" s="120"/>
      <c r="E1950" s="120"/>
      <c r="F1950" s="298"/>
      <c r="G1950" s="298"/>
      <c r="H1950" s="156" t="s">
        <v>1074</v>
      </c>
      <c r="I1950" s="157"/>
      <c r="J1950" s="157"/>
      <c r="K1950" s="157"/>
      <c r="L1950" s="157"/>
      <c r="M1950" s="157"/>
      <c r="N1950" s="535"/>
      <c r="O1950" s="157">
        <v>5000</v>
      </c>
      <c r="P1950" s="157"/>
      <c r="Q1950" s="157"/>
      <c r="R1950" s="158"/>
      <c r="S1950" s="157"/>
      <c r="T1950" s="535"/>
      <c r="U1950" s="159"/>
    </row>
    <row r="1951" spans="2:21" x14ac:dyDescent="0.2">
      <c r="B1951" s="8">
        <f t="shared" si="106"/>
        <v>54</v>
      </c>
      <c r="C1951" s="120"/>
      <c r="D1951" s="120"/>
      <c r="E1951" s="120"/>
      <c r="F1951" s="298"/>
      <c r="G1951" s="298"/>
      <c r="H1951" s="156" t="s">
        <v>678</v>
      </c>
      <c r="I1951" s="157"/>
      <c r="J1951" s="157"/>
      <c r="K1951" s="157"/>
      <c r="L1951" s="157"/>
      <c r="M1951" s="157"/>
      <c r="N1951" s="535"/>
      <c r="O1951" s="157"/>
      <c r="P1951" s="157"/>
      <c r="Q1951" s="157"/>
      <c r="R1951" s="158"/>
      <c r="S1951" s="157">
        <v>1730</v>
      </c>
      <c r="T1951" s="535"/>
      <c r="U1951" s="159">
        <f t="shared" si="107"/>
        <v>0</v>
      </c>
    </row>
    <row r="1952" spans="2:21" x14ac:dyDescent="0.2">
      <c r="B1952" s="8">
        <f t="shared" si="106"/>
        <v>55</v>
      </c>
      <c r="C1952" s="120"/>
      <c r="D1952" s="120"/>
      <c r="E1952" s="120"/>
      <c r="F1952" s="298"/>
      <c r="G1952" s="298"/>
      <c r="H1952" s="156" t="s">
        <v>369</v>
      </c>
      <c r="I1952" s="157"/>
      <c r="J1952" s="157"/>
      <c r="K1952" s="157"/>
      <c r="L1952" s="157"/>
      <c r="M1952" s="157"/>
      <c r="N1952" s="535"/>
      <c r="O1952" s="157"/>
      <c r="P1952" s="157">
        <v>20000</v>
      </c>
      <c r="Q1952" s="157">
        <v>20000</v>
      </c>
      <c r="R1952" s="158"/>
      <c r="S1952" s="157">
        <v>19895</v>
      </c>
      <c r="T1952" s="535"/>
      <c r="U1952" s="159">
        <f t="shared" si="107"/>
        <v>0</v>
      </c>
    </row>
    <row r="1953" spans="2:21" x14ac:dyDescent="0.2">
      <c r="B1953" s="8">
        <f t="shared" si="106"/>
        <v>56</v>
      </c>
      <c r="C1953" s="18"/>
      <c r="D1953" s="18"/>
      <c r="E1953" s="18"/>
      <c r="F1953" s="152"/>
      <c r="G1953" s="153">
        <v>717</v>
      </c>
      <c r="H1953" s="18" t="s">
        <v>192</v>
      </c>
      <c r="I1953" s="19"/>
      <c r="J1953" s="19"/>
      <c r="K1953" s="19"/>
      <c r="L1953" s="20"/>
      <c r="M1953" s="20"/>
      <c r="N1953" s="164"/>
      <c r="O1953" s="19">
        <f>SUM(O1955:O1959)</f>
        <v>4373300</v>
      </c>
      <c r="P1953" s="19">
        <f>SUM(P1955:P1959)</f>
        <v>3500000</v>
      </c>
      <c r="Q1953" s="19">
        <f>SUM(Q1955:Q1965)</f>
        <v>3506000</v>
      </c>
      <c r="R1953" s="20">
        <f>SUM(R1954:R1966)</f>
        <v>281552</v>
      </c>
      <c r="S1953" s="20">
        <f>SUM(S1954:S1966)</f>
        <v>304252</v>
      </c>
      <c r="T1953" s="164"/>
      <c r="U1953" s="154">
        <f t="shared" si="107"/>
        <v>4373300</v>
      </c>
    </row>
    <row r="1954" spans="2:21" x14ac:dyDescent="0.2">
      <c r="B1954" s="8">
        <f t="shared" si="106"/>
        <v>57</v>
      </c>
      <c r="C1954" s="18"/>
      <c r="D1954" s="18"/>
      <c r="E1954" s="18"/>
      <c r="F1954" s="152"/>
      <c r="G1954" s="153"/>
      <c r="H1954" s="156" t="s">
        <v>801</v>
      </c>
      <c r="I1954" s="19"/>
      <c r="J1954" s="19"/>
      <c r="K1954" s="19"/>
      <c r="L1954" s="19"/>
      <c r="M1954" s="19"/>
      <c r="N1954" s="164"/>
      <c r="O1954" s="19"/>
      <c r="P1954" s="19"/>
      <c r="Q1954" s="157"/>
      <c r="R1954" s="20">
        <v>26526</v>
      </c>
      <c r="S1954" s="19"/>
      <c r="T1954" s="164"/>
      <c r="U1954" s="154">
        <f t="shared" si="107"/>
        <v>0</v>
      </c>
    </row>
    <row r="1955" spans="2:21" x14ac:dyDescent="0.2">
      <c r="B1955" s="8">
        <f t="shared" si="106"/>
        <v>58</v>
      </c>
      <c r="C1955" s="120"/>
      <c r="D1955" s="120"/>
      <c r="E1955" s="120"/>
      <c r="F1955" s="298"/>
      <c r="G1955" s="298"/>
      <c r="H1955" s="156" t="s">
        <v>1070</v>
      </c>
      <c r="I1955" s="157"/>
      <c r="J1955" s="157"/>
      <c r="K1955" s="157"/>
      <c r="L1955" s="157"/>
      <c r="M1955" s="157"/>
      <c r="N1955" s="535"/>
      <c r="O1955" s="157">
        <v>4050000</v>
      </c>
      <c r="P1955" s="157">
        <v>3500000</v>
      </c>
      <c r="Q1955" s="157">
        <v>3500000</v>
      </c>
      <c r="R1955" s="158"/>
      <c r="S1955" s="157"/>
      <c r="T1955" s="535"/>
      <c r="U1955" s="159">
        <f t="shared" si="107"/>
        <v>4050000</v>
      </c>
    </row>
    <row r="1956" spans="2:21" x14ac:dyDescent="0.2">
      <c r="B1956" s="8">
        <f t="shared" si="106"/>
        <v>59</v>
      </c>
      <c r="C1956" s="120"/>
      <c r="D1956" s="120"/>
      <c r="E1956" s="120"/>
      <c r="F1956" s="298"/>
      <c r="G1956" s="298"/>
      <c r="H1956" s="156" t="s">
        <v>1072</v>
      </c>
      <c r="I1956" s="157"/>
      <c r="J1956" s="157"/>
      <c r="K1956" s="157"/>
      <c r="L1956" s="157"/>
      <c r="M1956" s="157"/>
      <c r="N1956" s="535"/>
      <c r="O1956" s="157">
        <v>300000</v>
      </c>
      <c r="P1956" s="157"/>
      <c r="Q1956" s="157"/>
      <c r="R1956" s="158"/>
      <c r="S1956" s="157"/>
      <c r="T1956" s="535"/>
      <c r="U1956" s="159"/>
    </row>
    <row r="1957" spans="2:21" x14ac:dyDescent="0.2">
      <c r="B1957" s="8">
        <f t="shared" si="106"/>
        <v>60</v>
      </c>
      <c r="C1957" s="120"/>
      <c r="D1957" s="120"/>
      <c r="E1957" s="120"/>
      <c r="F1957" s="298"/>
      <c r="G1957" s="298"/>
      <c r="H1957" s="156" t="s">
        <v>1090</v>
      </c>
      <c r="I1957" s="157"/>
      <c r="J1957" s="157"/>
      <c r="K1957" s="157"/>
      <c r="L1957" s="157"/>
      <c r="M1957" s="157"/>
      <c r="N1957" s="535"/>
      <c r="O1957" s="157">
        <v>3300</v>
      </c>
      <c r="P1957" s="157"/>
      <c r="Q1957" s="157"/>
      <c r="R1957" s="158"/>
      <c r="S1957" s="157"/>
      <c r="T1957" s="535"/>
      <c r="U1957" s="159"/>
    </row>
    <row r="1958" spans="2:21" x14ac:dyDescent="0.2">
      <c r="B1958" s="8"/>
      <c r="C1958" s="120"/>
      <c r="D1958" s="120"/>
      <c r="E1958" s="120"/>
      <c r="F1958" s="298"/>
      <c r="G1958" s="298"/>
      <c r="H1958" s="156" t="s">
        <v>1172</v>
      </c>
      <c r="I1958" s="157"/>
      <c r="J1958" s="157"/>
      <c r="K1958" s="157"/>
      <c r="L1958" s="157"/>
      <c r="M1958" s="157"/>
      <c r="N1958" s="535"/>
      <c r="O1958" s="157">
        <v>20000</v>
      </c>
      <c r="P1958" s="157"/>
      <c r="Q1958" s="157"/>
      <c r="R1958" s="158"/>
      <c r="S1958" s="157"/>
      <c r="T1958" s="535"/>
      <c r="U1958" s="159"/>
    </row>
    <row r="1959" spans="2:21" x14ac:dyDescent="0.2">
      <c r="B1959" s="8">
        <f>B1957+1</f>
        <v>61</v>
      </c>
      <c r="C1959" s="120"/>
      <c r="D1959" s="120"/>
      <c r="E1959" s="120"/>
      <c r="F1959" s="298"/>
      <c r="G1959" s="298"/>
      <c r="H1959" s="156" t="s">
        <v>311</v>
      </c>
      <c r="I1959" s="157"/>
      <c r="J1959" s="157"/>
      <c r="K1959" s="157"/>
      <c r="L1959" s="157"/>
      <c r="M1959" s="157"/>
      <c r="N1959" s="535"/>
      <c r="O1959" s="157"/>
      <c r="P1959" s="157"/>
      <c r="Q1959" s="157"/>
      <c r="R1959" s="158"/>
      <c r="S1959" s="157">
        <v>14900</v>
      </c>
      <c r="T1959" s="535"/>
      <c r="U1959" s="159">
        <f t="shared" ref="U1959:U2007" si="108">I1959+O1959</f>
        <v>0</v>
      </c>
    </row>
    <row r="1960" spans="2:21" x14ac:dyDescent="0.2">
      <c r="B1960" s="8">
        <f t="shared" si="106"/>
        <v>62</v>
      </c>
      <c r="C1960" s="120"/>
      <c r="D1960" s="120"/>
      <c r="E1960" s="120"/>
      <c r="F1960" s="298"/>
      <c r="G1960" s="298"/>
      <c r="H1960" s="156" t="s">
        <v>301</v>
      </c>
      <c r="I1960" s="157"/>
      <c r="J1960" s="157"/>
      <c r="K1960" s="157"/>
      <c r="L1960" s="157"/>
      <c r="M1960" s="157"/>
      <c r="N1960" s="535"/>
      <c r="O1960" s="157"/>
      <c r="P1960" s="157"/>
      <c r="Q1960" s="157"/>
      <c r="R1960" s="158">
        <v>89862</v>
      </c>
      <c r="S1960" s="157">
        <v>279096</v>
      </c>
      <c r="T1960" s="535"/>
      <c r="U1960" s="159">
        <f t="shared" si="108"/>
        <v>0</v>
      </c>
    </row>
    <row r="1961" spans="2:21" x14ac:dyDescent="0.2">
      <c r="B1961" s="8">
        <f t="shared" si="106"/>
        <v>63</v>
      </c>
      <c r="C1961" s="120"/>
      <c r="D1961" s="120"/>
      <c r="E1961" s="120"/>
      <c r="F1961" s="298"/>
      <c r="G1961" s="298"/>
      <c r="H1961" s="156" t="s">
        <v>741</v>
      </c>
      <c r="I1961" s="157"/>
      <c r="J1961" s="157"/>
      <c r="K1961" s="157"/>
      <c r="L1961" s="157"/>
      <c r="M1961" s="157"/>
      <c r="N1961" s="535"/>
      <c r="O1961" s="157"/>
      <c r="P1961" s="157"/>
      <c r="Q1961" s="157"/>
      <c r="R1961" s="158">
        <v>51192</v>
      </c>
      <c r="S1961" s="157"/>
      <c r="T1961" s="535"/>
      <c r="U1961" s="159">
        <f t="shared" si="108"/>
        <v>0</v>
      </c>
    </row>
    <row r="1962" spans="2:21" x14ac:dyDescent="0.2">
      <c r="B1962" s="8">
        <f t="shared" si="106"/>
        <v>64</v>
      </c>
      <c r="C1962" s="120"/>
      <c r="D1962" s="120"/>
      <c r="E1962" s="120"/>
      <c r="F1962" s="298"/>
      <c r="G1962" s="298"/>
      <c r="H1962" s="156" t="s">
        <v>369</v>
      </c>
      <c r="I1962" s="157"/>
      <c r="J1962" s="157"/>
      <c r="K1962" s="157"/>
      <c r="L1962" s="157"/>
      <c r="M1962" s="157"/>
      <c r="N1962" s="535"/>
      <c r="O1962" s="157"/>
      <c r="P1962" s="157"/>
      <c r="Q1962" s="157"/>
      <c r="R1962" s="158"/>
      <c r="S1962" s="157">
        <v>240</v>
      </c>
      <c r="T1962" s="535"/>
      <c r="U1962" s="159">
        <f t="shared" si="108"/>
        <v>0</v>
      </c>
    </row>
    <row r="1963" spans="2:21" x14ac:dyDescent="0.2">
      <c r="B1963" s="8">
        <f t="shared" si="106"/>
        <v>65</v>
      </c>
      <c r="C1963" s="120"/>
      <c r="D1963" s="120"/>
      <c r="E1963" s="120"/>
      <c r="F1963" s="298"/>
      <c r="G1963" s="298"/>
      <c r="H1963" s="156" t="s">
        <v>370</v>
      </c>
      <c r="I1963" s="157"/>
      <c r="J1963" s="157"/>
      <c r="K1963" s="157"/>
      <c r="L1963" s="157"/>
      <c r="M1963" s="157"/>
      <c r="N1963" s="535"/>
      <c r="O1963" s="157"/>
      <c r="P1963" s="157"/>
      <c r="Q1963" s="157"/>
      <c r="R1963" s="158">
        <v>43002</v>
      </c>
      <c r="S1963" s="157">
        <v>5030</v>
      </c>
      <c r="T1963" s="535"/>
      <c r="U1963" s="159">
        <f t="shared" si="108"/>
        <v>0</v>
      </c>
    </row>
    <row r="1964" spans="2:21" x14ac:dyDescent="0.2">
      <c r="B1964" s="8">
        <f t="shared" si="106"/>
        <v>66</v>
      </c>
      <c r="C1964" s="120"/>
      <c r="D1964" s="120"/>
      <c r="E1964" s="120"/>
      <c r="F1964" s="298"/>
      <c r="G1964" s="298"/>
      <c r="H1964" s="156" t="s">
        <v>371</v>
      </c>
      <c r="I1964" s="157"/>
      <c r="J1964" s="157"/>
      <c r="K1964" s="157"/>
      <c r="L1964" s="157"/>
      <c r="M1964" s="157"/>
      <c r="N1964" s="535"/>
      <c r="O1964" s="157"/>
      <c r="P1964" s="157"/>
      <c r="Q1964" s="157"/>
      <c r="R1964" s="158"/>
      <c r="S1964" s="157">
        <v>4986</v>
      </c>
      <c r="T1964" s="535"/>
      <c r="U1964" s="159">
        <f t="shared" si="108"/>
        <v>0</v>
      </c>
    </row>
    <row r="1965" spans="2:21" x14ac:dyDescent="0.2">
      <c r="B1965" s="8">
        <f t="shared" si="106"/>
        <v>67</v>
      </c>
      <c r="C1965" s="120"/>
      <c r="D1965" s="120"/>
      <c r="E1965" s="120"/>
      <c r="F1965" s="298"/>
      <c r="G1965" s="298"/>
      <c r="H1965" s="156" t="s">
        <v>1025</v>
      </c>
      <c r="I1965" s="157"/>
      <c r="J1965" s="157"/>
      <c r="K1965" s="157"/>
      <c r="L1965" s="157"/>
      <c r="M1965" s="157"/>
      <c r="N1965" s="535"/>
      <c r="O1965" s="157"/>
      <c r="P1965" s="157"/>
      <c r="Q1965" s="157">
        <v>6000</v>
      </c>
      <c r="R1965" s="158"/>
      <c r="S1965" s="157"/>
      <c r="T1965" s="535"/>
      <c r="U1965" s="159">
        <f t="shared" si="108"/>
        <v>0</v>
      </c>
    </row>
    <row r="1966" spans="2:21" x14ac:dyDescent="0.2">
      <c r="B1966" s="8">
        <f t="shared" si="106"/>
        <v>68</v>
      </c>
      <c r="C1966" s="120"/>
      <c r="D1966" s="120"/>
      <c r="E1966" s="120"/>
      <c r="F1966" s="298"/>
      <c r="G1966" s="298"/>
      <c r="H1966" s="156" t="s">
        <v>742</v>
      </c>
      <c r="I1966" s="158"/>
      <c r="J1966" s="158"/>
      <c r="K1966" s="157"/>
      <c r="L1966" s="158"/>
      <c r="M1966" s="158"/>
      <c r="N1966" s="541"/>
      <c r="O1966" s="158"/>
      <c r="P1966" s="158"/>
      <c r="Q1966" s="158"/>
      <c r="R1966" s="158">
        <v>70970</v>
      </c>
      <c r="S1966" s="158"/>
      <c r="T1966" s="541"/>
      <c r="U1966" s="181">
        <f t="shared" si="108"/>
        <v>0</v>
      </c>
    </row>
    <row r="1967" spans="2:21" ht="15.75" x14ac:dyDescent="0.25">
      <c r="B1967" s="8">
        <f>B1966+1</f>
        <v>69</v>
      </c>
      <c r="C1967" s="141"/>
      <c r="D1967" s="677" t="s">
        <v>2</v>
      </c>
      <c r="E1967" s="678"/>
      <c r="F1967" s="678"/>
      <c r="G1967" s="678"/>
      <c r="H1967" s="678"/>
      <c r="I1967" s="142">
        <f>I1968</f>
        <v>0</v>
      </c>
      <c r="J1967" s="142">
        <v>0</v>
      </c>
      <c r="K1967" s="427">
        <v>0</v>
      </c>
      <c r="L1967" s="143"/>
      <c r="M1967" s="143"/>
      <c r="N1967" s="533"/>
      <c r="O1967" s="142"/>
      <c r="P1967" s="142">
        <f t="shared" ref="P1967:S1968" si="109">P1968</f>
        <v>18320</v>
      </c>
      <c r="Q1967" s="142">
        <f t="shared" si="109"/>
        <v>18320</v>
      </c>
      <c r="R1967" s="143">
        <f t="shared" si="109"/>
        <v>18311</v>
      </c>
      <c r="S1967" s="143">
        <f t="shared" si="109"/>
        <v>18311</v>
      </c>
      <c r="T1967" s="533"/>
      <c r="U1967" s="144">
        <f t="shared" si="108"/>
        <v>0</v>
      </c>
    </row>
    <row r="1968" spans="2:21" x14ac:dyDescent="0.2">
      <c r="B1968" s="8">
        <f>B1967+1</f>
        <v>70</v>
      </c>
      <c r="C1968" s="24"/>
      <c r="D1968" s="24"/>
      <c r="E1968" s="24"/>
      <c r="F1968" s="149" t="s">
        <v>80</v>
      </c>
      <c r="G1968" s="150">
        <v>710</v>
      </c>
      <c r="H1968" s="24" t="s">
        <v>185</v>
      </c>
      <c r="I1968" s="25"/>
      <c r="J1968" s="25"/>
      <c r="K1968" s="25"/>
      <c r="L1968" s="26"/>
      <c r="M1968" s="26"/>
      <c r="N1968" s="501"/>
      <c r="O1968" s="25"/>
      <c r="P1968" s="25">
        <f t="shared" si="109"/>
        <v>18320</v>
      </c>
      <c r="Q1968" s="25">
        <f t="shared" si="109"/>
        <v>18320</v>
      </c>
      <c r="R1968" s="26">
        <f t="shared" si="109"/>
        <v>18311</v>
      </c>
      <c r="S1968" s="26">
        <f t="shared" si="109"/>
        <v>18311</v>
      </c>
      <c r="T1968" s="501"/>
      <c r="U1968" s="151">
        <f t="shared" si="108"/>
        <v>0</v>
      </c>
    </row>
    <row r="1969" spans="2:21" x14ac:dyDescent="0.2">
      <c r="B1969" s="8">
        <f>B1968+1</f>
        <v>71</v>
      </c>
      <c r="C1969" s="18"/>
      <c r="D1969" s="18"/>
      <c r="E1969" s="18"/>
      <c r="F1969" s="152"/>
      <c r="G1969" s="153">
        <v>717</v>
      </c>
      <c r="H1969" s="18" t="s">
        <v>192</v>
      </c>
      <c r="I1969" s="19"/>
      <c r="J1969" s="19"/>
      <c r="K1969" s="19"/>
      <c r="L1969" s="20"/>
      <c r="M1969" s="20"/>
      <c r="N1969" s="164"/>
      <c r="O1969" s="19"/>
      <c r="P1969" s="19">
        <v>18320</v>
      </c>
      <c r="Q1969" s="19">
        <v>18320</v>
      </c>
      <c r="R1969" s="20">
        <v>18311</v>
      </c>
      <c r="S1969" s="20">
        <v>18311</v>
      </c>
      <c r="T1969" s="164"/>
      <c r="U1969" s="154">
        <f t="shared" si="108"/>
        <v>0</v>
      </c>
    </row>
    <row r="1970" spans="2:21" ht="15.75" x14ac:dyDescent="0.25">
      <c r="B1970" s="8">
        <f>B1969+1</f>
        <v>72</v>
      </c>
      <c r="C1970" s="141">
        <v>4</v>
      </c>
      <c r="D1970" s="716" t="s">
        <v>1080</v>
      </c>
      <c r="E1970" s="717"/>
      <c r="F1970" s="717"/>
      <c r="G1970" s="717"/>
      <c r="H1970" s="717"/>
      <c r="I1970" s="142">
        <f>I1971+I1972+I1973+I1979+I1980+I1981+I1982+I1983</f>
        <v>776300</v>
      </c>
      <c r="J1970" s="142">
        <f>J1973+J1971+J1972</f>
        <v>1012151</v>
      </c>
      <c r="K1970" s="142">
        <f>K1973+K1971+K1972+K1979+K1980+K1981+K1982+K1983</f>
        <v>1022351</v>
      </c>
      <c r="L1970" s="143">
        <f>L1971+L1972+L1973+L1979</f>
        <v>181158</v>
      </c>
      <c r="M1970" s="143">
        <f>SUM(M1971:M1973)</f>
        <v>111992</v>
      </c>
      <c r="N1970" s="533"/>
      <c r="O1970" s="142">
        <f>O1984</f>
        <v>3707839</v>
      </c>
      <c r="P1970" s="142">
        <f>P1984</f>
        <v>9434287</v>
      </c>
      <c r="Q1970" s="142">
        <f>Q1984</f>
        <v>9501587</v>
      </c>
      <c r="R1970" s="143">
        <f>R1999+R2001+R2003</f>
        <v>1994007</v>
      </c>
      <c r="S1970" s="143">
        <f>S1984</f>
        <v>584711</v>
      </c>
      <c r="T1970" s="533"/>
      <c r="U1970" s="144">
        <f t="shared" si="108"/>
        <v>4484139</v>
      </c>
    </row>
    <row r="1971" spans="2:21" x14ac:dyDescent="0.2">
      <c r="B1971" s="8">
        <f>B1970+1</f>
        <v>73</v>
      </c>
      <c r="C1971" s="24"/>
      <c r="D1971" s="24"/>
      <c r="E1971" s="24"/>
      <c r="F1971" s="149" t="s">
        <v>80</v>
      </c>
      <c r="G1971" s="150">
        <v>610</v>
      </c>
      <c r="H1971" s="24" t="s">
        <v>141</v>
      </c>
      <c r="I1971" s="25">
        <f>310000-31000</f>
        <v>279000</v>
      </c>
      <c r="J1971" s="25">
        <v>350000</v>
      </c>
      <c r="K1971" s="25">
        <v>350000</v>
      </c>
      <c r="L1971" s="26">
        <v>129536</v>
      </c>
      <c r="M1971" s="26">
        <v>82415</v>
      </c>
      <c r="N1971" s="501"/>
      <c r="O1971" s="25"/>
      <c r="P1971" s="25"/>
      <c r="Q1971" s="25"/>
      <c r="R1971" s="26"/>
      <c r="S1971" s="26"/>
      <c r="T1971" s="501"/>
      <c r="U1971" s="151">
        <f t="shared" si="108"/>
        <v>279000</v>
      </c>
    </row>
    <row r="1972" spans="2:21" x14ac:dyDescent="0.2">
      <c r="B1972" s="8">
        <f t="shared" ref="B1972:B2018" si="110">B1971+1</f>
        <v>74</v>
      </c>
      <c r="C1972" s="18"/>
      <c r="D1972" s="18"/>
      <c r="E1972" s="18"/>
      <c r="F1972" s="149" t="s">
        <v>80</v>
      </c>
      <c r="G1972" s="150">
        <v>620</v>
      </c>
      <c r="H1972" s="24" t="s">
        <v>134</v>
      </c>
      <c r="I1972" s="25">
        <f>146000-29000-11700</f>
        <v>105300</v>
      </c>
      <c r="J1972" s="25">
        <v>130000</v>
      </c>
      <c r="K1972" s="25">
        <v>123000</v>
      </c>
      <c r="L1972" s="26">
        <v>44543</v>
      </c>
      <c r="M1972" s="26">
        <v>28276</v>
      </c>
      <c r="N1972" s="164"/>
      <c r="O1972" s="19"/>
      <c r="P1972" s="19"/>
      <c r="Q1972" s="19"/>
      <c r="R1972" s="20"/>
      <c r="S1972" s="20"/>
      <c r="T1972" s="164"/>
      <c r="U1972" s="154">
        <f t="shared" si="108"/>
        <v>105300</v>
      </c>
    </row>
    <row r="1973" spans="2:21" x14ac:dyDescent="0.2">
      <c r="B1973" s="8">
        <f t="shared" si="110"/>
        <v>75</v>
      </c>
      <c r="C1973" s="24"/>
      <c r="D1973" s="24"/>
      <c r="E1973" s="24"/>
      <c r="F1973" s="149" t="s">
        <v>80</v>
      </c>
      <c r="G1973" s="150">
        <v>630</v>
      </c>
      <c r="H1973" s="24" t="s">
        <v>131</v>
      </c>
      <c r="I1973" s="296">
        <f>SUM(I1974:I1978)</f>
        <v>383000</v>
      </c>
      <c r="J1973" s="25">
        <f>SUM(J1978:J1983)</f>
        <v>532151</v>
      </c>
      <c r="K1973" s="25">
        <f>SUM(K1975:K1978)</f>
        <v>326060</v>
      </c>
      <c r="L1973" s="26">
        <v>3077</v>
      </c>
      <c r="M1973" s="26">
        <f>M1978</f>
        <v>1301</v>
      </c>
      <c r="N1973" s="501"/>
      <c r="O1973" s="25"/>
      <c r="P1973" s="25"/>
      <c r="Q1973" s="25"/>
      <c r="R1973" s="26"/>
      <c r="S1973" s="26"/>
      <c r="T1973" s="501"/>
      <c r="U1973" s="151">
        <f t="shared" si="108"/>
        <v>383000</v>
      </c>
    </row>
    <row r="1974" spans="2:21" x14ac:dyDescent="0.2">
      <c r="B1974" s="8">
        <f t="shared" si="110"/>
        <v>76</v>
      </c>
      <c r="C1974" s="18"/>
      <c r="D1974" s="18"/>
      <c r="E1974" s="18"/>
      <c r="F1974" s="152"/>
      <c r="G1974" s="444">
        <v>632</v>
      </c>
      <c r="H1974" s="445" t="s">
        <v>144</v>
      </c>
      <c r="I1974" s="448">
        <v>100000</v>
      </c>
      <c r="J1974" s="164"/>
      <c r="K1974" s="164"/>
      <c r="L1974" s="446"/>
      <c r="M1974" s="446"/>
      <c r="N1974" s="164"/>
      <c r="O1974" s="164"/>
      <c r="P1974" s="164"/>
      <c r="Q1974" s="164"/>
      <c r="R1974" s="446"/>
      <c r="S1974" s="446"/>
      <c r="T1974" s="164"/>
      <c r="U1974" s="447">
        <f t="shared" si="108"/>
        <v>100000</v>
      </c>
    </row>
    <row r="1975" spans="2:21" x14ac:dyDescent="0.2">
      <c r="B1975" s="8">
        <f t="shared" si="110"/>
        <v>77</v>
      </c>
      <c r="C1975" s="18"/>
      <c r="D1975" s="18"/>
      <c r="E1975" s="18"/>
      <c r="F1975" s="152"/>
      <c r="G1975" s="153">
        <v>633</v>
      </c>
      <c r="H1975" s="18" t="s">
        <v>135</v>
      </c>
      <c r="I1975" s="19">
        <v>54000</v>
      </c>
      <c r="J1975" s="19"/>
      <c r="K1975" s="19">
        <v>36500</v>
      </c>
      <c r="L1975" s="20"/>
      <c r="M1975" s="20"/>
      <c r="N1975" s="164"/>
      <c r="O1975" s="19"/>
      <c r="P1975" s="19"/>
      <c r="Q1975" s="19"/>
      <c r="R1975" s="20"/>
      <c r="S1975" s="20"/>
      <c r="T1975" s="164"/>
      <c r="U1975" s="154">
        <f t="shared" si="108"/>
        <v>54000</v>
      </c>
    </row>
    <row r="1976" spans="2:21" x14ac:dyDescent="0.2">
      <c r="B1976" s="8">
        <f t="shared" si="110"/>
        <v>78</v>
      </c>
      <c r="C1976" s="18"/>
      <c r="D1976" s="18"/>
      <c r="E1976" s="18"/>
      <c r="F1976" s="152"/>
      <c r="G1976" s="153">
        <v>634</v>
      </c>
      <c r="H1976" s="18" t="s">
        <v>142</v>
      </c>
      <c r="I1976" s="19"/>
      <c r="J1976" s="19"/>
      <c r="K1976" s="19">
        <v>4700</v>
      </c>
      <c r="L1976" s="20"/>
      <c r="M1976" s="20"/>
      <c r="N1976" s="164"/>
      <c r="O1976" s="19"/>
      <c r="P1976" s="19"/>
      <c r="Q1976" s="19"/>
      <c r="R1976" s="20"/>
      <c r="S1976" s="20"/>
      <c r="T1976" s="164"/>
      <c r="U1976" s="154">
        <f t="shared" si="108"/>
        <v>0</v>
      </c>
    </row>
    <row r="1977" spans="2:21" x14ac:dyDescent="0.2">
      <c r="B1977" s="8">
        <f t="shared" si="110"/>
        <v>79</v>
      </c>
      <c r="C1977" s="18"/>
      <c r="D1977" s="18"/>
      <c r="E1977" s="18"/>
      <c r="F1977" s="152"/>
      <c r="G1977" s="153">
        <v>635</v>
      </c>
      <c r="H1977" s="18" t="s">
        <v>143</v>
      </c>
      <c r="I1977" s="19">
        <v>4000</v>
      </c>
      <c r="J1977" s="19"/>
      <c r="K1977" s="19"/>
      <c r="L1977" s="20"/>
      <c r="M1977" s="20"/>
      <c r="N1977" s="164"/>
      <c r="O1977" s="19"/>
      <c r="P1977" s="19"/>
      <c r="Q1977" s="19"/>
      <c r="R1977" s="20"/>
      <c r="S1977" s="20"/>
      <c r="T1977" s="164"/>
      <c r="U1977" s="154">
        <f t="shared" si="108"/>
        <v>4000</v>
      </c>
    </row>
    <row r="1978" spans="2:21" x14ac:dyDescent="0.2">
      <c r="B1978" s="8">
        <f t="shared" si="110"/>
        <v>80</v>
      </c>
      <c r="C1978" s="18"/>
      <c r="D1978" s="18"/>
      <c r="E1978" s="18"/>
      <c r="F1978" s="152"/>
      <c r="G1978" s="153">
        <v>637</v>
      </c>
      <c r="H1978" s="18" t="s">
        <v>132</v>
      </c>
      <c r="I1978" s="19">
        <f>500000-150000-25000-100000</f>
        <v>225000</v>
      </c>
      <c r="J1978" s="19">
        <v>315860</v>
      </c>
      <c r="K1978" s="19">
        <v>284860</v>
      </c>
      <c r="L1978" s="20"/>
      <c r="M1978" s="20">
        <v>1301</v>
      </c>
      <c r="N1978" s="164"/>
      <c r="O1978" s="19"/>
      <c r="P1978" s="19"/>
      <c r="Q1978" s="19"/>
      <c r="R1978" s="20"/>
      <c r="S1978" s="20"/>
      <c r="T1978" s="164"/>
      <c r="U1978" s="154">
        <f t="shared" si="108"/>
        <v>225000</v>
      </c>
    </row>
    <row r="1979" spans="2:21" x14ac:dyDescent="0.2">
      <c r="B1979" s="8">
        <f t="shared" si="110"/>
        <v>81</v>
      </c>
      <c r="C1979" s="24"/>
      <c r="D1979" s="24"/>
      <c r="E1979" s="24"/>
      <c r="F1979" s="149" t="s">
        <v>80</v>
      </c>
      <c r="G1979" s="150">
        <v>640</v>
      </c>
      <c r="H1979" s="24" t="s">
        <v>139</v>
      </c>
      <c r="I1979" s="296">
        <f>8000+1000</f>
        <v>9000</v>
      </c>
      <c r="J1979" s="25"/>
      <c r="K1979" s="25">
        <v>7000</v>
      </c>
      <c r="L1979" s="26">
        <v>4002</v>
      </c>
      <c r="M1979" s="26"/>
      <c r="N1979" s="501"/>
      <c r="O1979" s="25"/>
      <c r="P1979" s="25"/>
      <c r="Q1979" s="25"/>
      <c r="R1979" s="26"/>
      <c r="S1979" s="26"/>
      <c r="T1979" s="501"/>
      <c r="U1979" s="151">
        <f t="shared" si="108"/>
        <v>9000</v>
      </c>
    </row>
    <row r="1980" spans="2:21" x14ac:dyDescent="0.2">
      <c r="B1980" s="8">
        <f t="shared" si="110"/>
        <v>82</v>
      </c>
      <c r="C1980" s="18"/>
      <c r="D1980" s="18"/>
      <c r="E1980" s="18"/>
      <c r="F1980" s="152"/>
      <c r="G1980" s="153">
        <v>630</v>
      </c>
      <c r="H1980" s="18" t="s">
        <v>925</v>
      </c>
      <c r="I1980" s="19"/>
      <c r="J1980" s="19">
        <v>76037</v>
      </c>
      <c r="K1980" s="19">
        <v>73397</v>
      </c>
      <c r="L1980" s="20"/>
      <c r="M1980" s="20"/>
      <c r="N1980" s="164"/>
      <c r="O1980" s="19"/>
      <c r="P1980" s="19"/>
      <c r="Q1980" s="19"/>
      <c r="R1980" s="20"/>
      <c r="S1980" s="20"/>
      <c r="T1980" s="164"/>
      <c r="U1980" s="154">
        <f t="shared" si="108"/>
        <v>0</v>
      </c>
    </row>
    <row r="1981" spans="2:21" x14ac:dyDescent="0.2">
      <c r="B1981" s="8">
        <f t="shared" si="110"/>
        <v>83</v>
      </c>
      <c r="C1981" s="18"/>
      <c r="D1981" s="18"/>
      <c r="E1981" s="18"/>
      <c r="F1981" s="152"/>
      <c r="G1981" s="153">
        <v>630</v>
      </c>
      <c r="H1981" s="18" t="s">
        <v>926</v>
      </c>
      <c r="I1981" s="19"/>
      <c r="J1981" s="19">
        <v>8914</v>
      </c>
      <c r="K1981" s="19">
        <v>9180</v>
      </c>
      <c r="L1981" s="20"/>
      <c r="M1981" s="20"/>
      <c r="N1981" s="164"/>
      <c r="O1981" s="19"/>
      <c r="P1981" s="19"/>
      <c r="Q1981" s="19"/>
      <c r="R1981" s="20"/>
      <c r="S1981" s="20"/>
      <c r="T1981" s="164"/>
      <c r="U1981" s="154">
        <f t="shared" si="108"/>
        <v>0</v>
      </c>
    </row>
    <row r="1982" spans="2:21" x14ac:dyDescent="0.2">
      <c r="B1982" s="8">
        <f t="shared" si="110"/>
        <v>84</v>
      </c>
      <c r="C1982" s="18"/>
      <c r="D1982" s="18"/>
      <c r="E1982" s="18"/>
      <c r="F1982" s="152"/>
      <c r="G1982" s="153">
        <v>630</v>
      </c>
      <c r="H1982" s="18" t="s">
        <v>927</v>
      </c>
      <c r="I1982" s="19"/>
      <c r="J1982" s="19">
        <v>75720</v>
      </c>
      <c r="K1982" s="19">
        <v>78094</v>
      </c>
      <c r="L1982" s="20"/>
      <c r="M1982" s="20"/>
      <c r="N1982" s="164"/>
      <c r="O1982" s="19"/>
      <c r="P1982" s="19"/>
      <c r="Q1982" s="19"/>
      <c r="R1982" s="20"/>
      <c r="S1982" s="20"/>
      <c r="T1982" s="164"/>
      <c r="U1982" s="154">
        <f t="shared" si="108"/>
        <v>0</v>
      </c>
    </row>
    <row r="1983" spans="2:21" x14ac:dyDescent="0.2">
      <c r="B1983" s="8">
        <f t="shared" si="110"/>
        <v>85</v>
      </c>
      <c r="C1983" s="18"/>
      <c r="D1983" s="18"/>
      <c r="E1983" s="18"/>
      <c r="F1983" s="152"/>
      <c r="G1983" s="153">
        <v>630</v>
      </c>
      <c r="H1983" s="18" t="s">
        <v>928</v>
      </c>
      <c r="I1983" s="19"/>
      <c r="J1983" s="19">
        <v>55620</v>
      </c>
      <c r="K1983" s="19">
        <v>55620</v>
      </c>
      <c r="L1983" s="20"/>
      <c r="M1983" s="20"/>
      <c r="N1983" s="164"/>
      <c r="O1983" s="19"/>
      <c r="P1983" s="19"/>
      <c r="Q1983" s="19"/>
      <c r="R1983" s="20"/>
      <c r="S1983" s="20"/>
      <c r="T1983" s="164"/>
      <c r="U1983" s="154">
        <f t="shared" si="108"/>
        <v>0</v>
      </c>
    </row>
    <row r="1984" spans="2:21" x14ac:dyDescent="0.2">
      <c r="B1984" s="8">
        <f t="shared" si="110"/>
        <v>86</v>
      </c>
      <c r="C1984" s="24"/>
      <c r="D1984" s="24"/>
      <c r="E1984" s="24"/>
      <c r="F1984" s="149" t="s">
        <v>80</v>
      </c>
      <c r="G1984" s="150">
        <v>710</v>
      </c>
      <c r="H1984" s="24" t="s">
        <v>185</v>
      </c>
      <c r="I1984" s="25"/>
      <c r="J1984" s="25"/>
      <c r="K1984" s="25"/>
      <c r="L1984" s="26"/>
      <c r="M1984" s="26"/>
      <c r="N1984" s="501"/>
      <c r="O1984" s="25">
        <f>O1985+O1988+O1999+O2001+O2003</f>
        <v>3707839</v>
      </c>
      <c r="P1984" s="25">
        <f>P1985+P1988+P1999+P2001+P2003</f>
        <v>9434287</v>
      </c>
      <c r="Q1984" s="25">
        <f>Q1985+Q1988+Q2001+Q2003</f>
        <v>9501587</v>
      </c>
      <c r="R1984" s="26">
        <f>R2003</f>
        <v>1932537</v>
      </c>
      <c r="S1984" s="26">
        <f>S2003</f>
        <v>584711</v>
      </c>
      <c r="T1984" s="501"/>
      <c r="U1984" s="151">
        <f t="shared" si="108"/>
        <v>3707839</v>
      </c>
    </row>
    <row r="1985" spans="2:21" x14ac:dyDescent="0.2">
      <c r="B1985" s="8">
        <f t="shared" si="110"/>
        <v>87</v>
      </c>
      <c r="C1985" s="24"/>
      <c r="D1985" s="24"/>
      <c r="E1985" s="24"/>
      <c r="F1985" s="149"/>
      <c r="G1985" s="153">
        <v>711</v>
      </c>
      <c r="H1985" s="18" t="s">
        <v>219</v>
      </c>
      <c r="I1985" s="19"/>
      <c r="J1985" s="19"/>
      <c r="K1985" s="19"/>
      <c r="L1985" s="20"/>
      <c r="M1985" s="20"/>
      <c r="N1985" s="164"/>
      <c r="O1985" s="19"/>
      <c r="P1985" s="19">
        <f>P1986+P1987</f>
        <v>55200</v>
      </c>
      <c r="Q1985" s="19">
        <f>Q1986+Q1987</f>
        <v>52700</v>
      </c>
      <c r="R1985" s="26"/>
      <c r="S1985" s="26"/>
      <c r="T1985" s="501"/>
      <c r="U1985" s="151">
        <f t="shared" si="108"/>
        <v>0</v>
      </c>
    </row>
    <row r="1986" spans="2:21" x14ac:dyDescent="0.2">
      <c r="B1986" s="8">
        <f t="shared" si="110"/>
        <v>88</v>
      </c>
      <c r="C1986" s="24"/>
      <c r="D1986" s="24"/>
      <c r="E1986" s="24"/>
      <c r="F1986" s="149"/>
      <c r="G1986" s="298"/>
      <c r="H1986" s="156" t="s">
        <v>823</v>
      </c>
      <c r="I1986" s="157"/>
      <c r="J1986" s="157"/>
      <c r="K1986" s="157"/>
      <c r="L1986" s="157"/>
      <c r="M1986" s="157"/>
      <c r="N1986" s="535"/>
      <c r="O1986" s="157"/>
      <c r="P1986" s="157">
        <v>8400</v>
      </c>
      <c r="Q1986" s="157">
        <v>8400</v>
      </c>
      <c r="R1986" s="158"/>
      <c r="S1986" s="157"/>
      <c r="T1986" s="535"/>
      <c r="U1986" s="159">
        <f t="shared" si="108"/>
        <v>0</v>
      </c>
    </row>
    <row r="1987" spans="2:21" x14ac:dyDescent="0.2">
      <c r="B1987" s="8">
        <f t="shared" si="110"/>
        <v>89</v>
      </c>
      <c r="C1987" s="24"/>
      <c r="D1987" s="24"/>
      <c r="E1987" s="24"/>
      <c r="F1987" s="149"/>
      <c r="G1987" s="298"/>
      <c r="H1987" s="156" t="s">
        <v>824</v>
      </c>
      <c r="I1987" s="157"/>
      <c r="J1987" s="157"/>
      <c r="K1987" s="157"/>
      <c r="L1987" s="157"/>
      <c r="M1987" s="157"/>
      <c r="N1987" s="535"/>
      <c r="O1987" s="157"/>
      <c r="P1987" s="157">
        <v>46800</v>
      </c>
      <c r="Q1987" s="157">
        <v>44300</v>
      </c>
      <c r="R1987" s="158"/>
      <c r="S1987" s="157"/>
      <c r="T1987" s="535"/>
      <c r="U1987" s="159">
        <f t="shared" si="108"/>
        <v>0</v>
      </c>
    </row>
    <row r="1988" spans="2:21" x14ac:dyDescent="0.2">
      <c r="B1988" s="8">
        <f t="shared" si="110"/>
        <v>90</v>
      </c>
      <c r="C1988" s="24"/>
      <c r="D1988" s="24"/>
      <c r="E1988" s="24"/>
      <c r="F1988" s="149"/>
      <c r="G1988" s="153">
        <v>713</v>
      </c>
      <c r="H1988" s="18" t="s">
        <v>230</v>
      </c>
      <c r="I1988" s="19"/>
      <c r="J1988" s="19"/>
      <c r="K1988" s="19"/>
      <c r="L1988" s="20"/>
      <c r="M1988" s="20"/>
      <c r="N1988" s="164"/>
      <c r="O1988" s="19">
        <f>SUM(O1989:O1998)</f>
        <v>14860</v>
      </c>
      <c r="P1988" s="19">
        <f>SUM(P1989:P1997)</f>
        <v>3062330</v>
      </c>
      <c r="Q1988" s="19">
        <f>SUM(Q1989:Q1998)</f>
        <v>3102630</v>
      </c>
      <c r="R1988" s="26"/>
      <c r="S1988" s="26"/>
      <c r="T1988" s="501"/>
      <c r="U1988" s="151">
        <f t="shared" si="108"/>
        <v>14860</v>
      </c>
    </row>
    <row r="1989" spans="2:21" x14ac:dyDescent="0.2">
      <c r="B1989" s="8">
        <f t="shared" si="110"/>
        <v>91</v>
      </c>
      <c r="C1989" s="24"/>
      <c r="D1989" s="24"/>
      <c r="E1989" s="24"/>
      <c r="F1989" s="149"/>
      <c r="G1989" s="298"/>
      <c r="H1989" s="156" t="s">
        <v>819</v>
      </c>
      <c r="I1989" s="157"/>
      <c r="J1989" s="157"/>
      <c r="K1989" s="157"/>
      <c r="L1989" s="157"/>
      <c r="M1989" s="157"/>
      <c r="N1989" s="535"/>
      <c r="O1989" s="157"/>
      <c r="P1989" s="157">
        <v>1079520</v>
      </c>
      <c r="Q1989" s="157">
        <v>1082020</v>
      </c>
      <c r="R1989" s="158"/>
      <c r="S1989" s="157"/>
      <c r="T1989" s="535"/>
      <c r="U1989" s="159">
        <f t="shared" si="108"/>
        <v>0</v>
      </c>
    </row>
    <row r="1990" spans="2:21" x14ac:dyDescent="0.2">
      <c r="B1990" s="8">
        <f t="shared" si="110"/>
        <v>92</v>
      </c>
      <c r="C1990" s="24"/>
      <c r="D1990" s="24"/>
      <c r="E1990" s="24"/>
      <c r="F1990" s="149"/>
      <c r="G1990" s="298"/>
      <c r="H1990" s="156" t="s">
        <v>825</v>
      </c>
      <c r="I1990" s="157"/>
      <c r="J1990" s="157"/>
      <c r="K1990" s="157"/>
      <c r="L1990" s="157"/>
      <c r="M1990" s="157"/>
      <c r="N1990" s="535"/>
      <c r="O1990" s="157"/>
      <c r="P1990" s="157">
        <v>709203</v>
      </c>
      <c r="Q1990" s="157">
        <v>709203</v>
      </c>
      <c r="R1990" s="158"/>
      <c r="S1990" s="157"/>
      <c r="T1990" s="535"/>
      <c r="U1990" s="159">
        <f t="shared" si="108"/>
        <v>0</v>
      </c>
    </row>
    <row r="1991" spans="2:21" x14ac:dyDescent="0.2">
      <c r="B1991" s="8">
        <f t="shared" si="110"/>
        <v>93</v>
      </c>
      <c r="C1991" s="24"/>
      <c r="D1991" s="24"/>
      <c r="E1991" s="24"/>
      <c r="F1991" s="149"/>
      <c r="G1991" s="298"/>
      <c r="H1991" s="156" t="s">
        <v>1026</v>
      </c>
      <c r="I1991" s="157"/>
      <c r="J1991" s="157"/>
      <c r="K1991" s="157"/>
      <c r="L1991" s="157"/>
      <c r="M1991" s="157"/>
      <c r="N1991" s="535"/>
      <c r="O1991" s="157"/>
      <c r="P1991" s="157"/>
      <c r="Q1991" s="157">
        <v>10000</v>
      </c>
      <c r="R1991" s="158"/>
      <c r="S1991" s="157"/>
      <c r="T1991" s="535"/>
      <c r="U1991" s="159">
        <f t="shared" si="108"/>
        <v>0</v>
      </c>
    </row>
    <row r="1992" spans="2:21" x14ac:dyDescent="0.2">
      <c r="B1992" s="8">
        <f t="shared" si="110"/>
        <v>94</v>
      </c>
      <c r="C1992" s="24"/>
      <c r="D1992" s="24"/>
      <c r="E1992" s="24"/>
      <c r="F1992" s="149"/>
      <c r="G1992" s="298"/>
      <c r="H1992" s="156" t="s">
        <v>1027</v>
      </c>
      <c r="I1992" s="157"/>
      <c r="J1992" s="157"/>
      <c r="K1992" s="157"/>
      <c r="L1992" s="157"/>
      <c r="M1992" s="157"/>
      <c r="N1992" s="535"/>
      <c r="O1992" s="157"/>
      <c r="P1992" s="157"/>
      <c r="Q1992" s="157">
        <v>4500</v>
      </c>
      <c r="R1992" s="158"/>
      <c r="S1992" s="157"/>
      <c r="T1992" s="535"/>
      <c r="U1992" s="159">
        <f t="shared" si="108"/>
        <v>0</v>
      </c>
    </row>
    <row r="1993" spans="2:21" x14ac:dyDescent="0.2">
      <c r="B1993" s="8">
        <f t="shared" si="110"/>
        <v>95</v>
      </c>
      <c r="C1993" s="24"/>
      <c r="D1993" s="24"/>
      <c r="E1993" s="24"/>
      <c r="F1993" s="149"/>
      <c r="G1993" s="298"/>
      <c r="H1993" s="156" t="s">
        <v>1115</v>
      </c>
      <c r="I1993" s="157"/>
      <c r="J1993" s="157"/>
      <c r="K1993" s="157"/>
      <c r="L1993" s="157"/>
      <c r="M1993" s="157"/>
      <c r="N1993" s="535"/>
      <c r="O1993" s="157"/>
      <c r="P1993" s="157"/>
      <c r="Q1993" s="157">
        <v>9000</v>
      </c>
      <c r="R1993" s="158"/>
      <c r="S1993" s="157"/>
      <c r="T1993" s="535"/>
      <c r="U1993" s="159">
        <f t="shared" si="108"/>
        <v>0</v>
      </c>
    </row>
    <row r="1994" spans="2:21" x14ac:dyDescent="0.2">
      <c r="B1994" s="8">
        <f t="shared" si="110"/>
        <v>96</v>
      </c>
      <c r="C1994" s="24"/>
      <c r="D1994" s="24"/>
      <c r="E1994" s="24"/>
      <c r="F1994" s="149"/>
      <c r="G1994" s="298"/>
      <c r="H1994" s="156" t="s">
        <v>1116</v>
      </c>
      <c r="I1994" s="157"/>
      <c r="J1994" s="157"/>
      <c r="K1994" s="157"/>
      <c r="L1994" s="157"/>
      <c r="M1994" s="157"/>
      <c r="N1994" s="535"/>
      <c r="O1994" s="157"/>
      <c r="P1994" s="157"/>
      <c r="Q1994" s="157">
        <v>10000</v>
      </c>
      <c r="R1994" s="158"/>
      <c r="S1994" s="157"/>
      <c r="T1994" s="535"/>
      <c r="U1994" s="159">
        <f t="shared" si="108"/>
        <v>0</v>
      </c>
    </row>
    <row r="1995" spans="2:21" x14ac:dyDescent="0.2">
      <c r="B1995" s="8">
        <f t="shared" si="110"/>
        <v>97</v>
      </c>
      <c r="C1995" s="24"/>
      <c r="D1995" s="24"/>
      <c r="E1995" s="24"/>
      <c r="F1995" s="149"/>
      <c r="G1995" s="298"/>
      <c r="H1995" s="156" t="s">
        <v>929</v>
      </c>
      <c r="I1995" s="157"/>
      <c r="J1995" s="157"/>
      <c r="K1995" s="157"/>
      <c r="L1995" s="157"/>
      <c r="M1995" s="157"/>
      <c r="N1995" s="535"/>
      <c r="O1995" s="157"/>
      <c r="P1995" s="157">
        <v>250313</v>
      </c>
      <c r="Q1995" s="157">
        <v>250313</v>
      </c>
      <c r="R1995" s="158"/>
      <c r="S1995" s="157"/>
      <c r="T1995" s="535"/>
      <c r="U1995" s="159">
        <f t="shared" si="108"/>
        <v>0</v>
      </c>
    </row>
    <row r="1996" spans="2:21" x14ac:dyDescent="0.2">
      <c r="B1996" s="8">
        <f t="shared" si="110"/>
        <v>98</v>
      </c>
      <c r="C1996" s="24"/>
      <c r="D1996" s="24"/>
      <c r="E1996" s="24"/>
      <c r="F1996" s="149"/>
      <c r="G1996" s="298"/>
      <c r="H1996" s="156" t="s">
        <v>930</v>
      </c>
      <c r="I1996" s="157"/>
      <c r="J1996" s="157"/>
      <c r="K1996" s="157"/>
      <c r="L1996" s="157"/>
      <c r="M1996" s="157"/>
      <c r="N1996" s="535"/>
      <c r="O1996" s="157"/>
      <c r="P1996" s="157">
        <v>984822</v>
      </c>
      <c r="Q1996" s="157">
        <v>984822</v>
      </c>
      <c r="R1996" s="158"/>
      <c r="S1996" s="157"/>
      <c r="T1996" s="535"/>
      <c r="U1996" s="159">
        <f t="shared" si="108"/>
        <v>0</v>
      </c>
    </row>
    <row r="1997" spans="2:21" x14ac:dyDescent="0.2">
      <c r="B1997" s="8">
        <f t="shared" si="110"/>
        <v>99</v>
      </c>
      <c r="C1997" s="24"/>
      <c r="D1997" s="24"/>
      <c r="E1997" s="24"/>
      <c r="F1997" s="149"/>
      <c r="G1997" s="298"/>
      <c r="H1997" s="156" t="s">
        <v>931</v>
      </c>
      <c r="I1997" s="157"/>
      <c r="J1997" s="157"/>
      <c r="K1997" s="157"/>
      <c r="L1997" s="157"/>
      <c r="M1997" s="157"/>
      <c r="N1997" s="535"/>
      <c r="O1997" s="157"/>
      <c r="P1997" s="157">
        <v>38472</v>
      </c>
      <c r="Q1997" s="157">
        <v>38472</v>
      </c>
      <c r="R1997" s="158"/>
      <c r="S1997" s="157"/>
      <c r="T1997" s="535"/>
      <c r="U1997" s="159">
        <f t="shared" si="108"/>
        <v>0</v>
      </c>
    </row>
    <row r="1998" spans="2:21" x14ac:dyDescent="0.2">
      <c r="B1998" s="8">
        <f t="shared" si="110"/>
        <v>100</v>
      </c>
      <c r="C1998" s="24"/>
      <c r="D1998" s="24"/>
      <c r="E1998" s="24"/>
      <c r="F1998" s="149"/>
      <c r="G1998" s="298"/>
      <c r="H1998" s="156" t="s">
        <v>941</v>
      </c>
      <c r="I1998" s="157"/>
      <c r="J1998" s="157"/>
      <c r="K1998" s="157"/>
      <c r="L1998" s="157"/>
      <c r="M1998" s="157"/>
      <c r="N1998" s="535"/>
      <c r="O1998" s="157">
        <v>14860</v>
      </c>
      <c r="P1998" s="157"/>
      <c r="Q1998" s="157">
        <v>4300</v>
      </c>
      <c r="R1998" s="158"/>
      <c r="S1998" s="157"/>
      <c r="T1998" s="535"/>
      <c r="U1998" s="159">
        <f t="shared" si="108"/>
        <v>14860</v>
      </c>
    </row>
    <row r="1999" spans="2:21" x14ac:dyDescent="0.2">
      <c r="B1999" s="8">
        <f t="shared" si="110"/>
        <v>101</v>
      </c>
      <c r="C1999" s="18"/>
      <c r="D1999" s="18"/>
      <c r="E1999" s="18"/>
      <c r="F1999" s="152"/>
      <c r="G1999" s="153">
        <v>714</v>
      </c>
      <c r="H1999" s="18" t="s">
        <v>186</v>
      </c>
      <c r="I1999" s="19"/>
      <c r="J1999" s="19"/>
      <c r="K1999" s="19"/>
      <c r="L1999" s="20"/>
      <c r="M1999" s="20"/>
      <c r="N1999" s="164"/>
      <c r="O1999" s="19"/>
      <c r="P1999" s="19"/>
      <c r="Q1999" s="19"/>
      <c r="R1999" s="20">
        <f>R2000</f>
        <v>37361</v>
      </c>
      <c r="S1999" s="20"/>
      <c r="T1999" s="164"/>
      <c r="U1999" s="154">
        <f t="shared" si="108"/>
        <v>0</v>
      </c>
    </row>
    <row r="2000" spans="2:21" x14ac:dyDescent="0.2">
      <c r="B2000" s="8">
        <f t="shared" si="110"/>
        <v>102</v>
      </c>
      <c r="C2000" s="120"/>
      <c r="D2000" s="120"/>
      <c r="E2000" s="120"/>
      <c r="F2000" s="298"/>
      <c r="G2000" s="298"/>
      <c r="H2000" s="156" t="s">
        <v>598</v>
      </c>
      <c r="I2000" s="157"/>
      <c r="J2000" s="157"/>
      <c r="K2000" s="157"/>
      <c r="L2000" s="406"/>
      <c r="M2000" s="406"/>
      <c r="N2000" s="537"/>
      <c r="O2000" s="406"/>
      <c r="P2000" s="406"/>
      <c r="Q2000" s="406"/>
      <c r="R2000" s="423">
        <v>37361</v>
      </c>
      <c r="S2000" s="157"/>
      <c r="T2000" s="535"/>
      <c r="U2000" s="159">
        <f t="shared" si="108"/>
        <v>0</v>
      </c>
    </row>
    <row r="2001" spans="2:21" x14ac:dyDescent="0.2">
      <c r="B2001" s="8">
        <f t="shared" si="110"/>
        <v>103</v>
      </c>
      <c r="C2001" s="120"/>
      <c r="D2001" s="120"/>
      <c r="E2001" s="120"/>
      <c r="F2001" s="298"/>
      <c r="G2001" s="153">
        <v>716</v>
      </c>
      <c r="H2001" s="18" t="s">
        <v>226</v>
      </c>
      <c r="I2001" s="157"/>
      <c r="J2001" s="157"/>
      <c r="K2001" s="157"/>
      <c r="L2001" s="390"/>
      <c r="M2001" s="390"/>
      <c r="N2001" s="538"/>
      <c r="O2001" s="390">
        <f>O2002</f>
        <v>92979</v>
      </c>
      <c r="P2001" s="390">
        <f>P2002</f>
        <v>168000</v>
      </c>
      <c r="Q2001" s="390">
        <f>Q2002</f>
        <v>168000</v>
      </c>
      <c r="R2001" s="379">
        <f>R2002</f>
        <v>24109</v>
      </c>
      <c r="S2001" s="157"/>
      <c r="T2001" s="535"/>
      <c r="U2001" s="181">
        <f t="shared" si="108"/>
        <v>92979</v>
      </c>
    </row>
    <row r="2002" spans="2:21" x14ac:dyDescent="0.2">
      <c r="B2002" s="8">
        <f t="shared" si="110"/>
        <v>104</v>
      </c>
      <c r="C2002" s="120"/>
      <c r="D2002" s="120"/>
      <c r="E2002" s="120"/>
      <c r="F2002" s="298"/>
      <c r="G2002" s="298"/>
      <c r="H2002" s="156" t="s">
        <v>802</v>
      </c>
      <c r="I2002" s="157"/>
      <c r="J2002" s="157"/>
      <c r="K2002" s="157"/>
      <c r="L2002" s="390"/>
      <c r="M2002" s="390"/>
      <c r="N2002" s="538"/>
      <c r="O2002" s="390">
        <v>92979</v>
      </c>
      <c r="P2002" s="390">
        <v>168000</v>
      </c>
      <c r="Q2002" s="390">
        <v>168000</v>
      </c>
      <c r="R2002" s="379">
        <v>24109</v>
      </c>
      <c r="S2002" s="157"/>
      <c r="T2002" s="535"/>
      <c r="U2002" s="181">
        <f t="shared" si="108"/>
        <v>92979</v>
      </c>
    </row>
    <row r="2003" spans="2:21" x14ac:dyDescent="0.2">
      <c r="B2003" s="8">
        <f t="shared" si="110"/>
        <v>105</v>
      </c>
      <c r="C2003" s="18"/>
      <c r="D2003" s="18"/>
      <c r="E2003" s="18"/>
      <c r="F2003" s="152"/>
      <c r="G2003" s="153">
        <v>717</v>
      </c>
      <c r="H2003" s="18" t="s">
        <v>192</v>
      </c>
      <c r="I2003" s="19"/>
      <c r="J2003" s="19"/>
      <c r="K2003" s="19"/>
      <c r="L2003" s="396"/>
      <c r="M2003" s="396"/>
      <c r="N2003" s="557"/>
      <c r="O2003" s="395">
        <f>SUM(O2004:O2008)</f>
        <v>3600000</v>
      </c>
      <c r="P2003" s="395">
        <f>SUM(P2004:P2008)</f>
        <v>6148757</v>
      </c>
      <c r="Q2003" s="395">
        <f>SUM(Q2004:Q2008)</f>
        <v>6178257</v>
      </c>
      <c r="R2003" s="396">
        <f>R2004</f>
        <v>1932537</v>
      </c>
      <c r="S2003" s="20">
        <f>S2004</f>
        <v>584711</v>
      </c>
      <c r="T2003" s="164"/>
      <c r="U2003" s="154">
        <f t="shared" si="108"/>
        <v>3600000</v>
      </c>
    </row>
    <row r="2004" spans="2:21" x14ac:dyDescent="0.2">
      <c r="B2004" s="8">
        <f t="shared" si="110"/>
        <v>106</v>
      </c>
      <c r="C2004" s="375"/>
      <c r="D2004" s="375"/>
      <c r="E2004" s="375"/>
      <c r="F2004" s="376"/>
      <c r="G2004" s="376"/>
      <c r="H2004" s="389" t="s">
        <v>599</v>
      </c>
      <c r="I2004" s="406"/>
      <c r="J2004" s="406"/>
      <c r="K2004" s="406"/>
      <c r="L2004" s="390"/>
      <c r="M2004" s="390"/>
      <c r="N2004" s="538"/>
      <c r="O2004" s="390"/>
      <c r="P2004" s="390">
        <v>1848757</v>
      </c>
      <c r="Q2004" s="390">
        <v>1864057</v>
      </c>
      <c r="R2004" s="379">
        <v>1932537</v>
      </c>
      <c r="S2004" s="259">
        <v>584711</v>
      </c>
      <c r="T2004" s="553"/>
      <c r="U2004" s="302">
        <f t="shared" si="108"/>
        <v>0</v>
      </c>
    </row>
    <row r="2005" spans="2:21" ht="36" x14ac:dyDescent="0.2">
      <c r="B2005" s="8">
        <f t="shared" si="110"/>
        <v>107</v>
      </c>
      <c r="C2005" s="377"/>
      <c r="D2005" s="377"/>
      <c r="E2005" s="377"/>
      <c r="F2005" s="378"/>
      <c r="G2005" s="378"/>
      <c r="H2005" s="407" t="s">
        <v>932</v>
      </c>
      <c r="I2005" s="390"/>
      <c r="J2005" s="390"/>
      <c r="K2005" s="390"/>
      <c r="L2005" s="390"/>
      <c r="M2005" s="390"/>
      <c r="N2005" s="538"/>
      <c r="O2005" s="390"/>
      <c r="P2005" s="390">
        <v>1500000</v>
      </c>
      <c r="Q2005" s="390">
        <v>1500000</v>
      </c>
      <c r="R2005" s="379"/>
      <c r="S2005" s="408"/>
      <c r="T2005" s="562"/>
      <c r="U2005" s="374">
        <f t="shared" si="108"/>
        <v>0</v>
      </c>
    </row>
    <row r="2006" spans="2:21" x14ac:dyDescent="0.2">
      <c r="B2006" s="8">
        <f t="shared" si="110"/>
        <v>108</v>
      </c>
      <c r="C2006" s="377"/>
      <c r="D2006" s="377"/>
      <c r="E2006" s="377"/>
      <c r="F2006" s="378"/>
      <c r="G2006" s="378"/>
      <c r="H2006" s="407" t="s">
        <v>1028</v>
      </c>
      <c r="I2006" s="390"/>
      <c r="J2006" s="390"/>
      <c r="K2006" s="390"/>
      <c r="L2006" s="390"/>
      <c r="M2006" s="390"/>
      <c r="N2006" s="538"/>
      <c r="O2006" s="390"/>
      <c r="P2006" s="390"/>
      <c r="Q2006" s="390">
        <v>14200</v>
      </c>
      <c r="R2006" s="379"/>
      <c r="S2006" s="408"/>
      <c r="T2006" s="562"/>
      <c r="U2006" s="374">
        <f t="shared" si="108"/>
        <v>0</v>
      </c>
    </row>
    <row r="2007" spans="2:21" x14ac:dyDescent="0.2">
      <c r="B2007" s="8">
        <f t="shared" si="110"/>
        <v>109</v>
      </c>
      <c r="C2007" s="377"/>
      <c r="D2007" s="377"/>
      <c r="E2007" s="377"/>
      <c r="F2007" s="378"/>
      <c r="G2007" s="378"/>
      <c r="H2007" s="407" t="s">
        <v>1065</v>
      </c>
      <c r="I2007" s="390"/>
      <c r="J2007" s="390"/>
      <c r="K2007" s="390"/>
      <c r="L2007" s="390"/>
      <c r="M2007" s="390"/>
      <c r="N2007" s="538"/>
      <c r="O2007" s="390">
        <v>3600000</v>
      </c>
      <c r="P2007" s="390"/>
      <c r="Q2007" s="390"/>
      <c r="R2007" s="379"/>
      <c r="S2007" s="408"/>
      <c r="T2007" s="562"/>
      <c r="U2007" s="374">
        <f t="shared" si="108"/>
        <v>3600000</v>
      </c>
    </row>
    <row r="2008" spans="2:21" ht="25.5" customHeight="1" x14ac:dyDescent="0.2">
      <c r="B2008" s="8">
        <f t="shared" si="110"/>
        <v>110</v>
      </c>
      <c r="C2008" s="377"/>
      <c r="D2008" s="377"/>
      <c r="E2008" s="377"/>
      <c r="F2008" s="378"/>
      <c r="G2008" s="378"/>
      <c r="H2008" s="407" t="s">
        <v>933</v>
      </c>
      <c r="I2008" s="390"/>
      <c r="J2008" s="390"/>
      <c r="K2008" s="390"/>
      <c r="L2008" s="390"/>
      <c r="M2008" s="390"/>
      <c r="N2008" s="538"/>
      <c r="O2008" s="390"/>
      <c r="P2008" s="390">
        <v>2800000</v>
      </c>
      <c r="Q2008" s="390">
        <v>2800000</v>
      </c>
      <c r="R2008" s="379"/>
      <c r="S2008" s="373"/>
      <c r="T2008" s="570"/>
      <c r="U2008" s="374">
        <f t="shared" ref="U2008:U2013" si="111">I2008+O2008</f>
        <v>0</v>
      </c>
    </row>
    <row r="2009" spans="2:21" ht="15.75" x14ac:dyDescent="0.25">
      <c r="B2009" s="8">
        <f t="shared" si="110"/>
        <v>111</v>
      </c>
      <c r="C2009" s="424">
        <v>5</v>
      </c>
      <c r="D2009" s="692" t="s">
        <v>743</v>
      </c>
      <c r="E2009" s="693"/>
      <c r="F2009" s="693"/>
      <c r="G2009" s="693"/>
      <c r="H2009" s="693"/>
      <c r="I2009" s="425">
        <f>I2018+I2012+I2011+I2010</f>
        <v>675650</v>
      </c>
      <c r="J2009" s="425">
        <f>J2012</f>
        <v>520600</v>
      </c>
      <c r="K2009" s="434">
        <f>K2010+K2011+K2012+K2018</f>
        <v>422600</v>
      </c>
      <c r="L2009" s="426">
        <f>L2010+L2011+L2012</f>
        <v>881976</v>
      </c>
      <c r="M2009" s="426"/>
      <c r="N2009" s="561"/>
      <c r="O2009" s="425">
        <f>O2015</f>
        <v>116000</v>
      </c>
      <c r="P2009" s="425"/>
      <c r="Q2009" s="425">
        <f>Q2015</f>
        <v>150000</v>
      </c>
      <c r="R2009" s="426"/>
      <c r="S2009" s="305"/>
      <c r="T2009" s="564"/>
      <c r="U2009" s="306">
        <f t="shared" si="111"/>
        <v>791650</v>
      </c>
    </row>
    <row r="2010" spans="2:21" x14ac:dyDescent="0.2">
      <c r="B2010" s="8">
        <f t="shared" si="110"/>
        <v>112</v>
      </c>
      <c r="C2010" s="307"/>
      <c r="D2010" s="308"/>
      <c r="E2010" s="308"/>
      <c r="F2010" s="309" t="s">
        <v>80</v>
      </c>
      <c r="G2010" s="310">
        <v>620</v>
      </c>
      <c r="H2010" s="308" t="s">
        <v>134</v>
      </c>
      <c r="I2010" s="31"/>
      <c r="J2010" s="31"/>
      <c r="K2010" s="432"/>
      <c r="L2010" s="432">
        <v>6265</v>
      </c>
      <c r="M2010" s="31"/>
      <c r="N2010" s="45"/>
      <c r="O2010" s="31"/>
      <c r="P2010" s="31"/>
      <c r="Q2010" s="31"/>
      <c r="R2010" s="31"/>
      <c r="S2010" s="31"/>
      <c r="T2010" s="45"/>
      <c r="U2010" s="593">
        <f t="shared" si="111"/>
        <v>0</v>
      </c>
    </row>
    <row r="2011" spans="2:21" x14ac:dyDescent="0.2">
      <c r="B2011" s="8">
        <f t="shared" si="110"/>
        <v>113</v>
      </c>
      <c r="C2011" s="307"/>
      <c r="D2011" s="308"/>
      <c r="E2011" s="308"/>
      <c r="F2011" s="309" t="s">
        <v>80</v>
      </c>
      <c r="G2011" s="310">
        <v>630</v>
      </c>
      <c r="H2011" s="308" t="s">
        <v>131</v>
      </c>
      <c r="I2011" s="31"/>
      <c r="J2011" s="31"/>
      <c r="K2011" s="432"/>
      <c r="L2011" s="432">
        <v>20311</v>
      </c>
      <c r="M2011" s="31"/>
      <c r="N2011" s="45"/>
      <c r="O2011" s="31"/>
      <c r="P2011" s="31"/>
      <c r="Q2011" s="31"/>
      <c r="R2011" s="31"/>
      <c r="S2011" s="31"/>
      <c r="T2011" s="45"/>
      <c r="U2011" s="593">
        <f t="shared" si="111"/>
        <v>0</v>
      </c>
    </row>
    <row r="2012" spans="2:21" x14ac:dyDescent="0.2">
      <c r="B2012" s="8">
        <f t="shared" si="110"/>
        <v>114</v>
      </c>
      <c r="C2012" s="307"/>
      <c r="D2012" s="308"/>
      <c r="E2012" s="308"/>
      <c r="F2012" s="309" t="s">
        <v>80</v>
      </c>
      <c r="G2012" s="310">
        <v>640</v>
      </c>
      <c r="H2012" s="308" t="s">
        <v>139</v>
      </c>
      <c r="I2012" s="432">
        <f>I2013</f>
        <v>543680</v>
      </c>
      <c r="J2012" s="432">
        <f>J2013+J2014</f>
        <v>520600</v>
      </c>
      <c r="K2012" s="432">
        <f>K2013+K2014</f>
        <v>370600</v>
      </c>
      <c r="L2012" s="432">
        <f>L2013+L2014</f>
        <v>855400</v>
      </c>
      <c r="M2012" s="31"/>
      <c r="N2012" s="45"/>
      <c r="O2012" s="31"/>
      <c r="P2012" s="31"/>
      <c r="Q2012" s="31"/>
      <c r="R2012" s="31"/>
      <c r="S2012" s="31"/>
      <c r="T2012" s="45"/>
      <c r="U2012" s="595">
        <f t="shared" si="111"/>
        <v>543680</v>
      </c>
    </row>
    <row r="2013" spans="2:21" s="13" customFormat="1" ht="24" x14ac:dyDescent="0.2">
      <c r="B2013" s="8">
        <f t="shared" si="110"/>
        <v>115</v>
      </c>
      <c r="C2013" s="608"/>
      <c r="D2013" s="609"/>
      <c r="E2013" s="609"/>
      <c r="F2013" s="610"/>
      <c r="G2013" s="611"/>
      <c r="H2013" s="191" t="s">
        <v>1128</v>
      </c>
      <c r="I2013" s="606">
        <v>543680</v>
      </c>
      <c r="J2013" s="612">
        <v>20600</v>
      </c>
      <c r="K2013" s="612">
        <v>20600</v>
      </c>
      <c r="L2013" s="612">
        <v>605400</v>
      </c>
      <c r="M2013" s="612"/>
      <c r="N2013" s="613"/>
      <c r="O2013" s="612"/>
      <c r="P2013" s="612"/>
      <c r="Q2013" s="612"/>
      <c r="R2013" s="612"/>
      <c r="S2013" s="612"/>
      <c r="T2013" s="613"/>
      <c r="U2013" s="604">
        <f t="shared" si="111"/>
        <v>543680</v>
      </c>
    </row>
    <row r="2014" spans="2:21" x14ac:dyDescent="0.2">
      <c r="B2014" s="8">
        <f t="shared" si="110"/>
        <v>116</v>
      </c>
      <c r="C2014" s="307"/>
      <c r="D2014" s="308"/>
      <c r="E2014" s="308"/>
      <c r="F2014" s="309"/>
      <c r="G2014" s="310"/>
      <c r="H2014" s="409" t="s">
        <v>1053</v>
      </c>
      <c r="I2014" s="607"/>
      <c r="J2014" s="433">
        <v>500000</v>
      </c>
      <c r="K2014" s="433">
        <v>350000</v>
      </c>
      <c r="L2014" s="433">
        <v>250000</v>
      </c>
      <c r="M2014" s="433"/>
      <c r="N2014" s="594"/>
      <c r="O2014" s="433"/>
      <c r="P2014" s="433"/>
      <c r="Q2014" s="433"/>
      <c r="R2014" s="433"/>
      <c r="S2014" s="433"/>
      <c r="T2014" s="594"/>
      <c r="U2014" s="605"/>
    </row>
    <row r="2015" spans="2:21" x14ac:dyDescent="0.2">
      <c r="B2015" s="8">
        <f t="shared" si="110"/>
        <v>117</v>
      </c>
      <c r="C2015" s="307"/>
      <c r="D2015" s="308"/>
      <c r="E2015" s="308"/>
      <c r="F2015" s="309" t="s">
        <v>80</v>
      </c>
      <c r="G2015" s="310">
        <v>720</v>
      </c>
      <c r="H2015" s="308" t="s">
        <v>4</v>
      </c>
      <c r="I2015" s="432"/>
      <c r="J2015" s="432"/>
      <c r="K2015" s="432"/>
      <c r="L2015" s="31"/>
      <c r="M2015" s="31"/>
      <c r="N2015" s="45"/>
      <c r="O2015" s="432">
        <f>O2016</f>
        <v>116000</v>
      </c>
      <c r="P2015" s="31"/>
      <c r="Q2015" s="432">
        <f>Q2016</f>
        <v>150000</v>
      </c>
      <c r="R2015" s="31"/>
      <c r="S2015" s="31"/>
      <c r="T2015" s="45"/>
      <c r="U2015" s="595">
        <f>I2015+O2015</f>
        <v>116000</v>
      </c>
    </row>
    <row r="2016" spans="2:21" x14ac:dyDescent="0.2">
      <c r="B2016" s="8">
        <f t="shared" si="110"/>
        <v>118</v>
      </c>
      <c r="C2016" s="307"/>
      <c r="D2016" s="308"/>
      <c r="E2016" s="308"/>
      <c r="F2016" s="309"/>
      <c r="G2016" s="310"/>
      <c r="H2016" s="409" t="s">
        <v>942</v>
      </c>
      <c r="I2016" s="433"/>
      <c r="J2016" s="433"/>
      <c r="K2016" s="433"/>
      <c r="L2016" s="433"/>
      <c r="M2016" s="433"/>
      <c r="N2016" s="594"/>
      <c r="O2016" s="433">
        <v>116000</v>
      </c>
      <c r="P2016" s="433"/>
      <c r="Q2016" s="433">
        <v>150000</v>
      </c>
      <c r="R2016" s="433"/>
      <c r="S2016" s="433"/>
      <c r="T2016" s="594"/>
      <c r="U2016" s="593">
        <f>I2016+O2016</f>
        <v>116000</v>
      </c>
    </row>
    <row r="2017" spans="2:21" x14ac:dyDescent="0.2">
      <c r="B2017" s="8">
        <f t="shared" si="110"/>
        <v>119</v>
      </c>
      <c r="C2017" s="307"/>
      <c r="D2017" s="308"/>
      <c r="E2017" s="308"/>
      <c r="F2017" s="309"/>
      <c r="G2017" s="310"/>
      <c r="H2017" s="409"/>
      <c r="I2017" s="433"/>
      <c r="J2017" s="433"/>
      <c r="K2017" s="433"/>
      <c r="L2017" s="433"/>
      <c r="M2017" s="433"/>
      <c r="N2017" s="594"/>
      <c r="O2017" s="433"/>
      <c r="P2017" s="433"/>
      <c r="Q2017" s="433"/>
      <c r="R2017" s="433"/>
      <c r="S2017" s="433"/>
      <c r="T2017" s="594"/>
      <c r="U2017" s="596"/>
    </row>
    <row r="2018" spans="2:21" x14ac:dyDescent="0.2">
      <c r="B2018" s="8">
        <f t="shared" si="110"/>
        <v>120</v>
      </c>
      <c r="C2018" s="456"/>
      <c r="D2018" s="457"/>
      <c r="E2018" s="457"/>
      <c r="F2018" s="458" t="s">
        <v>80</v>
      </c>
      <c r="G2018" s="459">
        <v>600</v>
      </c>
      <c r="H2018" s="460" t="s">
        <v>1052</v>
      </c>
      <c r="I2018" s="597">
        <v>131970</v>
      </c>
      <c r="J2018" s="461"/>
      <c r="K2018" s="461">
        <v>52000</v>
      </c>
      <c r="L2018" s="461"/>
      <c r="M2018" s="461"/>
      <c r="N2018" s="598"/>
      <c r="O2018" s="461"/>
      <c r="P2018" s="461"/>
      <c r="Q2018" s="461"/>
      <c r="R2018" s="461"/>
      <c r="S2018" s="461"/>
      <c r="T2018" s="598"/>
      <c r="U2018" s="599">
        <f>I2018+O2018</f>
        <v>131970</v>
      </c>
    </row>
    <row r="2019" spans="2:21" x14ac:dyDescent="0.2">
      <c r="B2019" s="8">
        <f>B2018+1</f>
        <v>121</v>
      </c>
      <c r="C2019" s="381"/>
      <c r="D2019" s="382"/>
      <c r="E2019" s="382"/>
      <c r="F2019" s="309"/>
      <c r="G2019" s="311">
        <v>610</v>
      </c>
      <c r="H2019" s="18" t="s">
        <v>141</v>
      </c>
      <c r="I2019" s="31">
        <v>73052</v>
      </c>
      <c r="J2019" s="31"/>
      <c r="K2019" s="432"/>
      <c r="L2019" s="31"/>
      <c r="M2019" s="31"/>
      <c r="N2019" s="45"/>
      <c r="O2019" s="31"/>
      <c r="P2019" s="31"/>
      <c r="Q2019" s="31"/>
      <c r="R2019" s="31"/>
      <c r="S2019" s="31"/>
      <c r="T2019" s="45"/>
      <c r="U2019" s="593">
        <f>I2019+O2019</f>
        <v>73052</v>
      </c>
    </row>
    <row r="2020" spans="2:21" x14ac:dyDescent="0.2">
      <c r="B2020" s="8">
        <f>B2019+1</f>
        <v>122</v>
      </c>
      <c r="C2020" s="381"/>
      <c r="D2020" s="382"/>
      <c r="E2020" s="382"/>
      <c r="F2020" s="309"/>
      <c r="G2020" s="311">
        <v>620</v>
      </c>
      <c r="H2020" s="30" t="s">
        <v>134</v>
      </c>
      <c r="I2020" s="31">
        <v>25568</v>
      </c>
      <c r="J2020" s="31"/>
      <c r="K2020" s="432"/>
      <c r="L2020" s="31"/>
      <c r="M2020" s="31"/>
      <c r="N2020" s="45"/>
      <c r="O2020" s="31"/>
      <c r="P2020" s="31"/>
      <c r="Q2020" s="31"/>
      <c r="R2020" s="31"/>
      <c r="S2020" s="31"/>
      <c r="T2020" s="45"/>
      <c r="U2020" s="593">
        <f>I2020+O2020</f>
        <v>25568</v>
      </c>
    </row>
    <row r="2021" spans="2:21" x14ac:dyDescent="0.2">
      <c r="B2021" s="354">
        <f>B2020+1</f>
        <v>123</v>
      </c>
      <c r="C2021" s="451"/>
      <c r="D2021" s="452"/>
      <c r="E2021" s="452"/>
      <c r="F2021" s="380"/>
      <c r="G2021" s="453">
        <v>630</v>
      </c>
      <c r="H2021" s="454" t="s">
        <v>131</v>
      </c>
      <c r="I2021" s="600">
        <v>33350</v>
      </c>
      <c r="J2021" s="600"/>
      <c r="K2021" s="455"/>
      <c r="L2021" s="600"/>
      <c r="M2021" s="600"/>
      <c r="N2021" s="601"/>
      <c r="O2021" s="600"/>
      <c r="P2021" s="600"/>
      <c r="Q2021" s="600"/>
      <c r="R2021" s="600"/>
      <c r="S2021" s="600"/>
      <c r="T2021" s="601"/>
      <c r="U2021" s="602">
        <f>I2021+O2021</f>
        <v>33350</v>
      </c>
    </row>
    <row r="2025" spans="2:21" ht="27" x14ac:dyDescent="0.35">
      <c r="B2025" s="679" t="s">
        <v>25</v>
      </c>
      <c r="C2025" s="680"/>
      <c r="D2025" s="680"/>
      <c r="E2025" s="680"/>
      <c r="F2025" s="680"/>
      <c r="G2025" s="680"/>
      <c r="H2025" s="680"/>
      <c r="I2025" s="680"/>
      <c r="J2025" s="680"/>
      <c r="K2025" s="680"/>
      <c r="L2025" s="680"/>
      <c r="M2025" s="680"/>
      <c r="N2025" s="680"/>
      <c r="O2025" s="680"/>
      <c r="P2025" s="680"/>
      <c r="Q2025" s="680"/>
      <c r="R2025" s="680"/>
      <c r="S2025" s="680"/>
      <c r="T2025" s="680"/>
      <c r="U2025" s="680"/>
    </row>
    <row r="2026" spans="2:21" ht="13.5" customHeight="1" x14ac:dyDescent="0.2">
      <c r="B2026" s="684" t="s">
        <v>842</v>
      </c>
      <c r="C2026" s="685"/>
      <c r="D2026" s="685"/>
      <c r="E2026" s="685"/>
      <c r="F2026" s="685"/>
      <c r="G2026" s="685"/>
      <c r="H2026" s="685"/>
      <c r="I2026" s="685"/>
      <c r="J2026" s="685"/>
      <c r="K2026" s="685"/>
      <c r="L2026" s="685"/>
      <c r="M2026" s="685"/>
      <c r="N2026" s="685"/>
      <c r="O2026" s="685"/>
      <c r="P2026" s="685"/>
      <c r="Q2026" s="685"/>
      <c r="R2026" s="685"/>
      <c r="S2026" s="685"/>
      <c r="T2026" s="567"/>
      <c r="U2026" s="682" t="s">
        <v>1207</v>
      </c>
    </row>
    <row r="2027" spans="2:21" ht="12.75" customHeight="1" x14ac:dyDescent="0.2">
      <c r="B2027" s="681"/>
      <c r="C2027" s="681" t="s">
        <v>122</v>
      </c>
      <c r="D2027" s="681" t="s">
        <v>123</v>
      </c>
      <c r="E2027" s="681"/>
      <c r="F2027" s="681" t="s">
        <v>124</v>
      </c>
      <c r="G2027" s="689" t="s">
        <v>125</v>
      </c>
      <c r="H2027" s="686" t="s">
        <v>126</v>
      </c>
      <c r="I2027" s="673" t="s">
        <v>1205</v>
      </c>
      <c r="J2027" s="674" t="s">
        <v>837</v>
      </c>
      <c r="K2027" s="674" t="s">
        <v>838</v>
      </c>
      <c r="L2027" s="672" t="s">
        <v>839</v>
      </c>
      <c r="M2027" s="672" t="s">
        <v>643</v>
      </c>
      <c r="N2027" s="493"/>
      <c r="O2027" s="673" t="s">
        <v>1206</v>
      </c>
      <c r="P2027" s="674" t="s">
        <v>840</v>
      </c>
      <c r="Q2027" s="674" t="s">
        <v>841</v>
      </c>
      <c r="R2027" s="672" t="s">
        <v>839</v>
      </c>
      <c r="S2027" s="672" t="s">
        <v>643</v>
      </c>
      <c r="T2027" s="493"/>
      <c r="U2027" s="683"/>
    </row>
    <row r="2028" spans="2:21" x14ac:dyDescent="0.2">
      <c r="B2028" s="681"/>
      <c r="C2028" s="681"/>
      <c r="D2028" s="681"/>
      <c r="E2028" s="681"/>
      <c r="F2028" s="681"/>
      <c r="G2028" s="689"/>
      <c r="H2028" s="686"/>
      <c r="I2028" s="673"/>
      <c r="J2028" s="674"/>
      <c r="K2028" s="674"/>
      <c r="L2028" s="672"/>
      <c r="M2028" s="672"/>
      <c r="N2028" s="493"/>
      <c r="O2028" s="673"/>
      <c r="P2028" s="674"/>
      <c r="Q2028" s="674"/>
      <c r="R2028" s="672"/>
      <c r="S2028" s="672"/>
      <c r="T2028" s="493"/>
      <c r="U2028" s="683"/>
    </row>
    <row r="2029" spans="2:21" x14ac:dyDescent="0.2">
      <c r="B2029" s="681"/>
      <c r="C2029" s="681"/>
      <c r="D2029" s="681"/>
      <c r="E2029" s="681"/>
      <c r="F2029" s="681"/>
      <c r="G2029" s="689"/>
      <c r="H2029" s="686"/>
      <c r="I2029" s="673"/>
      <c r="J2029" s="674"/>
      <c r="K2029" s="674"/>
      <c r="L2029" s="672"/>
      <c r="M2029" s="672"/>
      <c r="N2029" s="493"/>
      <c r="O2029" s="673"/>
      <c r="P2029" s="674"/>
      <c r="Q2029" s="674"/>
      <c r="R2029" s="672"/>
      <c r="S2029" s="672"/>
      <c r="T2029" s="493"/>
      <c r="U2029" s="683"/>
    </row>
    <row r="2030" spans="2:21" x14ac:dyDescent="0.2">
      <c r="B2030" s="681"/>
      <c r="C2030" s="681"/>
      <c r="D2030" s="681"/>
      <c r="E2030" s="681"/>
      <c r="F2030" s="681"/>
      <c r="G2030" s="689"/>
      <c r="H2030" s="686"/>
      <c r="I2030" s="673"/>
      <c r="J2030" s="674"/>
      <c r="K2030" s="674"/>
      <c r="L2030" s="672"/>
      <c r="M2030" s="672"/>
      <c r="N2030" s="493"/>
      <c r="O2030" s="673"/>
      <c r="P2030" s="674"/>
      <c r="Q2030" s="674"/>
      <c r="R2030" s="672"/>
      <c r="S2030" s="672"/>
      <c r="T2030" s="493"/>
      <c r="U2030" s="683"/>
    </row>
    <row r="2031" spans="2:21" ht="15.75" x14ac:dyDescent="0.2">
      <c r="B2031" s="8">
        <v>1</v>
      </c>
      <c r="C2031" s="687" t="s">
        <v>25</v>
      </c>
      <c r="D2031" s="688"/>
      <c r="E2031" s="688"/>
      <c r="F2031" s="688"/>
      <c r="G2031" s="688"/>
      <c r="H2031" s="688"/>
      <c r="I2031" s="138">
        <f>I2138+I2128+I2125+I2109+I2083+I2032</f>
        <v>5673545</v>
      </c>
      <c r="J2031" s="138">
        <f>J2138+J2128+J2125+J2109+J2083+J2032</f>
        <v>5109696</v>
      </c>
      <c r="K2031" s="138">
        <f>K2138+K2128+K2125+K2109+K2083+K2032</f>
        <v>5075796</v>
      </c>
      <c r="L2031" s="139">
        <f>L2138+L2128+L2125+L2109+L2083+L2032</f>
        <v>4440738</v>
      </c>
      <c r="M2031" s="139">
        <f>M2138+M2128+M2125+M2109+M2083+M2032</f>
        <v>4177308</v>
      </c>
      <c r="N2031" s="532"/>
      <c r="O2031" s="138">
        <f>O2138+O2128+O2125+O2109+O2083+O2032</f>
        <v>817500</v>
      </c>
      <c r="P2031" s="138">
        <f>P2138+P2128+P2125+P2109+P2083+P2032</f>
        <v>366400</v>
      </c>
      <c r="Q2031" s="138">
        <f>Q2138+Q2128+Q2125+Q2109+Q2083+Q2032</f>
        <v>1155102</v>
      </c>
      <c r="R2031" s="139">
        <f>R2138+R2128+R2125+R2109+R2083+R2032</f>
        <v>221601</v>
      </c>
      <c r="S2031" s="139">
        <f>S2138+S2128+S2125+S2109+S2083+S2032</f>
        <v>857179</v>
      </c>
      <c r="T2031" s="532"/>
      <c r="U2031" s="140">
        <f t="shared" ref="U2031:U2061" si="112">I2031+O2031</f>
        <v>6491045</v>
      </c>
    </row>
    <row r="2032" spans="2:21" ht="15.75" x14ac:dyDescent="0.25">
      <c r="B2032" s="8">
        <f>B2031+1</f>
        <v>2</v>
      </c>
      <c r="C2032" s="141">
        <v>1</v>
      </c>
      <c r="D2032" s="677" t="s">
        <v>203</v>
      </c>
      <c r="E2032" s="678"/>
      <c r="F2032" s="678"/>
      <c r="G2032" s="678"/>
      <c r="H2032" s="678"/>
      <c r="I2032" s="142">
        <f>I2051+I2033</f>
        <v>1475880</v>
      </c>
      <c r="J2032" s="142">
        <f>J2051+J2033</f>
        <v>1178891</v>
      </c>
      <c r="K2032" s="142">
        <f>K2051+K2033</f>
        <v>1177091</v>
      </c>
      <c r="L2032" s="143">
        <f>L2051+L2033</f>
        <v>1174099</v>
      </c>
      <c r="M2032" s="143">
        <f>M2051+M2033</f>
        <v>1241849</v>
      </c>
      <c r="N2032" s="533"/>
      <c r="O2032" s="142">
        <f>O2035+O2051</f>
        <v>550000</v>
      </c>
      <c r="P2032" s="142">
        <f>P2035+P2051</f>
        <v>170000</v>
      </c>
      <c r="Q2032" s="142">
        <f>Q2035+Q2051</f>
        <v>637302</v>
      </c>
      <c r="R2032" s="143">
        <f>R2035+R2051</f>
        <v>133225</v>
      </c>
      <c r="S2032" s="143">
        <f>S2035+S2051</f>
        <v>591357</v>
      </c>
      <c r="T2032" s="533"/>
      <c r="U2032" s="144">
        <f t="shared" si="112"/>
        <v>2025880</v>
      </c>
    </row>
    <row r="2033" spans="2:21" x14ac:dyDescent="0.2">
      <c r="B2033" s="8">
        <f t="shared" ref="B2033:B2038" si="113">B2032+1</f>
        <v>3</v>
      </c>
      <c r="C2033" s="24"/>
      <c r="D2033" s="24"/>
      <c r="E2033" s="24"/>
      <c r="F2033" s="149" t="s">
        <v>202</v>
      </c>
      <c r="G2033" s="150">
        <v>630</v>
      </c>
      <c r="H2033" s="24" t="s">
        <v>131</v>
      </c>
      <c r="I2033" s="25">
        <f>I2034</f>
        <v>500</v>
      </c>
      <c r="J2033" s="25">
        <f>J2034</f>
        <v>500</v>
      </c>
      <c r="K2033" s="25">
        <f>K2034</f>
        <v>500</v>
      </c>
      <c r="L2033" s="26"/>
      <c r="M2033" s="26"/>
      <c r="N2033" s="501"/>
      <c r="O2033" s="25"/>
      <c r="P2033" s="25"/>
      <c r="Q2033" s="25"/>
      <c r="R2033" s="26"/>
      <c r="S2033" s="26"/>
      <c r="T2033" s="501"/>
      <c r="U2033" s="151">
        <f t="shared" si="112"/>
        <v>500</v>
      </c>
    </row>
    <row r="2034" spans="2:21" x14ac:dyDescent="0.2">
      <c r="B2034" s="8">
        <f t="shared" si="113"/>
        <v>4</v>
      </c>
      <c r="C2034" s="18"/>
      <c r="D2034" s="18"/>
      <c r="E2034" s="18"/>
      <c r="F2034" s="152"/>
      <c r="G2034" s="153">
        <v>637</v>
      </c>
      <c r="H2034" s="18" t="s">
        <v>132</v>
      </c>
      <c r="I2034" s="19">
        <v>500</v>
      </c>
      <c r="J2034" s="19">
        <v>500</v>
      </c>
      <c r="K2034" s="19">
        <v>500</v>
      </c>
      <c r="L2034" s="20"/>
      <c r="M2034" s="20"/>
      <c r="N2034" s="164"/>
      <c r="O2034" s="19"/>
      <c r="P2034" s="19"/>
      <c r="Q2034" s="19"/>
      <c r="R2034" s="20"/>
      <c r="S2034" s="20"/>
      <c r="T2034" s="164"/>
      <c r="U2034" s="154">
        <f t="shared" si="112"/>
        <v>500</v>
      </c>
    </row>
    <row r="2035" spans="2:21" x14ac:dyDescent="0.2">
      <c r="B2035" s="8">
        <f t="shared" si="113"/>
        <v>5</v>
      </c>
      <c r="C2035" s="24"/>
      <c r="D2035" s="24"/>
      <c r="E2035" s="24"/>
      <c r="F2035" s="149" t="s">
        <v>202</v>
      </c>
      <c r="G2035" s="150">
        <v>710</v>
      </c>
      <c r="H2035" s="24" t="s">
        <v>185</v>
      </c>
      <c r="I2035" s="25"/>
      <c r="J2035" s="25"/>
      <c r="K2035" s="25"/>
      <c r="L2035" s="26"/>
      <c r="M2035" s="26"/>
      <c r="N2035" s="501"/>
      <c r="O2035" s="25">
        <f>O2036+O2043</f>
        <v>550000</v>
      </c>
      <c r="P2035" s="25">
        <f>P2043+P2036</f>
        <v>130000</v>
      </c>
      <c r="Q2035" s="25">
        <f>Q2043+Q2036</f>
        <v>518802</v>
      </c>
      <c r="R2035" s="26">
        <f>R2043+R2036</f>
        <v>93421</v>
      </c>
      <c r="S2035" s="26">
        <f>S2043+S2036</f>
        <v>591357</v>
      </c>
      <c r="T2035" s="501"/>
      <c r="U2035" s="151">
        <f t="shared" si="112"/>
        <v>550000</v>
      </c>
    </row>
    <row r="2036" spans="2:21" x14ac:dyDescent="0.2">
      <c r="B2036" s="8">
        <f t="shared" si="113"/>
        <v>6</v>
      </c>
      <c r="C2036" s="18"/>
      <c r="D2036" s="18"/>
      <c r="E2036" s="18"/>
      <c r="F2036" s="152"/>
      <c r="G2036" s="153">
        <v>716</v>
      </c>
      <c r="H2036" s="18" t="s">
        <v>226</v>
      </c>
      <c r="I2036" s="19"/>
      <c r="J2036" s="19"/>
      <c r="K2036" s="19"/>
      <c r="L2036" s="20"/>
      <c r="M2036" s="20"/>
      <c r="N2036" s="164"/>
      <c r="O2036" s="19">
        <f>SUM(O2037:O2042)</f>
        <v>45000</v>
      </c>
      <c r="P2036" s="19">
        <f>SUM(P2037:P2042)</f>
        <v>0</v>
      </c>
      <c r="Q2036" s="19">
        <f>SUM(Q2037:Q2042)</f>
        <v>45000</v>
      </c>
      <c r="R2036" s="20">
        <f>SUM(R2037:R2042)</f>
        <v>58821</v>
      </c>
      <c r="S2036" s="20">
        <f>S2041</f>
        <v>113957</v>
      </c>
      <c r="T2036" s="164"/>
      <c r="U2036" s="154">
        <f t="shared" si="112"/>
        <v>45000</v>
      </c>
    </row>
    <row r="2037" spans="2:21" x14ac:dyDescent="0.2">
      <c r="B2037" s="8">
        <f t="shared" si="113"/>
        <v>7</v>
      </c>
      <c r="C2037" s="18"/>
      <c r="D2037" s="18"/>
      <c r="E2037" s="18"/>
      <c r="F2037" s="152"/>
      <c r="G2037" s="153"/>
      <c r="H2037" s="156" t="s">
        <v>744</v>
      </c>
      <c r="I2037" s="19"/>
      <c r="J2037" s="19"/>
      <c r="K2037" s="19"/>
      <c r="L2037" s="19"/>
      <c r="M2037" s="19"/>
      <c r="N2037" s="164"/>
      <c r="O2037" s="19"/>
      <c r="P2037" s="157"/>
      <c r="Q2037" s="19"/>
      <c r="R2037" s="20">
        <v>29520</v>
      </c>
      <c r="S2037" s="19"/>
      <c r="T2037" s="164"/>
      <c r="U2037" s="154">
        <f t="shared" si="112"/>
        <v>0</v>
      </c>
    </row>
    <row r="2038" spans="2:21" x14ac:dyDescent="0.2">
      <c r="B2038" s="8">
        <f t="shared" si="113"/>
        <v>8</v>
      </c>
      <c r="C2038" s="120"/>
      <c r="D2038" s="120"/>
      <c r="E2038" s="120"/>
      <c r="F2038" s="298"/>
      <c r="G2038" s="298"/>
      <c r="H2038" s="156" t="s">
        <v>1029</v>
      </c>
      <c r="I2038" s="157"/>
      <c r="J2038" s="157"/>
      <c r="K2038" s="157"/>
      <c r="L2038" s="157"/>
      <c r="M2038" s="157"/>
      <c r="N2038" s="535"/>
      <c r="O2038" s="157">
        <v>45000</v>
      </c>
      <c r="P2038" s="157"/>
      <c r="Q2038" s="157">
        <v>45000</v>
      </c>
      <c r="R2038" s="158"/>
      <c r="S2038" s="157"/>
      <c r="T2038" s="535"/>
      <c r="U2038" s="159">
        <f t="shared" si="112"/>
        <v>45000</v>
      </c>
    </row>
    <row r="2039" spans="2:21" x14ac:dyDescent="0.2">
      <c r="B2039" s="8">
        <f t="shared" ref="B2039:B2102" si="114">B2038+1</f>
        <v>9</v>
      </c>
      <c r="C2039" s="120"/>
      <c r="D2039" s="120"/>
      <c r="E2039" s="120"/>
      <c r="F2039" s="298"/>
      <c r="G2039" s="298"/>
      <c r="H2039" s="156" t="s">
        <v>745</v>
      </c>
      <c r="I2039" s="157"/>
      <c r="J2039" s="157"/>
      <c r="K2039" s="157"/>
      <c r="L2039" s="157"/>
      <c r="M2039" s="157"/>
      <c r="N2039" s="535"/>
      <c r="O2039" s="157"/>
      <c r="P2039" s="157"/>
      <c r="Q2039" s="157"/>
      <c r="R2039" s="158">
        <v>6661</v>
      </c>
      <c r="S2039" s="157"/>
      <c r="T2039" s="535"/>
      <c r="U2039" s="159">
        <f t="shared" si="112"/>
        <v>0</v>
      </c>
    </row>
    <row r="2040" spans="2:21" x14ac:dyDescent="0.2">
      <c r="B2040" s="8">
        <f t="shared" si="114"/>
        <v>10</v>
      </c>
      <c r="C2040" s="120"/>
      <c r="D2040" s="120"/>
      <c r="E2040" s="120"/>
      <c r="F2040" s="298"/>
      <c r="G2040" s="298"/>
      <c r="H2040" s="156" t="s">
        <v>746</v>
      </c>
      <c r="I2040" s="157"/>
      <c r="J2040" s="157"/>
      <c r="K2040" s="157"/>
      <c r="L2040" s="157"/>
      <c r="M2040" s="157"/>
      <c r="N2040" s="535"/>
      <c r="O2040" s="157"/>
      <c r="P2040" s="157"/>
      <c r="Q2040" s="157"/>
      <c r="R2040" s="158">
        <v>13040</v>
      </c>
      <c r="S2040" s="157"/>
      <c r="T2040" s="535"/>
      <c r="U2040" s="159">
        <f t="shared" si="112"/>
        <v>0</v>
      </c>
    </row>
    <row r="2041" spans="2:21" x14ac:dyDescent="0.2">
      <c r="B2041" s="8">
        <f t="shared" si="114"/>
        <v>11</v>
      </c>
      <c r="C2041" s="120"/>
      <c r="D2041" s="120"/>
      <c r="E2041" s="120"/>
      <c r="F2041" s="298"/>
      <c r="G2041" s="298"/>
      <c r="H2041" s="156" t="s">
        <v>298</v>
      </c>
      <c r="I2041" s="157"/>
      <c r="J2041" s="157"/>
      <c r="K2041" s="157"/>
      <c r="L2041" s="157"/>
      <c r="M2041" s="157"/>
      <c r="N2041" s="535"/>
      <c r="O2041" s="157"/>
      <c r="P2041" s="157"/>
      <c r="Q2041" s="157"/>
      <c r="R2041" s="158">
        <v>4800</v>
      </c>
      <c r="S2041" s="158">
        <v>113957</v>
      </c>
      <c r="T2041" s="535"/>
      <c r="U2041" s="159">
        <f t="shared" si="112"/>
        <v>0</v>
      </c>
    </row>
    <row r="2042" spans="2:21" x14ac:dyDescent="0.2">
      <c r="B2042" s="8">
        <f t="shared" si="114"/>
        <v>12</v>
      </c>
      <c r="C2042" s="120"/>
      <c r="D2042" s="120"/>
      <c r="E2042" s="120"/>
      <c r="F2042" s="298"/>
      <c r="G2042" s="298"/>
      <c r="H2042" s="156" t="s">
        <v>822</v>
      </c>
      <c r="I2042" s="157"/>
      <c r="J2042" s="157"/>
      <c r="K2042" s="157"/>
      <c r="L2042" s="157"/>
      <c r="M2042" s="157"/>
      <c r="N2042" s="535"/>
      <c r="O2042" s="157"/>
      <c r="P2042" s="157"/>
      <c r="Q2042" s="157"/>
      <c r="R2042" s="158">
        <v>4800</v>
      </c>
      <c r="S2042" s="157"/>
      <c r="T2042" s="535"/>
      <c r="U2042" s="159">
        <f t="shared" si="112"/>
        <v>0</v>
      </c>
    </row>
    <row r="2043" spans="2:21" x14ac:dyDescent="0.2">
      <c r="B2043" s="8">
        <f t="shared" si="114"/>
        <v>13</v>
      </c>
      <c r="C2043" s="18"/>
      <c r="D2043" s="18"/>
      <c r="E2043" s="18"/>
      <c r="F2043" s="152"/>
      <c r="G2043" s="153">
        <v>717</v>
      </c>
      <c r="H2043" s="18" t="s">
        <v>192</v>
      </c>
      <c r="I2043" s="19"/>
      <c r="J2043" s="19"/>
      <c r="K2043" s="19"/>
      <c r="L2043" s="20"/>
      <c r="M2043" s="20"/>
      <c r="N2043" s="164"/>
      <c r="O2043" s="19">
        <f>SUM(O2044:O2050)</f>
        <v>505000</v>
      </c>
      <c r="P2043" s="19">
        <f>SUM(P2046:P2047)</f>
        <v>130000</v>
      </c>
      <c r="Q2043" s="19">
        <f>SUM(Q2046:Q2050)</f>
        <v>473802</v>
      </c>
      <c r="R2043" s="20">
        <f>R2045</f>
        <v>34600</v>
      </c>
      <c r="S2043" s="20">
        <f>SUM(S2044:S2050)</f>
        <v>477400</v>
      </c>
      <c r="T2043" s="164"/>
      <c r="U2043" s="154">
        <f t="shared" si="112"/>
        <v>505000</v>
      </c>
    </row>
    <row r="2044" spans="2:21" x14ac:dyDescent="0.2">
      <c r="B2044" s="8">
        <f t="shared" si="114"/>
        <v>14</v>
      </c>
      <c r="C2044" s="120"/>
      <c r="D2044" s="120"/>
      <c r="E2044" s="120"/>
      <c r="F2044" s="298"/>
      <c r="G2044" s="298"/>
      <c r="H2044" s="156" t="s">
        <v>304</v>
      </c>
      <c r="I2044" s="157"/>
      <c r="J2044" s="157"/>
      <c r="K2044" s="157"/>
      <c r="L2044" s="157"/>
      <c r="M2044" s="157"/>
      <c r="N2044" s="535"/>
      <c r="O2044" s="157"/>
      <c r="P2044" s="157"/>
      <c r="Q2044" s="157"/>
      <c r="R2044" s="158"/>
      <c r="S2044" s="158">
        <v>98055</v>
      </c>
      <c r="T2044" s="535"/>
      <c r="U2044" s="159">
        <f t="shared" si="112"/>
        <v>0</v>
      </c>
    </row>
    <row r="2045" spans="2:21" x14ac:dyDescent="0.2">
      <c r="B2045" s="8">
        <f t="shared" si="114"/>
        <v>15</v>
      </c>
      <c r="C2045" s="120"/>
      <c r="D2045" s="120"/>
      <c r="E2045" s="120"/>
      <c r="F2045" s="298"/>
      <c r="G2045" s="298"/>
      <c r="H2045" s="156" t="s">
        <v>372</v>
      </c>
      <c r="I2045" s="157"/>
      <c r="J2045" s="157"/>
      <c r="K2045" s="157"/>
      <c r="L2045" s="157"/>
      <c r="M2045" s="157"/>
      <c r="N2045" s="535"/>
      <c r="O2045" s="157"/>
      <c r="P2045" s="157"/>
      <c r="Q2045" s="157"/>
      <c r="R2045" s="158">
        <v>34600</v>
      </c>
      <c r="S2045" s="158">
        <v>283863</v>
      </c>
      <c r="T2045" s="535"/>
      <c r="U2045" s="159">
        <f t="shared" si="112"/>
        <v>0</v>
      </c>
    </row>
    <row r="2046" spans="2:21" x14ac:dyDescent="0.2">
      <c r="B2046" s="8">
        <f t="shared" si="114"/>
        <v>16</v>
      </c>
      <c r="C2046" s="120"/>
      <c r="D2046" s="120"/>
      <c r="E2046" s="120"/>
      <c r="F2046" s="298"/>
      <c r="G2046" s="298"/>
      <c r="H2046" s="156" t="s">
        <v>934</v>
      </c>
      <c r="I2046" s="157"/>
      <c r="J2046" s="157"/>
      <c r="K2046" s="157"/>
      <c r="L2046" s="157"/>
      <c r="M2046" s="157"/>
      <c r="N2046" s="535"/>
      <c r="O2046" s="157"/>
      <c r="P2046" s="157">
        <v>30000</v>
      </c>
      <c r="Q2046" s="157">
        <v>61000</v>
      </c>
      <c r="R2046" s="158"/>
      <c r="S2046" s="158"/>
      <c r="T2046" s="535"/>
      <c r="U2046" s="159">
        <f t="shared" si="112"/>
        <v>0</v>
      </c>
    </row>
    <row r="2047" spans="2:21" x14ac:dyDescent="0.2">
      <c r="B2047" s="8">
        <f t="shared" si="114"/>
        <v>17</v>
      </c>
      <c r="C2047" s="120"/>
      <c r="D2047" s="120"/>
      <c r="E2047" s="120"/>
      <c r="F2047" s="298"/>
      <c r="G2047" s="298"/>
      <c r="H2047" s="156" t="s">
        <v>935</v>
      </c>
      <c r="I2047" s="157"/>
      <c r="J2047" s="157"/>
      <c r="K2047" s="157"/>
      <c r="L2047" s="157"/>
      <c r="M2047" s="157"/>
      <c r="N2047" s="535"/>
      <c r="O2047" s="157">
        <v>105000</v>
      </c>
      <c r="P2047" s="157">
        <v>100000</v>
      </c>
      <c r="Q2047" s="157">
        <v>1500</v>
      </c>
      <c r="R2047" s="158"/>
      <c r="S2047" s="158"/>
      <c r="T2047" s="535"/>
      <c r="U2047" s="159">
        <f t="shared" si="112"/>
        <v>105000</v>
      </c>
    </row>
    <row r="2048" spans="2:21" x14ac:dyDescent="0.2">
      <c r="B2048" s="8">
        <f t="shared" si="114"/>
        <v>18</v>
      </c>
      <c r="C2048" s="120"/>
      <c r="D2048" s="120"/>
      <c r="E2048" s="120"/>
      <c r="F2048" s="298"/>
      <c r="G2048" s="298"/>
      <c r="H2048" s="156" t="s">
        <v>1030</v>
      </c>
      <c r="I2048" s="157"/>
      <c r="J2048" s="157"/>
      <c r="K2048" s="157"/>
      <c r="L2048" s="157"/>
      <c r="M2048" s="157"/>
      <c r="N2048" s="535"/>
      <c r="O2048" s="157">
        <v>400000</v>
      </c>
      <c r="P2048" s="157"/>
      <c r="Q2048" s="157">
        <v>400000</v>
      </c>
      <c r="R2048" s="158"/>
      <c r="S2048" s="158"/>
      <c r="T2048" s="535"/>
      <c r="U2048" s="159">
        <f t="shared" si="112"/>
        <v>400000</v>
      </c>
    </row>
    <row r="2049" spans="2:21" x14ac:dyDescent="0.2">
      <c r="B2049" s="8">
        <f t="shared" si="114"/>
        <v>19</v>
      </c>
      <c r="C2049" s="120"/>
      <c r="D2049" s="120"/>
      <c r="E2049" s="120"/>
      <c r="F2049" s="298"/>
      <c r="G2049" s="298"/>
      <c r="H2049" s="156" t="s">
        <v>374</v>
      </c>
      <c r="I2049" s="157"/>
      <c r="J2049" s="157"/>
      <c r="K2049" s="157"/>
      <c r="L2049" s="157"/>
      <c r="M2049" s="157"/>
      <c r="N2049" s="535"/>
      <c r="O2049" s="157"/>
      <c r="P2049" s="157"/>
      <c r="Q2049" s="157"/>
      <c r="R2049" s="158"/>
      <c r="S2049" s="158">
        <v>95482</v>
      </c>
      <c r="T2049" s="535"/>
      <c r="U2049" s="159">
        <f t="shared" si="112"/>
        <v>0</v>
      </c>
    </row>
    <row r="2050" spans="2:21" x14ac:dyDescent="0.2">
      <c r="B2050" s="8">
        <f t="shared" si="114"/>
        <v>20</v>
      </c>
      <c r="C2050" s="120"/>
      <c r="D2050" s="120"/>
      <c r="E2050" s="120"/>
      <c r="F2050" s="298"/>
      <c r="G2050" s="298"/>
      <c r="H2050" s="156" t="s">
        <v>963</v>
      </c>
      <c r="I2050" s="157"/>
      <c r="J2050" s="157"/>
      <c r="K2050" s="157"/>
      <c r="L2050" s="157"/>
      <c r="M2050" s="157"/>
      <c r="N2050" s="535"/>
      <c r="O2050" s="157"/>
      <c r="P2050" s="157"/>
      <c r="Q2050" s="157">
        <v>11302</v>
      </c>
      <c r="R2050" s="157"/>
      <c r="S2050" s="157"/>
      <c r="T2050" s="535"/>
      <c r="U2050" s="159">
        <f t="shared" si="112"/>
        <v>0</v>
      </c>
    </row>
    <row r="2051" spans="2:21" ht="14.25" x14ac:dyDescent="0.2">
      <c r="B2051" s="8">
        <f t="shared" si="114"/>
        <v>21</v>
      </c>
      <c r="C2051" s="267"/>
      <c r="D2051" s="267"/>
      <c r="E2051" s="267">
        <v>2</v>
      </c>
      <c r="F2051" s="268"/>
      <c r="G2051" s="268"/>
      <c r="H2051" s="267" t="s">
        <v>13</v>
      </c>
      <c r="I2051" s="269">
        <f>I2052+I2063</f>
        <v>1475380</v>
      </c>
      <c r="J2051" s="269">
        <f>J2052+J2063</f>
        <v>1178391</v>
      </c>
      <c r="K2051" s="428">
        <f>K2052+K2063</f>
        <v>1176591</v>
      </c>
      <c r="L2051" s="270">
        <f>L2052+L2063</f>
        <v>1174099</v>
      </c>
      <c r="M2051" s="270">
        <f>M2052+M2063</f>
        <v>1241849</v>
      </c>
      <c r="N2051" s="534"/>
      <c r="O2051" s="269"/>
      <c r="P2051" s="269">
        <f>P2052+P2063</f>
        <v>40000</v>
      </c>
      <c r="Q2051" s="269">
        <f>Q2052+Q2063</f>
        <v>118500</v>
      </c>
      <c r="R2051" s="270">
        <f>R2052+R2063</f>
        <v>39804</v>
      </c>
      <c r="S2051" s="270">
        <f>S2052+S2063</f>
        <v>0</v>
      </c>
      <c r="T2051" s="534"/>
      <c r="U2051" s="271">
        <f t="shared" si="112"/>
        <v>1475380</v>
      </c>
    </row>
    <row r="2052" spans="2:21" x14ac:dyDescent="0.2">
      <c r="B2052" s="8">
        <f t="shared" si="114"/>
        <v>22</v>
      </c>
      <c r="C2052" s="280"/>
      <c r="D2052" s="280"/>
      <c r="E2052" s="280"/>
      <c r="F2052" s="281"/>
      <c r="G2052" s="281"/>
      <c r="H2052" s="280" t="s">
        <v>494</v>
      </c>
      <c r="I2052" s="282">
        <f>I2053+I2054+I2055+I2062</f>
        <v>339775</v>
      </c>
      <c r="J2052" s="282">
        <f>J2053+J2054+J2055+J2062</f>
        <v>297946</v>
      </c>
      <c r="K2052" s="282">
        <f>K2053+K2054+K2055+K2062</f>
        <v>299946</v>
      </c>
      <c r="L2052" s="283">
        <f>L2053+L2054+L2055+L2062</f>
        <v>272965</v>
      </c>
      <c r="M2052" s="283">
        <f>M2053+M2054+M2055+M2062</f>
        <v>278838</v>
      </c>
      <c r="N2052" s="501"/>
      <c r="O2052" s="282"/>
      <c r="P2052" s="282"/>
      <c r="Q2052" s="282"/>
      <c r="R2052" s="283"/>
      <c r="S2052" s="283"/>
      <c r="T2052" s="501"/>
      <c r="U2052" s="284">
        <f t="shared" si="112"/>
        <v>339775</v>
      </c>
    </row>
    <row r="2053" spans="2:21" x14ac:dyDescent="0.2">
      <c r="B2053" s="8">
        <f t="shared" si="114"/>
        <v>23</v>
      </c>
      <c r="C2053" s="24"/>
      <c r="D2053" s="24"/>
      <c r="E2053" s="24"/>
      <c r="F2053" s="149" t="s">
        <v>243</v>
      </c>
      <c r="G2053" s="150">
        <v>610</v>
      </c>
      <c r="H2053" s="24" t="s">
        <v>141</v>
      </c>
      <c r="I2053" s="25">
        <f>35100+81700</f>
        <v>116800</v>
      </c>
      <c r="J2053" s="25">
        <v>102675</v>
      </c>
      <c r="K2053" s="25">
        <v>102675</v>
      </c>
      <c r="L2053" s="26">
        <v>101894</v>
      </c>
      <c r="M2053" s="26">
        <v>93392</v>
      </c>
      <c r="N2053" s="501"/>
      <c r="O2053" s="25"/>
      <c r="P2053" s="25"/>
      <c r="Q2053" s="25"/>
      <c r="R2053" s="26"/>
      <c r="S2053" s="26"/>
      <c r="T2053" s="501"/>
      <c r="U2053" s="151">
        <f t="shared" si="112"/>
        <v>116800</v>
      </c>
    </row>
    <row r="2054" spans="2:21" x14ac:dyDescent="0.2">
      <c r="B2054" s="8">
        <f t="shared" si="114"/>
        <v>24</v>
      </c>
      <c r="C2054" s="24"/>
      <c r="D2054" s="24"/>
      <c r="E2054" s="24"/>
      <c r="F2054" s="149" t="s">
        <v>243</v>
      </c>
      <c r="G2054" s="150">
        <v>620</v>
      </c>
      <c r="H2054" s="24" t="s">
        <v>134</v>
      </c>
      <c r="I2054" s="25">
        <f>15900+29055</f>
        <v>44955</v>
      </c>
      <c r="J2054" s="25">
        <v>40225</v>
      </c>
      <c r="K2054" s="25">
        <v>40725</v>
      </c>
      <c r="L2054" s="26">
        <v>35825</v>
      </c>
      <c r="M2054" s="26">
        <v>32450</v>
      </c>
      <c r="N2054" s="501"/>
      <c r="O2054" s="25"/>
      <c r="P2054" s="25"/>
      <c r="Q2054" s="25"/>
      <c r="R2054" s="26"/>
      <c r="S2054" s="26"/>
      <c r="T2054" s="501"/>
      <c r="U2054" s="151">
        <f t="shared" si="112"/>
        <v>44955</v>
      </c>
    </row>
    <row r="2055" spans="2:21" x14ac:dyDescent="0.2">
      <c r="B2055" s="8">
        <f t="shared" si="114"/>
        <v>25</v>
      </c>
      <c r="C2055" s="24"/>
      <c r="D2055" s="24"/>
      <c r="E2055" s="24"/>
      <c r="F2055" s="149" t="s">
        <v>243</v>
      </c>
      <c r="G2055" s="150">
        <v>630</v>
      </c>
      <c r="H2055" s="24" t="s">
        <v>131</v>
      </c>
      <c r="I2055" s="25">
        <f>I2061+I2060+I2059+I2058+I2057+I2056</f>
        <v>168900</v>
      </c>
      <c r="J2055" s="25">
        <f>J2061+J2060+J2059+J2058+J2057+J2056</f>
        <v>148646</v>
      </c>
      <c r="K2055" s="25">
        <f>K2061+K2060+K2059+K2058+K2057+K2056</f>
        <v>150146</v>
      </c>
      <c r="L2055" s="26">
        <f>L2061+L2060+L2059+L2058+L2057+L2056</f>
        <v>130584</v>
      </c>
      <c r="M2055" s="26">
        <f>M2061+M2060+M2059+M2058+M2057+M2056</f>
        <v>152068</v>
      </c>
      <c r="N2055" s="501"/>
      <c r="O2055" s="25"/>
      <c r="P2055" s="25"/>
      <c r="Q2055" s="25"/>
      <c r="R2055" s="26"/>
      <c r="S2055" s="26"/>
      <c r="T2055" s="501"/>
      <c r="U2055" s="151">
        <f t="shared" si="112"/>
        <v>168900</v>
      </c>
    </row>
    <row r="2056" spans="2:21" x14ac:dyDescent="0.2">
      <c r="B2056" s="8">
        <f t="shared" si="114"/>
        <v>26</v>
      </c>
      <c r="C2056" s="18"/>
      <c r="D2056" s="18"/>
      <c r="E2056" s="18"/>
      <c r="F2056" s="152"/>
      <c r="G2056" s="153">
        <v>632</v>
      </c>
      <c r="H2056" s="18" t="s">
        <v>144</v>
      </c>
      <c r="I2056" s="19">
        <v>3500</v>
      </c>
      <c r="J2056" s="19">
        <v>4371</v>
      </c>
      <c r="K2056" s="19">
        <v>4371</v>
      </c>
      <c r="L2056" s="20">
        <v>1990</v>
      </c>
      <c r="M2056" s="20">
        <v>1198</v>
      </c>
      <c r="N2056" s="164"/>
      <c r="O2056" s="19"/>
      <c r="P2056" s="19"/>
      <c r="Q2056" s="19"/>
      <c r="R2056" s="20"/>
      <c r="S2056" s="20"/>
      <c r="T2056" s="164"/>
      <c r="U2056" s="154">
        <f t="shared" si="112"/>
        <v>3500</v>
      </c>
    </row>
    <row r="2057" spans="2:21" x14ac:dyDescent="0.2">
      <c r="B2057" s="8">
        <f t="shared" si="114"/>
        <v>27</v>
      </c>
      <c r="C2057" s="18"/>
      <c r="D2057" s="18"/>
      <c r="E2057" s="18"/>
      <c r="F2057" s="152"/>
      <c r="G2057" s="153">
        <v>633</v>
      </c>
      <c r="H2057" s="18" t="s">
        <v>135</v>
      </c>
      <c r="I2057" s="19">
        <v>20000</v>
      </c>
      <c r="J2057" s="19">
        <v>22250</v>
      </c>
      <c r="K2057" s="19">
        <v>24250</v>
      </c>
      <c r="L2057" s="20">
        <v>21509</v>
      </c>
      <c r="M2057" s="20">
        <v>14608</v>
      </c>
      <c r="N2057" s="164"/>
      <c r="O2057" s="19"/>
      <c r="P2057" s="19"/>
      <c r="Q2057" s="19"/>
      <c r="R2057" s="20"/>
      <c r="S2057" s="20"/>
      <c r="T2057" s="164"/>
      <c r="U2057" s="154">
        <f t="shared" si="112"/>
        <v>20000</v>
      </c>
    </row>
    <row r="2058" spans="2:21" x14ac:dyDescent="0.2">
      <c r="B2058" s="8">
        <f t="shared" si="114"/>
        <v>28</v>
      </c>
      <c r="C2058" s="18"/>
      <c r="D2058" s="18"/>
      <c r="E2058" s="18"/>
      <c r="F2058" s="152"/>
      <c r="G2058" s="153">
        <v>634</v>
      </c>
      <c r="H2058" s="18" t="s">
        <v>142</v>
      </c>
      <c r="I2058" s="19">
        <f>2500+2500+1390+3000+110+200</f>
        <v>9700</v>
      </c>
      <c r="J2058" s="19">
        <v>9700</v>
      </c>
      <c r="K2058" s="19">
        <v>9700</v>
      </c>
      <c r="L2058" s="20">
        <v>4313</v>
      </c>
      <c r="M2058" s="20">
        <v>4961</v>
      </c>
      <c r="N2058" s="164"/>
      <c r="O2058" s="19"/>
      <c r="P2058" s="19"/>
      <c r="Q2058" s="19"/>
      <c r="R2058" s="20"/>
      <c r="S2058" s="20"/>
      <c r="T2058" s="164"/>
      <c r="U2058" s="154">
        <f t="shared" si="112"/>
        <v>9700</v>
      </c>
    </row>
    <row r="2059" spans="2:21" x14ac:dyDescent="0.2">
      <c r="B2059" s="8">
        <f t="shared" si="114"/>
        <v>29</v>
      </c>
      <c r="C2059" s="18"/>
      <c r="D2059" s="18"/>
      <c r="E2059" s="18"/>
      <c r="F2059" s="152"/>
      <c r="G2059" s="153">
        <v>635</v>
      </c>
      <c r="H2059" s="18" t="s">
        <v>143</v>
      </c>
      <c r="I2059" s="19">
        <v>34000</v>
      </c>
      <c r="J2059" s="19">
        <v>28900</v>
      </c>
      <c r="K2059" s="19">
        <v>28900</v>
      </c>
      <c r="L2059" s="20">
        <v>15567</v>
      </c>
      <c r="M2059" s="20">
        <v>19671</v>
      </c>
      <c r="N2059" s="164"/>
      <c r="O2059" s="19"/>
      <c r="P2059" s="19"/>
      <c r="Q2059" s="19"/>
      <c r="R2059" s="20"/>
      <c r="S2059" s="20"/>
      <c r="T2059" s="164"/>
      <c r="U2059" s="154">
        <f t="shared" si="112"/>
        <v>34000</v>
      </c>
    </row>
    <row r="2060" spans="2:21" x14ac:dyDescent="0.2">
      <c r="B2060" s="8">
        <f t="shared" si="114"/>
        <v>30</v>
      </c>
      <c r="C2060" s="18"/>
      <c r="D2060" s="18"/>
      <c r="E2060" s="18"/>
      <c r="F2060" s="152"/>
      <c r="G2060" s="153">
        <v>636</v>
      </c>
      <c r="H2060" s="18" t="s">
        <v>136</v>
      </c>
      <c r="I2060" s="19">
        <f>100+3600</f>
        <v>3700</v>
      </c>
      <c r="J2060" s="19">
        <v>3700</v>
      </c>
      <c r="K2060" s="19">
        <v>3700</v>
      </c>
      <c r="L2060" s="20">
        <v>1061</v>
      </c>
      <c r="M2060" s="20">
        <v>990</v>
      </c>
      <c r="N2060" s="164"/>
      <c r="O2060" s="19"/>
      <c r="P2060" s="19"/>
      <c r="Q2060" s="19"/>
      <c r="R2060" s="20"/>
      <c r="S2060" s="20"/>
      <c r="T2060" s="164"/>
      <c r="U2060" s="154">
        <f t="shared" si="112"/>
        <v>3700</v>
      </c>
    </row>
    <row r="2061" spans="2:21" x14ac:dyDescent="0.2">
      <c r="B2061" s="8">
        <f t="shared" si="114"/>
        <v>31</v>
      </c>
      <c r="C2061" s="18"/>
      <c r="D2061" s="18"/>
      <c r="E2061" s="18"/>
      <c r="F2061" s="152"/>
      <c r="G2061" s="153">
        <v>637</v>
      </c>
      <c r="H2061" s="18" t="s">
        <v>132</v>
      </c>
      <c r="I2061" s="19">
        <v>98000</v>
      </c>
      <c r="J2061" s="19">
        <v>79725</v>
      </c>
      <c r="K2061" s="19">
        <v>79225</v>
      </c>
      <c r="L2061" s="20">
        <v>86144</v>
      </c>
      <c r="M2061" s="20">
        <f>110444+196</f>
        <v>110640</v>
      </c>
      <c r="N2061" s="164"/>
      <c r="O2061" s="19"/>
      <c r="P2061" s="19"/>
      <c r="Q2061" s="19"/>
      <c r="R2061" s="20"/>
      <c r="S2061" s="20"/>
      <c r="T2061" s="164"/>
      <c r="U2061" s="154">
        <f t="shared" si="112"/>
        <v>98000</v>
      </c>
    </row>
    <row r="2062" spans="2:21" x14ac:dyDescent="0.2">
      <c r="B2062" s="8">
        <f t="shared" si="114"/>
        <v>32</v>
      </c>
      <c r="C2062" s="24"/>
      <c r="D2062" s="24"/>
      <c r="E2062" s="24"/>
      <c r="F2062" s="149" t="s">
        <v>243</v>
      </c>
      <c r="G2062" s="150">
        <v>640</v>
      </c>
      <c r="H2062" s="24" t="s">
        <v>139</v>
      </c>
      <c r="I2062" s="25">
        <f>200+2720+1400+3500+500+800</f>
        <v>9120</v>
      </c>
      <c r="J2062" s="25">
        <v>6400</v>
      </c>
      <c r="K2062" s="25">
        <v>6400</v>
      </c>
      <c r="L2062" s="26">
        <v>4662</v>
      </c>
      <c r="M2062" s="26">
        <v>928</v>
      </c>
      <c r="N2062" s="501"/>
      <c r="O2062" s="25"/>
      <c r="P2062" s="25"/>
      <c r="Q2062" s="25"/>
      <c r="R2062" s="26"/>
      <c r="S2062" s="26"/>
      <c r="T2062" s="501"/>
      <c r="U2062" s="151">
        <f t="shared" ref="U2062:U2099" si="115">I2062+O2062</f>
        <v>9120</v>
      </c>
    </row>
    <row r="2063" spans="2:21" x14ac:dyDescent="0.2">
      <c r="B2063" s="8">
        <f t="shared" si="114"/>
        <v>33</v>
      </c>
      <c r="C2063" s="280"/>
      <c r="D2063" s="280"/>
      <c r="E2063" s="280"/>
      <c r="F2063" s="281"/>
      <c r="G2063" s="281"/>
      <c r="H2063" s="280" t="s">
        <v>203</v>
      </c>
      <c r="I2063" s="282">
        <f>I2064+I2065+I2066+I2072</f>
        <v>1135605</v>
      </c>
      <c r="J2063" s="282">
        <f>J2064+J2065+J2066+J2072</f>
        <v>880445</v>
      </c>
      <c r="K2063" s="282">
        <f>K2064+K2065+K2066+K2072</f>
        <v>876645</v>
      </c>
      <c r="L2063" s="283">
        <f>L2064+L2065+L2066+L2072</f>
        <v>901134</v>
      </c>
      <c r="M2063" s="283">
        <f>M2064+M2065+M2066+M2072</f>
        <v>963011</v>
      </c>
      <c r="N2063" s="501"/>
      <c r="O2063" s="282"/>
      <c r="P2063" s="282">
        <f>P2073</f>
        <v>40000</v>
      </c>
      <c r="Q2063" s="282">
        <f>Q2073</f>
        <v>118500</v>
      </c>
      <c r="R2063" s="283">
        <f>R2073</f>
        <v>39804</v>
      </c>
      <c r="S2063" s="283"/>
      <c r="T2063" s="501"/>
      <c r="U2063" s="284">
        <f t="shared" si="115"/>
        <v>1135605</v>
      </c>
    </row>
    <row r="2064" spans="2:21" x14ac:dyDescent="0.2">
      <c r="B2064" s="8">
        <f t="shared" si="114"/>
        <v>34</v>
      </c>
      <c r="C2064" s="24"/>
      <c r="D2064" s="24"/>
      <c r="E2064" s="24"/>
      <c r="F2064" s="149" t="s">
        <v>202</v>
      </c>
      <c r="G2064" s="150">
        <v>610</v>
      </c>
      <c r="H2064" s="24" t="s">
        <v>141</v>
      </c>
      <c r="I2064" s="25">
        <v>210500</v>
      </c>
      <c r="J2064" s="25">
        <v>185675</v>
      </c>
      <c r="K2064" s="25">
        <v>185675</v>
      </c>
      <c r="L2064" s="26">
        <v>178034</v>
      </c>
      <c r="M2064" s="26">
        <v>150846</v>
      </c>
      <c r="N2064" s="501"/>
      <c r="O2064" s="25"/>
      <c r="P2064" s="25"/>
      <c r="Q2064" s="25"/>
      <c r="R2064" s="26"/>
      <c r="S2064" s="26"/>
      <c r="T2064" s="501"/>
      <c r="U2064" s="151">
        <f t="shared" si="115"/>
        <v>210500</v>
      </c>
    </row>
    <row r="2065" spans="2:21" x14ac:dyDescent="0.2">
      <c r="B2065" s="8">
        <f t="shared" si="114"/>
        <v>35</v>
      </c>
      <c r="C2065" s="24"/>
      <c r="D2065" s="24"/>
      <c r="E2065" s="24"/>
      <c r="F2065" s="149" t="s">
        <v>202</v>
      </c>
      <c r="G2065" s="150">
        <v>620</v>
      </c>
      <c r="H2065" s="24" t="s">
        <v>134</v>
      </c>
      <c r="I2065" s="25">
        <v>82150</v>
      </c>
      <c r="J2065" s="25">
        <v>70880</v>
      </c>
      <c r="K2065" s="25">
        <v>70880</v>
      </c>
      <c r="L2065" s="26">
        <v>63612</v>
      </c>
      <c r="M2065" s="26">
        <v>54254</v>
      </c>
      <c r="N2065" s="501"/>
      <c r="O2065" s="25"/>
      <c r="P2065" s="25"/>
      <c r="Q2065" s="25"/>
      <c r="R2065" s="26"/>
      <c r="S2065" s="26"/>
      <c r="T2065" s="501"/>
      <c r="U2065" s="151">
        <f t="shared" si="115"/>
        <v>82150</v>
      </c>
    </row>
    <row r="2066" spans="2:21" x14ac:dyDescent="0.2">
      <c r="B2066" s="8">
        <f t="shared" si="114"/>
        <v>36</v>
      </c>
      <c r="C2066" s="24"/>
      <c r="D2066" s="24"/>
      <c r="E2066" s="24"/>
      <c r="F2066" s="149"/>
      <c r="G2066" s="150">
        <v>630</v>
      </c>
      <c r="H2066" s="24" t="s">
        <v>131</v>
      </c>
      <c r="I2066" s="25">
        <f>I2071+I2070+I2069+I2068+I2067</f>
        <v>827755</v>
      </c>
      <c r="J2066" s="25">
        <f>J2071+J2070+J2069+J2068+J2067</f>
        <v>613090</v>
      </c>
      <c r="K2066" s="25">
        <f>K2071+K2070+K2069+K2068+K2067</f>
        <v>608590</v>
      </c>
      <c r="L2066" s="26">
        <f>L2071+L2070+L2069+L2068+L2067</f>
        <v>649989</v>
      </c>
      <c r="M2066" s="26">
        <f>M2071+M2070+M2069+M2068+M2067</f>
        <v>756855</v>
      </c>
      <c r="N2066" s="501"/>
      <c r="O2066" s="25"/>
      <c r="P2066" s="25"/>
      <c r="Q2066" s="25"/>
      <c r="R2066" s="26"/>
      <c r="S2066" s="26"/>
      <c r="T2066" s="501"/>
      <c r="U2066" s="151">
        <f t="shared" si="115"/>
        <v>827755</v>
      </c>
    </row>
    <row r="2067" spans="2:21" x14ac:dyDescent="0.2">
      <c r="B2067" s="8">
        <f t="shared" si="114"/>
        <v>37</v>
      </c>
      <c r="C2067" s="18"/>
      <c r="D2067" s="18"/>
      <c r="E2067" s="18"/>
      <c r="F2067" s="152"/>
      <c r="G2067" s="153">
        <v>633</v>
      </c>
      <c r="H2067" s="18" t="s">
        <v>135</v>
      </c>
      <c r="I2067" s="19">
        <f>6000+353500+2000+12000-200000</f>
        <v>173500</v>
      </c>
      <c r="J2067" s="19">
        <v>101500</v>
      </c>
      <c r="K2067" s="19">
        <v>101500</v>
      </c>
      <c r="L2067" s="20">
        <v>151553</v>
      </c>
      <c r="M2067" s="20">
        <v>112787</v>
      </c>
      <c r="N2067" s="164"/>
      <c r="O2067" s="19"/>
      <c r="P2067" s="19"/>
      <c r="Q2067" s="19"/>
      <c r="R2067" s="20"/>
      <c r="S2067" s="20"/>
      <c r="T2067" s="164"/>
      <c r="U2067" s="154">
        <f t="shared" si="115"/>
        <v>173500</v>
      </c>
    </row>
    <row r="2068" spans="2:21" x14ac:dyDescent="0.2">
      <c r="B2068" s="8">
        <f t="shared" si="114"/>
        <v>38</v>
      </c>
      <c r="C2068" s="18"/>
      <c r="D2068" s="18"/>
      <c r="E2068" s="18"/>
      <c r="F2068" s="152"/>
      <c r="G2068" s="153">
        <v>634</v>
      </c>
      <c r="H2068" s="18" t="s">
        <v>142</v>
      </c>
      <c r="I2068" s="19">
        <f>20000+15000+3000+200</f>
        <v>38200</v>
      </c>
      <c r="J2068" s="19">
        <v>60200</v>
      </c>
      <c r="K2068" s="19">
        <v>43300</v>
      </c>
      <c r="L2068" s="20">
        <v>36910</v>
      </c>
      <c r="M2068" s="20">
        <v>30755</v>
      </c>
      <c r="N2068" s="164"/>
      <c r="O2068" s="19"/>
      <c r="P2068" s="19"/>
      <c r="Q2068" s="19"/>
      <c r="R2068" s="20"/>
      <c r="S2068" s="20"/>
      <c r="T2068" s="164"/>
      <c r="U2068" s="154">
        <f t="shared" si="115"/>
        <v>38200</v>
      </c>
    </row>
    <row r="2069" spans="2:21" x14ac:dyDescent="0.2">
      <c r="B2069" s="8">
        <f t="shared" si="114"/>
        <v>39</v>
      </c>
      <c r="C2069" s="18"/>
      <c r="D2069" s="18"/>
      <c r="E2069" s="18"/>
      <c r="F2069" s="152"/>
      <c r="G2069" s="153">
        <v>635</v>
      </c>
      <c r="H2069" s="18" t="s">
        <v>143</v>
      </c>
      <c r="I2069" s="19">
        <f>18000+1152130-280935-260000-50000</f>
        <v>579195</v>
      </c>
      <c r="J2069" s="19">
        <v>414890</v>
      </c>
      <c r="K2069" s="19">
        <v>438990</v>
      </c>
      <c r="L2069" s="20">
        <v>446450</v>
      </c>
      <c r="M2069" s="20">
        <v>591788</v>
      </c>
      <c r="N2069" s="164"/>
      <c r="O2069" s="19"/>
      <c r="P2069" s="19"/>
      <c r="Q2069" s="19"/>
      <c r="R2069" s="20"/>
      <c r="S2069" s="20"/>
      <c r="T2069" s="164"/>
      <c r="U2069" s="154">
        <f t="shared" si="115"/>
        <v>579195</v>
      </c>
    </row>
    <row r="2070" spans="2:21" x14ac:dyDescent="0.2">
      <c r="B2070" s="8">
        <f t="shared" si="114"/>
        <v>40</v>
      </c>
      <c r="C2070" s="18"/>
      <c r="D2070" s="18"/>
      <c r="E2070" s="18"/>
      <c r="F2070" s="152"/>
      <c r="G2070" s="153">
        <v>636</v>
      </c>
      <c r="H2070" s="18" t="s">
        <v>136</v>
      </c>
      <c r="I2070" s="19">
        <v>500</v>
      </c>
      <c r="J2070" s="19">
        <v>500</v>
      </c>
      <c r="K2070" s="19">
        <v>500</v>
      </c>
      <c r="L2070" s="20">
        <v>0</v>
      </c>
      <c r="M2070" s="20"/>
      <c r="N2070" s="164"/>
      <c r="O2070" s="19"/>
      <c r="P2070" s="19"/>
      <c r="Q2070" s="19"/>
      <c r="R2070" s="20"/>
      <c r="S2070" s="20"/>
      <c r="T2070" s="164"/>
      <c r="U2070" s="154">
        <f t="shared" si="115"/>
        <v>500</v>
      </c>
    </row>
    <row r="2071" spans="2:21" x14ac:dyDescent="0.2">
      <c r="B2071" s="8">
        <f t="shared" si="114"/>
        <v>41</v>
      </c>
      <c r="C2071" s="18"/>
      <c r="D2071" s="18"/>
      <c r="E2071" s="18"/>
      <c r="F2071" s="152"/>
      <c r="G2071" s="153">
        <v>637</v>
      </c>
      <c r="H2071" s="18" t="s">
        <v>132</v>
      </c>
      <c r="I2071" s="19">
        <f>1000+12150+4350+2000+1200+3160+12500</f>
        <v>36360</v>
      </c>
      <c r="J2071" s="19">
        <v>36000</v>
      </c>
      <c r="K2071" s="19">
        <v>24300</v>
      </c>
      <c r="L2071" s="20">
        <v>15076</v>
      </c>
      <c r="M2071" s="20">
        <f>21055+470</f>
        <v>21525</v>
      </c>
      <c r="N2071" s="164"/>
      <c r="O2071" s="19"/>
      <c r="P2071" s="19"/>
      <c r="Q2071" s="19"/>
      <c r="R2071" s="20"/>
      <c r="S2071" s="20"/>
      <c r="T2071" s="164"/>
      <c r="U2071" s="154">
        <f t="shared" si="115"/>
        <v>36360</v>
      </c>
    </row>
    <row r="2072" spans="2:21" x14ac:dyDescent="0.2">
      <c r="B2072" s="8">
        <f t="shared" si="114"/>
        <v>42</v>
      </c>
      <c r="C2072" s="24"/>
      <c r="D2072" s="24"/>
      <c r="E2072" s="24"/>
      <c r="F2072" s="149" t="s">
        <v>202</v>
      </c>
      <c r="G2072" s="150">
        <v>640</v>
      </c>
      <c r="H2072" s="24" t="s">
        <v>139</v>
      </c>
      <c r="I2072" s="25">
        <f>4400+9800+1000</f>
        <v>15200</v>
      </c>
      <c r="J2072" s="25">
        <v>10800</v>
      </c>
      <c r="K2072" s="25">
        <v>11500</v>
      </c>
      <c r="L2072" s="26">
        <v>9499</v>
      </c>
      <c r="M2072" s="26">
        <v>1056</v>
      </c>
      <c r="N2072" s="501"/>
      <c r="O2072" s="25"/>
      <c r="P2072" s="25"/>
      <c r="Q2072" s="25"/>
      <c r="R2072" s="26"/>
      <c r="S2072" s="26"/>
      <c r="T2072" s="501"/>
      <c r="U2072" s="151">
        <f t="shared" si="115"/>
        <v>15200</v>
      </c>
    </row>
    <row r="2073" spans="2:21" x14ac:dyDescent="0.2">
      <c r="B2073" s="8">
        <f t="shared" si="114"/>
        <v>43</v>
      </c>
      <c r="C2073" s="24"/>
      <c r="D2073" s="24"/>
      <c r="E2073" s="24"/>
      <c r="F2073" s="149" t="s">
        <v>202</v>
      </c>
      <c r="G2073" s="150">
        <v>710</v>
      </c>
      <c r="H2073" s="24" t="s">
        <v>185</v>
      </c>
      <c r="I2073" s="25"/>
      <c r="J2073" s="25"/>
      <c r="K2073" s="25"/>
      <c r="L2073" s="26"/>
      <c r="M2073" s="26"/>
      <c r="N2073" s="501"/>
      <c r="O2073" s="25"/>
      <c r="P2073" s="25">
        <f>P2076</f>
        <v>40000</v>
      </c>
      <c r="Q2073" s="25">
        <f>Q2076+Q2074</f>
        <v>118500</v>
      </c>
      <c r="R2073" s="26">
        <f>R2076</f>
        <v>39804</v>
      </c>
      <c r="S2073" s="26"/>
      <c r="T2073" s="501"/>
      <c r="U2073" s="151">
        <f t="shared" si="115"/>
        <v>0</v>
      </c>
    </row>
    <row r="2074" spans="2:21" x14ac:dyDescent="0.2">
      <c r="B2074" s="8">
        <f t="shared" si="114"/>
        <v>44</v>
      </c>
      <c r="C2074" s="24"/>
      <c r="D2074" s="24"/>
      <c r="E2074" s="24"/>
      <c r="F2074" s="149"/>
      <c r="G2074" s="153">
        <v>710</v>
      </c>
      <c r="H2074" s="18" t="s">
        <v>230</v>
      </c>
      <c r="I2074" s="25"/>
      <c r="J2074" s="25"/>
      <c r="K2074" s="25"/>
      <c r="L2074" s="26"/>
      <c r="M2074" s="26"/>
      <c r="N2074" s="501"/>
      <c r="O2074" s="25"/>
      <c r="P2074" s="25"/>
      <c r="Q2074" s="19">
        <f>Q2075</f>
        <v>40000</v>
      </c>
      <c r="R2074" s="26"/>
      <c r="S2074" s="26"/>
      <c r="T2074" s="501"/>
      <c r="U2074" s="154">
        <f t="shared" si="115"/>
        <v>0</v>
      </c>
    </row>
    <row r="2075" spans="2:21" x14ac:dyDescent="0.2">
      <c r="B2075" s="8">
        <f t="shared" si="114"/>
        <v>45</v>
      </c>
      <c r="C2075" s="24"/>
      <c r="D2075" s="24"/>
      <c r="E2075" s="24"/>
      <c r="F2075" s="149"/>
      <c r="G2075" s="155">
        <v>713</v>
      </c>
      <c r="H2075" s="156" t="s">
        <v>1118</v>
      </c>
      <c r="I2075" s="25"/>
      <c r="J2075" s="25"/>
      <c r="K2075" s="25"/>
      <c r="L2075" s="26"/>
      <c r="M2075" s="26"/>
      <c r="N2075" s="501"/>
      <c r="O2075" s="25"/>
      <c r="P2075" s="25"/>
      <c r="Q2075" s="157">
        <v>40000</v>
      </c>
      <c r="R2075" s="26"/>
      <c r="S2075" s="26"/>
      <c r="T2075" s="501"/>
      <c r="U2075" s="159">
        <f t="shared" si="115"/>
        <v>0</v>
      </c>
    </row>
    <row r="2076" spans="2:21" x14ac:dyDescent="0.2">
      <c r="B2076" s="8">
        <f t="shared" si="114"/>
        <v>46</v>
      </c>
      <c r="C2076" s="18"/>
      <c r="D2076" s="18"/>
      <c r="E2076" s="18"/>
      <c r="F2076" s="152"/>
      <c r="G2076" s="153">
        <v>714</v>
      </c>
      <c r="H2076" s="18" t="s">
        <v>186</v>
      </c>
      <c r="I2076" s="19"/>
      <c r="J2076" s="19"/>
      <c r="K2076" s="19"/>
      <c r="L2076" s="20"/>
      <c r="M2076" s="20"/>
      <c r="N2076" s="164"/>
      <c r="O2076" s="19"/>
      <c r="P2076" s="19">
        <f>P2079</f>
        <v>40000</v>
      </c>
      <c r="Q2076" s="20">
        <f>SUM(Q2077:Q2082)</f>
        <v>78500</v>
      </c>
      <c r="R2076" s="20">
        <f>SUM(R2077:R2082)</f>
        <v>39804</v>
      </c>
      <c r="S2076" s="20"/>
      <c r="T2076" s="164"/>
      <c r="U2076" s="154">
        <f t="shared" si="115"/>
        <v>0</v>
      </c>
    </row>
    <row r="2077" spans="2:21" s="246" customFormat="1" ht="12" x14ac:dyDescent="0.2">
      <c r="B2077" s="8">
        <f t="shared" si="114"/>
        <v>47</v>
      </c>
      <c r="C2077" s="156"/>
      <c r="D2077" s="156"/>
      <c r="E2077" s="156"/>
      <c r="F2077" s="272"/>
      <c r="G2077" s="155"/>
      <c r="H2077" s="156" t="s">
        <v>579</v>
      </c>
      <c r="I2077" s="157"/>
      <c r="J2077" s="157"/>
      <c r="K2077" s="157"/>
      <c r="L2077" s="158"/>
      <c r="M2077" s="158"/>
      <c r="N2077" s="535"/>
      <c r="O2077" s="157"/>
      <c r="P2077" s="157"/>
      <c r="Q2077" s="157"/>
      <c r="R2077" s="20">
        <v>22308</v>
      </c>
      <c r="S2077" s="158"/>
      <c r="T2077" s="535"/>
      <c r="U2077" s="159">
        <f t="shared" si="115"/>
        <v>0</v>
      </c>
    </row>
    <row r="2078" spans="2:21" s="246" customFormat="1" ht="12" x14ac:dyDescent="0.2">
      <c r="B2078" s="8">
        <f t="shared" si="114"/>
        <v>48</v>
      </c>
      <c r="C2078" s="156"/>
      <c r="D2078" s="156"/>
      <c r="E2078" s="156"/>
      <c r="F2078" s="272"/>
      <c r="G2078" s="155"/>
      <c r="H2078" s="156" t="s">
        <v>1119</v>
      </c>
      <c r="I2078" s="157"/>
      <c r="J2078" s="157"/>
      <c r="K2078" s="157"/>
      <c r="L2078" s="158"/>
      <c r="M2078" s="158"/>
      <c r="N2078" s="535"/>
      <c r="O2078" s="157"/>
      <c r="P2078" s="157"/>
      <c r="Q2078" s="157">
        <v>30000</v>
      </c>
      <c r="R2078" s="158"/>
      <c r="S2078" s="158"/>
      <c r="T2078" s="535"/>
      <c r="U2078" s="159">
        <f t="shared" si="115"/>
        <v>0</v>
      </c>
    </row>
    <row r="2079" spans="2:21" s="246" customFormat="1" ht="12" x14ac:dyDescent="0.2">
      <c r="B2079" s="8">
        <f t="shared" si="114"/>
        <v>49</v>
      </c>
      <c r="C2079" s="156"/>
      <c r="D2079" s="156"/>
      <c r="E2079" s="156"/>
      <c r="F2079" s="272"/>
      <c r="G2079" s="155"/>
      <c r="H2079" s="156" t="s">
        <v>936</v>
      </c>
      <c r="I2079" s="157"/>
      <c r="J2079" s="157"/>
      <c r="K2079" s="157"/>
      <c r="L2079" s="158"/>
      <c r="M2079" s="158"/>
      <c r="N2079" s="535"/>
      <c r="O2079" s="157"/>
      <c r="P2079" s="157">
        <v>40000</v>
      </c>
      <c r="Q2079" s="157">
        <v>0</v>
      </c>
      <c r="R2079" s="158"/>
      <c r="S2079" s="158"/>
      <c r="T2079" s="535"/>
      <c r="U2079" s="159">
        <f t="shared" si="115"/>
        <v>0</v>
      </c>
    </row>
    <row r="2080" spans="2:21" s="246" customFormat="1" ht="12" x14ac:dyDescent="0.2">
      <c r="B2080" s="8">
        <f t="shared" si="114"/>
        <v>50</v>
      </c>
      <c r="C2080" s="156"/>
      <c r="D2080" s="156"/>
      <c r="E2080" s="156"/>
      <c r="F2080" s="272"/>
      <c r="G2080" s="155"/>
      <c r="H2080" s="156" t="s">
        <v>1120</v>
      </c>
      <c r="I2080" s="157"/>
      <c r="J2080" s="157"/>
      <c r="K2080" s="157"/>
      <c r="L2080" s="158"/>
      <c r="M2080" s="158"/>
      <c r="N2080" s="535"/>
      <c r="O2080" s="157"/>
      <c r="P2080" s="157"/>
      <c r="Q2080" s="157">
        <v>40500</v>
      </c>
      <c r="R2080" s="158"/>
      <c r="S2080" s="158"/>
      <c r="T2080" s="535"/>
      <c r="U2080" s="159">
        <f t="shared" si="115"/>
        <v>0</v>
      </c>
    </row>
    <row r="2081" spans="2:24" s="246" customFormat="1" ht="12" x14ac:dyDescent="0.2">
      <c r="B2081" s="8">
        <f t="shared" si="114"/>
        <v>51</v>
      </c>
      <c r="C2081" s="156"/>
      <c r="D2081" s="156"/>
      <c r="E2081" s="156"/>
      <c r="F2081" s="272"/>
      <c r="G2081" s="155"/>
      <c r="H2081" s="156" t="s">
        <v>1121</v>
      </c>
      <c r="I2081" s="157"/>
      <c r="J2081" s="157"/>
      <c r="K2081" s="157"/>
      <c r="L2081" s="158"/>
      <c r="M2081" s="158"/>
      <c r="N2081" s="535"/>
      <c r="O2081" s="157"/>
      <c r="P2081" s="157"/>
      <c r="Q2081" s="157">
        <v>8000</v>
      </c>
      <c r="R2081" s="158"/>
      <c r="S2081" s="158"/>
      <c r="T2081" s="535"/>
      <c r="U2081" s="159">
        <f t="shared" si="115"/>
        <v>0</v>
      </c>
    </row>
    <row r="2082" spans="2:24" s="246" customFormat="1" ht="12" x14ac:dyDescent="0.2">
      <c r="B2082" s="8">
        <f t="shared" si="114"/>
        <v>52</v>
      </c>
      <c r="C2082" s="156"/>
      <c r="D2082" s="156"/>
      <c r="E2082" s="156"/>
      <c r="F2082" s="272"/>
      <c r="G2082" s="155"/>
      <c r="H2082" s="156" t="s">
        <v>747</v>
      </c>
      <c r="I2082" s="157"/>
      <c r="J2082" s="157"/>
      <c r="K2082" s="157"/>
      <c r="L2082" s="158"/>
      <c r="M2082" s="158"/>
      <c r="N2082" s="535"/>
      <c r="O2082" s="157"/>
      <c r="P2082" s="157"/>
      <c r="Q2082" s="157"/>
      <c r="R2082" s="158">
        <v>17496</v>
      </c>
      <c r="S2082" s="158"/>
      <c r="T2082" s="535"/>
      <c r="U2082" s="159">
        <f t="shared" si="115"/>
        <v>0</v>
      </c>
    </row>
    <row r="2083" spans="2:24" ht="15.75" x14ac:dyDescent="0.25">
      <c r="B2083" s="8">
        <f t="shared" si="114"/>
        <v>53</v>
      </c>
      <c r="C2083" s="141">
        <v>2</v>
      </c>
      <c r="D2083" s="677" t="s">
        <v>150</v>
      </c>
      <c r="E2083" s="678"/>
      <c r="F2083" s="678"/>
      <c r="G2083" s="678"/>
      <c r="H2083" s="678"/>
      <c r="I2083" s="142">
        <f>I2103+I2084</f>
        <v>3556300</v>
      </c>
      <c r="J2083" s="142">
        <f>J2103+J2084</f>
        <v>3373500</v>
      </c>
      <c r="K2083" s="142">
        <f>K2103+K2084</f>
        <v>3311500</v>
      </c>
      <c r="L2083" s="143">
        <f>L2103+L2084</f>
        <v>2791004</v>
      </c>
      <c r="M2083" s="143">
        <f>M2103+M2084</f>
        <v>2477872</v>
      </c>
      <c r="N2083" s="533"/>
      <c r="O2083" s="142">
        <f>O2084</f>
        <v>13500</v>
      </c>
      <c r="P2083" s="142">
        <f>P2103+P2084</f>
        <v>196400</v>
      </c>
      <c r="Q2083" s="142">
        <f>Q2103+Q2084</f>
        <v>515100</v>
      </c>
      <c r="R2083" s="143">
        <f>R2103+R2084</f>
        <v>88376</v>
      </c>
      <c r="S2083" s="143">
        <f>S2103+S2084</f>
        <v>216922</v>
      </c>
      <c r="T2083" s="533"/>
      <c r="U2083" s="144">
        <f t="shared" si="115"/>
        <v>3569800</v>
      </c>
    </row>
    <row r="2084" spans="2:24" ht="14.25" x14ac:dyDescent="0.2">
      <c r="B2084" s="8">
        <f t="shared" si="114"/>
        <v>54</v>
      </c>
      <c r="C2084" s="160"/>
      <c r="D2084" s="160">
        <v>1</v>
      </c>
      <c r="E2084" s="675" t="s">
        <v>149</v>
      </c>
      <c r="F2084" s="676"/>
      <c r="G2084" s="676"/>
      <c r="H2084" s="676"/>
      <c r="I2084" s="161">
        <f>I2085</f>
        <v>3554000</v>
      </c>
      <c r="J2084" s="161">
        <f>J2085</f>
        <v>3371200</v>
      </c>
      <c r="K2084" s="161">
        <f>K2085</f>
        <v>3309200</v>
      </c>
      <c r="L2084" s="162">
        <f>L2085</f>
        <v>2788704</v>
      </c>
      <c r="M2084" s="162">
        <f>M2085</f>
        <v>2475572</v>
      </c>
      <c r="N2084" s="534"/>
      <c r="O2084" s="161">
        <f>O2093</f>
        <v>13500</v>
      </c>
      <c r="P2084" s="161">
        <f>P2093</f>
        <v>196400</v>
      </c>
      <c r="Q2084" s="161">
        <f>Q2093</f>
        <v>515100</v>
      </c>
      <c r="R2084" s="162">
        <f>R2093</f>
        <v>88376</v>
      </c>
      <c r="S2084" s="162">
        <f>S2093</f>
        <v>152901</v>
      </c>
      <c r="T2084" s="534"/>
      <c r="U2084" s="163">
        <f t="shared" si="115"/>
        <v>3567500</v>
      </c>
    </row>
    <row r="2085" spans="2:24" x14ac:dyDescent="0.2">
      <c r="B2085" s="8">
        <f t="shared" si="114"/>
        <v>55</v>
      </c>
      <c r="C2085" s="24"/>
      <c r="D2085" s="24"/>
      <c r="E2085" s="24"/>
      <c r="F2085" s="149" t="s">
        <v>148</v>
      </c>
      <c r="G2085" s="150">
        <v>630</v>
      </c>
      <c r="H2085" s="24" t="s">
        <v>131</v>
      </c>
      <c r="I2085" s="25">
        <f>SUM(I2086:I2090)</f>
        <v>3554000</v>
      </c>
      <c r="J2085" s="25">
        <f>J2090+J2089+J2086+J2092</f>
        <v>3371200</v>
      </c>
      <c r="K2085" s="25">
        <f>SUM(K2086:K2092)</f>
        <v>3309200</v>
      </c>
      <c r="L2085" s="26">
        <f>SUM(L2086:L2092)</f>
        <v>2788704</v>
      </c>
      <c r="M2085" s="26">
        <f>SUM(M2086:M2090)</f>
        <v>2475572</v>
      </c>
      <c r="N2085" s="501"/>
      <c r="O2085" s="25"/>
      <c r="P2085" s="25"/>
      <c r="Q2085" s="25"/>
      <c r="R2085" s="26"/>
      <c r="S2085" s="26"/>
      <c r="T2085" s="501"/>
      <c r="U2085" s="151">
        <f t="shared" si="115"/>
        <v>3554000</v>
      </c>
    </row>
    <row r="2086" spans="2:24" x14ac:dyDescent="0.2">
      <c r="B2086" s="8">
        <f t="shared" si="114"/>
        <v>56</v>
      </c>
      <c r="C2086" s="18"/>
      <c r="D2086" s="18"/>
      <c r="E2086" s="18"/>
      <c r="F2086" s="152"/>
      <c r="G2086" s="153">
        <v>633</v>
      </c>
      <c r="H2086" s="18" t="s">
        <v>135</v>
      </c>
      <c r="I2086" s="19"/>
      <c r="J2086" s="19"/>
      <c r="K2086" s="19">
        <v>20000</v>
      </c>
      <c r="L2086" s="20">
        <v>720</v>
      </c>
      <c r="M2086" s="20">
        <v>36000</v>
      </c>
      <c r="N2086" s="164"/>
      <c r="O2086" s="19"/>
      <c r="P2086" s="19"/>
      <c r="Q2086" s="19"/>
      <c r="R2086" s="20"/>
      <c r="S2086" s="20"/>
      <c r="T2086" s="164"/>
      <c r="U2086" s="154">
        <f t="shared" si="115"/>
        <v>0</v>
      </c>
    </row>
    <row r="2087" spans="2:24" x14ac:dyDescent="0.2">
      <c r="B2087" s="8">
        <f t="shared" si="114"/>
        <v>57</v>
      </c>
      <c r="C2087" s="18"/>
      <c r="D2087" s="18"/>
      <c r="E2087" s="18"/>
      <c r="F2087" s="152"/>
      <c r="G2087" s="153">
        <v>633</v>
      </c>
      <c r="H2087" s="18" t="s">
        <v>803</v>
      </c>
      <c r="I2087" s="19"/>
      <c r="J2087" s="19"/>
      <c r="K2087" s="19"/>
      <c r="L2087" s="20">
        <v>43740</v>
      </c>
      <c r="M2087" s="20"/>
      <c r="N2087" s="164"/>
      <c r="O2087" s="19"/>
      <c r="P2087" s="19"/>
      <c r="Q2087" s="19"/>
      <c r="R2087" s="20"/>
      <c r="S2087" s="20"/>
      <c r="T2087" s="164"/>
      <c r="U2087" s="154">
        <f t="shared" si="115"/>
        <v>0</v>
      </c>
    </row>
    <row r="2088" spans="2:24" x14ac:dyDescent="0.2">
      <c r="B2088" s="8">
        <f t="shared" si="114"/>
        <v>58</v>
      </c>
      <c r="C2088" s="18"/>
      <c r="D2088" s="18"/>
      <c r="E2088" s="18"/>
      <c r="F2088" s="152"/>
      <c r="G2088" s="153">
        <v>635</v>
      </c>
      <c r="H2088" s="18" t="s">
        <v>143</v>
      </c>
      <c r="I2088" s="19">
        <v>4000</v>
      </c>
      <c r="J2088" s="19"/>
      <c r="K2088" s="19"/>
      <c r="L2088" s="20"/>
      <c r="M2088" s="20"/>
      <c r="N2088" s="164"/>
      <c r="O2088" s="19"/>
      <c r="P2088" s="19"/>
      <c r="Q2088" s="19"/>
      <c r="R2088" s="20"/>
      <c r="S2088" s="20"/>
      <c r="T2088" s="164"/>
      <c r="U2088" s="154">
        <f t="shared" si="115"/>
        <v>4000</v>
      </c>
    </row>
    <row r="2089" spans="2:24" x14ac:dyDescent="0.2">
      <c r="B2089" s="8">
        <f t="shared" si="114"/>
        <v>59</v>
      </c>
      <c r="C2089" s="18"/>
      <c r="D2089" s="18"/>
      <c r="E2089" s="18"/>
      <c r="F2089" s="152"/>
      <c r="G2089" s="153">
        <v>636</v>
      </c>
      <c r="H2089" s="18" t="s">
        <v>136</v>
      </c>
      <c r="I2089" s="19"/>
      <c r="J2089" s="19"/>
      <c r="K2089" s="19"/>
      <c r="L2089" s="20"/>
      <c r="M2089" s="20">
        <v>1459</v>
      </c>
      <c r="N2089" s="164"/>
      <c r="O2089" s="19"/>
      <c r="P2089" s="19"/>
      <c r="Q2089" s="19"/>
      <c r="R2089" s="20"/>
      <c r="S2089" s="20"/>
      <c r="T2089" s="164"/>
      <c r="U2089" s="154">
        <f t="shared" si="115"/>
        <v>0</v>
      </c>
    </row>
    <row r="2090" spans="2:24" x14ac:dyDescent="0.2">
      <c r="B2090" s="8">
        <f t="shared" si="114"/>
        <v>60</v>
      </c>
      <c r="C2090" s="18"/>
      <c r="D2090" s="18"/>
      <c r="E2090" s="18"/>
      <c r="F2090" s="152"/>
      <c r="G2090" s="153">
        <v>637</v>
      </c>
      <c r="H2090" s="18" t="s">
        <v>132</v>
      </c>
      <c r="I2090" s="19">
        <v>3550000</v>
      </c>
      <c r="J2090" s="19">
        <v>3371200</v>
      </c>
      <c r="K2090" s="19">
        <v>3251200</v>
      </c>
      <c r="L2090" s="20">
        <v>2714744</v>
      </c>
      <c r="M2090" s="20">
        <v>2438113</v>
      </c>
      <c r="N2090" s="164"/>
      <c r="O2090" s="19"/>
      <c r="P2090" s="19"/>
      <c r="Q2090" s="19"/>
      <c r="R2090" s="20"/>
      <c r="S2090" s="20"/>
      <c r="T2090" s="164"/>
      <c r="U2090" s="154">
        <f t="shared" si="115"/>
        <v>3550000</v>
      </c>
      <c r="X2090" s="2"/>
    </row>
    <row r="2091" spans="2:24" x14ac:dyDescent="0.2">
      <c r="B2091" s="8">
        <f t="shared" si="114"/>
        <v>61</v>
      </c>
      <c r="C2091" s="18"/>
      <c r="D2091" s="18"/>
      <c r="E2091" s="18"/>
      <c r="F2091" s="152"/>
      <c r="G2091" s="153">
        <v>637</v>
      </c>
      <c r="H2091" s="18" t="s">
        <v>1031</v>
      </c>
      <c r="I2091" s="19"/>
      <c r="J2091" s="19"/>
      <c r="K2091" s="19">
        <v>38000</v>
      </c>
      <c r="L2091" s="20"/>
      <c r="M2091" s="20"/>
      <c r="N2091" s="164"/>
      <c r="O2091" s="19"/>
      <c r="P2091" s="19"/>
      <c r="Q2091" s="19"/>
      <c r="R2091" s="20"/>
      <c r="S2091" s="20"/>
      <c r="T2091" s="164"/>
      <c r="U2091" s="154">
        <f t="shared" si="115"/>
        <v>0</v>
      </c>
    </row>
    <row r="2092" spans="2:24" x14ac:dyDescent="0.2">
      <c r="B2092" s="8">
        <f t="shared" si="114"/>
        <v>62</v>
      </c>
      <c r="C2092" s="18"/>
      <c r="D2092" s="18"/>
      <c r="E2092" s="18"/>
      <c r="F2092" s="152"/>
      <c r="G2092" s="153">
        <v>637</v>
      </c>
      <c r="H2092" s="18" t="s">
        <v>748</v>
      </c>
      <c r="I2092" s="19"/>
      <c r="J2092" s="19"/>
      <c r="K2092" s="19"/>
      <c r="L2092" s="20">
        <v>29500</v>
      </c>
      <c r="M2092" s="20"/>
      <c r="N2092" s="164"/>
      <c r="O2092" s="19"/>
      <c r="P2092" s="19"/>
      <c r="Q2092" s="19"/>
      <c r="R2092" s="20"/>
      <c r="S2092" s="20"/>
      <c r="T2092" s="164"/>
      <c r="U2092" s="154">
        <f t="shared" si="115"/>
        <v>0</v>
      </c>
    </row>
    <row r="2093" spans="2:24" x14ac:dyDescent="0.2">
      <c r="B2093" s="8">
        <f t="shared" si="114"/>
        <v>63</v>
      </c>
      <c r="C2093" s="24"/>
      <c r="D2093" s="24"/>
      <c r="E2093" s="24"/>
      <c r="F2093" s="149" t="s">
        <v>148</v>
      </c>
      <c r="G2093" s="150">
        <v>710</v>
      </c>
      <c r="H2093" s="24" t="s">
        <v>185</v>
      </c>
      <c r="I2093" s="25"/>
      <c r="J2093" s="25"/>
      <c r="K2093" s="25"/>
      <c r="L2093" s="26"/>
      <c r="M2093" s="26"/>
      <c r="N2093" s="501"/>
      <c r="O2093" s="25">
        <f>O2094</f>
        <v>13500</v>
      </c>
      <c r="P2093" s="25">
        <f>P2097+P2094</f>
        <v>196400</v>
      </c>
      <c r="Q2093" s="25">
        <f>Q2097+Q2094</f>
        <v>515100</v>
      </c>
      <c r="R2093" s="26">
        <f>R2097+R2094</f>
        <v>88376</v>
      </c>
      <c r="S2093" s="26">
        <f>S2097+S2094</f>
        <v>152901</v>
      </c>
      <c r="T2093" s="501"/>
      <c r="U2093" s="151">
        <f t="shared" si="115"/>
        <v>13500</v>
      </c>
    </row>
    <row r="2094" spans="2:24" x14ac:dyDescent="0.2">
      <c r="B2094" s="8">
        <f t="shared" si="114"/>
        <v>64</v>
      </c>
      <c r="C2094" s="18"/>
      <c r="D2094" s="18"/>
      <c r="E2094" s="18"/>
      <c r="F2094" s="152"/>
      <c r="G2094" s="153">
        <v>716</v>
      </c>
      <c r="H2094" s="18" t="s">
        <v>226</v>
      </c>
      <c r="I2094" s="19"/>
      <c r="J2094" s="19"/>
      <c r="K2094" s="19"/>
      <c r="L2094" s="20"/>
      <c r="M2094" s="20"/>
      <c r="N2094" s="164"/>
      <c r="O2094" s="19">
        <f>O2095+O2096</f>
        <v>13500</v>
      </c>
      <c r="P2094" s="19"/>
      <c r="Q2094" s="19">
        <f>Q2095</f>
        <v>9000</v>
      </c>
      <c r="R2094" s="20">
        <f>SUM(R2095:R2095)</f>
        <v>4632</v>
      </c>
      <c r="S2094" s="20">
        <f>SUM(S2095:S2095)</f>
        <v>1012</v>
      </c>
      <c r="T2094" s="164"/>
      <c r="U2094" s="154">
        <f t="shared" si="115"/>
        <v>13500</v>
      </c>
    </row>
    <row r="2095" spans="2:24" x14ac:dyDescent="0.2">
      <c r="B2095" s="8">
        <f t="shared" si="114"/>
        <v>65</v>
      </c>
      <c r="C2095" s="120"/>
      <c r="D2095" s="120"/>
      <c r="E2095" s="120"/>
      <c r="F2095" s="298"/>
      <c r="G2095" s="298"/>
      <c r="H2095" s="156" t="s">
        <v>306</v>
      </c>
      <c r="I2095" s="157"/>
      <c r="J2095" s="157"/>
      <c r="K2095" s="157"/>
      <c r="L2095" s="157"/>
      <c r="M2095" s="157"/>
      <c r="N2095" s="535"/>
      <c r="O2095" s="157">
        <v>10000</v>
      </c>
      <c r="P2095" s="157"/>
      <c r="Q2095" s="157">
        <v>9000</v>
      </c>
      <c r="R2095" s="157">
        <v>4632</v>
      </c>
      <c r="S2095" s="157">
        <v>1012</v>
      </c>
      <c r="T2095" s="535"/>
      <c r="U2095" s="159">
        <f t="shared" si="115"/>
        <v>10000</v>
      </c>
    </row>
    <row r="2096" spans="2:24" x14ac:dyDescent="0.2">
      <c r="B2096" s="8">
        <f t="shared" si="114"/>
        <v>66</v>
      </c>
      <c r="C2096" s="120"/>
      <c r="D2096" s="120"/>
      <c r="E2096" s="120"/>
      <c r="F2096" s="298"/>
      <c r="G2096" s="298"/>
      <c r="H2096" s="156" t="s">
        <v>1200</v>
      </c>
      <c r="I2096" s="157"/>
      <c r="J2096" s="157"/>
      <c r="K2096" s="157"/>
      <c r="L2096" s="157"/>
      <c r="M2096" s="157"/>
      <c r="N2096" s="535"/>
      <c r="O2096" s="157">
        <v>3500</v>
      </c>
      <c r="P2096" s="157"/>
      <c r="Q2096" s="157"/>
      <c r="R2096" s="157"/>
      <c r="S2096" s="157"/>
      <c r="T2096" s="535"/>
      <c r="U2096" s="159">
        <f t="shared" si="115"/>
        <v>3500</v>
      </c>
    </row>
    <row r="2097" spans="2:21" x14ac:dyDescent="0.2">
      <c r="B2097" s="8">
        <f t="shared" si="114"/>
        <v>67</v>
      </c>
      <c r="C2097" s="18"/>
      <c r="D2097" s="18"/>
      <c r="E2097" s="18"/>
      <c r="F2097" s="152"/>
      <c r="G2097" s="153">
        <v>717</v>
      </c>
      <c r="H2097" s="18" t="s">
        <v>192</v>
      </c>
      <c r="I2097" s="19"/>
      <c r="J2097" s="19"/>
      <c r="K2097" s="19"/>
      <c r="L2097" s="20"/>
      <c r="M2097" s="20"/>
      <c r="N2097" s="164"/>
      <c r="O2097" s="19"/>
      <c r="P2097" s="19">
        <f>SUM(P2098:P2102)</f>
        <v>196400</v>
      </c>
      <c r="Q2097" s="19">
        <f>SUM(Q2098:Q2102)</f>
        <v>506100</v>
      </c>
      <c r="R2097" s="20">
        <f>SUM(R2098:R2101)</f>
        <v>83744</v>
      </c>
      <c r="S2097" s="20">
        <f>SUM(S2098:S2101)</f>
        <v>151889</v>
      </c>
      <c r="T2097" s="164"/>
      <c r="U2097" s="154">
        <f t="shared" si="115"/>
        <v>0</v>
      </c>
    </row>
    <row r="2098" spans="2:21" x14ac:dyDescent="0.2">
      <c r="B2098" s="8">
        <f t="shared" si="114"/>
        <v>68</v>
      </c>
      <c r="C2098" s="120"/>
      <c r="D2098" s="120"/>
      <c r="E2098" s="120"/>
      <c r="F2098" s="298"/>
      <c r="G2098" s="298"/>
      <c r="H2098" s="156" t="s">
        <v>306</v>
      </c>
      <c r="I2098" s="157"/>
      <c r="J2098" s="157"/>
      <c r="K2098" s="157"/>
      <c r="L2098" s="157"/>
      <c r="M2098" s="157"/>
      <c r="N2098" s="535"/>
      <c r="O2098" s="157"/>
      <c r="P2098" s="157">
        <v>139000</v>
      </c>
      <c r="Q2098" s="157">
        <v>431100</v>
      </c>
      <c r="R2098" s="157">
        <v>83744</v>
      </c>
      <c r="S2098" s="157">
        <v>142748</v>
      </c>
      <c r="T2098" s="535"/>
      <c r="U2098" s="159">
        <f t="shared" si="115"/>
        <v>0</v>
      </c>
    </row>
    <row r="2099" spans="2:21" x14ac:dyDescent="0.2">
      <c r="B2099" s="8">
        <f t="shared" si="114"/>
        <v>69</v>
      </c>
      <c r="C2099" s="120"/>
      <c r="D2099" s="120"/>
      <c r="E2099" s="120"/>
      <c r="F2099" s="298"/>
      <c r="G2099" s="298"/>
      <c r="H2099" s="156" t="s">
        <v>749</v>
      </c>
      <c r="I2099" s="157"/>
      <c r="J2099" s="157"/>
      <c r="K2099" s="157"/>
      <c r="L2099" s="157"/>
      <c r="M2099" s="157"/>
      <c r="N2099" s="535"/>
      <c r="O2099" s="157"/>
      <c r="P2099" s="157">
        <v>20000</v>
      </c>
      <c r="Q2099" s="157">
        <v>37600</v>
      </c>
      <c r="R2099" s="157"/>
      <c r="S2099" s="157"/>
      <c r="T2099" s="535"/>
      <c r="U2099" s="159">
        <f t="shared" si="115"/>
        <v>0</v>
      </c>
    </row>
    <row r="2100" spans="2:21" x14ac:dyDescent="0.2">
      <c r="B2100" s="8">
        <f t="shared" si="114"/>
        <v>70</v>
      </c>
      <c r="C2100" s="120"/>
      <c r="D2100" s="120"/>
      <c r="E2100" s="120"/>
      <c r="F2100" s="298"/>
      <c r="G2100" s="298"/>
      <c r="H2100" s="156" t="s">
        <v>375</v>
      </c>
      <c r="I2100" s="157"/>
      <c r="J2100" s="157"/>
      <c r="K2100" s="157"/>
      <c r="L2100" s="157"/>
      <c r="M2100" s="157"/>
      <c r="N2100" s="535"/>
      <c r="O2100" s="157"/>
      <c r="P2100" s="157"/>
      <c r="Q2100" s="157"/>
      <c r="R2100" s="157"/>
      <c r="S2100" s="157">
        <v>3141</v>
      </c>
      <c r="T2100" s="535"/>
      <c r="U2100" s="159">
        <f t="shared" ref="U2100:U2132" si="116">I2100+O2100</f>
        <v>0</v>
      </c>
    </row>
    <row r="2101" spans="2:21" x14ac:dyDescent="0.2">
      <c r="B2101" s="8">
        <f t="shared" si="114"/>
        <v>71</v>
      </c>
      <c r="C2101" s="120"/>
      <c r="D2101" s="120"/>
      <c r="E2101" s="120"/>
      <c r="F2101" s="298"/>
      <c r="G2101" s="298"/>
      <c r="H2101" s="156" t="s">
        <v>385</v>
      </c>
      <c r="I2101" s="157"/>
      <c r="J2101" s="157"/>
      <c r="K2101" s="157"/>
      <c r="L2101" s="157"/>
      <c r="M2101" s="157"/>
      <c r="N2101" s="535"/>
      <c r="O2101" s="157"/>
      <c r="P2101" s="157"/>
      <c r="Q2101" s="157"/>
      <c r="R2101" s="157"/>
      <c r="S2101" s="157">
        <v>6000</v>
      </c>
      <c r="T2101" s="535"/>
      <c r="U2101" s="159">
        <f t="shared" si="116"/>
        <v>0</v>
      </c>
    </row>
    <row r="2102" spans="2:21" x14ac:dyDescent="0.2">
      <c r="B2102" s="8">
        <f t="shared" si="114"/>
        <v>72</v>
      </c>
      <c r="C2102" s="120"/>
      <c r="D2102" s="120"/>
      <c r="E2102" s="120"/>
      <c r="F2102" s="298"/>
      <c r="G2102" s="298"/>
      <c r="H2102" s="156" t="s">
        <v>937</v>
      </c>
      <c r="I2102" s="157"/>
      <c r="J2102" s="157"/>
      <c r="K2102" s="157"/>
      <c r="L2102" s="157"/>
      <c r="M2102" s="157"/>
      <c r="N2102" s="535"/>
      <c r="O2102" s="157"/>
      <c r="P2102" s="157">
        <v>37400</v>
      </c>
      <c r="Q2102" s="157">
        <v>37400</v>
      </c>
      <c r="R2102" s="157"/>
      <c r="S2102" s="157"/>
      <c r="T2102" s="535"/>
      <c r="U2102" s="159">
        <f t="shared" si="116"/>
        <v>0</v>
      </c>
    </row>
    <row r="2103" spans="2:21" ht="14.25" x14ac:dyDescent="0.2">
      <c r="B2103" s="8">
        <f t="shared" ref="B2103:B2127" si="117">B2102+1</f>
        <v>73</v>
      </c>
      <c r="C2103" s="160"/>
      <c r="D2103" s="160">
        <v>2</v>
      </c>
      <c r="E2103" s="675" t="s">
        <v>252</v>
      </c>
      <c r="F2103" s="676"/>
      <c r="G2103" s="676"/>
      <c r="H2103" s="676"/>
      <c r="I2103" s="161">
        <f>I2104</f>
        <v>2300</v>
      </c>
      <c r="J2103" s="161">
        <f t="shared" ref="J2103:M2104" si="118">J2104</f>
        <v>2300</v>
      </c>
      <c r="K2103" s="431">
        <f t="shared" si="118"/>
        <v>2300</v>
      </c>
      <c r="L2103" s="162">
        <f t="shared" si="118"/>
        <v>2300</v>
      </c>
      <c r="M2103" s="162">
        <f t="shared" si="118"/>
        <v>2300</v>
      </c>
      <c r="N2103" s="534"/>
      <c r="O2103" s="161"/>
      <c r="P2103" s="161"/>
      <c r="Q2103" s="161"/>
      <c r="R2103" s="162"/>
      <c r="S2103" s="162">
        <f>S2106</f>
        <v>64021</v>
      </c>
      <c r="T2103" s="534"/>
      <c r="U2103" s="163">
        <f t="shared" si="116"/>
        <v>2300</v>
      </c>
    </row>
    <row r="2104" spans="2:21" x14ac:dyDescent="0.2">
      <c r="B2104" s="8">
        <f t="shared" si="117"/>
        <v>74</v>
      </c>
      <c r="C2104" s="24"/>
      <c r="D2104" s="24"/>
      <c r="E2104" s="24"/>
      <c r="F2104" s="149" t="s">
        <v>148</v>
      </c>
      <c r="G2104" s="150">
        <v>630</v>
      </c>
      <c r="H2104" s="24" t="s">
        <v>131</v>
      </c>
      <c r="I2104" s="25">
        <f>I2105</f>
        <v>2300</v>
      </c>
      <c r="J2104" s="25">
        <f t="shared" si="118"/>
        <v>2300</v>
      </c>
      <c r="K2104" s="25">
        <f t="shared" si="118"/>
        <v>2300</v>
      </c>
      <c r="L2104" s="26">
        <f t="shared" si="118"/>
        <v>2300</v>
      </c>
      <c r="M2104" s="26">
        <f t="shared" si="118"/>
        <v>2300</v>
      </c>
      <c r="N2104" s="501"/>
      <c r="O2104" s="25"/>
      <c r="P2104" s="25"/>
      <c r="Q2104" s="25"/>
      <c r="R2104" s="26"/>
      <c r="S2104" s="26"/>
      <c r="T2104" s="501"/>
      <c r="U2104" s="151">
        <f t="shared" si="116"/>
        <v>2300</v>
      </c>
    </row>
    <row r="2105" spans="2:21" x14ac:dyDescent="0.2">
      <c r="B2105" s="8">
        <f t="shared" si="117"/>
        <v>75</v>
      </c>
      <c r="C2105" s="18"/>
      <c r="D2105" s="18"/>
      <c r="E2105" s="18"/>
      <c r="F2105" s="152"/>
      <c r="G2105" s="153">
        <v>637</v>
      </c>
      <c r="H2105" s="18" t="s">
        <v>132</v>
      </c>
      <c r="I2105" s="19">
        <v>2300</v>
      </c>
      <c r="J2105" s="19">
        <v>2300</v>
      </c>
      <c r="K2105" s="19">
        <v>2300</v>
      </c>
      <c r="L2105" s="20">
        <v>2300</v>
      </c>
      <c r="M2105" s="20">
        <v>2300</v>
      </c>
      <c r="N2105" s="164"/>
      <c r="O2105" s="19"/>
      <c r="P2105" s="19"/>
      <c r="Q2105" s="19"/>
      <c r="R2105" s="20"/>
      <c r="S2105" s="20"/>
      <c r="T2105" s="164"/>
      <c r="U2105" s="154">
        <f t="shared" si="116"/>
        <v>2300</v>
      </c>
    </row>
    <row r="2106" spans="2:21" x14ac:dyDescent="0.2">
      <c r="B2106" s="8">
        <f t="shared" si="117"/>
        <v>76</v>
      </c>
      <c r="C2106" s="24"/>
      <c r="D2106" s="24"/>
      <c r="E2106" s="24"/>
      <c r="F2106" s="149" t="s">
        <v>148</v>
      </c>
      <c r="G2106" s="150">
        <v>710</v>
      </c>
      <c r="H2106" s="24" t="s">
        <v>185</v>
      </c>
      <c r="I2106" s="25"/>
      <c r="J2106" s="25"/>
      <c r="K2106" s="25"/>
      <c r="L2106" s="26"/>
      <c r="M2106" s="26"/>
      <c r="N2106" s="501"/>
      <c r="O2106" s="25"/>
      <c r="P2106" s="25"/>
      <c r="Q2106" s="25"/>
      <c r="R2106" s="26"/>
      <c r="S2106" s="26">
        <f>S2107</f>
        <v>64021</v>
      </c>
      <c r="T2106" s="501"/>
      <c r="U2106" s="151">
        <f t="shared" si="116"/>
        <v>0</v>
      </c>
    </row>
    <row r="2107" spans="2:21" x14ac:dyDescent="0.2">
      <c r="B2107" s="8">
        <f t="shared" si="117"/>
        <v>77</v>
      </c>
      <c r="C2107" s="18"/>
      <c r="D2107" s="18"/>
      <c r="E2107" s="18"/>
      <c r="F2107" s="152"/>
      <c r="G2107" s="153">
        <v>717</v>
      </c>
      <c r="H2107" s="18" t="s">
        <v>192</v>
      </c>
      <c r="I2107" s="19"/>
      <c r="J2107" s="19"/>
      <c r="K2107" s="19"/>
      <c r="L2107" s="20"/>
      <c r="M2107" s="20"/>
      <c r="N2107" s="164"/>
      <c r="O2107" s="19"/>
      <c r="P2107" s="19"/>
      <c r="Q2107" s="19"/>
      <c r="R2107" s="20"/>
      <c r="S2107" s="20">
        <f>S2108</f>
        <v>64021</v>
      </c>
      <c r="T2107" s="164"/>
      <c r="U2107" s="154">
        <f t="shared" si="116"/>
        <v>0</v>
      </c>
    </row>
    <row r="2108" spans="2:21" x14ac:dyDescent="0.2">
      <c r="B2108" s="8">
        <f t="shared" si="117"/>
        <v>78</v>
      </c>
      <c r="C2108" s="120"/>
      <c r="D2108" s="120"/>
      <c r="E2108" s="120"/>
      <c r="F2108" s="298"/>
      <c r="G2108" s="298"/>
      <c r="H2108" s="156" t="s">
        <v>257</v>
      </c>
      <c r="I2108" s="157"/>
      <c r="J2108" s="157"/>
      <c r="K2108" s="157"/>
      <c r="L2108" s="157"/>
      <c r="M2108" s="157"/>
      <c r="N2108" s="535"/>
      <c r="O2108" s="157"/>
      <c r="P2108" s="157"/>
      <c r="Q2108" s="157"/>
      <c r="R2108" s="157"/>
      <c r="S2108" s="158">
        <v>64021</v>
      </c>
      <c r="T2108" s="535"/>
      <c r="U2108" s="159">
        <f t="shared" si="116"/>
        <v>0</v>
      </c>
    </row>
    <row r="2109" spans="2:21" ht="15.75" x14ac:dyDescent="0.25">
      <c r="B2109" s="8">
        <f t="shared" si="117"/>
        <v>79</v>
      </c>
      <c r="C2109" s="141">
        <v>3</v>
      </c>
      <c r="D2109" s="677" t="s">
        <v>254</v>
      </c>
      <c r="E2109" s="678"/>
      <c r="F2109" s="678"/>
      <c r="G2109" s="678"/>
      <c r="H2109" s="678"/>
      <c r="I2109" s="142">
        <f>I2110+I2113+I2115+I2122</f>
        <v>49100</v>
      </c>
      <c r="J2109" s="142">
        <f>J2110+J2113+J2115+J2122</f>
        <v>44390</v>
      </c>
      <c r="K2109" s="430">
        <f>K2110+K2113+K2115+K2122</f>
        <v>67990</v>
      </c>
      <c r="L2109" s="143">
        <f>L2110+L2113+L2115+L2122</f>
        <v>31150</v>
      </c>
      <c r="M2109" s="143">
        <f>M2110+M2113+M2115+M2122</f>
        <v>27770</v>
      </c>
      <c r="N2109" s="533"/>
      <c r="O2109" s="142"/>
      <c r="P2109" s="142"/>
      <c r="Q2109" s="142"/>
      <c r="R2109" s="143"/>
      <c r="S2109" s="143">
        <f>S2119</f>
        <v>48900</v>
      </c>
      <c r="T2109" s="533"/>
      <c r="U2109" s="144">
        <f t="shared" si="116"/>
        <v>49100</v>
      </c>
    </row>
    <row r="2110" spans="2:21" x14ac:dyDescent="0.2">
      <c r="B2110" s="8">
        <f t="shared" si="117"/>
        <v>80</v>
      </c>
      <c r="C2110" s="24"/>
      <c r="D2110" s="24"/>
      <c r="E2110" s="24"/>
      <c r="F2110" s="149" t="s">
        <v>253</v>
      </c>
      <c r="G2110" s="150">
        <v>630</v>
      </c>
      <c r="H2110" s="24" t="s">
        <v>131</v>
      </c>
      <c r="I2110" s="25">
        <f>I2112+I2111</f>
        <v>27600</v>
      </c>
      <c r="J2110" s="25">
        <f>J2112+J2111</f>
        <v>26890</v>
      </c>
      <c r="K2110" s="25">
        <f>K2112+K2111</f>
        <v>43490</v>
      </c>
      <c r="L2110" s="26">
        <f>L2112+L2111</f>
        <v>12719</v>
      </c>
      <c r="M2110" s="26">
        <f>M2112+M2111</f>
        <v>15102</v>
      </c>
      <c r="N2110" s="501"/>
      <c r="O2110" s="25"/>
      <c r="P2110" s="25"/>
      <c r="Q2110" s="25"/>
      <c r="R2110" s="26"/>
      <c r="S2110" s="26"/>
      <c r="T2110" s="501"/>
      <c r="U2110" s="151">
        <f t="shared" si="116"/>
        <v>27600</v>
      </c>
    </row>
    <row r="2111" spans="2:21" x14ac:dyDescent="0.2">
      <c r="B2111" s="8">
        <f t="shared" si="117"/>
        <v>81</v>
      </c>
      <c r="C2111" s="18"/>
      <c r="D2111" s="18"/>
      <c r="E2111" s="18"/>
      <c r="F2111" s="152"/>
      <c r="G2111" s="153">
        <v>633</v>
      </c>
      <c r="H2111" s="18" t="s">
        <v>135</v>
      </c>
      <c r="I2111" s="19">
        <v>100</v>
      </c>
      <c r="J2111" s="19">
        <v>100</v>
      </c>
      <c r="K2111" s="19">
        <v>100</v>
      </c>
      <c r="L2111" s="20">
        <v>52</v>
      </c>
      <c r="M2111" s="20">
        <v>20</v>
      </c>
      <c r="N2111" s="164"/>
      <c r="O2111" s="19"/>
      <c r="P2111" s="19"/>
      <c r="Q2111" s="19"/>
      <c r="R2111" s="20"/>
      <c r="S2111" s="20"/>
      <c r="T2111" s="164"/>
      <c r="U2111" s="154">
        <f t="shared" si="116"/>
        <v>100</v>
      </c>
    </row>
    <row r="2112" spans="2:21" x14ac:dyDescent="0.2">
      <c r="B2112" s="8">
        <f t="shared" si="117"/>
        <v>82</v>
      </c>
      <c r="C2112" s="18"/>
      <c r="D2112" s="18"/>
      <c r="E2112" s="18"/>
      <c r="F2112" s="152"/>
      <c r="G2112" s="153">
        <v>637</v>
      </c>
      <c r="H2112" s="18" t="s">
        <v>132</v>
      </c>
      <c r="I2112" s="19">
        <v>27500</v>
      </c>
      <c r="J2112" s="19">
        <v>26790</v>
      </c>
      <c r="K2112" s="19">
        <v>43390</v>
      </c>
      <c r="L2112" s="20">
        <v>12667</v>
      </c>
      <c r="M2112" s="20">
        <v>15082</v>
      </c>
      <c r="N2112" s="164"/>
      <c r="O2112" s="19"/>
      <c r="P2112" s="19"/>
      <c r="Q2112" s="19"/>
      <c r="R2112" s="20"/>
      <c r="S2112" s="20"/>
      <c r="T2112" s="164"/>
      <c r="U2112" s="154">
        <f t="shared" si="116"/>
        <v>27500</v>
      </c>
    </row>
    <row r="2113" spans="2:21" x14ac:dyDescent="0.2">
      <c r="B2113" s="8">
        <f t="shared" si="117"/>
        <v>83</v>
      </c>
      <c r="C2113" s="24"/>
      <c r="D2113" s="24"/>
      <c r="E2113" s="24"/>
      <c r="F2113" s="149" t="s">
        <v>202</v>
      </c>
      <c r="G2113" s="150">
        <v>630</v>
      </c>
      <c r="H2113" s="24" t="s">
        <v>131</v>
      </c>
      <c r="I2113" s="25"/>
      <c r="J2113" s="25"/>
      <c r="K2113" s="25"/>
      <c r="L2113" s="26"/>
      <c r="M2113" s="26">
        <f>M2114</f>
        <v>1248</v>
      </c>
      <c r="N2113" s="501"/>
      <c r="O2113" s="25"/>
      <c r="P2113" s="25"/>
      <c r="Q2113" s="25"/>
      <c r="R2113" s="26"/>
      <c r="S2113" s="26"/>
      <c r="T2113" s="501"/>
      <c r="U2113" s="151">
        <f t="shared" si="116"/>
        <v>0</v>
      </c>
    </row>
    <row r="2114" spans="2:21" x14ac:dyDescent="0.2">
      <c r="B2114" s="8">
        <f t="shared" si="117"/>
        <v>84</v>
      </c>
      <c r="C2114" s="18"/>
      <c r="D2114" s="18"/>
      <c r="E2114" s="18"/>
      <c r="F2114" s="152"/>
      <c r="G2114" s="153">
        <v>635</v>
      </c>
      <c r="H2114" s="18" t="s">
        <v>143</v>
      </c>
      <c r="I2114" s="19"/>
      <c r="J2114" s="19"/>
      <c r="K2114" s="19"/>
      <c r="L2114" s="20"/>
      <c r="M2114" s="20">
        <v>1248</v>
      </c>
      <c r="N2114" s="164"/>
      <c r="O2114" s="19"/>
      <c r="P2114" s="19"/>
      <c r="Q2114" s="19"/>
      <c r="R2114" s="20"/>
      <c r="S2114" s="20"/>
      <c r="T2114" s="164"/>
      <c r="U2114" s="154">
        <f t="shared" si="116"/>
        <v>0</v>
      </c>
    </row>
    <row r="2115" spans="2:21" x14ac:dyDescent="0.2">
      <c r="B2115" s="8">
        <f t="shared" si="117"/>
        <v>85</v>
      </c>
      <c r="C2115" s="24"/>
      <c r="D2115" s="24"/>
      <c r="E2115" s="24"/>
      <c r="F2115" s="149" t="s">
        <v>253</v>
      </c>
      <c r="G2115" s="150">
        <v>640</v>
      </c>
      <c r="H2115" s="24" t="s">
        <v>139</v>
      </c>
      <c r="I2115" s="25">
        <f>SUM(I2116:I2118)</f>
        <v>12000</v>
      </c>
      <c r="J2115" s="25">
        <f>J2116</f>
        <v>8000</v>
      </c>
      <c r="K2115" s="25">
        <f>K2116+K2117+K2118</f>
        <v>15000</v>
      </c>
      <c r="L2115" s="26">
        <f>L2116</f>
        <v>7273</v>
      </c>
      <c r="M2115" s="26">
        <f>M2116</f>
        <v>8635</v>
      </c>
      <c r="N2115" s="501"/>
      <c r="O2115" s="25"/>
      <c r="P2115" s="25"/>
      <c r="Q2115" s="25"/>
      <c r="R2115" s="26"/>
      <c r="S2115" s="26"/>
      <c r="T2115" s="501"/>
      <c r="U2115" s="151">
        <f t="shared" si="116"/>
        <v>12000</v>
      </c>
    </row>
    <row r="2116" spans="2:21" x14ac:dyDescent="0.2">
      <c r="B2116" s="8">
        <f t="shared" si="117"/>
        <v>86</v>
      </c>
      <c r="C2116" s="120"/>
      <c r="D2116" s="120"/>
      <c r="E2116" s="120"/>
      <c r="F2116" s="298"/>
      <c r="G2116" s="298"/>
      <c r="H2116" s="156" t="s">
        <v>553</v>
      </c>
      <c r="I2116" s="157">
        <v>10000</v>
      </c>
      <c r="J2116" s="157">
        <v>8000</v>
      </c>
      <c r="K2116" s="157">
        <v>10000</v>
      </c>
      <c r="L2116" s="158">
        <v>7273</v>
      </c>
      <c r="M2116" s="157">
        <v>8635</v>
      </c>
      <c r="N2116" s="535"/>
      <c r="O2116" s="157"/>
      <c r="P2116" s="157"/>
      <c r="Q2116" s="157"/>
      <c r="R2116" s="157"/>
      <c r="S2116" s="157"/>
      <c r="T2116" s="535"/>
      <c r="U2116" s="159">
        <f t="shared" si="116"/>
        <v>10000</v>
      </c>
    </row>
    <row r="2117" spans="2:21" ht="36" x14ac:dyDescent="0.2">
      <c r="B2117" s="8">
        <f t="shared" si="117"/>
        <v>87</v>
      </c>
      <c r="C2117" s="120"/>
      <c r="D2117" s="120"/>
      <c r="E2117" s="120"/>
      <c r="F2117" s="298"/>
      <c r="G2117" s="298"/>
      <c r="H2117" s="588" t="s">
        <v>1117</v>
      </c>
      <c r="I2117" s="157"/>
      <c r="J2117" s="157"/>
      <c r="K2117" s="157">
        <v>5000</v>
      </c>
      <c r="L2117" s="158"/>
      <c r="M2117" s="157"/>
      <c r="N2117" s="535"/>
      <c r="O2117" s="157"/>
      <c r="P2117" s="157"/>
      <c r="Q2117" s="157"/>
      <c r="R2117" s="157"/>
      <c r="S2117" s="157"/>
      <c r="T2117" s="535"/>
      <c r="U2117" s="159">
        <f t="shared" si="116"/>
        <v>0</v>
      </c>
    </row>
    <row r="2118" spans="2:21" x14ac:dyDescent="0.2">
      <c r="B2118" s="8">
        <f t="shared" si="117"/>
        <v>88</v>
      </c>
      <c r="C2118" s="120"/>
      <c r="D2118" s="120"/>
      <c r="E2118" s="120"/>
      <c r="F2118" s="298"/>
      <c r="G2118" s="298"/>
      <c r="H2118" s="246" t="s">
        <v>1083</v>
      </c>
      <c r="I2118" s="157">
        <v>2000</v>
      </c>
      <c r="J2118" s="157"/>
      <c r="K2118" s="157"/>
      <c r="L2118" s="158"/>
      <c r="M2118" s="157"/>
      <c r="N2118" s="535"/>
      <c r="O2118" s="157"/>
      <c r="P2118" s="157"/>
      <c r="Q2118" s="157"/>
      <c r="R2118" s="157"/>
      <c r="S2118" s="157"/>
      <c r="T2118" s="535"/>
      <c r="U2118" s="159">
        <f t="shared" si="116"/>
        <v>2000</v>
      </c>
    </row>
    <row r="2119" spans="2:21" x14ac:dyDescent="0.2">
      <c r="B2119" s="8">
        <f t="shared" si="117"/>
        <v>89</v>
      </c>
      <c r="C2119" s="24"/>
      <c r="D2119" s="24"/>
      <c r="E2119" s="24"/>
      <c r="F2119" s="149" t="s">
        <v>253</v>
      </c>
      <c r="G2119" s="150">
        <v>710</v>
      </c>
      <c r="H2119" s="24" t="s">
        <v>185</v>
      </c>
      <c r="I2119" s="25"/>
      <c r="J2119" s="25"/>
      <c r="K2119" s="25"/>
      <c r="L2119" s="26"/>
      <c r="M2119" s="26"/>
      <c r="N2119" s="501"/>
      <c r="O2119" s="25"/>
      <c r="P2119" s="25"/>
      <c r="Q2119" s="25"/>
      <c r="R2119" s="26"/>
      <c r="S2119" s="26">
        <f>S2120</f>
        <v>48900</v>
      </c>
      <c r="T2119" s="501"/>
      <c r="U2119" s="151">
        <f t="shared" si="116"/>
        <v>0</v>
      </c>
    </row>
    <row r="2120" spans="2:21" x14ac:dyDescent="0.2">
      <c r="B2120" s="8">
        <f t="shared" si="117"/>
        <v>90</v>
      </c>
      <c r="C2120" s="18"/>
      <c r="D2120" s="18"/>
      <c r="E2120" s="18"/>
      <c r="F2120" s="152"/>
      <c r="G2120" s="153">
        <v>716</v>
      </c>
      <c r="H2120" s="18" t="s">
        <v>226</v>
      </c>
      <c r="I2120" s="19"/>
      <c r="J2120" s="19"/>
      <c r="K2120" s="19"/>
      <c r="L2120" s="20"/>
      <c r="M2120" s="20"/>
      <c r="N2120" s="164"/>
      <c r="O2120" s="19"/>
      <c r="P2120" s="19"/>
      <c r="Q2120" s="19"/>
      <c r="R2120" s="20"/>
      <c r="S2120" s="20">
        <f>S2121</f>
        <v>48900</v>
      </c>
      <c r="T2120" s="164"/>
      <c r="U2120" s="154">
        <f t="shared" si="116"/>
        <v>0</v>
      </c>
    </row>
    <row r="2121" spans="2:21" x14ac:dyDescent="0.2">
      <c r="B2121" s="8">
        <f t="shared" si="117"/>
        <v>91</v>
      </c>
      <c r="C2121" s="120"/>
      <c r="D2121" s="120"/>
      <c r="E2121" s="120"/>
      <c r="F2121" s="298"/>
      <c r="G2121" s="298"/>
      <c r="H2121" s="156" t="s">
        <v>326</v>
      </c>
      <c r="I2121" s="157"/>
      <c r="J2121" s="157"/>
      <c r="K2121" s="157"/>
      <c r="L2121" s="157"/>
      <c r="M2121" s="157"/>
      <c r="N2121" s="535"/>
      <c r="O2121" s="157"/>
      <c r="P2121" s="157"/>
      <c r="Q2121" s="157"/>
      <c r="R2121" s="157"/>
      <c r="S2121" s="158">
        <v>48900</v>
      </c>
      <c r="T2121" s="535"/>
      <c r="U2121" s="159">
        <f t="shared" si="116"/>
        <v>0</v>
      </c>
    </row>
    <row r="2122" spans="2:21" ht="12.75" customHeight="1" x14ac:dyDescent="0.2">
      <c r="B2122" s="8">
        <f t="shared" si="117"/>
        <v>92</v>
      </c>
      <c r="C2122" s="267"/>
      <c r="D2122" s="267"/>
      <c r="E2122" s="267">
        <v>2</v>
      </c>
      <c r="F2122" s="268"/>
      <c r="G2122" s="268"/>
      <c r="H2122" s="267" t="s">
        <v>13</v>
      </c>
      <c r="I2122" s="269">
        <f>I2123</f>
        <v>9500</v>
      </c>
      <c r="J2122" s="269">
        <f t="shared" ref="J2122:M2123" si="119">J2123</f>
        <v>9500</v>
      </c>
      <c r="K2122" s="269">
        <f t="shared" si="119"/>
        <v>9500</v>
      </c>
      <c r="L2122" s="270">
        <f t="shared" si="119"/>
        <v>11158</v>
      </c>
      <c r="M2122" s="270">
        <f t="shared" si="119"/>
        <v>2785</v>
      </c>
      <c r="N2122" s="534"/>
      <c r="O2122" s="269"/>
      <c r="P2122" s="269"/>
      <c r="Q2122" s="269"/>
      <c r="R2122" s="270"/>
      <c r="S2122" s="270"/>
      <c r="T2122" s="534"/>
      <c r="U2122" s="271">
        <f t="shared" si="116"/>
        <v>9500</v>
      </c>
    </row>
    <row r="2123" spans="2:21" x14ac:dyDescent="0.2">
      <c r="B2123" s="8">
        <f t="shared" si="117"/>
        <v>93</v>
      </c>
      <c r="C2123" s="24"/>
      <c r="D2123" s="24"/>
      <c r="E2123" s="24"/>
      <c r="F2123" s="149" t="s">
        <v>202</v>
      </c>
      <c r="G2123" s="150">
        <v>630</v>
      </c>
      <c r="H2123" s="24" t="s">
        <v>131</v>
      </c>
      <c r="I2123" s="25">
        <f>I2124</f>
        <v>9500</v>
      </c>
      <c r="J2123" s="25">
        <f t="shared" si="119"/>
        <v>9500</v>
      </c>
      <c r="K2123" s="25">
        <f t="shared" si="119"/>
        <v>9500</v>
      </c>
      <c r="L2123" s="26">
        <f t="shared" si="119"/>
        <v>11158</v>
      </c>
      <c r="M2123" s="26">
        <f t="shared" si="119"/>
        <v>2785</v>
      </c>
      <c r="N2123" s="501"/>
      <c r="O2123" s="25"/>
      <c r="P2123" s="25"/>
      <c r="Q2123" s="25"/>
      <c r="R2123" s="26"/>
      <c r="S2123" s="26"/>
      <c r="T2123" s="501"/>
      <c r="U2123" s="151">
        <f t="shared" si="116"/>
        <v>9500</v>
      </c>
    </row>
    <row r="2124" spans="2:21" x14ac:dyDescent="0.2">
      <c r="B2124" s="8">
        <f t="shared" si="117"/>
        <v>94</v>
      </c>
      <c r="C2124" s="18"/>
      <c r="D2124" s="18"/>
      <c r="E2124" s="18"/>
      <c r="F2124" s="152"/>
      <c r="G2124" s="153">
        <v>635</v>
      </c>
      <c r="H2124" s="18" t="s">
        <v>143</v>
      </c>
      <c r="I2124" s="19">
        <v>9500</v>
      </c>
      <c r="J2124" s="19">
        <v>9500</v>
      </c>
      <c r="K2124" s="19">
        <v>9500</v>
      </c>
      <c r="L2124" s="20">
        <v>11158</v>
      </c>
      <c r="M2124" s="20">
        <v>2785</v>
      </c>
      <c r="N2124" s="164"/>
      <c r="O2124" s="19"/>
      <c r="P2124" s="19"/>
      <c r="Q2124" s="19"/>
      <c r="R2124" s="20"/>
      <c r="S2124" s="20"/>
      <c r="T2124" s="164"/>
      <c r="U2124" s="154">
        <f t="shared" si="116"/>
        <v>9500</v>
      </c>
    </row>
    <row r="2125" spans="2:21" ht="15.75" x14ac:dyDescent="0.25">
      <c r="B2125" s="8">
        <f t="shared" si="117"/>
        <v>95</v>
      </c>
      <c r="C2125" s="141">
        <v>4</v>
      </c>
      <c r="D2125" s="677" t="s">
        <v>68</v>
      </c>
      <c r="E2125" s="678"/>
      <c r="F2125" s="678"/>
      <c r="G2125" s="678"/>
      <c r="H2125" s="678"/>
      <c r="I2125" s="142">
        <f>I2126</f>
        <v>25000</v>
      </c>
      <c r="J2125" s="142">
        <f t="shared" ref="J2125:M2126" si="120">J2126</f>
        <v>25000</v>
      </c>
      <c r="K2125" s="142">
        <f t="shared" si="120"/>
        <v>25000</v>
      </c>
      <c r="L2125" s="143">
        <f t="shared" si="120"/>
        <v>25000</v>
      </c>
      <c r="M2125" s="143">
        <f t="shared" si="120"/>
        <v>25000</v>
      </c>
      <c r="N2125" s="533"/>
      <c r="O2125" s="142"/>
      <c r="P2125" s="142"/>
      <c r="Q2125" s="142"/>
      <c r="R2125" s="143"/>
      <c r="S2125" s="143"/>
      <c r="T2125" s="533"/>
      <c r="U2125" s="144">
        <f t="shared" si="116"/>
        <v>25000</v>
      </c>
    </row>
    <row r="2126" spans="2:21" x14ac:dyDescent="0.2">
      <c r="B2126" s="8">
        <f t="shared" si="117"/>
        <v>96</v>
      </c>
      <c r="C2126" s="24"/>
      <c r="D2126" s="24"/>
      <c r="E2126" s="24"/>
      <c r="F2126" s="149" t="s">
        <v>202</v>
      </c>
      <c r="G2126" s="150">
        <v>640</v>
      </c>
      <c r="H2126" s="24" t="s">
        <v>139</v>
      </c>
      <c r="I2126" s="25">
        <f>I2127</f>
        <v>25000</v>
      </c>
      <c r="J2126" s="25">
        <f t="shared" si="120"/>
        <v>25000</v>
      </c>
      <c r="K2126" s="25">
        <f t="shared" si="120"/>
        <v>25000</v>
      </c>
      <c r="L2126" s="25">
        <f t="shared" si="120"/>
        <v>25000</v>
      </c>
      <c r="M2126" s="25">
        <f t="shared" si="120"/>
        <v>25000</v>
      </c>
      <c r="N2126" s="501"/>
      <c r="O2126" s="25"/>
      <c r="P2126" s="25"/>
      <c r="Q2126" s="25"/>
      <c r="R2126" s="25"/>
      <c r="S2126" s="25"/>
      <c r="T2126" s="501"/>
      <c r="U2126" s="151">
        <f t="shared" si="116"/>
        <v>25000</v>
      </c>
    </row>
    <row r="2127" spans="2:21" x14ac:dyDescent="0.2">
      <c r="B2127" s="8">
        <f t="shared" si="117"/>
        <v>97</v>
      </c>
      <c r="C2127" s="120"/>
      <c r="D2127" s="120"/>
      <c r="E2127" s="120"/>
      <c r="F2127" s="298"/>
      <c r="G2127" s="298"/>
      <c r="H2127" s="156" t="s">
        <v>603</v>
      </c>
      <c r="I2127" s="157">
        <v>25000</v>
      </c>
      <c r="J2127" s="157">
        <v>25000</v>
      </c>
      <c r="K2127" s="157">
        <v>25000</v>
      </c>
      <c r="L2127" s="157">
        <v>25000</v>
      </c>
      <c r="M2127" s="157">
        <v>25000</v>
      </c>
      <c r="N2127" s="535"/>
      <c r="O2127" s="157"/>
      <c r="P2127" s="157"/>
      <c r="Q2127" s="157"/>
      <c r="R2127" s="157"/>
      <c r="S2127" s="157"/>
      <c r="T2127" s="535"/>
      <c r="U2127" s="159">
        <f t="shared" si="116"/>
        <v>25000</v>
      </c>
    </row>
    <row r="2128" spans="2:21" ht="15.75" x14ac:dyDescent="0.25">
      <c r="B2128" s="8">
        <f t="shared" ref="B2128:B2155" si="121">B2127+1</f>
        <v>98</v>
      </c>
      <c r="C2128" s="141">
        <v>5</v>
      </c>
      <c r="D2128" s="677" t="s">
        <v>47</v>
      </c>
      <c r="E2128" s="678"/>
      <c r="F2128" s="678"/>
      <c r="G2128" s="678"/>
      <c r="H2128" s="678"/>
      <c r="I2128" s="142">
        <f>I2129</f>
        <v>47215</v>
      </c>
      <c r="J2128" s="142">
        <f>J2129</f>
        <v>27700</v>
      </c>
      <c r="K2128" s="142">
        <f t="shared" ref="K2128:M2129" si="122">K2129</f>
        <v>39000</v>
      </c>
      <c r="L2128" s="143">
        <f t="shared" si="122"/>
        <v>16390</v>
      </c>
      <c r="M2128" s="143">
        <f t="shared" si="122"/>
        <v>15202</v>
      </c>
      <c r="N2128" s="533"/>
      <c r="O2128" s="142"/>
      <c r="P2128" s="142"/>
      <c r="Q2128" s="142">
        <f>Q2129</f>
        <v>2700</v>
      </c>
      <c r="R2128" s="143"/>
      <c r="S2128" s="143"/>
      <c r="T2128" s="533"/>
      <c r="U2128" s="144">
        <f t="shared" si="116"/>
        <v>47215</v>
      </c>
    </row>
    <row r="2129" spans="2:21" ht="14.25" x14ac:dyDescent="0.2">
      <c r="B2129" s="8">
        <f t="shared" si="121"/>
        <v>99</v>
      </c>
      <c r="C2129" s="267"/>
      <c r="D2129" s="267"/>
      <c r="E2129" s="267">
        <v>2</v>
      </c>
      <c r="F2129" s="268"/>
      <c r="G2129" s="268"/>
      <c r="H2129" s="267" t="s">
        <v>13</v>
      </c>
      <c r="I2129" s="269">
        <f>I2130</f>
        <v>47215</v>
      </c>
      <c r="J2129" s="269">
        <f>J2130</f>
        <v>27700</v>
      </c>
      <c r="K2129" s="269">
        <f t="shared" si="122"/>
        <v>39000</v>
      </c>
      <c r="L2129" s="270">
        <f t="shared" si="122"/>
        <v>16390</v>
      </c>
      <c r="M2129" s="270">
        <f t="shared" si="122"/>
        <v>15202</v>
      </c>
      <c r="N2129" s="534"/>
      <c r="O2129" s="269"/>
      <c r="P2129" s="269"/>
      <c r="Q2129" s="269">
        <f>Q2135</f>
        <v>2700</v>
      </c>
      <c r="R2129" s="270"/>
      <c r="S2129" s="270"/>
      <c r="T2129" s="534"/>
      <c r="U2129" s="271">
        <f t="shared" si="116"/>
        <v>47215</v>
      </c>
    </row>
    <row r="2130" spans="2:21" x14ac:dyDescent="0.2">
      <c r="B2130" s="8">
        <f t="shared" si="121"/>
        <v>100</v>
      </c>
      <c r="C2130" s="24"/>
      <c r="D2130" s="24"/>
      <c r="E2130" s="24"/>
      <c r="F2130" s="149" t="s">
        <v>202</v>
      </c>
      <c r="G2130" s="150">
        <v>630</v>
      </c>
      <c r="H2130" s="24" t="s">
        <v>131</v>
      </c>
      <c r="I2130" s="25">
        <f>I2134+I2133+I2132+I2131</f>
        <v>47215</v>
      </c>
      <c r="J2130" s="25">
        <f>J2134+J2133+J2132+J2131</f>
        <v>27700</v>
      </c>
      <c r="K2130" s="25">
        <f>K2134+K2133+K2132+K2131</f>
        <v>39000</v>
      </c>
      <c r="L2130" s="26">
        <f>L2134+L2133+L2132+L2131</f>
        <v>16390</v>
      </c>
      <c r="M2130" s="26">
        <f>M2134+M2133+M2132+M2131</f>
        <v>15202</v>
      </c>
      <c r="N2130" s="501"/>
      <c r="O2130" s="25"/>
      <c r="P2130" s="25"/>
      <c r="Q2130" s="25"/>
      <c r="R2130" s="26"/>
      <c r="S2130" s="26"/>
      <c r="T2130" s="501"/>
      <c r="U2130" s="151">
        <f t="shared" si="116"/>
        <v>47215</v>
      </c>
    </row>
    <row r="2131" spans="2:21" x14ac:dyDescent="0.2">
      <c r="B2131" s="8">
        <f t="shared" si="121"/>
        <v>101</v>
      </c>
      <c r="C2131" s="18"/>
      <c r="D2131" s="18"/>
      <c r="E2131" s="18"/>
      <c r="F2131" s="152"/>
      <c r="G2131" s="153">
        <v>632</v>
      </c>
      <c r="H2131" s="18" t="s">
        <v>144</v>
      </c>
      <c r="I2131" s="19">
        <f>3000+8500</f>
        <v>11500</v>
      </c>
      <c r="J2131" s="19">
        <v>13000</v>
      </c>
      <c r="K2131" s="19">
        <v>19300</v>
      </c>
      <c r="L2131" s="20">
        <v>8781</v>
      </c>
      <c r="M2131" s="20">
        <v>5760</v>
      </c>
      <c r="N2131" s="164"/>
      <c r="O2131" s="19"/>
      <c r="P2131" s="19"/>
      <c r="Q2131" s="19"/>
      <c r="R2131" s="20"/>
      <c r="S2131" s="20"/>
      <c r="T2131" s="164"/>
      <c r="U2131" s="154">
        <f t="shared" si="116"/>
        <v>11500</v>
      </c>
    </row>
    <row r="2132" spans="2:21" x14ac:dyDescent="0.2">
      <c r="B2132" s="8">
        <f t="shared" si="121"/>
        <v>102</v>
      </c>
      <c r="C2132" s="18"/>
      <c r="D2132" s="18"/>
      <c r="E2132" s="18"/>
      <c r="F2132" s="152"/>
      <c r="G2132" s="153">
        <v>633</v>
      </c>
      <c r="H2132" s="18" t="s">
        <v>135</v>
      </c>
      <c r="I2132" s="19">
        <f>4000+8000</f>
        <v>12000</v>
      </c>
      <c r="J2132" s="19">
        <v>6500</v>
      </c>
      <c r="K2132" s="19">
        <v>6500</v>
      </c>
      <c r="L2132" s="20">
        <v>2435</v>
      </c>
      <c r="M2132" s="20">
        <v>504</v>
      </c>
      <c r="N2132" s="164"/>
      <c r="O2132" s="19"/>
      <c r="P2132" s="19"/>
      <c r="Q2132" s="19"/>
      <c r="R2132" s="20"/>
      <c r="S2132" s="20"/>
      <c r="T2132" s="164"/>
      <c r="U2132" s="154">
        <f t="shared" si="116"/>
        <v>12000</v>
      </c>
    </row>
    <row r="2133" spans="2:21" x14ac:dyDescent="0.2">
      <c r="B2133" s="8">
        <f t="shared" si="121"/>
        <v>103</v>
      </c>
      <c r="C2133" s="18"/>
      <c r="D2133" s="18"/>
      <c r="E2133" s="18"/>
      <c r="F2133" s="152"/>
      <c r="G2133" s="153">
        <v>635</v>
      </c>
      <c r="H2133" s="18" t="s">
        <v>143</v>
      </c>
      <c r="I2133" s="19">
        <f>22000-2485</f>
        <v>19515</v>
      </c>
      <c r="J2133" s="19">
        <v>5000</v>
      </c>
      <c r="K2133" s="19">
        <v>10000</v>
      </c>
      <c r="L2133" s="20">
        <v>4053</v>
      </c>
      <c r="M2133" s="20">
        <v>8208</v>
      </c>
      <c r="N2133" s="164"/>
      <c r="O2133" s="19"/>
      <c r="P2133" s="19"/>
      <c r="Q2133" s="19"/>
      <c r="R2133" s="20"/>
      <c r="S2133" s="20"/>
      <c r="T2133" s="164"/>
      <c r="U2133" s="154">
        <f t="shared" ref="U2133:U2153" si="123">I2133+O2133</f>
        <v>19515</v>
      </c>
    </row>
    <row r="2134" spans="2:21" x14ac:dyDescent="0.2">
      <c r="B2134" s="8">
        <f t="shared" si="121"/>
        <v>104</v>
      </c>
      <c r="C2134" s="18"/>
      <c r="D2134" s="18"/>
      <c r="E2134" s="18"/>
      <c r="F2134" s="152"/>
      <c r="G2134" s="153">
        <v>637</v>
      </c>
      <c r="H2134" s="18" t="s">
        <v>132</v>
      </c>
      <c r="I2134" s="19">
        <f>4000+200</f>
        <v>4200</v>
      </c>
      <c r="J2134" s="19">
        <v>3200</v>
      </c>
      <c r="K2134" s="19">
        <v>3200</v>
      </c>
      <c r="L2134" s="20">
        <v>1121</v>
      </c>
      <c r="M2134" s="20">
        <v>730</v>
      </c>
      <c r="N2134" s="164"/>
      <c r="O2134" s="19"/>
      <c r="P2134" s="19"/>
      <c r="Q2134" s="19"/>
      <c r="R2134" s="20"/>
      <c r="S2134" s="20"/>
      <c r="T2134" s="164"/>
      <c r="U2134" s="154">
        <f t="shared" si="123"/>
        <v>4200</v>
      </c>
    </row>
    <row r="2135" spans="2:21" x14ac:dyDescent="0.2">
      <c r="B2135" s="8">
        <f t="shared" si="121"/>
        <v>105</v>
      </c>
      <c r="C2135" s="24"/>
      <c r="D2135" s="24"/>
      <c r="E2135" s="24"/>
      <c r="F2135" s="149" t="s">
        <v>202</v>
      </c>
      <c r="G2135" s="150">
        <v>710</v>
      </c>
      <c r="H2135" s="24" t="s">
        <v>185</v>
      </c>
      <c r="I2135" s="25"/>
      <c r="J2135" s="25"/>
      <c r="K2135" s="25"/>
      <c r="L2135" s="26"/>
      <c r="M2135" s="26"/>
      <c r="N2135" s="501"/>
      <c r="O2135" s="25"/>
      <c r="P2135" s="25"/>
      <c r="Q2135" s="25">
        <f>Q2136</f>
        <v>2700</v>
      </c>
      <c r="R2135" s="26"/>
      <c r="S2135" s="26"/>
      <c r="T2135" s="501"/>
      <c r="U2135" s="151">
        <f t="shared" si="123"/>
        <v>0</v>
      </c>
    </row>
    <row r="2136" spans="2:21" x14ac:dyDescent="0.2">
      <c r="B2136" s="8">
        <f t="shared" si="121"/>
        <v>106</v>
      </c>
      <c r="C2136" s="18"/>
      <c r="D2136" s="18"/>
      <c r="E2136" s="18"/>
      <c r="F2136" s="152"/>
      <c r="G2136" s="153">
        <v>713</v>
      </c>
      <c r="H2136" s="18" t="s">
        <v>230</v>
      </c>
      <c r="I2136" s="19"/>
      <c r="J2136" s="19"/>
      <c r="K2136" s="19"/>
      <c r="L2136" s="20"/>
      <c r="M2136" s="20"/>
      <c r="N2136" s="164"/>
      <c r="O2136" s="19"/>
      <c r="P2136" s="19"/>
      <c r="Q2136" s="19">
        <f>Q2137</f>
        <v>2700</v>
      </c>
      <c r="R2136" s="20"/>
      <c r="S2136" s="20"/>
      <c r="T2136" s="164"/>
      <c r="U2136" s="154">
        <f t="shared" si="123"/>
        <v>0</v>
      </c>
    </row>
    <row r="2137" spans="2:21" s="165" customFormat="1" x14ac:dyDescent="0.2">
      <c r="B2137" s="8">
        <f t="shared" si="121"/>
        <v>107</v>
      </c>
      <c r="C2137" s="156"/>
      <c r="D2137" s="156"/>
      <c r="E2137" s="156"/>
      <c r="F2137" s="272"/>
      <c r="G2137" s="155"/>
      <c r="H2137" s="156" t="s">
        <v>1032</v>
      </c>
      <c r="I2137" s="157"/>
      <c r="J2137" s="157"/>
      <c r="K2137" s="157"/>
      <c r="L2137" s="158"/>
      <c r="M2137" s="158"/>
      <c r="N2137" s="535"/>
      <c r="O2137" s="157"/>
      <c r="P2137" s="157"/>
      <c r="Q2137" s="157">
        <v>2700</v>
      </c>
      <c r="R2137" s="158"/>
      <c r="S2137" s="158"/>
      <c r="T2137" s="535"/>
      <c r="U2137" s="159">
        <f t="shared" si="123"/>
        <v>0</v>
      </c>
    </row>
    <row r="2138" spans="2:21" ht="15.75" x14ac:dyDescent="0.25">
      <c r="B2138" s="8">
        <f t="shared" si="121"/>
        <v>108</v>
      </c>
      <c r="C2138" s="141">
        <v>6</v>
      </c>
      <c r="D2138" s="677" t="s">
        <v>61</v>
      </c>
      <c r="E2138" s="678"/>
      <c r="F2138" s="678"/>
      <c r="G2138" s="678"/>
      <c r="H2138" s="678"/>
      <c r="I2138" s="142">
        <f t="shared" ref="I2138:O2138" si="124">I2139</f>
        <v>520050</v>
      </c>
      <c r="J2138" s="142">
        <f t="shared" si="124"/>
        <v>460215</v>
      </c>
      <c r="K2138" s="142">
        <f t="shared" si="124"/>
        <v>455215</v>
      </c>
      <c r="L2138" s="143">
        <f t="shared" si="124"/>
        <v>403095</v>
      </c>
      <c r="M2138" s="143">
        <f t="shared" si="124"/>
        <v>389615</v>
      </c>
      <c r="N2138" s="533"/>
      <c r="O2138" s="142">
        <f t="shared" si="124"/>
        <v>254000</v>
      </c>
      <c r="P2138" s="142"/>
      <c r="Q2138" s="142"/>
      <c r="R2138" s="143"/>
      <c r="S2138" s="143"/>
      <c r="T2138" s="533"/>
      <c r="U2138" s="144">
        <f t="shared" si="123"/>
        <v>774050</v>
      </c>
    </row>
    <row r="2139" spans="2:21" ht="14.25" x14ac:dyDescent="0.2">
      <c r="B2139" s="8">
        <f t="shared" si="121"/>
        <v>109</v>
      </c>
      <c r="C2139" s="267"/>
      <c r="D2139" s="267"/>
      <c r="E2139" s="267">
        <v>2</v>
      </c>
      <c r="F2139" s="268"/>
      <c r="G2139" s="268"/>
      <c r="H2139" s="267" t="s">
        <v>13</v>
      </c>
      <c r="I2139" s="269">
        <f>I2140+I2141+I2142+I2149</f>
        <v>520050</v>
      </c>
      <c r="J2139" s="269">
        <f>J2140+J2141+J2142+J2149</f>
        <v>460215</v>
      </c>
      <c r="K2139" s="269">
        <f>K2140+K2141+K2142+K2149</f>
        <v>455215</v>
      </c>
      <c r="L2139" s="270">
        <f>L2140+L2141+L2142+L2149</f>
        <v>403095</v>
      </c>
      <c r="M2139" s="270">
        <f>M2140+M2141+M2142+M2149</f>
        <v>389615</v>
      </c>
      <c r="N2139" s="534"/>
      <c r="O2139" s="269">
        <f>O2150</f>
        <v>254000</v>
      </c>
      <c r="P2139" s="269"/>
      <c r="Q2139" s="269"/>
      <c r="R2139" s="270"/>
      <c r="S2139" s="270"/>
      <c r="T2139" s="534"/>
      <c r="U2139" s="271">
        <f t="shared" si="123"/>
        <v>774050</v>
      </c>
    </row>
    <row r="2140" spans="2:21" x14ac:dyDescent="0.2">
      <c r="B2140" s="8">
        <f t="shared" si="121"/>
        <v>110</v>
      </c>
      <c r="C2140" s="24"/>
      <c r="D2140" s="24"/>
      <c r="E2140" s="24"/>
      <c r="F2140" s="149" t="s">
        <v>202</v>
      </c>
      <c r="G2140" s="150">
        <v>610</v>
      </c>
      <c r="H2140" s="24" t="s">
        <v>141</v>
      </c>
      <c r="I2140" s="25">
        <v>293500</v>
      </c>
      <c r="J2140" s="25">
        <v>246550</v>
      </c>
      <c r="K2140" s="25">
        <v>246550</v>
      </c>
      <c r="L2140" s="26">
        <v>232442</v>
      </c>
      <c r="M2140" s="26">
        <v>225746</v>
      </c>
      <c r="N2140" s="501"/>
      <c r="O2140" s="25"/>
      <c r="P2140" s="25"/>
      <c r="Q2140" s="25"/>
      <c r="R2140" s="26"/>
      <c r="S2140" s="26"/>
      <c r="T2140" s="501"/>
      <c r="U2140" s="151">
        <f t="shared" si="123"/>
        <v>293500</v>
      </c>
    </row>
    <row r="2141" spans="2:21" x14ac:dyDescent="0.2">
      <c r="B2141" s="8">
        <f t="shared" si="121"/>
        <v>111</v>
      </c>
      <c r="C2141" s="24"/>
      <c r="D2141" s="24"/>
      <c r="E2141" s="24"/>
      <c r="F2141" s="149" t="s">
        <v>202</v>
      </c>
      <c r="G2141" s="150">
        <v>620</v>
      </c>
      <c r="H2141" s="24" t="s">
        <v>134</v>
      </c>
      <c r="I2141" s="25">
        <v>110500</v>
      </c>
      <c r="J2141" s="25">
        <v>92145</v>
      </c>
      <c r="K2141" s="25">
        <v>92145</v>
      </c>
      <c r="L2141" s="26">
        <v>82349</v>
      </c>
      <c r="M2141" s="26">
        <v>79944</v>
      </c>
      <c r="N2141" s="501"/>
      <c r="O2141" s="25"/>
      <c r="P2141" s="25"/>
      <c r="Q2141" s="25"/>
      <c r="R2141" s="26"/>
      <c r="S2141" s="26"/>
      <c r="T2141" s="501"/>
      <c r="U2141" s="151">
        <f t="shared" si="123"/>
        <v>110500</v>
      </c>
    </row>
    <row r="2142" spans="2:21" x14ac:dyDescent="0.2">
      <c r="B2142" s="8">
        <f t="shared" si="121"/>
        <v>112</v>
      </c>
      <c r="C2142" s="24"/>
      <c r="D2142" s="24"/>
      <c r="E2142" s="24"/>
      <c r="F2142" s="149" t="s">
        <v>202</v>
      </c>
      <c r="G2142" s="150">
        <v>630</v>
      </c>
      <c r="H2142" s="24" t="s">
        <v>131</v>
      </c>
      <c r="I2142" s="25">
        <f>I2148+I2147+I2146+I2145+I2144+I2143</f>
        <v>102050</v>
      </c>
      <c r="J2142" s="25">
        <f>J2148+J2147+J2146+J2145+J2144+J2143</f>
        <v>107970</v>
      </c>
      <c r="K2142" s="25">
        <f>K2148+K2147+K2146+K2145+K2144+K2143</f>
        <v>102970</v>
      </c>
      <c r="L2142" s="26">
        <f>L2148+L2147+L2146+L2145+L2144+L2143</f>
        <v>78902</v>
      </c>
      <c r="M2142" s="26">
        <f>M2148+M2147+M2146+M2145+M2144+M2143</f>
        <v>79756</v>
      </c>
      <c r="N2142" s="501"/>
      <c r="O2142" s="25"/>
      <c r="P2142" s="25"/>
      <c r="Q2142" s="25"/>
      <c r="R2142" s="26"/>
      <c r="S2142" s="26"/>
      <c r="T2142" s="501"/>
      <c r="U2142" s="151">
        <f t="shared" si="123"/>
        <v>102050</v>
      </c>
    </row>
    <row r="2143" spans="2:21" x14ac:dyDescent="0.2">
      <c r="B2143" s="8">
        <f t="shared" si="121"/>
        <v>113</v>
      </c>
      <c r="C2143" s="18"/>
      <c r="D2143" s="18"/>
      <c r="E2143" s="18"/>
      <c r="F2143" s="152"/>
      <c r="G2143" s="153">
        <v>631</v>
      </c>
      <c r="H2143" s="18" t="s">
        <v>137</v>
      </c>
      <c r="I2143" s="19">
        <f>800+200</f>
        <v>1000</v>
      </c>
      <c r="J2143" s="19">
        <v>1000</v>
      </c>
      <c r="K2143" s="19">
        <v>1000</v>
      </c>
      <c r="L2143" s="20">
        <v>62</v>
      </c>
      <c r="M2143" s="20">
        <v>200</v>
      </c>
      <c r="N2143" s="164"/>
      <c r="O2143" s="19"/>
      <c r="P2143" s="19"/>
      <c r="Q2143" s="19"/>
      <c r="R2143" s="20"/>
      <c r="S2143" s="20"/>
      <c r="T2143" s="164"/>
      <c r="U2143" s="154">
        <f t="shared" si="123"/>
        <v>1000</v>
      </c>
    </row>
    <row r="2144" spans="2:21" x14ac:dyDescent="0.2">
      <c r="B2144" s="8">
        <f t="shared" si="121"/>
        <v>114</v>
      </c>
      <c r="C2144" s="18"/>
      <c r="D2144" s="18"/>
      <c r="E2144" s="18"/>
      <c r="F2144" s="152"/>
      <c r="G2144" s="153">
        <v>632</v>
      </c>
      <c r="H2144" s="18" t="s">
        <v>144</v>
      </c>
      <c r="I2144" s="19">
        <v>8500</v>
      </c>
      <c r="J2144" s="19">
        <v>8500</v>
      </c>
      <c r="K2144" s="19">
        <v>8500</v>
      </c>
      <c r="L2144" s="20">
        <v>6656</v>
      </c>
      <c r="M2144" s="20">
        <v>6965</v>
      </c>
      <c r="N2144" s="164"/>
      <c r="O2144" s="19"/>
      <c r="P2144" s="19"/>
      <c r="Q2144" s="19"/>
      <c r="R2144" s="20"/>
      <c r="S2144" s="20"/>
      <c r="T2144" s="164"/>
      <c r="U2144" s="154">
        <f t="shared" si="123"/>
        <v>8500</v>
      </c>
    </row>
    <row r="2145" spans="2:22" x14ac:dyDescent="0.2">
      <c r="B2145" s="8">
        <f t="shared" si="121"/>
        <v>115</v>
      </c>
      <c r="C2145" s="18"/>
      <c r="D2145" s="18"/>
      <c r="E2145" s="18"/>
      <c r="F2145" s="152"/>
      <c r="G2145" s="153">
        <v>633</v>
      </c>
      <c r="H2145" s="18" t="s">
        <v>135</v>
      </c>
      <c r="I2145" s="19">
        <v>15000</v>
      </c>
      <c r="J2145" s="19">
        <v>15400</v>
      </c>
      <c r="K2145" s="19">
        <v>15400</v>
      </c>
      <c r="L2145" s="20">
        <v>14690</v>
      </c>
      <c r="M2145" s="20">
        <v>14750</v>
      </c>
      <c r="N2145" s="164"/>
      <c r="O2145" s="19"/>
      <c r="P2145" s="19"/>
      <c r="Q2145" s="19"/>
      <c r="R2145" s="20"/>
      <c r="S2145" s="20"/>
      <c r="T2145" s="164"/>
      <c r="U2145" s="154">
        <f t="shared" si="123"/>
        <v>15000</v>
      </c>
    </row>
    <row r="2146" spans="2:22" x14ac:dyDescent="0.2">
      <c r="B2146" s="8">
        <f t="shared" si="121"/>
        <v>116</v>
      </c>
      <c r="C2146" s="18"/>
      <c r="D2146" s="18"/>
      <c r="E2146" s="18"/>
      <c r="F2146" s="152"/>
      <c r="G2146" s="153">
        <v>634</v>
      </c>
      <c r="H2146" s="18" t="s">
        <v>142</v>
      </c>
      <c r="I2146" s="19">
        <f>7500+7000+4500+250</f>
        <v>19250</v>
      </c>
      <c r="J2146" s="19">
        <v>20350</v>
      </c>
      <c r="K2146" s="19">
        <v>20350</v>
      </c>
      <c r="L2146" s="20">
        <v>17440</v>
      </c>
      <c r="M2146" s="20">
        <v>14073</v>
      </c>
      <c r="N2146" s="164"/>
      <c r="O2146" s="19"/>
      <c r="P2146" s="19"/>
      <c r="Q2146" s="19"/>
      <c r="R2146" s="20"/>
      <c r="S2146" s="20"/>
      <c r="T2146" s="164"/>
      <c r="U2146" s="154">
        <f t="shared" si="123"/>
        <v>19250</v>
      </c>
    </row>
    <row r="2147" spans="2:22" x14ac:dyDescent="0.2">
      <c r="B2147" s="8">
        <f t="shared" si="121"/>
        <v>117</v>
      </c>
      <c r="C2147" s="18"/>
      <c r="D2147" s="18"/>
      <c r="E2147" s="18"/>
      <c r="F2147" s="152"/>
      <c r="G2147" s="153">
        <v>635</v>
      </c>
      <c r="H2147" s="18" t="s">
        <v>143</v>
      </c>
      <c r="I2147" s="19">
        <v>3300</v>
      </c>
      <c r="J2147" s="19">
        <v>4300</v>
      </c>
      <c r="K2147" s="19">
        <v>4300</v>
      </c>
      <c r="L2147" s="20">
        <v>2172</v>
      </c>
      <c r="M2147" s="20">
        <v>2736</v>
      </c>
      <c r="N2147" s="164"/>
      <c r="O2147" s="19"/>
      <c r="P2147" s="19"/>
      <c r="Q2147" s="19"/>
      <c r="R2147" s="20"/>
      <c r="S2147" s="20"/>
      <c r="T2147" s="164"/>
      <c r="U2147" s="154">
        <f t="shared" si="123"/>
        <v>3300</v>
      </c>
    </row>
    <row r="2148" spans="2:22" x14ac:dyDescent="0.2">
      <c r="B2148" s="8">
        <f t="shared" si="121"/>
        <v>118</v>
      </c>
      <c r="C2148" s="18"/>
      <c r="D2148" s="18"/>
      <c r="E2148" s="18"/>
      <c r="F2148" s="152"/>
      <c r="G2148" s="153">
        <v>637</v>
      </c>
      <c r="H2148" s="18" t="s">
        <v>132</v>
      </c>
      <c r="I2148" s="19">
        <v>55000</v>
      </c>
      <c r="J2148" s="19">
        <v>58420</v>
      </c>
      <c r="K2148" s="19">
        <v>53420</v>
      </c>
      <c r="L2148" s="20">
        <v>37882</v>
      </c>
      <c r="M2148" s="20">
        <f>40471+561</f>
        <v>41032</v>
      </c>
      <c r="N2148" s="164"/>
      <c r="O2148" s="19"/>
      <c r="P2148" s="19"/>
      <c r="Q2148" s="19"/>
      <c r="R2148" s="20"/>
      <c r="S2148" s="20"/>
      <c r="T2148" s="164"/>
      <c r="U2148" s="154">
        <f t="shared" si="123"/>
        <v>55000</v>
      </c>
    </row>
    <row r="2149" spans="2:22" x14ac:dyDescent="0.2">
      <c r="B2149" s="8">
        <f t="shared" si="121"/>
        <v>119</v>
      </c>
      <c r="C2149" s="24"/>
      <c r="D2149" s="24"/>
      <c r="E2149" s="24"/>
      <c r="F2149" s="149" t="s">
        <v>202</v>
      </c>
      <c r="G2149" s="150">
        <v>640</v>
      </c>
      <c r="H2149" s="24" t="s">
        <v>139</v>
      </c>
      <c r="I2149" s="25">
        <v>14000</v>
      </c>
      <c r="J2149" s="25">
        <v>13550</v>
      </c>
      <c r="K2149" s="25">
        <v>13550</v>
      </c>
      <c r="L2149" s="26">
        <v>9402</v>
      </c>
      <c r="M2149" s="26">
        <v>4169</v>
      </c>
      <c r="N2149" s="501"/>
      <c r="O2149" s="25"/>
      <c r="P2149" s="25"/>
      <c r="Q2149" s="25"/>
      <c r="R2149" s="26"/>
      <c r="S2149" s="26"/>
      <c r="T2149" s="501"/>
      <c r="U2149" s="151">
        <f t="shared" si="123"/>
        <v>14000</v>
      </c>
    </row>
    <row r="2150" spans="2:22" x14ac:dyDescent="0.2">
      <c r="B2150" s="8">
        <f t="shared" si="121"/>
        <v>120</v>
      </c>
      <c r="C2150" s="24"/>
      <c r="D2150" s="24"/>
      <c r="E2150" s="24"/>
      <c r="F2150" s="149" t="s">
        <v>202</v>
      </c>
      <c r="G2150" s="150">
        <v>710</v>
      </c>
      <c r="H2150" s="24" t="s">
        <v>185</v>
      </c>
      <c r="I2150" s="25"/>
      <c r="J2150" s="25"/>
      <c r="K2150" s="25"/>
      <c r="L2150" s="26"/>
      <c r="M2150" s="26"/>
      <c r="N2150" s="501"/>
      <c r="O2150" s="25">
        <f>O2151+O2154</f>
        <v>254000</v>
      </c>
      <c r="P2150" s="25"/>
      <c r="Q2150" s="25"/>
      <c r="R2150" s="26"/>
      <c r="S2150" s="26"/>
      <c r="T2150" s="501"/>
      <c r="U2150" s="151">
        <f t="shared" si="123"/>
        <v>254000</v>
      </c>
    </row>
    <row r="2151" spans="2:22" x14ac:dyDescent="0.2">
      <c r="B2151" s="8">
        <f t="shared" si="121"/>
        <v>121</v>
      </c>
      <c r="C2151" s="489"/>
      <c r="D2151" s="489"/>
      <c r="E2151" s="489"/>
      <c r="F2151" s="490"/>
      <c r="G2151" s="153">
        <v>717</v>
      </c>
      <c r="H2151" s="18" t="s">
        <v>192</v>
      </c>
      <c r="I2151" s="19"/>
      <c r="J2151" s="19"/>
      <c r="K2151" s="19"/>
      <c r="L2151" s="20"/>
      <c r="M2151" s="20"/>
      <c r="N2151" s="164"/>
      <c r="O2151" s="19">
        <f>O2152+O2153</f>
        <v>235000</v>
      </c>
      <c r="P2151" s="19"/>
      <c r="Q2151" s="19"/>
      <c r="R2151" s="20"/>
      <c r="S2151" s="20"/>
      <c r="T2151" s="164"/>
      <c r="U2151" s="154">
        <f t="shared" si="123"/>
        <v>235000</v>
      </c>
    </row>
    <row r="2152" spans="2:22" x14ac:dyDescent="0.2">
      <c r="B2152" s="8">
        <f t="shared" si="121"/>
        <v>122</v>
      </c>
      <c r="C2152" s="489"/>
      <c r="D2152" s="489"/>
      <c r="E2152" s="489"/>
      <c r="F2152" s="490"/>
      <c r="G2152" s="298"/>
      <c r="H2152" s="156" t="s">
        <v>1091</v>
      </c>
      <c r="I2152" s="157"/>
      <c r="J2152" s="157"/>
      <c r="K2152" s="157"/>
      <c r="L2152" s="157"/>
      <c r="M2152" s="157"/>
      <c r="N2152" s="535"/>
      <c r="O2152" s="157">
        <v>10000</v>
      </c>
      <c r="P2152" s="157"/>
      <c r="Q2152" s="157"/>
      <c r="R2152" s="157"/>
      <c r="S2152" s="158"/>
      <c r="T2152" s="535"/>
      <c r="U2152" s="159">
        <f t="shared" si="123"/>
        <v>10000</v>
      </c>
    </row>
    <row r="2153" spans="2:22" x14ac:dyDescent="0.2">
      <c r="B2153" s="8">
        <f t="shared" si="121"/>
        <v>123</v>
      </c>
      <c r="C2153" s="489"/>
      <c r="D2153" s="489"/>
      <c r="E2153" s="489"/>
      <c r="F2153" s="490"/>
      <c r="G2153" s="491"/>
      <c r="H2153" s="492" t="s">
        <v>891</v>
      </c>
      <c r="I2153" s="408"/>
      <c r="J2153" s="408"/>
      <c r="K2153" s="408"/>
      <c r="L2153" s="408"/>
      <c r="M2153" s="408"/>
      <c r="N2153" s="562"/>
      <c r="O2153" s="408">
        <v>225000</v>
      </c>
      <c r="P2153" s="408"/>
      <c r="Q2153" s="408"/>
      <c r="R2153" s="408"/>
      <c r="S2153" s="373"/>
      <c r="T2153" s="562"/>
      <c r="U2153" s="159">
        <f t="shared" si="123"/>
        <v>225000</v>
      </c>
    </row>
    <row r="2154" spans="2:22" x14ac:dyDescent="0.2">
      <c r="B2154" s="8">
        <f t="shared" si="121"/>
        <v>124</v>
      </c>
      <c r="C2154" s="391"/>
      <c r="D2154" s="391"/>
      <c r="E2154" s="391"/>
      <c r="F2154" s="392"/>
      <c r="G2154" s="393">
        <v>718</v>
      </c>
      <c r="H2154" s="394" t="s">
        <v>86</v>
      </c>
      <c r="I2154" s="395"/>
      <c r="J2154" s="395"/>
      <c r="K2154" s="395"/>
      <c r="L2154" s="396"/>
      <c r="M2154" s="396"/>
      <c r="N2154" s="557"/>
      <c r="O2154" s="395">
        <f>O2155</f>
        <v>19000</v>
      </c>
      <c r="P2154" s="395"/>
      <c r="Q2154" s="395"/>
      <c r="R2154" s="396"/>
      <c r="S2154" s="396"/>
      <c r="T2154" s="557"/>
      <c r="U2154" s="397">
        <f>I2154+O2154</f>
        <v>19000</v>
      </c>
    </row>
    <row r="2155" spans="2:22" s="165" customFormat="1" x14ac:dyDescent="0.2">
      <c r="B2155" s="8">
        <f t="shared" si="121"/>
        <v>125</v>
      </c>
      <c r="C2155" s="398"/>
      <c r="D2155" s="398"/>
      <c r="E2155" s="398"/>
      <c r="F2155" s="399"/>
      <c r="G2155" s="400"/>
      <c r="H2155" s="398" t="s">
        <v>1085</v>
      </c>
      <c r="I2155" s="401"/>
      <c r="J2155" s="401"/>
      <c r="K2155" s="401"/>
      <c r="L2155" s="402"/>
      <c r="M2155" s="402"/>
      <c r="N2155" s="558"/>
      <c r="O2155" s="401">
        <v>19000</v>
      </c>
      <c r="P2155" s="401"/>
      <c r="Q2155" s="401"/>
      <c r="R2155" s="402"/>
      <c r="S2155" s="402"/>
      <c r="T2155" s="558"/>
      <c r="U2155" s="403">
        <f>I2155+O2155</f>
        <v>19000</v>
      </c>
    </row>
    <row r="2159" spans="2:22" x14ac:dyDescent="0.2">
      <c r="V2159" s="2"/>
    </row>
    <row r="2161" spans="2:21" ht="27" x14ac:dyDescent="0.35">
      <c r="B2161" s="679" t="s">
        <v>26</v>
      </c>
      <c r="C2161" s="680"/>
      <c r="D2161" s="680"/>
      <c r="E2161" s="680"/>
      <c r="F2161" s="680"/>
      <c r="G2161" s="680"/>
      <c r="H2161" s="680"/>
      <c r="I2161" s="680"/>
      <c r="J2161" s="680"/>
      <c r="K2161" s="680"/>
      <c r="L2161" s="680"/>
      <c r="M2161" s="680"/>
      <c r="N2161" s="680"/>
      <c r="O2161" s="680"/>
      <c r="P2161" s="680"/>
      <c r="Q2161" s="680"/>
      <c r="R2161" s="680"/>
      <c r="S2161" s="680"/>
      <c r="T2161" s="680"/>
      <c r="U2161" s="680"/>
    </row>
    <row r="2162" spans="2:21" ht="13.5" customHeight="1" x14ac:dyDescent="0.2">
      <c r="B2162" s="684" t="s">
        <v>842</v>
      </c>
      <c r="C2162" s="685"/>
      <c r="D2162" s="685"/>
      <c r="E2162" s="685"/>
      <c r="F2162" s="685"/>
      <c r="G2162" s="685"/>
      <c r="H2162" s="685"/>
      <c r="I2162" s="685"/>
      <c r="J2162" s="685"/>
      <c r="K2162" s="685"/>
      <c r="L2162" s="685"/>
      <c r="M2162" s="685"/>
      <c r="N2162" s="685"/>
      <c r="O2162" s="685"/>
      <c r="P2162" s="685"/>
      <c r="Q2162" s="685"/>
      <c r="R2162" s="685"/>
      <c r="S2162" s="685"/>
      <c r="T2162" s="567"/>
      <c r="U2162" s="682" t="s">
        <v>1207</v>
      </c>
    </row>
    <row r="2163" spans="2:21" ht="19.5" customHeight="1" x14ac:dyDescent="0.2">
      <c r="B2163" s="681"/>
      <c r="C2163" s="681" t="s">
        <v>122</v>
      </c>
      <c r="D2163" s="681" t="s">
        <v>123</v>
      </c>
      <c r="E2163" s="681"/>
      <c r="F2163" s="681" t="s">
        <v>124</v>
      </c>
      <c r="G2163" s="689" t="s">
        <v>125</v>
      </c>
      <c r="H2163" s="686" t="s">
        <v>126</v>
      </c>
      <c r="I2163" s="673" t="s">
        <v>1205</v>
      </c>
      <c r="J2163" s="674" t="s">
        <v>837</v>
      </c>
      <c r="K2163" s="674" t="s">
        <v>838</v>
      </c>
      <c r="L2163" s="672" t="s">
        <v>839</v>
      </c>
      <c r="M2163" s="672" t="s">
        <v>643</v>
      </c>
      <c r="N2163" s="493"/>
      <c r="O2163" s="673" t="s">
        <v>1206</v>
      </c>
      <c r="P2163" s="674" t="s">
        <v>840</v>
      </c>
      <c r="Q2163" s="674" t="s">
        <v>841</v>
      </c>
      <c r="R2163" s="672" t="s">
        <v>839</v>
      </c>
      <c r="S2163" s="672" t="s">
        <v>643</v>
      </c>
      <c r="T2163" s="493"/>
      <c r="U2163" s="683"/>
    </row>
    <row r="2164" spans="2:21" x14ac:dyDescent="0.2">
      <c r="B2164" s="681"/>
      <c r="C2164" s="681"/>
      <c r="D2164" s="681"/>
      <c r="E2164" s="681"/>
      <c r="F2164" s="681"/>
      <c r="G2164" s="689"/>
      <c r="H2164" s="686"/>
      <c r="I2164" s="673"/>
      <c r="J2164" s="674"/>
      <c r="K2164" s="674"/>
      <c r="L2164" s="672"/>
      <c r="M2164" s="672"/>
      <c r="N2164" s="493"/>
      <c r="O2164" s="673"/>
      <c r="P2164" s="674"/>
      <c r="Q2164" s="674"/>
      <c r="R2164" s="672"/>
      <c r="S2164" s="672"/>
      <c r="T2164" s="493"/>
      <c r="U2164" s="683"/>
    </row>
    <row r="2165" spans="2:21" ht="17.25" customHeight="1" x14ac:dyDescent="0.2">
      <c r="B2165" s="681"/>
      <c r="C2165" s="681"/>
      <c r="D2165" s="681"/>
      <c r="E2165" s="681"/>
      <c r="F2165" s="681"/>
      <c r="G2165" s="689"/>
      <c r="H2165" s="686"/>
      <c r="I2165" s="673"/>
      <c r="J2165" s="674"/>
      <c r="K2165" s="674"/>
      <c r="L2165" s="672"/>
      <c r="M2165" s="672"/>
      <c r="N2165" s="493"/>
      <c r="O2165" s="673"/>
      <c r="P2165" s="674"/>
      <c r="Q2165" s="674"/>
      <c r="R2165" s="672"/>
      <c r="S2165" s="672"/>
      <c r="T2165" s="493"/>
      <c r="U2165" s="683"/>
    </row>
    <row r="2166" spans="2:21" x14ac:dyDescent="0.2">
      <c r="B2166" s="681"/>
      <c r="C2166" s="681"/>
      <c r="D2166" s="681"/>
      <c r="E2166" s="681"/>
      <c r="F2166" s="681"/>
      <c r="G2166" s="689"/>
      <c r="H2166" s="686"/>
      <c r="I2166" s="673"/>
      <c r="J2166" s="674"/>
      <c r="K2166" s="674"/>
      <c r="L2166" s="672"/>
      <c r="M2166" s="672"/>
      <c r="N2166" s="493"/>
      <c r="O2166" s="673"/>
      <c r="P2166" s="674"/>
      <c r="Q2166" s="674"/>
      <c r="R2166" s="672"/>
      <c r="S2166" s="672"/>
      <c r="T2166" s="493"/>
      <c r="U2166" s="683"/>
    </row>
    <row r="2167" spans="2:21" ht="15.75" x14ac:dyDescent="0.2">
      <c r="B2167" s="8">
        <v>1</v>
      </c>
      <c r="C2167" s="687" t="s">
        <v>26</v>
      </c>
      <c r="D2167" s="688"/>
      <c r="E2167" s="688"/>
      <c r="F2167" s="688"/>
      <c r="G2167" s="688"/>
      <c r="H2167" s="688"/>
      <c r="I2167" s="138">
        <f>I2168+I2198+I2203+I2230+I2265+I2313+I2352+I2364+I2367+I2372+I2385+I2397</f>
        <v>5573950</v>
      </c>
      <c r="J2167" s="138">
        <f>J2168+J2198+J2203+J2230+J2265+J2313+J2352+J2364+J2367+J2372+J2385</f>
        <v>5043630</v>
      </c>
      <c r="K2167" s="138">
        <f>K2168+K2198+K2203+K2230+K2265+K2313+K2352+K2364+K2367+K2372+K2385</f>
        <v>6829764</v>
      </c>
      <c r="L2167" s="139">
        <f>L2168+L2198+L2203+L2230+L2265+L2313+L2352+L2364+L2367+L2372+L2385</f>
        <v>4951953</v>
      </c>
      <c r="M2167" s="139">
        <f>M2168+M2198+M2203+M2230+M2265+M2313+M2352+M2364+M2367+M2372+M2385</f>
        <v>4070620</v>
      </c>
      <c r="N2167" s="532"/>
      <c r="O2167" s="138">
        <f>O2168+O2198+O2203+O2230+O2265+O2313+O2352+O2364+O2367+O2372+O2385</f>
        <v>1490800</v>
      </c>
      <c r="P2167" s="138">
        <f>P2168+P2198+P2203+P2230+P2265+P2313+P2352+P2364+P2367+P2372+P2385</f>
        <v>1002820</v>
      </c>
      <c r="Q2167" s="138">
        <f>Q2168+Q2198+Q2203+Q2230+Q2265+Q2313+Q2352+Q2364+Q2367+Q2372+Q2385</f>
        <v>1088448</v>
      </c>
      <c r="R2167" s="139">
        <f>R2168+R2198+R2203+R2230+R2265+R2313+R2352+R2364+R2367+R2372+R2385</f>
        <v>18152</v>
      </c>
      <c r="S2167" s="139">
        <f>S2168+S2198+S2203+S2230+S2265+S2313+S2352+S2364+S2367+S2372+S2385</f>
        <v>128066</v>
      </c>
      <c r="T2167" s="532"/>
      <c r="U2167" s="140">
        <f>I2167+O2167</f>
        <v>7064750</v>
      </c>
    </row>
    <row r="2168" spans="2:21" ht="15.75" x14ac:dyDescent="0.25">
      <c r="B2168" s="8">
        <f>B2167+1</f>
        <v>2</v>
      </c>
      <c r="C2168" s="141">
        <v>1</v>
      </c>
      <c r="D2168" s="677" t="s">
        <v>604</v>
      </c>
      <c r="E2168" s="678"/>
      <c r="F2168" s="678"/>
      <c r="G2168" s="678"/>
      <c r="H2168" s="678"/>
      <c r="I2168" s="142">
        <f>I2169+I2190</f>
        <v>314530</v>
      </c>
      <c r="J2168" s="142">
        <f>J2169+J2190</f>
        <v>312435</v>
      </c>
      <c r="K2168" s="430">
        <f>K2169+K2190</f>
        <v>307935</v>
      </c>
      <c r="L2168" s="143">
        <f>L2169+L2190</f>
        <v>230524</v>
      </c>
      <c r="M2168" s="143">
        <f>M2169+M2190</f>
        <v>196807</v>
      </c>
      <c r="N2168" s="533"/>
      <c r="O2168" s="142">
        <f>O2169+O2190</f>
        <v>950800</v>
      </c>
      <c r="P2168" s="142"/>
      <c r="Q2168" s="142">
        <f>Q2169</f>
        <v>2000</v>
      </c>
      <c r="R2168" s="143">
        <f>R2176+R2170</f>
        <v>2490</v>
      </c>
      <c r="S2168" s="143">
        <f>S2176+S2170</f>
        <v>7788</v>
      </c>
      <c r="T2168" s="533"/>
      <c r="U2168" s="144">
        <f>I2168+O2168</f>
        <v>1265330</v>
      </c>
    </row>
    <row r="2169" spans="2:21" ht="14.25" x14ac:dyDescent="0.2">
      <c r="B2169" s="8">
        <f>B2168+1</f>
        <v>3</v>
      </c>
      <c r="C2169" s="160"/>
      <c r="D2169" s="160">
        <v>1</v>
      </c>
      <c r="E2169" s="675" t="s">
        <v>76</v>
      </c>
      <c r="F2169" s="676"/>
      <c r="G2169" s="676"/>
      <c r="H2169" s="676"/>
      <c r="I2169" s="161">
        <f>I2176</f>
        <v>290900</v>
      </c>
      <c r="J2169" s="161">
        <f>J2176</f>
        <v>290735</v>
      </c>
      <c r="K2169" s="161">
        <f>K2176</f>
        <v>286235</v>
      </c>
      <c r="L2169" s="162">
        <f>L2176</f>
        <v>213260</v>
      </c>
      <c r="M2169" s="162">
        <f>M2176</f>
        <v>196807</v>
      </c>
      <c r="N2169" s="534"/>
      <c r="O2169" s="161">
        <f>O2170+O2176</f>
        <v>950800</v>
      </c>
      <c r="P2169" s="161"/>
      <c r="Q2169" s="161">
        <f>Q2176</f>
        <v>2000</v>
      </c>
      <c r="R2169" s="162"/>
      <c r="S2169" s="162">
        <f>S2176</f>
        <v>7788</v>
      </c>
      <c r="T2169" s="534"/>
      <c r="U2169" s="163">
        <f t="shared" ref="U2169:U2243" si="125">I2169+O2169</f>
        <v>1241700</v>
      </c>
    </row>
    <row r="2170" spans="2:21" x14ac:dyDescent="0.2">
      <c r="B2170" s="8">
        <f>B2169+1</f>
        <v>4</v>
      </c>
      <c r="C2170" s="24"/>
      <c r="D2170" s="24"/>
      <c r="E2170" s="24"/>
      <c r="F2170" s="149" t="s">
        <v>79</v>
      </c>
      <c r="G2170" s="150">
        <v>710</v>
      </c>
      <c r="H2170" s="24" t="s">
        <v>185</v>
      </c>
      <c r="I2170" s="25"/>
      <c r="J2170" s="25"/>
      <c r="K2170" s="25"/>
      <c r="L2170" s="26"/>
      <c r="M2170" s="26"/>
      <c r="N2170" s="501"/>
      <c r="O2170" s="25">
        <f>O2173</f>
        <v>950800</v>
      </c>
      <c r="P2170" s="25"/>
      <c r="Q2170" s="25"/>
      <c r="R2170" s="26">
        <f>R2171</f>
        <v>2490</v>
      </c>
      <c r="S2170" s="26"/>
      <c r="T2170" s="501"/>
      <c r="U2170" s="151">
        <f>I2170+O2170</f>
        <v>950800</v>
      </c>
    </row>
    <row r="2171" spans="2:21" x14ac:dyDescent="0.2">
      <c r="B2171" s="8">
        <f t="shared" ref="B2171:B2187" si="126">B2170+1</f>
        <v>5</v>
      </c>
      <c r="C2171" s="24"/>
      <c r="D2171" s="24"/>
      <c r="E2171" s="24"/>
      <c r="F2171" s="149"/>
      <c r="G2171" s="153">
        <v>716</v>
      </c>
      <c r="H2171" s="18" t="s">
        <v>226</v>
      </c>
      <c r="I2171" s="19"/>
      <c r="J2171" s="19"/>
      <c r="K2171" s="19"/>
      <c r="L2171" s="20"/>
      <c r="M2171" s="20"/>
      <c r="N2171" s="164"/>
      <c r="O2171" s="19"/>
      <c r="P2171" s="19"/>
      <c r="Q2171" s="19"/>
      <c r="R2171" s="20">
        <f>R2172</f>
        <v>2490</v>
      </c>
      <c r="S2171" s="26"/>
      <c r="T2171" s="501"/>
      <c r="U2171" s="151">
        <f>I2171+O2171</f>
        <v>0</v>
      </c>
    </row>
    <row r="2172" spans="2:21" x14ac:dyDescent="0.2">
      <c r="B2172" s="8">
        <f t="shared" si="126"/>
        <v>6</v>
      </c>
      <c r="C2172" s="18"/>
      <c r="D2172" s="18"/>
      <c r="E2172" s="18"/>
      <c r="F2172" s="152"/>
      <c r="G2172" s="153"/>
      <c r="H2172" s="156" t="s">
        <v>1077</v>
      </c>
      <c r="I2172" s="19"/>
      <c r="J2172" s="19"/>
      <c r="K2172" s="19"/>
      <c r="L2172" s="20"/>
      <c r="M2172" s="20"/>
      <c r="N2172" s="164"/>
      <c r="O2172" s="19"/>
      <c r="P2172" s="19"/>
      <c r="Q2172" s="19"/>
      <c r="R2172" s="158">
        <v>2490</v>
      </c>
      <c r="S2172" s="20"/>
      <c r="T2172" s="164"/>
      <c r="U2172" s="154">
        <f>I2172+O2172</f>
        <v>0</v>
      </c>
    </row>
    <row r="2173" spans="2:21" x14ac:dyDescent="0.2">
      <c r="B2173" s="8">
        <f t="shared" si="126"/>
        <v>7</v>
      </c>
      <c r="C2173" s="18"/>
      <c r="D2173" s="18"/>
      <c r="E2173" s="18"/>
      <c r="F2173" s="152"/>
      <c r="G2173" s="153">
        <v>717</v>
      </c>
      <c r="H2173" s="18" t="s">
        <v>192</v>
      </c>
      <c r="I2173" s="19"/>
      <c r="J2173" s="19"/>
      <c r="K2173" s="19"/>
      <c r="L2173" s="20"/>
      <c r="M2173" s="20"/>
      <c r="N2173" s="164"/>
      <c r="O2173" s="19">
        <f>O2174</f>
        <v>950800</v>
      </c>
      <c r="P2173" s="19"/>
      <c r="Q2173" s="19"/>
      <c r="R2173" s="158"/>
      <c r="S2173" s="20"/>
      <c r="T2173" s="164"/>
      <c r="U2173" s="154"/>
    </row>
    <row r="2174" spans="2:21" x14ac:dyDescent="0.2">
      <c r="B2174" s="8">
        <f t="shared" si="126"/>
        <v>8</v>
      </c>
      <c r="C2174" s="18"/>
      <c r="D2174" s="18"/>
      <c r="E2174" s="18"/>
      <c r="F2174" s="152"/>
      <c r="G2174" s="153"/>
      <c r="H2174" s="156" t="s">
        <v>1077</v>
      </c>
      <c r="I2174" s="19"/>
      <c r="J2174" s="19"/>
      <c r="K2174" s="19"/>
      <c r="L2174" s="20"/>
      <c r="M2174" s="20"/>
      <c r="N2174" s="164"/>
      <c r="O2174" s="157">
        <v>950800</v>
      </c>
      <c r="P2174" s="19"/>
      <c r="Q2174" s="19"/>
      <c r="R2174" s="158"/>
      <c r="S2174" s="20"/>
      <c r="T2174" s="164"/>
      <c r="U2174" s="154"/>
    </row>
    <row r="2175" spans="2:21" ht="14.25" x14ac:dyDescent="0.2">
      <c r="B2175" s="8">
        <f t="shared" si="126"/>
        <v>9</v>
      </c>
      <c r="C2175" s="160"/>
      <c r="D2175" s="160"/>
      <c r="E2175" s="160"/>
      <c r="F2175" s="591"/>
      <c r="G2175" s="591"/>
      <c r="H2175" s="591"/>
      <c r="I2175" s="161"/>
      <c r="J2175" s="161"/>
      <c r="K2175" s="161"/>
      <c r="L2175" s="162"/>
      <c r="M2175" s="162"/>
      <c r="N2175" s="534"/>
      <c r="O2175" s="161"/>
      <c r="P2175" s="161"/>
      <c r="Q2175" s="161"/>
      <c r="R2175" s="162"/>
      <c r="S2175" s="162"/>
      <c r="T2175" s="534"/>
      <c r="U2175" s="163"/>
    </row>
    <row r="2176" spans="2:21" ht="14.25" x14ac:dyDescent="0.2">
      <c r="B2176" s="8">
        <f t="shared" si="126"/>
        <v>10</v>
      </c>
      <c r="C2176" s="267"/>
      <c r="D2176" s="267"/>
      <c r="E2176" s="267">
        <v>5</v>
      </c>
      <c r="F2176" s="268"/>
      <c r="G2176" s="268"/>
      <c r="H2176" s="267" t="s">
        <v>114</v>
      </c>
      <c r="I2176" s="269">
        <f>I2177+I2178+I2179+I2184</f>
        <v>290900</v>
      </c>
      <c r="J2176" s="269">
        <f>J2177+J2178+J2179+J2184</f>
        <v>290735</v>
      </c>
      <c r="K2176" s="269">
        <f>K2177+K2178+K2179+K2184</f>
        <v>286235</v>
      </c>
      <c r="L2176" s="270">
        <f>L2177+L2178+L2179+L2184</f>
        <v>213260</v>
      </c>
      <c r="M2176" s="270">
        <f>M2177+M2178+M2179+M2184</f>
        <v>196807</v>
      </c>
      <c r="N2176" s="534"/>
      <c r="O2176" s="269"/>
      <c r="P2176" s="269"/>
      <c r="Q2176" s="269">
        <f>Q2185</f>
        <v>2000</v>
      </c>
      <c r="R2176" s="270"/>
      <c r="S2176" s="270">
        <f>S2185</f>
        <v>7788</v>
      </c>
      <c r="T2176" s="534"/>
      <c r="U2176" s="271">
        <f t="shared" si="125"/>
        <v>290900</v>
      </c>
    </row>
    <row r="2177" spans="2:21" x14ac:dyDescent="0.2">
      <c r="B2177" s="8">
        <f t="shared" si="126"/>
        <v>11</v>
      </c>
      <c r="C2177" s="24"/>
      <c r="D2177" s="24"/>
      <c r="E2177" s="24"/>
      <c r="F2177" s="149" t="s">
        <v>81</v>
      </c>
      <c r="G2177" s="150">
        <v>610</v>
      </c>
      <c r="H2177" s="24" t="s">
        <v>141</v>
      </c>
      <c r="I2177" s="25">
        <v>145625</v>
      </c>
      <c r="J2177" s="25">
        <v>120440</v>
      </c>
      <c r="K2177" s="25">
        <v>120440</v>
      </c>
      <c r="L2177" s="26">
        <v>105913</v>
      </c>
      <c r="M2177" s="26">
        <v>111504</v>
      </c>
      <c r="N2177" s="501"/>
      <c r="O2177" s="25"/>
      <c r="P2177" s="25"/>
      <c r="Q2177" s="25"/>
      <c r="R2177" s="26"/>
      <c r="S2177" s="26"/>
      <c r="T2177" s="501"/>
      <c r="U2177" s="151">
        <f t="shared" si="125"/>
        <v>145625</v>
      </c>
    </row>
    <row r="2178" spans="2:21" x14ac:dyDescent="0.2">
      <c r="B2178" s="8">
        <f t="shared" si="126"/>
        <v>12</v>
      </c>
      <c r="C2178" s="24"/>
      <c r="D2178" s="24"/>
      <c r="E2178" s="24"/>
      <c r="F2178" s="149" t="s">
        <v>81</v>
      </c>
      <c r="G2178" s="150">
        <v>620</v>
      </c>
      <c r="H2178" s="24" t="s">
        <v>134</v>
      </c>
      <c r="I2178" s="25">
        <v>52955</v>
      </c>
      <c r="J2178" s="25">
        <v>45135</v>
      </c>
      <c r="K2178" s="25">
        <v>45135</v>
      </c>
      <c r="L2178" s="26">
        <v>38011</v>
      </c>
      <c r="M2178" s="26">
        <v>40482</v>
      </c>
      <c r="N2178" s="501"/>
      <c r="O2178" s="25"/>
      <c r="P2178" s="25"/>
      <c r="Q2178" s="25"/>
      <c r="R2178" s="26"/>
      <c r="S2178" s="26"/>
      <c r="T2178" s="501"/>
      <c r="U2178" s="151">
        <f t="shared" si="125"/>
        <v>52955</v>
      </c>
    </row>
    <row r="2179" spans="2:21" x14ac:dyDescent="0.2">
      <c r="B2179" s="8">
        <f t="shared" si="126"/>
        <v>13</v>
      </c>
      <c r="C2179" s="24"/>
      <c r="D2179" s="24"/>
      <c r="E2179" s="24"/>
      <c r="F2179" s="149" t="s">
        <v>81</v>
      </c>
      <c r="G2179" s="150">
        <v>630</v>
      </c>
      <c r="H2179" s="24" t="s">
        <v>131</v>
      </c>
      <c r="I2179" s="25">
        <f>I2183+I2182+I2181+I2180</f>
        <v>85320</v>
      </c>
      <c r="J2179" s="25">
        <f>J2180+J2181+J2182+J2183</f>
        <v>120650</v>
      </c>
      <c r="K2179" s="25">
        <f>K2183+K2182+K2181+K2180</f>
        <v>116150</v>
      </c>
      <c r="L2179" s="26">
        <f>L2183+L2182+L2181+L2180</f>
        <v>66272</v>
      </c>
      <c r="M2179" s="26">
        <f>M2183+M2182+M2181+M2180</f>
        <v>43121</v>
      </c>
      <c r="N2179" s="501"/>
      <c r="O2179" s="25"/>
      <c r="P2179" s="25"/>
      <c r="Q2179" s="25"/>
      <c r="R2179" s="26"/>
      <c r="S2179" s="26"/>
      <c r="T2179" s="501"/>
      <c r="U2179" s="151">
        <f t="shared" si="125"/>
        <v>85320</v>
      </c>
    </row>
    <row r="2180" spans="2:21" x14ac:dyDescent="0.2">
      <c r="B2180" s="8">
        <f t="shared" si="126"/>
        <v>14</v>
      </c>
      <c r="C2180" s="18"/>
      <c r="D2180" s="18"/>
      <c r="E2180" s="18"/>
      <c r="F2180" s="152"/>
      <c r="G2180" s="153">
        <v>632</v>
      </c>
      <c r="H2180" s="18" t="s">
        <v>144</v>
      </c>
      <c r="I2180" s="19">
        <v>49500</v>
      </c>
      <c r="J2180" s="19">
        <v>79620</v>
      </c>
      <c r="K2180" s="19">
        <v>53620</v>
      </c>
      <c r="L2180" s="20">
        <v>21761</v>
      </c>
      <c r="M2180" s="20">
        <v>16441</v>
      </c>
      <c r="N2180" s="164"/>
      <c r="O2180" s="19"/>
      <c r="P2180" s="19"/>
      <c r="Q2180" s="19"/>
      <c r="R2180" s="20"/>
      <c r="S2180" s="20"/>
      <c r="T2180" s="164"/>
      <c r="U2180" s="154">
        <f t="shared" si="125"/>
        <v>49500</v>
      </c>
    </row>
    <row r="2181" spans="2:21" x14ac:dyDescent="0.2">
      <c r="B2181" s="8">
        <f t="shared" si="126"/>
        <v>15</v>
      </c>
      <c r="C2181" s="18"/>
      <c r="D2181" s="18"/>
      <c r="E2181" s="18"/>
      <c r="F2181" s="152"/>
      <c r="G2181" s="153">
        <v>633</v>
      </c>
      <c r="H2181" s="18" t="s">
        <v>135</v>
      </c>
      <c r="I2181" s="19">
        <v>23500</v>
      </c>
      <c r="J2181" s="19">
        <v>29330</v>
      </c>
      <c r="K2181" s="19">
        <v>27830</v>
      </c>
      <c r="L2181" s="20">
        <v>20958</v>
      </c>
      <c r="M2181" s="20">
        <v>15346</v>
      </c>
      <c r="N2181" s="164"/>
      <c r="O2181" s="19"/>
      <c r="P2181" s="19"/>
      <c r="Q2181" s="19"/>
      <c r="R2181" s="20"/>
      <c r="S2181" s="20"/>
      <c r="T2181" s="164"/>
      <c r="U2181" s="154">
        <f t="shared" si="125"/>
        <v>23500</v>
      </c>
    </row>
    <row r="2182" spans="2:21" x14ac:dyDescent="0.2">
      <c r="B2182" s="8">
        <f t="shared" si="126"/>
        <v>16</v>
      </c>
      <c r="C2182" s="18"/>
      <c r="D2182" s="18"/>
      <c r="E2182" s="18"/>
      <c r="F2182" s="152"/>
      <c r="G2182" s="153">
        <v>635</v>
      </c>
      <c r="H2182" s="18" t="s">
        <v>143</v>
      </c>
      <c r="I2182" s="19">
        <v>3100</v>
      </c>
      <c r="J2182" s="19">
        <v>3600</v>
      </c>
      <c r="K2182" s="19">
        <v>26600</v>
      </c>
      <c r="L2182" s="20">
        <v>17113</v>
      </c>
      <c r="M2182" s="20">
        <v>6273</v>
      </c>
      <c r="N2182" s="164"/>
      <c r="O2182" s="19"/>
      <c r="P2182" s="19"/>
      <c r="Q2182" s="19"/>
      <c r="R2182" s="20"/>
      <c r="S2182" s="20"/>
      <c r="T2182" s="164"/>
      <c r="U2182" s="154">
        <f t="shared" si="125"/>
        <v>3100</v>
      </c>
    </row>
    <row r="2183" spans="2:21" x14ac:dyDescent="0.2">
      <c r="B2183" s="8">
        <f t="shared" si="126"/>
        <v>17</v>
      </c>
      <c r="C2183" s="18"/>
      <c r="D2183" s="18"/>
      <c r="E2183" s="18"/>
      <c r="F2183" s="152"/>
      <c r="G2183" s="153">
        <v>637</v>
      </c>
      <c r="H2183" s="18" t="s">
        <v>132</v>
      </c>
      <c r="I2183" s="19">
        <v>9220</v>
      </c>
      <c r="J2183" s="19">
        <v>8100</v>
      </c>
      <c r="K2183" s="19">
        <v>8100</v>
      </c>
      <c r="L2183" s="20">
        <v>6440</v>
      </c>
      <c r="M2183" s="20">
        <f>4761+300</f>
        <v>5061</v>
      </c>
      <c r="N2183" s="164"/>
      <c r="O2183" s="19"/>
      <c r="P2183" s="19"/>
      <c r="Q2183" s="19"/>
      <c r="R2183" s="20"/>
      <c r="S2183" s="20"/>
      <c r="T2183" s="164"/>
      <c r="U2183" s="154">
        <f t="shared" si="125"/>
        <v>9220</v>
      </c>
    </row>
    <row r="2184" spans="2:21" x14ac:dyDescent="0.2">
      <c r="B2184" s="8">
        <f t="shared" si="126"/>
        <v>18</v>
      </c>
      <c r="C2184" s="24"/>
      <c r="D2184" s="24"/>
      <c r="E2184" s="24"/>
      <c r="F2184" s="149" t="s">
        <v>81</v>
      </c>
      <c r="G2184" s="150">
        <v>640</v>
      </c>
      <c r="H2184" s="24" t="s">
        <v>139</v>
      </c>
      <c r="I2184" s="25">
        <v>7000</v>
      </c>
      <c r="J2184" s="25">
        <v>4510</v>
      </c>
      <c r="K2184" s="25">
        <v>4510</v>
      </c>
      <c r="L2184" s="26">
        <v>3064</v>
      </c>
      <c r="M2184" s="26">
        <v>1700</v>
      </c>
      <c r="N2184" s="501"/>
      <c r="O2184" s="25"/>
      <c r="P2184" s="25"/>
      <c r="Q2184" s="25"/>
      <c r="R2184" s="26"/>
      <c r="S2184" s="26"/>
      <c r="T2184" s="501"/>
      <c r="U2184" s="151">
        <f t="shared" si="125"/>
        <v>7000</v>
      </c>
    </row>
    <row r="2185" spans="2:21" x14ac:dyDescent="0.2">
      <c r="B2185" s="8">
        <f t="shared" si="126"/>
        <v>19</v>
      </c>
      <c r="C2185" s="24"/>
      <c r="D2185" s="24"/>
      <c r="E2185" s="24"/>
      <c r="F2185" s="149" t="s">
        <v>81</v>
      </c>
      <c r="G2185" s="150">
        <v>710</v>
      </c>
      <c r="H2185" s="24" t="s">
        <v>185</v>
      </c>
      <c r="I2185" s="25"/>
      <c r="J2185" s="25"/>
      <c r="K2185" s="25"/>
      <c r="L2185" s="26"/>
      <c r="M2185" s="26"/>
      <c r="N2185" s="501"/>
      <c r="O2185" s="25"/>
      <c r="P2185" s="25"/>
      <c r="Q2185" s="25">
        <f>Q2186</f>
        <v>2000</v>
      </c>
      <c r="R2185" s="26"/>
      <c r="S2185" s="26">
        <f>S2188</f>
        <v>7788</v>
      </c>
      <c r="T2185" s="501"/>
      <c r="U2185" s="151">
        <f t="shared" si="125"/>
        <v>0</v>
      </c>
    </row>
    <row r="2186" spans="2:21" x14ac:dyDescent="0.2">
      <c r="B2186" s="8">
        <f t="shared" si="126"/>
        <v>20</v>
      </c>
      <c r="C2186" s="24"/>
      <c r="D2186" s="24"/>
      <c r="E2186" s="24"/>
      <c r="F2186" s="149"/>
      <c r="G2186" s="153">
        <v>712</v>
      </c>
      <c r="H2186" s="18" t="s">
        <v>62</v>
      </c>
      <c r="I2186" s="25"/>
      <c r="J2186" s="25"/>
      <c r="K2186" s="25"/>
      <c r="L2186" s="26"/>
      <c r="M2186" s="26"/>
      <c r="N2186" s="501"/>
      <c r="O2186" s="25"/>
      <c r="P2186" s="25"/>
      <c r="Q2186" s="19">
        <f>Q2187</f>
        <v>2000</v>
      </c>
      <c r="R2186" s="26"/>
      <c r="S2186" s="26"/>
      <c r="T2186" s="501"/>
      <c r="U2186" s="154">
        <v>0</v>
      </c>
    </row>
    <row r="2187" spans="2:21" x14ac:dyDescent="0.2">
      <c r="B2187" s="8">
        <f t="shared" si="126"/>
        <v>21</v>
      </c>
      <c r="C2187" s="24"/>
      <c r="D2187" s="24"/>
      <c r="E2187" s="24"/>
      <c r="F2187" s="149"/>
      <c r="G2187" s="153"/>
      <c r="H2187" s="156" t="s">
        <v>1123</v>
      </c>
      <c r="I2187" s="25"/>
      <c r="J2187" s="25"/>
      <c r="K2187" s="25"/>
      <c r="L2187" s="26"/>
      <c r="M2187" s="26"/>
      <c r="N2187" s="501"/>
      <c r="O2187" s="25"/>
      <c r="P2187" s="25"/>
      <c r="Q2187" s="157">
        <v>2000</v>
      </c>
      <c r="R2187" s="26"/>
      <c r="S2187" s="26"/>
      <c r="T2187" s="501"/>
      <c r="U2187" s="154">
        <v>0</v>
      </c>
    </row>
    <row r="2188" spans="2:21" x14ac:dyDescent="0.2">
      <c r="B2188" s="8">
        <f>B2185+1</f>
        <v>20</v>
      </c>
      <c r="C2188" s="24"/>
      <c r="D2188" s="24"/>
      <c r="E2188" s="24"/>
      <c r="F2188" s="149"/>
      <c r="G2188" s="153">
        <v>717</v>
      </c>
      <c r="H2188" s="18" t="s">
        <v>192</v>
      </c>
      <c r="I2188" s="19"/>
      <c r="J2188" s="19"/>
      <c r="K2188" s="19"/>
      <c r="L2188" s="20"/>
      <c r="M2188" s="20"/>
      <c r="N2188" s="164"/>
      <c r="O2188" s="19"/>
      <c r="P2188" s="19"/>
      <c r="Q2188" s="19"/>
      <c r="R2188" s="20"/>
      <c r="S2188" s="20">
        <f>S2189</f>
        <v>7788</v>
      </c>
      <c r="T2188" s="501"/>
      <c r="U2188" s="154">
        <f t="shared" si="125"/>
        <v>0</v>
      </c>
    </row>
    <row r="2189" spans="2:21" x14ac:dyDescent="0.2">
      <c r="B2189" s="8">
        <f t="shared" ref="B2189:B2194" si="127">B2188+1</f>
        <v>21</v>
      </c>
      <c r="C2189" s="18"/>
      <c r="D2189" s="18"/>
      <c r="E2189" s="18"/>
      <c r="F2189" s="152"/>
      <c r="G2189" s="153"/>
      <c r="H2189" s="156" t="s">
        <v>542</v>
      </c>
      <c r="I2189" s="157"/>
      <c r="J2189" s="157"/>
      <c r="K2189" s="157"/>
      <c r="L2189" s="157"/>
      <c r="M2189" s="157"/>
      <c r="N2189" s="535"/>
      <c r="O2189" s="157"/>
      <c r="P2189" s="157"/>
      <c r="Q2189" s="157"/>
      <c r="R2189" s="157"/>
      <c r="S2189" s="157">
        <v>7788</v>
      </c>
      <c r="T2189" s="535"/>
      <c r="U2189" s="159">
        <f t="shared" si="125"/>
        <v>0</v>
      </c>
    </row>
    <row r="2190" spans="2:21" ht="14.25" x14ac:dyDescent="0.2">
      <c r="B2190" s="8">
        <f t="shared" si="127"/>
        <v>22</v>
      </c>
      <c r="C2190" s="160"/>
      <c r="D2190" s="160">
        <v>2</v>
      </c>
      <c r="E2190" s="675" t="s">
        <v>344</v>
      </c>
      <c r="F2190" s="676"/>
      <c r="G2190" s="676"/>
      <c r="H2190" s="676"/>
      <c r="I2190" s="161">
        <f>I2191</f>
        <v>23630</v>
      </c>
      <c r="J2190" s="161">
        <f>J2191</f>
        <v>21700</v>
      </c>
      <c r="K2190" s="161">
        <f>K2191</f>
        <v>21700</v>
      </c>
      <c r="L2190" s="162">
        <f>L2191</f>
        <v>17264</v>
      </c>
      <c r="M2190" s="162"/>
      <c r="N2190" s="534"/>
      <c r="O2190" s="161"/>
      <c r="P2190" s="161"/>
      <c r="Q2190" s="161"/>
      <c r="R2190" s="162"/>
      <c r="S2190" s="162"/>
      <c r="T2190" s="534"/>
      <c r="U2190" s="163">
        <f t="shared" si="125"/>
        <v>23630</v>
      </c>
    </row>
    <row r="2191" spans="2:21" ht="14.25" x14ac:dyDescent="0.2">
      <c r="B2191" s="8">
        <f t="shared" si="127"/>
        <v>23</v>
      </c>
      <c r="C2191" s="267"/>
      <c r="D2191" s="267"/>
      <c r="E2191" s="267">
        <v>5</v>
      </c>
      <c r="F2191" s="268"/>
      <c r="G2191" s="268"/>
      <c r="H2191" s="267" t="s">
        <v>114</v>
      </c>
      <c r="I2191" s="269">
        <f>I2192+I2193+I2194+I2197</f>
        <v>23630</v>
      </c>
      <c r="J2191" s="269">
        <f>J2192+J2193+J2194+J2197</f>
        <v>21700</v>
      </c>
      <c r="K2191" s="269">
        <f>K2192+K2193+K2194+K2197</f>
        <v>21700</v>
      </c>
      <c r="L2191" s="270">
        <f>L2192+L2193+L2194+L2197</f>
        <v>17264</v>
      </c>
      <c r="M2191" s="270"/>
      <c r="N2191" s="534"/>
      <c r="O2191" s="269"/>
      <c r="P2191" s="269"/>
      <c r="Q2191" s="269"/>
      <c r="R2191" s="270"/>
      <c r="S2191" s="270"/>
      <c r="T2191" s="534"/>
      <c r="U2191" s="271">
        <f t="shared" si="125"/>
        <v>23630</v>
      </c>
    </row>
    <row r="2192" spans="2:21" x14ac:dyDescent="0.2">
      <c r="B2192" s="8">
        <f t="shared" si="127"/>
        <v>24</v>
      </c>
      <c r="C2192" s="24"/>
      <c r="D2192" s="24"/>
      <c r="E2192" s="24"/>
      <c r="F2192" s="149" t="s">
        <v>81</v>
      </c>
      <c r="G2192" s="150">
        <v>610</v>
      </c>
      <c r="H2192" s="24" t="s">
        <v>141</v>
      </c>
      <c r="I2192" s="25">
        <f>12400+3486+100</f>
        <v>15986</v>
      </c>
      <c r="J2192" s="25">
        <v>14500</v>
      </c>
      <c r="K2192" s="25">
        <v>14500</v>
      </c>
      <c r="L2192" s="26">
        <v>11884</v>
      </c>
      <c r="M2192" s="26"/>
      <c r="N2192" s="501"/>
      <c r="O2192" s="25"/>
      <c r="P2192" s="25"/>
      <c r="Q2192" s="25"/>
      <c r="R2192" s="26"/>
      <c r="S2192" s="26"/>
      <c r="T2192" s="501"/>
      <c r="U2192" s="151">
        <f t="shared" si="125"/>
        <v>15986</v>
      </c>
    </row>
    <row r="2193" spans="2:21" x14ac:dyDescent="0.2">
      <c r="B2193" s="8">
        <f t="shared" si="127"/>
        <v>25</v>
      </c>
      <c r="C2193" s="24"/>
      <c r="D2193" s="24"/>
      <c r="E2193" s="24"/>
      <c r="F2193" s="149" t="s">
        <v>81</v>
      </c>
      <c r="G2193" s="150">
        <v>620</v>
      </c>
      <c r="H2193" s="24" t="s">
        <v>134</v>
      </c>
      <c r="I2193" s="25">
        <f>1590+225+2250+130+480+160+755+480</f>
        <v>6070</v>
      </c>
      <c r="J2193" s="25">
        <v>5505</v>
      </c>
      <c r="K2193" s="25">
        <v>5505</v>
      </c>
      <c r="L2193" s="26">
        <v>4550</v>
      </c>
      <c r="M2193" s="26"/>
      <c r="N2193" s="501"/>
      <c r="O2193" s="25"/>
      <c r="P2193" s="25"/>
      <c r="Q2193" s="25"/>
      <c r="R2193" s="26"/>
      <c r="S2193" s="26"/>
      <c r="T2193" s="501"/>
      <c r="U2193" s="151">
        <f t="shared" si="125"/>
        <v>6070</v>
      </c>
    </row>
    <row r="2194" spans="2:21" x14ac:dyDescent="0.2">
      <c r="B2194" s="8">
        <f t="shared" si="127"/>
        <v>26</v>
      </c>
      <c r="C2194" s="24"/>
      <c r="D2194" s="24"/>
      <c r="E2194" s="24"/>
      <c r="F2194" s="149" t="s">
        <v>81</v>
      </c>
      <c r="G2194" s="150">
        <v>630</v>
      </c>
      <c r="H2194" s="24" t="s">
        <v>131</v>
      </c>
      <c r="I2194" s="25">
        <f>I2196+I2195</f>
        <v>614</v>
      </c>
      <c r="J2194" s="25">
        <f>J2195+J2196</f>
        <v>735</v>
      </c>
      <c r="K2194" s="25">
        <f>K2195+K2196</f>
        <v>735</v>
      </c>
      <c r="L2194" s="26">
        <f>SUM(L2195:L2196)</f>
        <v>175</v>
      </c>
      <c r="M2194" s="26"/>
      <c r="N2194" s="501"/>
      <c r="O2194" s="25"/>
      <c r="P2194" s="25"/>
      <c r="Q2194" s="25"/>
      <c r="R2194" s="26"/>
      <c r="S2194" s="26"/>
      <c r="T2194" s="501"/>
      <c r="U2194" s="151">
        <f t="shared" si="125"/>
        <v>614</v>
      </c>
    </row>
    <row r="2195" spans="2:21" x14ac:dyDescent="0.2">
      <c r="B2195" s="8">
        <f t="shared" ref="B2195:B2261" si="128">B2194+1</f>
        <v>27</v>
      </c>
      <c r="C2195" s="18"/>
      <c r="D2195" s="18"/>
      <c r="E2195" s="18"/>
      <c r="F2195" s="152"/>
      <c r="G2195" s="153">
        <v>633</v>
      </c>
      <c r="H2195" s="18" t="s">
        <v>135</v>
      </c>
      <c r="I2195" s="19">
        <v>114</v>
      </c>
      <c r="J2195" s="19">
        <v>160</v>
      </c>
      <c r="K2195" s="19">
        <v>160</v>
      </c>
      <c r="L2195" s="20">
        <v>43</v>
      </c>
      <c r="M2195" s="20"/>
      <c r="N2195" s="164"/>
      <c r="O2195" s="19"/>
      <c r="P2195" s="19"/>
      <c r="Q2195" s="19"/>
      <c r="R2195" s="20"/>
      <c r="S2195" s="20"/>
      <c r="T2195" s="164"/>
      <c r="U2195" s="154">
        <f t="shared" si="125"/>
        <v>114</v>
      </c>
    </row>
    <row r="2196" spans="2:21" x14ac:dyDescent="0.2">
      <c r="B2196" s="8">
        <f t="shared" si="128"/>
        <v>28</v>
      </c>
      <c r="C2196" s="18"/>
      <c r="D2196" s="18"/>
      <c r="E2196" s="18"/>
      <c r="F2196" s="152"/>
      <c r="G2196" s="153">
        <v>637</v>
      </c>
      <c r="H2196" s="18" t="s">
        <v>132</v>
      </c>
      <c r="I2196" s="19">
        <v>500</v>
      </c>
      <c r="J2196" s="19">
        <v>575</v>
      </c>
      <c r="K2196" s="19">
        <v>575</v>
      </c>
      <c r="L2196" s="20">
        <v>132</v>
      </c>
      <c r="M2196" s="20"/>
      <c r="N2196" s="164"/>
      <c r="O2196" s="19"/>
      <c r="P2196" s="19"/>
      <c r="Q2196" s="19"/>
      <c r="R2196" s="20"/>
      <c r="S2196" s="20"/>
      <c r="T2196" s="164"/>
      <c r="U2196" s="154">
        <f t="shared" si="125"/>
        <v>500</v>
      </c>
    </row>
    <row r="2197" spans="2:21" x14ac:dyDescent="0.2">
      <c r="B2197" s="8">
        <f t="shared" si="128"/>
        <v>29</v>
      </c>
      <c r="C2197" s="24"/>
      <c r="D2197" s="24"/>
      <c r="E2197" s="24"/>
      <c r="F2197" s="149" t="s">
        <v>81</v>
      </c>
      <c r="G2197" s="150">
        <v>640</v>
      </c>
      <c r="H2197" s="24" t="s">
        <v>139</v>
      </c>
      <c r="I2197" s="25">
        <f>760+200</f>
        <v>960</v>
      </c>
      <c r="J2197" s="25">
        <v>960</v>
      </c>
      <c r="K2197" s="25">
        <v>960</v>
      </c>
      <c r="L2197" s="26">
        <v>655</v>
      </c>
      <c r="M2197" s="26"/>
      <c r="N2197" s="501"/>
      <c r="O2197" s="25"/>
      <c r="P2197" s="25"/>
      <c r="Q2197" s="25"/>
      <c r="R2197" s="26"/>
      <c r="S2197" s="26"/>
      <c r="T2197" s="501"/>
      <c r="U2197" s="151">
        <f t="shared" si="125"/>
        <v>960</v>
      </c>
    </row>
    <row r="2198" spans="2:21" ht="15.75" x14ac:dyDescent="0.25">
      <c r="B2198" s="8">
        <f t="shared" si="128"/>
        <v>30</v>
      </c>
      <c r="C2198" s="141">
        <v>2</v>
      </c>
      <c r="D2198" s="677" t="s">
        <v>58</v>
      </c>
      <c r="E2198" s="678"/>
      <c r="F2198" s="678"/>
      <c r="G2198" s="678"/>
      <c r="H2198" s="678"/>
      <c r="I2198" s="142">
        <f>I2199</f>
        <v>1900</v>
      </c>
      <c r="J2198" s="142">
        <f>J2199</f>
        <v>1900</v>
      </c>
      <c r="K2198" s="430">
        <f>K2199+K2202</f>
        <v>1501286</v>
      </c>
      <c r="L2198" s="143">
        <f>L2199</f>
        <v>732684</v>
      </c>
      <c r="M2198" s="143">
        <f>M2199</f>
        <v>490</v>
      </c>
      <c r="N2198" s="533"/>
      <c r="O2198" s="142"/>
      <c r="P2198" s="142"/>
      <c r="Q2198" s="142"/>
      <c r="R2198" s="143"/>
      <c r="S2198" s="143"/>
      <c r="T2198" s="533"/>
      <c r="U2198" s="144">
        <f t="shared" si="125"/>
        <v>1900</v>
      </c>
    </row>
    <row r="2199" spans="2:21" x14ac:dyDescent="0.2">
      <c r="B2199" s="8">
        <f t="shared" si="128"/>
        <v>31</v>
      </c>
      <c r="C2199" s="24"/>
      <c r="D2199" s="24"/>
      <c r="E2199" s="24"/>
      <c r="F2199" s="149" t="s">
        <v>57</v>
      </c>
      <c r="G2199" s="150">
        <v>640</v>
      </c>
      <c r="H2199" s="24" t="s">
        <v>139</v>
      </c>
      <c r="I2199" s="25">
        <f>I2200+I2201+I2202</f>
        <v>1900</v>
      </c>
      <c r="J2199" s="25">
        <f>J2200</f>
        <v>1900</v>
      </c>
      <c r="K2199" s="25">
        <f>K2200+K2201</f>
        <v>1501286</v>
      </c>
      <c r="L2199" s="26">
        <f>SUM(L2200:L2202)</f>
        <v>732684</v>
      </c>
      <c r="M2199" s="26">
        <f>M2200</f>
        <v>490</v>
      </c>
      <c r="N2199" s="501"/>
      <c r="O2199" s="25"/>
      <c r="P2199" s="25"/>
      <c r="Q2199" s="25"/>
      <c r="R2199" s="26"/>
      <c r="S2199" s="26"/>
      <c r="T2199" s="501"/>
      <c r="U2199" s="151">
        <f t="shared" si="125"/>
        <v>1900</v>
      </c>
    </row>
    <row r="2200" spans="2:21" x14ac:dyDescent="0.2">
      <c r="B2200" s="8">
        <f t="shared" si="128"/>
        <v>32</v>
      </c>
      <c r="C2200" s="120"/>
      <c r="D2200" s="120"/>
      <c r="E2200" s="120"/>
      <c r="F2200" s="152"/>
      <c r="G2200" s="153">
        <v>642</v>
      </c>
      <c r="H2200" s="18" t="s">
        <v>140</v>
      </c>
      <c r="I2200" s="158">
        <v>1900</v>
      </c>
      <c r="J2200" s="157">
        <v>1900</v>
      </c>
      <c r="K2200" s="157">
        <v>1900</v>
      </c>
      <c r="L2200" s="158">
        <v>1220</v>
      </c>
      <c r="M2200" s="158">
        <v>490</v>
      </c>
      <c r="N2200" s="541"/>
      <c r="O2200" s="158"/>
      <c r="P2200" s="158"/>
      <c r="Q2200" s="158"/>
      <c r="R2200" s="158"/>
      <c r="S2200" s="158"/>
      <c r="T2200" s="541"/>
      <c r="U2200" s="181">
        <f t="shared" si="125"/>
        <v>1900</v>
      </c>
    </row>
    <row r="2201" spans="2:21" x14ac:dyDescent="0.2">
      <c r="B2201" s="8">
        <f t="shared" si="128"/>
        <v>33</v>
      </c>
      <c r="C2201" s="120"/>
      <c r="D2201" s="120"/>
      <c r="E2201" s="120"/>
      <c r="F2201" s="152"/>
      <c r="G2201" s="153">
        <v>642</v>
      </c>
      <c r="H2201" s="18" t="s">
        <v>723</v>
      </c>
      <c r="I2201" s="158"/>
      <c r="J2201" s="158"/>
      <c r="K2201" s="157">
        <v>1499386</v>
      </c>
      <c r="L2201" s="158">
        <v>693810</v>
      </c>
      <c r="M2201" s="158"/>
      <c r="N2201" s="541"/>
      <c r="O2201" s="158"/>
      <c r="P2201" s="158"/>
      <c r="Q2201" s="158"/>
      <c r="R2201" s="158"/>
      <c r="S2201" s="158"/>
      <c r="T2201" s="541"/>
      <c r="U2201" s="181">
        <f t="shared" si="125"/>
        <v>0</v>
      </c>
    </row>
    <row r="2202" spans="2:21" ht="24" x14ac:dyDescent="0.2">
      <c r="B2202" s="8">
        <f t="shared" si="128"/>
        <v>34</v>
      </c>
      <c r="C2202" s="120"/>
      <c r="D2202" s="120"/>
      <c r="E2202" s="120"/>
      <c r="F2202" s="152"/>
      <c r="G2202" s="153">
        <v>600</v>
      </c>
      <c r="H2202" s="312" t="s">
        <v>804</v>
      </c>
      <c r="I2202" s="158"/>
      <c r="J2202" s="158"/>
      <c r="K2202" s="157"/>
      <c r="L2202" s="158">
        <v>37654</v>
      </c>
      <c r="M2202" s="158"/>
      <c r="N2202" s="541"/>
      <c r="O2202" s="158"/>
      <c r="P2202" s="158"/>
      <c r="Q2202" s="158"/>
      <c r="R2202" s="158"/>
      <c r="S2202" s="158"/>
      <c r="T2202" s="541"/>
      <c r="U2202" s="181">
        <f t="shared" si="125"/>
        <v>0</v>
      </c>
    </row>
    <row r="2203" spans="2:21" ht="15.75" x14ac:dyDescent="0.25">
      <c r="B2203" s="8">
        <f t="shared" si="128"/>
        <v>35</v>
      </c>
      <c r="C2203" s="141">
        <v>3</v>
      </c>
      <c r="D2203" s="677" t="s">
        <v>67</v>
      </c>
      <c r="E2203" s="678"/>
      <c r="F2203" s="678"/>
      <c r="G2203" s="678"/>
      <c r="H2203" s="678"/>
      <c r="I2203" s="142">
        <f>I2204+I2223+I2224+I2226</f>
        <v>172700</v>
      </c>
      <c r="J2203" s="142">
        <f>J2204+J2223+J2224+J2226</f>
        <v>160570</v>
      </c>
      <c r="K2203" s="142">
        <f>K2204+K2223+K2224+K2226</f>
        <v>181213</v>
      </c>
      <c r="L2203" s="143">
        <f>L2204+L2223+L2224+L2226</f>
        <v>138847</v>
      </c>
      <c r="M2203" s="143">
        <f>M2204</f>
        <v>92450</v>
      </c>
      <c r="N2203" s="533"/>
      <c r="O2203" s="142"/>
      <c r="P2203" s="142"/>
      <c r="Q2203" s="142"/>
      <c r="R2203" s="143"/>
      <c r="S2203" s="143"/>
      <c r="T2203" s="533"/>
      <c r="U2203" s="144">
        <f t="shared" si="125"/>
        <v>172700</v>
      </c>
    </row>
    <row r="2204" spans="2:21" x14ac:dyDescent="0.2">
      <c r="B2204" s="8">
        <f t="shared" si="128"/>
        <v>36</v>
      </c>
      <c r="C2204" s="24"/>
      <c r="D2204" s="24"/>
      <c r="E2204" s="24"/>
      <c r="F2204" s="149" t="s">
        <v>66</v>
      </c>
      <c r="G2204" s="150">
        <v>640</v>
      </c>
      <c r="H2204" s="24" t="s">
        <v>139</v>
      </c>
      <c r="I2204" s="25">
        <f>SUM(I2205:I2222)</f>
        <v>90000</v>
      </c>
      <c r="J2204" s="25">
        <f>SUM(J2205:J2222)</f>
        <v>68570</v>
      </c>
      <c r="K2204" s="25">
        <f>SUM(K2205:K2222)</f>
        <v>89213</v>
      </c>
      <c r="L2204" s="26">
        <f>SUM(L2205:L2222)</f>
        <v>80052</v>
      </c>
      <c r="M2204" s="26">
        <f>SUM(M2205:M2222)</f>
        <v>92450</v>
      </c>
      <c r="N2204" s="501"/>
      <c r="O2204" s="25"/>
      <c r="P2204" s="25"/>
      <c r="Q2204" s="25"/>
      <c r="R2204" s="26"/>
      <c r="S2204" s="26"/>
      <c r="T2204" s="501"/>
      <c r="U2204" s="151">
        <f t="shared" si="125"/>
        <v>90000</v>
      </c>
    </row>
    <row r="2205" spans="2:21" s="13" customFormat="1" ht="24" x14ac:dyDescent="0.2">
      <c r="B2205" s="8">
        <f t="shared" si="128"/>
        <v>37</v>
      </c>
      <c r="C2205" s="166"/>
      <c r="D2205" s="166"/>
      <c r="E2205" s="166"/>
      <c r="F2205" s="313"/>
      <c r="G2205" s="313"/>
      <c r="H2205" s="168" t="s">
        <v>628</v>
      </c>
      <c r="I2205" s="169"/>
      <c r="J2205" s="169"/>
      <c r="K2205" s="169"/>
      <c r="L2205" s="169"/>
      <c r="M2205" s="169">
        <v>684</v>
      </c>
      <c r="N2205" s="536"/>
      <c r="O2205" s="169"/>
      <c r="P2205" s="169"/>
      <c r="Q2205" s="169"/>
      <c r="R2205" s="169"/>
      <c r="S2205" s="169"/>
      <c r="T2205" s="536"/>
      <c r="U2205" s="171">
        <f t="shared" si="125"/>
        <v>0</v>
      </c>
    </row>
    <row r="2206" spans="2:21" s="13" customFormat="1" ht="24" x14ac:dyDescent="0.2">
      <c r="B2206" s="8">
        <f t="shared" si="128"/>
        <v>38</v>
      </c>
      <c r="C2206" s="166"/>
      <c r="D2206" s="166"/>
      <c r="E2206" s="166"/>
      <c r="F2206" s="313"/>
      <c r="G2206" s="313"/>
      <c r="H2206" s="168" t="s">
        <v>1033</v>
      </c>
      <c r="I2206" s="169"/>
      <c r="J2206" s="169"/>
      <c r="K2206" s="169">
        <v>4000</v>
      </c>
      <c r="L2206" s="170"/>
      <c r="M2206" s="170"/>
      <c r="N2206" s="566"/>
      <c r="O2206" s="170"/>
      <c r="P2206" s="170"/>
      <c r="Q2206" s="170"/>
      <c r="R2206" s="170"/>
      <c r="S2206" s="169"/>
      <c r="T2206" s="536"/>
      <c r="U2206" s="171">
        <f t="shared" si="125"/>
        <v>0</v>
      </c>
    </row>
    <row r="2207" spans="2:21" s="13" customFormat="1" ht="24" x14ac:dyDescent="0.2">
      <c r="B2207" s="8">
        <f t="shared" si="128"/>
        <v>39</v>
      </c>
      <c r="C2207" s="166"/>
      <c r="D2207" s="166"/>
      <c r="E2207" s="166"/>
      <c r="F2207" s="313"/>
      <c r="G2207" s="313"/>
      <c r="H2207" s="168" t="s">
        <v>629</v>
      </c>
      <c r="I2207" s="169"/>
      <c r="J2207" s="169"/>
      <c r="K2207" s="169"/>
      <c r="L2207" s="170"/>
      <c r="M2207" s="170">
        <v>2367</v>
      </c>
      <c r="N2207" s="566"/>
      <c r="O2207" s="170"/>
      <c r="P2207" s="170"/>
      <c r="Q2207" s="170"/>
      <c r="R2207" s="170"/>
      <c r="S2207" s="169"/>
      <c r="T2207" s="536"/>
      <c r="U2207" s="171">
        <f t="shared" si="125"/>
        <v>0</v>
      </c>
    </row>
    <row r="2208" spans="2:21" s="13" customFormat="1" x14ac:dyDescent="0.2">
      <c r="B2208" s="8">
        <f t="shared" si="128"/>
        <v>40</v>
      </c>
      <c r="C2208" s="166"/>
      <c r="D2208" s="166"/>
      <c r="E2208" s="166"/>
      <c r="F2208" s="313"/>
      <c r="G2208" s="313"/>
      <c r="H2208" s="168" t="s">
        <v>280</v>
      </c>
      <c r="I2208" s="169">
        <v>35000</v>
      </c>
      <c r="J2208" s="169">
        <v>27370</v>
      </c>
      <c r="K2208" s="169">
        <v>34213</v>
      </c>
      <c r="L2208" s="170">
        <v>34052</v>
      </c>
      <c r="M2208" s="170">
        <v>20400</v>
      </c>
      <c r="N2208" s="566"/>
      <c r="O2208" s="170"/>
      <c r="P2208" s="170"/>
      <c r="Q2208" s="170"/>
      <c r="R2208" s="170"/>
      <c r="S2208" s="169"/>
      <c r="T2208" s="536"/>
      <c r="U2208" s="171">
        <f t="shared" si="125"/>
        <v>35000</v>
      </c>
    </row>
    <row r="2209" spans="2:21" s="13" customFormat="1" x14ac:dyDescent="0.2">
      <c r="B2209" s="8">
        <f t="shared" si="128"/>
        <v>41</v>
      </c>
      <c r="C2209" s="166"/>
      <c r="D2209" s="166"/>
      <c r="E2209" s="166"/>
      <c r="F2209" s="313"/>
      <c r="G2209" s="313"/>
      <c r="H2209" s="168" t="s">
        <v>630</v>
      </c>
      <c r="I2209" s="169">
        <v>22000</v>
      </c>
      <c r="J2209" s="169">
        <v>22000</v>
      </c>
      <c r="K2209" s="169">
        <v>22000</v>
      </c>
      <c r="L2209" s="170">
        <v>22000</v>
      </c>
      <c r="M2209" s="170">
        <v>22000</v>
      </c>
      <c r="N2209" s="566"/>
      <c r="O2209" s="170"/>
      <c r="P2209" s="170"/>
      <c r="Q2209" s="170"/>
      <c r="R2209" s="170"/>
      <c r="S2209" s="169"/>
      <c r="T2209" s="536"/>
      <c r="U2209" s="171">
        <f t="shared" si="125"/>
        <v>22000</v>
      </c>
    </row>
    <row r="2210" spans="2:21" s="13" customFormat="1" x14ac:dyDescent="0.2">
      <c r="B2210" s="8">
        <f t="shared" si="128"/>
        <v>42</v>
      </c>
      <c r="C2210" s="166"/>
      <c r="D2210" s="166"/>
      <c r="E2210" s="166"/>
      <c r="F2210" s="313"/>
      <c r="G2210" s="313"/>
      <c r="H2210" s="168" t="s">
        <v>631</v>
      </c>
      <c r="I2210" s="169">
        <v>20000</v>
      </c>
      <c r="J2210" s="169">
        <v>16000</v>
      </c>
      <c r="K2210" s="169">
        <v>20000</v>
      </c>
      <c r="L2210" s="170">
        <v>20000</v>
      </c>
      <c r="M2210" s="170">
        <v>15000</v>
      </c>
      <c r="N2210" s="566"/>
      <c r="O2210" s="170"/>
      <c r="P2210" s="170"/>
      <c r="Q2210" s="170"/>
      <c r="R2210" s="170"/>
      <c r="S2210" s="169"/>
      <c r="T2210" s="536"/>
      <c r="U2210" s="171">
        <f t="shared" si="125"/>
        <v>20000</v>
      </c>
    </row>
    <row r="2211" spans="2:21" s="13" customFormat="1" ht="24" x14ac:dyDescent="0.2">
      <c r="B2211" s="8">
        <f t="shared" si="128"/>
        <v>43</v>
      </c>
      <c r="C2211" s="166"/>
      <c r="D2211" s="166"/>
      <c r="E2211" s="166"/>
      <c r="F2211" s="313"/>
      <c r="G2211" s="313"/>
      <c r="H2211" s="168" t="s">
        <v>378</v>
      </c>
      <c r="I2211" s="169">
        <v>4000</v>
      </c>
      <c r="J2211" s="169">
        <v>3200</v>
      </c>
      <c r="K2211" s="169">
        <v>4000</v>
      </c>
      <c r="L2211" s="170">
        <v>4000</v>
      </c>
      <c r="M2211" s="170">
        <v>2000</v>
      </c>
      <c r="N2211" s="566"/>
      <c r="O2211" s="170"/>
      <c r="P2211" s="170"/>
      <c r="Q2211" s="170"/>
      <c r="R2211" s="170"/>
      <c r="S2211" s="169"/>
      <c r="T2211" s="536"/>
      <c r="U2211" s="171">
        <f t="shared" si="125"/>
        <v>4000</v>
      </c>
    </row>
    <row r="2212" spans="2:21" s="13" customFormat="1" x14ac:dyDescent="0.2">
      <c r="B2212" s="8">
        <f t="shared" si="128"/>
        <v>44</v>
      </c>
      <c r="C2212" s="166"/>
      <c r="D2212" s="166"/>
      <c r="E2212" s="166"/>
      <c r="F2212" s="313"/>
      <c r="G2212" s="313"/>
      <c r="H2212" s="168" t="s">
        <v>1084</v>
      </c>
      <c r="I2212" s="169">
        <v>9000</v>
      </c>
      <c r="J2212" s="169"/>
      <c r="K2212" s="169"/>
      <c r="L2212" s="170"/>
      <c r="M2212" s="170"/>
      <c r="N2212" s="566"/>
      <c r="O2212" s="170"/>
      <c r="P2212" s="170"/>
      <c r="Q2212" s="170"/>
      <c r="R2212" s="170"/>
      <c r="S2212" s="169"/>
      <c r="T2212" s="536"/>
      <c r="U2212" s="171">
        <f t="shared" si="125"/>
        <v>9000</v>
      </c>
    </row>
    <row r="2213" spans="2:21" s="13" customFormat="1" ht="24" x14ac:dyDescent="0.2">
      <c r="B2213" s="8">
        <f t="shared" si="128"/>
        <v>45</v>
      </c>
      <c r="C2213" s="166"/>
      <c r="D2213" s="166"/>
      <c r="E2213" s="166"/>
      <c r="F2213" s="313"/>
      <c r="G2213" s="313"/>
      <c r="H2213" s="168" t="s">
        <v>719</v>
      </c>
      <c r="I2213" s="169"/>
      <c r="J2213" s="169"/>
      <c r="K2213" s="169"/>
      <c r="L2213" s="170"/>
      <c r="M2213" s="170">
        <v>20000</v>
      </c>
      <c r="N2213" s="566"/>
      <c r="O2213" s="170"/>
      <c r="P2213" s="170"/>
      <c r="Q2213" s="170"/>
      <c r="R2213" s="170"/>
      <c r="S2213" s="169"/>
      <c r="T2213" s="536"/>
      <c r="U2213" s="171">
        <f t="shared" si="125"/>
        <v>0</v>
      </c>
    </row>
    <row r="2214" spans="2:21" s="13" customFormat="1" ht="36" x14ac:dyDescent="0.2">
      <c r="B2214" s="8">
        <f t="shared" si="128"/>
        <v>46</v>
      </c>
      <c r="C2214" s="166"/>
      <c r="D2214" s="166"/>
      <c r="E2214" s="166"/>
      <c r="F2214" s="313"/>
      <c r="G2214" s="313"/>
      <c r="H2214" s="168" t="s">
        <v>1122</v>
      </c>
      <c r="I2214" s="169"/>
      <c r="J2214" s="169"/>
      <c r="K2214" s="169">
        <v>5000</v>
      </c>
      <c r="L2214" s="170"/>
      <c r="M2214" s="170"/>
      <c r="N2214" s="566"/>
      <c r="O2214" s="170"/>
      <c r="P2214" s="170"/>
      <c r="Q2214" s="170"/>
      <c r="R2214" s="170"/>
      <c r="S2214" s="169"/>
      <c r="T2214" s="536"/>
      <c r="U2214" s="171"/>
    </row>
    <row r="2215" spans="2:21" x14ac:dyDescent="0.2">
      <c r="B2215" s="8">
        <f t="shared" si="128"/>
        <v>47</v>
      </c>
      <c r="C2215" s="120"/>
      <c r="D2215" s="120"/>
      <c r="E2215" s="120"/>
      <c r="F2215" s="298"/>
      <c r="G2215" s="298"/>
      <c r="H2215" s="156" t="s">
        <v>495</v>
      </c>
      <c r="I2215" s="157"/>
      <c r="J2215" s="157"/>
      <c r="K2215" s="157"/>
      <c r="L2215" s="158"/>
      <c r="M2215" s="158">
        <v>1116</v>
      </c>
      <c r="N2215" s="541"/>
      <c r="O2215" s="158"/>
      <c r="P2215" s="158"/>
      <c r="Q2215" s="158"/>
      <c r="R2215" s="158"/>
      <c r="S2215" s="157"/>
      <c r="T2215" s="535"/>
      <c r="U2215" s="159">
        <f t="shared" si="125"/>
        <v>0</v>
      </c>
    </row>
    <row r="2216" spans="2:21" x14ac:dyDescent="0.2">
      <c r="B2216" s="8">
        <f t="shared" si="128"/>
        <v>48</v>
      </c>
      <c r="C2216" s="120"/>
      <c r="D2216" s="120"/>
      <c r="E2216" s="120"/>
      <c r="F2216" s="298"/>
      <c r="G2216" s="298"/>
      <c r="H2216" s="156" t="s">
        <v>496</v>
      </c>
      <c r="I2216" s="157"/>
      <c r="J2216" s="157"/>
      <c r="K2216" s="157"/>
      <c r="L2216" s="158"/>
      <c r="M2216" s="158">
        <v>1944</v>
      </c>
      <c r="N2216" s="541"/>
      <c r="O2216" s="158"/>
      <c r="P2216" s="158"/>
      <c r="Q2216" s="158"/>
      <c r="R2216" s="158"/>
      <c r="S2216" s="157"/>
      <c r="T2216" s="535"/>
      <c r="U2216" s="159">
        <f t="shared" si="125"/>
        <v>0</v>
      </c>
    </row>
    <row r="2217" spans="2:21" x14ac:dyDescent="0.2">
      <c r="B2217" s="8">
        <f t="shared" si="128"/>
        <v>49</v>
      </c>
      <c r="C2217" s="120"/>
      <c r="D2217" s="120"/>
      <c r="E2217" s="120"/>
      <c r="F2217" s="298"/>
      <c r="G2217" s="298"/>
      <c r="H2217" s="156" t="s">
        <v>498</v>
      </c>
      <c r="I2217" s="157"/>
      <c r="J2217" s="157"/>
      <c r="K2217" s="157"/>
      <c r="L2217" s="158"/>
      <c r="M2217" s="158">
        <v>396</v>
      </c>
      <c r="N2217" s="541"/>
      <c r="O2217" s="158"/>
      <c r="P2217" s="158"/>
      <c r="Q2217" s="158"/>
      <c r="R2217" s="158"/>
      <c r="S2217" s="157"/>
      <c r="T2217" s="535"/>
      <c r="U2217" s="159">
        <f t="shared" si="125"/>
        <v>0</v>
      </c>
    </row>
    <row r="2218" spans="2:21" x14ac:dyDescent="0.2">
      <c r="B2218" s="8">
        <f t="shared" si="128"/>
        <v>50</v>
      </c>
      <c r="C2218" s="120"/>
      <c r="D2218" s="120"/>
      <c r="E2218" s="120"/>
      <c r="F2218" s="298"/>
      <c r="G2218" s="298"/>
      <c r="H2218" s="156" t="s">
        <v>499</v>
      </c>
      <c r="I2218" s="157"/>
      <c r="J2218" s="157"/>
      <c r="K2218" s="157"/>
      <c r="L2218" s="158"/>
      <c r="M2218" s="158">
        <v>2538</v>
      </c>
      <c r="N2218" s="541"/>
      <c r="O2218" s="158"/>
      <c r="P2218" s="158"/>
      <c r="Q2218" s="158"/>
      <c r="R2218" s="158"/>
      <c r="S2218" s="157"/>
      <c r="T2218" s="535"/>
      <c r="U2218" s="159">
        <f t="shared" si="125"/>
        <v>0</v>
      </c>
    </row>
    <row r="2219" spans="2:21" x14ac:dyDescent="0.2">
      <c r="B2219" s="8">
        <f t="shared" si="128"/>
        <v>51</v>
      </c>
      <c r="C2219" s="120"/>
      <c r="D2219" s="120"/>
      <c r="E2219" s="120"/>
      <c r="F2219" s="298"/>
      <c r="G2219" s="298"/>
      <c r="H2219" s="156" t="s">
        <v>500</v>
      </c>
      <c r="I2219" s="157"/>
      <c r="J2219" s="157"/>
      <c r="K2219" s="157"/>
      <c r="L2219" s="158"/>
      <c r="M2219" s="158">
        <v>630</v>
      </c>
      <c r="N2219" s="541"/>
      <c r="O2219" s="158"/>
      <c r="P2219" s="158"/>
      <c r="Q2219" s="158"/>
      <c r="R2219" s="158"/>
      <c r="S2219" s="157"/>
      <c r="T2219" s="535"/>
      <c r="U2219" s="159">
        <f t="shared" si="125"/>
        <v>0</v>
      </c>
    </row>
    <row r="2220" spans="2:21" x14ac:dyDescent="0.2">
      <c r="B2220" s="8">
        <f t="shared" si="128"/>
        <v>52</v>
      </c>
      <c r="C2220" s="120"/>
      <c r="D2220" s="120"/>
      <c r="E2220" s="120"/>
      <c r="F2220" s="298"/>
      <c r="G2220" s="298"/>
      <c r="H2220" s="156" t="s">
        <v>501</v>
      </c>
      <c r="I2220" s="157"/>
      <c r="J2220" s="157"/>
      <c r="K2220" s="157"/>
      <c r="L2220" s="158"/>
      <c r="M2220" s="158">
        <v>1800</v>
      </c>
      <c r="N2220" s="541"/>
      <c r="O2220" s="158"/>
      <c r="P2220" s="158"/>
      <c r="Q2220" s="158"/>
      <c r="R2220" s="158"/>
      <c r="S2220" s="157"/>
      <c r="T2220" s="535"/>
      <c r="U2220" s="159">
        <f t="shared" si="125"/>
        <v>0</v>
      </c>
    </row>
    <row r="2221" spans="2:21" x14ac:dyDescent="0.2">
      <c r="B2221" s="8">
        <f t="shared" si="128"/>
        <v>53</v>
      </c>
      <c r="C2221" s="120"/>
      <c r="D2221" s="120"/>
      <c r="E2221" s="120"/>
      <c r="F2221" s="298"/>
      <c r="G2221" s="298"/>
      <c r="H2221" s="156" t="s">
        <v>502</v>
      </c>
      <c r="I2221" s="157"/>
      <c r="J2221" s="157"/>
      <c r="K2221" s="157"/>
      <c r="L2221" s="158"/>
      <c r="M2221" s="158">
        <v>1332</v>
      </c>
      <c r="N2221" s="541"/>
      <c r="O2221" s="158"/>
      <c r="P2221" s="158"/>
      <c r="Q2221" s="158"/>
      <c r="R2221" s="158"/>
      <c r="S2221" s="157"/>
      <c r="T2221" s="535"/>
      <c r="U2221" s="159">
        <f t="shared" si="125"/>
        <v>0</v>
      </c>
    </row>
    <row r="2222" spans="2:21" x14ac:dyDescent="0.2">
      <c r="B2222" s="8">
        <f t="shared" si="128"/>
        <v>54</v>
      </c>
      <c r="C2222" s="120"/>
      <c r="D2222" s="120"/>
      <c r="E2222" s="120"/>
      <c r="F2222" s="298"/>
      <c r="G2222" s="298"/>
      <c r="H2222" s="156" t="s">
        <v>497</v>
      </c>
      <c r="I2222" s="157"/>
      <c r="J2222" s="157"/>
      <c r="K2222" s="157"/>
      <c r="L2222" s="158"/>
      <c r="M2222" s="158">
        <v>243</v>
      </c>
      <c r="N2222" s="541"/>
      <c r="O2222" s="158"/>
      <c r="P2222" s="158"/>
      <c r="Q2222" s="158"/>
      <c r="R2222" s="158"/>
      <c r="S2222" s="157"/>
      <c r="T2222" s="535"/>
      <c r="U2222" s="159">
        <f t="shared" si="125"/>
        <v>0</v>
      </c>
    </row>
    <row r="2223" spans="2:21" x14ac:dyDescent="0.2">
      <c r="B2223" s="8">
        <f t="shared" si="128"/>
        <v>55</v>
      </c>
      <c r="C2223" s="120"/>
      <c r="D2223" s="120"/>
      <c r="E2223" s="120"/>
      <c r="F2223" s="149" t="s">
        <v>83</v>
      </c>
      <c r="G2223" s="150">
        <v>620</v>
      </c>
      <c r="H2223" s="24" t="s">
        <v>134</v>
      </c>
      <c r="I2223" s="25">
        <v>2000</v>
      </c>
      <c r="J2223" s="25">
        <v>2000</v>
      </c>
      <c r="K2223" s="25">
        <v>2000</v>
      </c>
      <c r="L2223" s="287">
        <v>1188</v>
      </c>
      <c r="M2223" s="158"/>
      <c r="N2223" s="541"/>
      <c r="O2223" s="158"/>
      <c r="P2223" s="158"/>
      <c r="Q2223" s="158"/>
      <c r="R2223" s="158"/>
      <c r="S2223" s="158"/>
      <c r="T2223" s="541"/>
      <c r="U2223" s="181">
        <f t="shared" si="125"/>
        <v>2000</v>
      </c>
    </row>
    <row r="2224" spans="2:21" x14ac:dyDescent="0.2">
      <c r="B2224" s="8">
        <f t="shared" si="128"/>
        <v>56</v>
      </c>
      <c r="C2224" s="120"/>
      <c r="D2224" s="120"/>
      <c r="E2224" s="120"/>
      <c r="F2224" s="149" t="s">
        <v>83</v>
      </c>
      <c r="G2224" s="150">
        <v>630</v>
      </c>
      <c r="H2224" s="24" t="s">
        <v>131</v>
      </c>
      <c r="I2224" s="25">
        <f>I2225</f>
        <v>5000</v>
      </c>
      <c r="J2224" s="25">
        <f>J2225</f>
        <v>5000</v>
      </c>
      <c r="K2224" s="25">
        <f>K2225</f>
        <v>5000</v>
      </c>
      <c r="L2224" s="287">
        <f>L2225</f>
        <v>3399</v>
      </c>
      <c r="M2224" s="158"/>
      <c r="N2224" s="541"/>
      <c r="O2224" s="158"/>
      <c r="P2224" s="158"/>
      <c r="Q2224" s="158"/>
      <c r="R2224" s="158"/>
      <c r="S2224" s="158"/>
      <c r="T2224" s="541"/>
      <c r="U2224" s="181">
        <f t="shared" si="125"/>
        <v>5000</v>
      </c>
    </row>
    <row r="2225" spans="2:21" x14ac:dyDescent="0.2">
      <c r="B2225" s="8">
        <f t="shared" si="128"/>
        <v>57</v>
      </c>
      <c r="C2225" s="120"/>
      <c r="D2225" s="120"/>
      <c r="E2225" s="120"/>
      <c r="F2225" s="298"/>
      <c r="G2225" s="153">
        <v>637</v>
      </c>
      <c r="H2225" s="18" t="s">
        <v>132</v>
      </c>
      <c r="I2225" s="158">
        <v>5000</v>
      </c>
      <c r="J2225" s="157">
        <v>5000</v>
      </c>
      <c r="K2225" s="157">
        <v>5000</v>
      </c>
      <c r="L2225" s="158">
        <v>3399</v>
      </c>
      <c r="M2225" s="158"/>
      <c r="N2225" s="541"/>
      <c r="O2225" s="158"/>
      <c r="P2225" s="158"/>
      <c r="Q2225" s="158"/>
      <c r="R2225" s="158"/>
      <c r="S2225" s="158"/>
      <c r="T2225" s="541"/>
      <c r="U2225" s="181">
        <f t="shared" si="125"/>
        <v>5000</v>
      </c>
    </row>
    <row r="2226" spans="2:21" x14ac:dyDescent="0.2">
      <c r="B2226" s="8">
        <f t="shared" si="128"/>
        <v>58</v>
      </c>
      <c r="C2226" s="120"/>
      <c r="D2226" s="120"/>
      <c r="E2226" s="120"/>
      <c r="F2226" s="149" t="s">
        <v>83</v>
      </c>
      <c r="G2226" s="150">
        <v>640</v>
      </c>
      <c r="H2226" s="24" t="s">
        <v>139</v>
      </c>
      <c r="I2226" s="25">
        <f>I2227</f>
        <v>75700</v>
      </c>
      <c r="J2226" s="25">
        <f>J2227</f>
        <v>85000</v>
      </c>
      <c r="K2226" s="25">
        <f>K2227</f>
        <v>85000</v>
      </c>
      <c r="L2226" s="287">
        <f>L2227</f>
        <v>54208</v>
      </c>
      <c r="M2226" s="158"/>
      <c r="N2226" s="541"/>
      <c r="O2226" s="158"/>
      <c r="P2226" s="158"/>
      <c r="Q2226" s="158"/>
      <c r="R2226" s="158"/>
      <c r="S2226" s="158"/>
      <c r="T2226" s="541"/>
      <c r="U2226" s="181">
        <f t="shared" si="125"/>
        <v>75700</v>
      </c>
    </row>
    <row r="2227" spans="2:21" x14ac:dyDescent="0.2">
      <c r="B2227" s="8">
        <f t="shared" si="128"/>
        <v>59</v>
      </c>
      <c r="C2227" s="120"/>
      <c r="D2227" s="120"/>
      <c r="E2227" s="120"/>
      <c r="F2227" s="298"/>
      <c r="G2227" s="153">
        <v>642</v>
      </c>
      <c r="H2227" s="18" t="s">
        <v>140</v>
      </c>
      <c r="I2227" s="157">
        <f>I2228+I2229</f>
        <v>75700</v>
      </c>
      <c r="J2227" s="157">
        <f>SUM(J2228:J2229)</f>
        <v>85000</v>
      </c>
      <c r="K2227" s="157">
        <f>K2228+K2229</f>
        <v>85000</v>
      </c>
      <c r="L2227" s="158">
        <f>SUM(L2228:L2229)</f>
        <v>54208</v>
      </c>
      <c r="M2227" s="158"/>
      <c r="N2227" s="541"/>
      <c r="O2227" s="158"/>
      <c r="P2227" s="158"/>
      <c r="Q2227" s="158"/>
      <c r="R2227" s="158"/>
      <c r="S2227" s="158"/>
      <c r="T2227" s="541"/>
      <c r="U2227" s="181">
        <f t="shared" si="125"/>
        <v>75700</v>
      </c>
    </row>
    <row r="2228" spans="2:21" x14ac:dyDescent="0.2">
      <c r="B2228" s="8">
        <f t="shared" si="128"/>
        <v>60</v>
      </c>
      <c r="C2228" s="120"/>
      <c r="D2228" s="120"/>
      <c r="E2228" s="120"/>
      <c r="F2228" s="298"/>
      <c r="G2228" s="298"/>
      <c r="H2228" s="156" t="s">
        <v>17</v>
      </c>
      <c r="I2228" s="157">
        <f>28000-2300</f>
        <v>25700</v>
      </c>
      <c r="J2228" s="157">
        <v>35000</v>
      </c>
      <c r="K2228" s="157">
        <v>35000</v>
      </c>
      <c r="L2228" s="158">
        <v>21311</v>
      </c>
      <c r="M2228" s="158"/>
      <c r="N2228" s="541"/>
      <c r="O2228" s="158"/>
      <c r="P2228" s="158"/>
      <c r="Q2228" s="158"/>
      <c r="R2228" s="158"/>
      <c r="S2228" s="157"/>
      <c r="T2228" s="535"/>
      <c r="U2228" s="159">
        <f t="shared" si="125"/>
        <v>25700</v>
      </c>
    </row>
    <row r="2229" spans="2:21" x14ac:dyDescent="0.2">
      <c r="B2229" s="8">
        <f t="shared" si="128"/>
        <v>61</v>
      </c>
      <c r="C2229" s="120"/>
      <c r="D2229" s="120"/>
      <c r="E2229" s="120"/>
      <c r="F2229" s="298"/>
      <c r="G2229" s="298"/>
      <c r="H2229" s="156" t="s">
        <v>340</v>
      </c>
      <c r="I2229" s="157">
        <v>50000</v>
      </c>
      <c r="J2229" s="157">
        <v>50000</v>
      </c>
      <c r="K2229" s="157">
        <v>50000</v>
      </c>
      <c r="L2229" s="158">
        <v>32897</v>
      </c>
      <c r="M2229" s="158"/>
      <c r="N2229" s="541"/>
      <c r="O2229" s="158"/>
      <c r="P2229" s="158"/>
      <c r="Q2229" s="158"/>
      <c r="R2229" s="158"/>
      <c r="S2229" s="157"/>
      <c r="T2229" s="535"/>
      <c r="U2229" s="159">
        <f t="shared" si="125"/>
        <v>50000</v>
      </c>
    </row>
    <row r="2230" spans="2:21" ht="15.75" x14ac:dyDescent="0.25">
      <c r="B2230" s="8">
        <f t="shared" si="128"/>
        <v>62</v>
      </c>
      <c r="C2230" s="141">
        <v>4</v>
      </c>
      <c r="D2230" s="677" t="s">
        <v>288</v>
      </c>
      <c r="E2230" s="678"/>
      <c r="F2230" s="678"/>
      <c r="G2230" s="678"/>
      <c r="H2230" s="678"/>
      <c r="I2230" s="142">
        <f>I2231+I2251+I2264</f>
        <v>154600</v>
      </c>
      <c r="J2230" s="142">
        <f>J2231+J2251</f>
        <v>148224</v>
      </c>
      <c r="K2230" s="142">
        <f>K2231+K2251</f>
        <v>153024</v>
      </c>
      <c r="L2230" s="143">
        <f>L2231+L2251</f>
        <v>148431</v>
      </c>
      <c r="M2230" s="143">
        <f>M2231+M2251</f>
        <v>167123</v>
      </c>
      <c r="N2230" s="533"/>
      <c r="O2230" s="142"/>
      <c r="P2230" s="142">
        <f>P2231+P2251</f>
        <v>672820</v>
      </c>
      <c r="Q2230" s="142">
        <f>Q2231+Q2251</f>
        <v>907778</v>
      </c>
      <c r="R2230" s="143"/>
      <c r="S2230" s="143">
        <f t="shared" ref="S2230:S2235" si="129">S2231</f>
        <v>20800</v>
      </c>
      <c r="T2230" s="533"/>
      <c r="U2230" s="144">
        <f t="shared" si="125"/>
        <v>154600</v>
      </c>
    </row>
    <row r="2231" spans="2:21" ht="14.25" x14ac:dyDescent="0.2">
      <c r="B2231" s="8">
        <f t="shared" si="128"/>
        <v>63</v>
      </c>
      <c r="C2231" s="160"/>
      <c r="D2231" s="160">
        <v>1</v>
      </c>
      <c r="E2231" s="675" t="s">
        <v>60</v>
      </c>
      <c r="F2231" s="676"/>
      <c r="G2231" s="676"/>
      <c r="H2231" s="676"/>
      <c r="I2231" s="161">
        <f>I2241</f>
        <v>78620</v>
      </c>
      <c r="J2231" s="161">
        <f>J2241</f>
        <v>69655</v>
      </c>
      <c r="K2231" s="431">
        <f>K2241</f>
        <v>67355</v>
      </c>
      <c r="L2231" s="162">
        <f>L2241</f>
        <v>65646</v>
      </c>
      <c r="M2231" s="162">
        <f>M2241</f>
        <v>77402</v>
      </c>
      <c r="N2231" s="534"/>
      <c r="O2231" s="161"/>
      <c r="P2231" s="161">
        <f>P2232+P2241</f>
        <v>672820</v>
      </c>
      <c r="Q2231" s="161">
        <f>Q2232+Q2241</f>
        <v>907778</v>
      </c>
      <c r="R2231" s="162"/>
      <c r="S2231" s="162">
        <f t="shared" si="129"/>
        <v>20800</v>
      </c>
      <c r="T2231" s="534"/>
      <c r="U2231" s="163">
        <f t="shared" si="125"/>
        <v>78620</v>
      </c>
    </row>
    <row r="2232" spans="2:21" x14ac:dyDescent="0.2">
      <c r="B2232" s="8">
        <f t="shared" si="128"/>
        <v>64</v>
      </c>
      <c r="C2232" s="24"/>
      <c r="D2232" s="24"/>
      <c r="E2232" s="24"/>
      <c r="F2232" s="149" t="s">
        <v>80</v>
      </c>
      <c r="G2232" s="150">
        <v>710</v>
      </c>
      <c r="H2232" s="24" t="s">
        <v>185</v>
      </c>
      <c r="I2232" s="25"/>
      <c r="J2232" s="25"/>
      <c r="K2232" s="25"/>
      <c r="L2232" s="26"/>
      <c r="M2232" s="26"/>
      <c r="N2232" s="501"/>
      <c r="O2232" s="25"/>
      <c r="P2232" s="25">
        <f>P2239+P2235</f>
        <v>672820</v>
      </c>
      <c r="Q2232" s="25">
        <f>Q2239+Q2235+Q2233+Q2237</f>
        <v>907778</v>
      </c>
      <c r="R2232" s="26"/>
      <c r="S2232" s="26">
        <f>S2235</f>
        <v>20800</v>
      </c>
      <c r="T2232" s="501"/>
      <c r="U2232" s="151">
        <f t="shared" si="125"/>
        <v>0</v>
      </c>
    </row>
    <row r="2233" spans="2:21" x14ac:dyDescent="0.2">
      <c r="B2233" s="8">
        <f t="shared" si="128"/>
        <v>65</v>
      </c>
      <c r="C2233" s="24"/>
      <c r="D2233" s="24"/>
      <c r="E2233" s="24"/>
      <c r="F2233" s="149"/>
      <c r="G2233" s="153">
        <v>713</v>
      </c>
      <c r="H2233" s="18" t="s">
        <v>230</v>
      </c>
      <c r="I2233" s="19"/>
      <c r="J2233" s="19"/>
      <c r="K2233" s="19"/>
      <c r="L2233" s="19"/>
      <c r="M2233" s="19"/>
      <c r="N2233" s="164"/>
      <c r="O2233" s="19"/>
      <c r="P2233" s="19"/>
      <c r="Q2233" s="19">
        <f>Q2234</f>
        <v>20758</v>
      </c>
      <c r="R2233" s="26"/>
      <c r="S2233" s="26"/>
      <c r="T2233" s="501"/>
      <c r="U2233" s="151">
        <f t="shared" si="125"/>
        <v>0</v>
      </c>
    </row>
    <row r="2234" spans="2:21" ht="24" x14ac:dyDescent="0.2">
      <c r="B2234" s="8">
        <f t="shared" si="128"/>
        <v>66</v>
      </c>
      <c r="C2234" s="24"/>
      <c r="D2234" s="24"/>
      <c r="E2234" s="24"/>
      <c r="F2234" s="149"/>
      <c r="G2234" s="313"/>
      <c r="H2234" s="410" t="s">
        <v>1034</v>
      </c>
      <c r="I2234" s="169"/>
      <c r="J2234" s="169"/>
      <c r="K2234" s="169"/>
      <c r="L2234" s="169"/>
      <c r="M2234" s="169"/>
      <c r="N2234" s="536"/>
      <c r="O2234" s="169"/>
      <c r="P2234" s="169"/>
      <c r="Q2234" s="169">
        <v>20758</v>
      </c>
      <c r="R2234" s="26"/>
      <c r="S2234" s="26"/>
      <c r="T2234" s="501"/>
      <c r="U2234" s="151">
        <f t="shared" si="125"/>
        <v>0</v>
      </c>
    </row>
    <row r="2235" spans="2:21" x14ac:dyDescent="0.2">
      <c r="B2235" s="8">
        <f t="shared" si="128"/>
        <v>67</v>
      </c>
      <c r="C2235" s="18"/>
      <c r="D2235" s="18"/>
      <c r="E2235" s="18"/>
      <c r="F2235" s="152"/>
      <c r="G2235" s="153">
        <v>714</v>
      </c>
      <c r="H2235" s="18" t="s">
        <v>186</v>
      </c>
      <c r="I2235" s="19"/>
      <c r="J2235" s="19"/>
      <c r="K2235" s="19"/>
      <c r="L2235" s="19"/>
      <c r="M2235" s="19"/>
      <c r="N2235" s="164"/>
      <c r="O2235" s="19"/>
      <c r="P2235" s="19"/>
      <c r="Q2235" s="19"/>
      <c r="R2235" s="19"/>
      <c r="S2235" s="19">
        <f t="shared" si="129"/>
        <v>20800</v>
      </c>
      <c r="T2235" s="164"/>
      <c r="U2235" s="154">
        <f t="shared" si="125"/>
        <v>0</v>
      </c>
    </row>
    <row r="2236" spans="2:21" s="315" customFormat="1" ht="36" x14ac:dyDescent="0.2">
      <c r="B2236" s="8">
        <f t="shared" si="128"/>
        <v>68</v>
      </c>
      <c r="C2236" s="166"/>
      <c r="D2236" s="166"/>
      <c r="E2236" s="166"/>
      <c r="F2236" s="314"/>
      <c r="G2236" s="313"/>
      <c r="H2236" s="410" t="s">
        <v>601</v>
      </c>
      <c r="I2236" s="169"/>
      <c r="J2236" s="169"/>
      <c r="K2236" s="169"/>
      <c r="L2236" s="169"/>
      <c r="M2236" s="169"/>
      <c r="N2236" s="536"/>
      <c r="O2236" s="169"/>
      <c r="P2236" s="169"/>
      <c r="Q2236" s="169"/>
      <c r="R2236" s="169"/>
      <c r="S2236" s="169">
        <v>20800</v>
      </c>
      <c r="T2236" s="536"/>
      <c r="U2236" s="171">
        <f t="shared" si="125"/>
        <v>0</v>
      </c>
    </row>
    <row r="2237" spans="2:21" s="315" customFormat="1" ht="12" x14ac:dyDescent="0.2">
      <c r="B2237" s="8"/>
      <c r="C2237" s="166"/>
      <c r="D2237" s="166"/>
      <c r="E2237" s="166"/>
      <c r="F2237" s="314"/>
      <c r="G2237" s="590">
        <v>716</v>
      </c>
      <c r="H2237" s="589" t="s">
        <v>226</v>
      </c>
      <c r="I2237" s="169"/>
      <c r="J2237" s="169"/>
      <c r="K2237" s="169"/>
      <c r="L2237" s="169"/>
      <c r="M2237" s="169"/>
      <c r="N2237" s="536"/>
      <c r="O2237" s="169"/>
      <c r="P2237" s="169"/>
      <c r="Q2237" s="169">
        <f>Q2238</f>
        <v>600</v>
      </c>
      <c r="R2237" s="169"/>
      <c r="S2237" s="169"/>
      <c r="T2237" s="536"/>
      <c r="U2237" s="171"/>
    </row>
    <row r="2238" spans="2:21" s="315" customFormat="1" ht="12" x14ac:dyDescent="0.2">
      <c r="B2238" s="8"/>
      <c r="C2238" s="166"/>
      <c r="D2238" s="166"/>
      <c r="E2238" s="166"/>
      <c r="F2238" s="314"/>
      <c r="G2238" s="313"/>
      <c r="H2238" s="410" t="s">
        <v>1124</v>
      </c>
      <c r="I2238" s="169"/>
      <c r="J2238" s="169"/>
      <c r="K2238" s="169"/>
      <c r="L2238" s="169"/>
      <c r="M2238" s="169"/>
      <c r="N2238" s="536"/>
      <c r="O2238" s="169"/>
      <c r="P2238" s="169"/>
      <c r="Q2238" s="169">
        <v>600</v>
      </c>
      <c r="R2238" s="169"/>
      <c r="S2238" s="169"/>
      <c r="T2238" s="536"/>
      <c r="U2238" s="171"/>
    </row>
    <row r="2239" spans="2:21" x14ac:dyDescent="0.2">
      <c r="B2239" s="8">
        <f>B2236+1</f>
        <v>69</v>
      </c>
      <c r="C2239" s="18"/>
      <c r="D2239" s="18"/>
      <c r="E2239" s="18"/>
      <c r="F2239" s="152"/>
      <c r="G2239" s="153">
        <v>717</v>
      </c>
      <c r="H2239" s="18" t="s">
        <v>192</v>
      </c>
      <c r="I2239" s="19"/>
      <c r="J2239" s="19"/>
      <c r="K2239" s="19"/>
      <c r="L2239" s="20"/>
      <c r="M2239" s="20"/>
      <c r="N2239" s="164"/>
      <c r="O2239" s="19"/>
      <c r="P2239" s="19">
        <f>P2240</f>
        <v>672820</v>
      </c>
      <c r="Q2239" s="19">
        <f>Q2240</f>
        <v>886420</v>
      </c>
      <c r="R2239" s="20"/>
      <c r="S2239" s="20"/>
      <c r="T2239" s="164"/>
      <c r="U2239" s="154">
        <f t="shared" si="125"/>
        <v>0</v>
      </c>
    </row>
    <row r="2240" spans="2:21" s="316" customFormat="1" ht="24" x14ac:dyDescent="0.2">
      <c r="B2240" s="8">
        <f t="shared" si="128"/>
        <v>70</v>
      </c>
      <c r="C2240" s="166"/>
      <c r="D2240" s="166"/>
      <c r="E2240" s="166"/>
      <c r="F2240" s="313"/>
      <c r="G2240" s="313"/>
      <c r="H2240" s="410" t="s">
        <v>600</v>
      </c>
      <c r="I2240" s="169"/>
      <c r="J2240" s="169"/>
      <c r="K2240" s="169"/>
      <c r="L2240" s="169"/>
      <c r="M2240" s="169"/>
      <c r="N2240" s="536"/>
      <c r="O2240" s="169"/>
      <c r="P2240" s="169">
        <v>672820</v>
      </c>
      <c r="Q2240" s="169">
        <v>886420</v>
      </c>
      <c r="R2240" s="169"/>
      <c r="S2240" s="169"/>
      <c r="T2240" s="536"/>
      <c r="U2240" s="171">
        <f t="shared" si="125"/>
        <v>0</v>
      </c>
    </row>
    <row r="2241" spans="2:21" ht="14.25" x14ac:dyDescent="0.2">
      <c r="B2241" s="8">
        <f t="shared" si="128"/>
        <v>71</v>
      </c>
      <c r="C2241" s="267"/>
      <c r="D2241" s="267"/>
      <c r="E2241" s="267">
        <v>5</v>
      </c>
      <c r="F2241" s="268"/>
      <c r="G2241" s="268"/>
      <c r="H2241" s="267" t="s">
        <v>114</v>
      </c>
      <c r="I2241" s="269">
        <f>I2242+I2243+I2244+I2250</f>
        <v>78620</v>
      </c>
      <c r="J2241" s="269">
        <f>J2242+J2243+J2244+J2250</f>
        <v>69655</v>
      </c>
      <c r="K2241" s="269">
        <f>K2242+K2243+K2244+K2250</f>
        <v>67355</v>
      </c>
      <c r="L2241" s="270">
        <f>L2242+L2243+L2244+L2250</f>
        <v>65646</v>
      </c>
      <c r="M2241" s="270">
        <f>M2242+M2243+M2244+M2250</f>
        <v>77402</v>
      </c>
      <c r="N2241" s="534"/>
      <c r="O2241" s="269"/>
      <c r="P2241" s="269"/>
      <c r="Q2241" s="269"/>
      <c r="R2241" s="270"/>
      <c r="S2241" s="270"/>
      <c r="T2241" s="534"/>
      <c r="U2241" s="271">
        <f t="shared" si="125"/>
        <v>78620</v>
      </c>
    </row>
    <row r="2242" spans="2:21" x14ac:dyDescent="0.2">
      <c r="B2242" s="8">
        <f t="shared" si="128"/>
        <v>72</v>
      </c>
      <c r="C2242" s="24"/>
      <c r="D2242" s="24"/>
      <c r="E2242" s="24"/>
      <c r="F2242" s="149" t="s">
        <v>57</v>
      </c>
      <c r="G2242" s="150">
        <v>610</v>
      </c>
      <c r="H2242" s="24" t="s">
        <v>141</v>
      </c>
      <c r="I2242" s="25">
        <f>23500+16500</f>
        <v>40000</v>
      </c>
      <c r="J2242" s="25">
        <v>38910</v>
      </c>
      <c r="K2242" s="25">
        <v>32410</v>
      </c>
      <c r="L2242" s="26">
        <v>36999</v>
      </c>
      <c r="M2242" s="26">
        <v>42455</v>
      </c>
      <c r="N2242" s="501"/>
      <c r="O2242" s="25"/>
      <c r="P2242" s="25"/>
      <c r="Q2242" s="25"/>
      <c r="R2242" s="26"/>
      <c r="S2242" s="26"/>
      <c r="T2242" s="501"/>
      <c r="U2242" s="151">
        <f t="shared" si="125"/>
        <v>40000</v>
      </c>
    </row>
    <row r="2243" spans="2:21" x14ac:dyDescent="0.2">
      <c r="B2243" s="8">
        <f t="shared" si="128"/>
        <v>73</v>
      </c>
      <c r="C2243" s="24"/>
      <c r="D2243" s="24"/>
      <c r="E2243" s="24"/>
      <c r="F2243" s="149" t="s">
        <v>57</v>
      </c>
      <c r="G2243" s="150">
        <v>620</v>
      </c>
      <c r="H2243" s="24" t="s">
        <v>134</v>
      </c>
      <c r="I2243" s="25">
        <f>3500+1160+650+6520+370+1400+460+2210+350</f>
        <v>16620</v>
      </c>
      <c r="J2243" s="25">
        <v>13925</v>
      </c>
      <c r="K2243" s="25">
        <v>11925</v>
      </c>
      <c r="L2243" s="26">
        <v>11582</v>
      </c>
      <c r="M2243" s="26">
        <v>14424</v>
      </c>
      <c r="N2243" s="501"/>
      <c r="O2243" s="25"/>
      <c r="P2243" s="25"/>
      <c r="Q2243" s="25"/>
      <c r="R2243" s="26"/>
      <c r="S2243" s="26"/>
      <c r="T2243" s="501"/>
      <c r="U2243" s="151">
        <f t="shared" si="125"/>
        <v>16620</v>
      </c>
    </row>
    <row r="2244" spans="2:21" x14ac:dyDescent="0.2">
      <c r="B2244" s="8">
        <f t="shared" si="128"/>
        <v>74</v>
      </c>
      <c r="C2244" s="24"/>
      <c r="D2244" s="24"/>
      <c r="E2244" s="24"/>
      <c r="F2244" s="149" t="s">
        <v>57</v>
      </c>
      <c r="G2244" s="150">
        <v>630</v>
      </c>
      <c r="H2244" s="24" t="s">
        <v>131</v>
      </c>
      <c r="I2244" s="25">
        <f>SUM(I2245:I2249)</f>
        <v>20180</v>
      </c>
      <c r="J2244" s="25">
        <f>J2249+J2248+J2246+J2245</f>
        <v>14120</v>
      </c>
      <c r="K2244" s="25">
        <f>K2249+K2248+K2246+K2245+K2247</f>
        <v>20320</v>
      </c>
      <c r="L2244" s="26">
        <f>SUM(L2245:L2249)</f>
        <v>14944</v>
      </c>
      <c r="M2244" s="26">
        <f>M2249+M2248+M2246+M2245</f>
        <v>18336</v>
      </c>
      <c r="N2244" s="501"/>
      <c r="O2244" s="25"/>
      <c r="P2244" s="25"/>
      <c r="Q2244" s="25"/>
      <c r="R2244" s="26"/>
      <c r="S2244" s="26"/>
      <c r="T2244" s="501"/>
      <c r="U2244" s="151">
        <f t="shared" ref="U2244:U2307" si="130">I2244+O2244</f>
        <v>20180</v>
      </c>
    </row>
    <row r="2245" spans="2:21" x14ac:dyDescent="0.2">
      <c r="B2245" s="8">
        <f t="shared" si="128"/>
        <v>75</v>
      </c>
      <c r="C2245" s="18"/>
      <c r="D2245" s="18"/>
      <c r="E2245" s="18"/>
      <c r="F2245" s="152"/>
      <c r="G2245" s="153">
        <v>632</v>
      </c>
      <c r="H2245" s="18" t="s">
        <v>144</v>
      </c>
      <c r="I2245" s="19">
        <f>8000+30</f>
        <v>8030</v>
      </c>
      <c r="J2245" s="19">
        <v>8800</v>
      </c>
      <c r="K2245" s="19">
        <v>8800</v>
      </c>
      <c r="L2245" s="20">
        <v>7924</v>
      </c>
      <c r="M2245" s="20">
        <v>3739</v>
      </c>
      <c r="N2245" s="164"/>
      <c r="O2245" s="19"/>
      <c r="P2245" s="19"/>
      <c r="Q2245" s="19"/>
      <c r="R2245" s="20"/>
      <c r="S2245" s="20"/>
      <c r="T2245" s="164"/>
      <c r="U2245" s="154">
        <f t="shared" si="130"/>
        <v>8030</v>
      </c>
    </row>
    <row r="2246" spans="2:21" x14ac:dyDescent="0.2">
      <c r="B2246" s="8">
        <f t="shared" si="128"/>
        <v>76</v>
      </c>
      <c r="C2246" s="18"/>
      <c r="D2246" s="18"/>
      <c r="E2246" s="18"/>
      <c r="F2246" s="152"/>
      <c r="G2246" s="153">
        <v>633</v>
      </c>
      <c r="H2246" s="18" t="s">
        <v>135</v>
      </c>
      <c r="I2246" s="19">
        <v>1500</v>
      </c>
      <c r="J2246" s="19">
        <v>1950</v>
      </c>
      <c r="K2246" s="19">
        <v>1950</v>
      </c>
      <c r="L2246" s="20">
        <v>2307</v>
      </c>
      <c r="M2246" s="20">
        <v>3898</v>
      </c>
      <c r="N2246" s="164"/>
      <c r="O2246" s="19"/>
      <c r="P2246" s="19"/>
      <c r="Q2246" s="19"/>
      <c r="R2246" s="20"/>
      <c r="S2246" s="20"/>
      <c r="T2246" s="164"/>
      <c r="U2246" s="154">
        <f t="shared" si="130"/>
        <v>1500</v>
      </c>
    </row>
    <row r="2247" spans="2:21" x14ac:dyDescent="0.2">
      <c r="B2247" s="8">
        <f t="shared" si="128"/>
        <v>77</v>
      </c>
      <c r="C2247" s="18"/>
      <c r="D2247" s="18"/>
      <c r="E2247" s="18"/>
      <c r="F2247" s="152"/>
      <c r="G2247" s="153">
        <v>634</v>
      </c>
      <c r="H2247" s="18" t="s">
        <v>142</v>
      </c>
      <c r="I2247" s="19">
        <v>1400</v>
      </c>
      <c r="J2247" s="19">
        <v>1950</v>
      </c>
      <c r="K2247" s="19">
        <v>1700</v>
      </c>
      <c r="L2247" s="20">
        <v>1043</v>
      </c>
      <c r="M2247" s="20">
        <v>3898</v>
      </c>
      <c r="N2247" s="164"/>
      <c r="O2247" s="19"/>
      <c r="P2247" s="19"/>
      <c r="Q2247" s="19"/>
      <c r="R2247" s="20"/>
      <c r="S2247" s="20"/>
      <c r="T2247" s="164"/>
      <c r="U2247" s="154">
        <f t="shared" si="130"/>
        <v>1400</v>
      </c>
    </row>
    <row r="2248" spans="2:21" x14ac:dyDescent="0.2">
      <c r="B2248" s="8">
        <f t="shared" si="128"/>
        <v>78</v>
      </c>
      <c r="C2248" s="18"/>
      <c r="D2248" s="18"/>
      <c r="E2248" s="18"/>
      <c r="F2248" s="152"/>
      <c r="G2248" s="153">
        <v>635</v>
      </c>
      <c r="H2248" s="18" t="s">
        <v>143</v>
      </c>
      <c r="I2248" s="19">
        <f>50+200+250</f>
        <v>500</v>
      </c>
      <c r="J2248" s="19">
        <v>600</v>
      </c>
      <c r="K2248" s="19">
        <v>600</v>
      </c>
      <c r="L2248" s="20"/>
      <c r="M2248" s="20">
        <v>313</v>
      </c>
      <c r="N2248" s="164"/>
      <c r="O2248" s="19"/>
      <c r="P2248" s="19"/>
      <c r="Q2248" s="19"/>
      <c r="R2248" s="20"/>
      <c r="S2248" s="20"/>
      <c r="T2248" s="164"/>
      <c r="U2248" s="154">
        <f t="shared" si="130"/>
        <v>500</v>
      </c>
    </row>
    <row r="2249" spans="2:21" x14ac:dyDescent="0.2">
      <c r="B2249" s="8">
        <f t="shared" si="128"/>
        <v>79</v>
      </c>
      <c r="C2249" s="18"/>
      <c r="D2249" s="18"/>
      <c r="E2249" s="18"/>
      <c r="F2249" s="152"/>
      <c r="G2249" s="153">
        <v>637</v>
      </c>
      <c r="H2249" s="18" t="s">
        <v>132</v>
      </c>
      <c r="I2249" s="19">
        <v>8750</v>
      </c>
      <c r="J2249" s="19">
        <v>2770</v>
      </c>
      <c r="K2249" s="19">
        <v>7270</v>
      </c>
      <c r="L2249" s="20">
        <v>3670</v>
      </c>
      <c r="M2249" s="20">
        <v>10386</v>
      </c>
      <c r="N2249" s="164"/>
      <c r="O2249" s="19"/>
      <c r="P2249" s="19"/>
      <c r="Q2249" s="19"/>
      <c r="R2249" s="20"/>
      <c r="S2249" s="20"/>
      <c r="T2249" s="164"/>
      <c r="U2249" s="154">
        <f t="shared" si="130"/>
        <v>8750</v>
      </c>
    </row>
    <row r="2250" spans="2:21" x14ac:dyDescent="0.2">
      <c r="B2250" s="8">
        <f t="shared" si="128"/>
        <v>80</v>
      </c>
      <c r="C2250" s="24"/>
      <c r="D2250" s="24"/>
      <c r="E2250" s="24"/>
      <c r="F2250" s="149" t="s">
        <v>57</v>
      </c>
      <c r="G2250" s="150">
        <v>640</v>
      </c>
      <c r="H2250" s="24" t="s">
        <v>139</v>
      </c>
      <c r="I2250" s="25">
        <f>1520+300</f>
        <v>1820</v>
      </c>
      <c r="J2250" s="25">
        <v>2700</v>
      </c>
      <c r="K2250" s="25">
        <v>2700</v>
      </c>
      <c r="L2250" s="26">
        <v>2121</v>
      </c>
      <c r="M2250" s="26">
        <v>2187</v>
      </c>
      <c r="N2250" s="501"/>
      <c r="O2250" s="25"/>
      <c r="P2250" s="25"/>
      <c r="Q2250" s="25"/>
      <c r="R2250" s="26"/>
      <c r="S2250" s="26"/>
      <c r="T2250" s="501"/>
      <c r="U2250" s="151">
        <f t="shared" si="130"/>
        <v>1820</v>
      </c>
    </row>
    <row r="2251" spans="2:21" ht="14.25" x14ac:dyDescent="0.2">
      <c r="B2251" s="8">
        <f t="shared" si="128"/>
        <v>81</v>
      </c>
      <c r="C2251" s="160"/>
      <c r="D2251" s="160">
        <v>2</v>
      </c>
      <c r="E2251" s="675" t="s">
        <v>287</v>
      </c>
      <c r="F2251" s="676"/>
      <c r="G2251" s="676"/>
      <c r="H2251" s="676"/>
      <c r="I2251" s="161">
        <f>I2254</f>
        <v>75980</v>
      </c>
      <c r="J2251" s="161">
        <f>J2254</f>
        <v>78569</v>
      </c>
      <c r="K2251" s="431">
        <f>K2254</f>
        <v>85669</v>
      </c>
      <c r="L2251" s="162">
        <f>L2254+L2252</f>
        <v>82785</v>
      </c>
      <c r="M2251" s="162">
        <f>M2254+M2252</f>
        <v>89721</v>
      </c>
      <c r="N2251" s="534"/>
      <c r="O2251" s="161"/>
      <c r="P2251" s="161"/>
      <c r="Q2251" s="161"/>
      <c r="R2251" s="162"/>
      <c r="S2251" s="162"/>
      <c r="T2251" s="534"/>
      <c r="U2251" s="163">
        <f t="shared" si="130"/>
        <v>75980</v>
      </c>
    </row>
    <row r="2252" spans="2:21" x14ac:dyDescent="0.2">
      <c r="B2252" s="8">
        <f t="shared" si="128"/>
        <v>82</v>
      </c>
      <c r="C2252" s="24"/>
      <c r="D2252" s="24"/>
      <c r="E2252" s="24"/>
      <c r="F2252" s="149" t="s">
        <v>57</v>
      </c>
      <c r="G2252" s="150">
        <v>630</v>
      </c>
      <c r="H2252" s="24" t="s">
        <v>131</v>
      </c>
      <c r="I2252" s="25"/>
      <c r="J2252" s="25"/>
      <c r="K2252" s="25"/>
      <c r="L2252" s="26"/>
      <c r="M2252" s="26">
        <f>M2253</f>
        <v>3072</v>
      </c>
      <c r="N2252" s="501"/>
      <c r="O2252" s="25"/>
      <c r="P2252" s="25"/>
      <c r="Q2252" s="25"/>
      <c r="R2252" s="26"/>
      <c r="S2252" s="26"/>
      <c r="T2252" s="501"/>
      <c r="U2252" s="151">
        <f t="shared" si="130"/>
        <v>0</v>
      </c>
    </row>
    <row r="2253" spans="2:21" ht="15" x14ac:dyDescent="0.25">
      <c r="B2253" s="8">
        <f t="shared" si="128"/>
        <v>83</v>
      </c>
      <c r="C2253" s="18"/>
      <c r="D2253" s="18"/>
      <c r="E2253" s="18"/>
      <c r="F2253" s="152"/>
      <c r="G2253" s="153">
        <v>637</v>
      </c>
      <c r="H2253" s="18" t="s">
        <v>132</v>
      </c>
      <c r="I2253" s="19"/>
      <c r="J2253" s="19"/>
      <c r="K2253" s="436"/>
      <c r="L2253" s="20"/>
      <c r="M2253" s="20">
        <v>3072</v>
      </c>
      <c r="N2253" s="164"/>
      <c r="O2253" s="19"/>
      <c r="P2253" s="19"/>
      <c r="Q2253" s="19"/>
      <c r="R2253" s="20"/>
      <c r="S2253" s="20"/>
      <c r="T2253" s="164"/>
      <c r="U2253" s="154">
        <f t="shared" si="130"/>
        <v>0</v>
      </c>
    </row>
    <row r="2254" spans="2:21" ht="14.25" x14ac:dyDescent="0.2">
      <c r="B2254" s="8">
        <f t="shared" si="128"/>
        <v>84</v>
      </c>
      <c r="C2254" s="267"/>
      <c r="D2254" s="267"/>
      <c r="E2254" s="267">
        <v>5</v>
      </c>
      <c r="F2254" s="268"/>
      <c r="G2254" s="268"/>
      <c r="H2254" s="267" t="s">
        <v>114</v>
      </c>
      <c r="I2254" s="269">
        <f>I2255+I2256+I2257+I2263</f>
        <v>75980</v>
      </c>
      <c r="J2254" s="269">
        <f>J2255+J2256+J2257+J2263</f>
        <v>78569</v>
      </c>
      <c r="K2254" s="269">
        <f>K2255+K2256+K2257+K2263</f>
        <v>85669</v>
      </c>
      <c r="L2254" s="270">
        <f>L2255+L2256+L2257+L2263</f>
        <v>82785</v>
      </c>
      <c r="M2254" s="270">
        <f>M2255+M2256+M2257+M2263</f>
        <v>86649</v>
      </c>
      <c r="N2254" s="534"/>
      <c r="O2254" s="269"/>
      <c r="P2254" s="269"/>
      <c r="Q2254" s="269"/>
      <c r="R2254" s="270"/>
      <c r="S2254" s="270"/>
      <c r="T2254" s="534"/>
      <c r="U2254" s="271">
        <f t="shared" si="130"/>
        <v>75980</v>
      </c>
    </row>
    <row r="2255" spans="2:21" x14ac:dyDescent="0.2">
      <c r="B2255" s="8">
        <f t="shared" si="128"/>
        <v>85</v>
      </c>
      <c r="C2255" s="24"/>
      <c r="D2255" s="24"/>
      <c r="E2255" s="24"/>
      <c r="F2255" s="149" t="s">
        <v>57</v>
      </c>
      <c r="G2255" s="150">
        <v>610</v>
      </c>
      <c r="H2255" s="24" t="s">
        <v>141</v>
      </c>
      <c r="I2255" s="25">
        <f>31730+9200+3870</f>
        <v>44800</v>
      </c>
      <c r="J2255" s="25">
        <v>46870</v>
      </c>
      <c r="K2255" s="25">
        <v>46070</v>
      </c>
      <c r="L2255" s="26">
        <v>51999</v>
      </c>
      <c r="M2255" s="26">
        <v>56126</v>
      </c>
      <c r="N2255" s="501"/>
      <c r="O2255" s="25"/>
      <c r="P2255" s="25"/>
      <c r="Q2255" s="25"/>
      <c r="R2255" s="26"/>
      <c r="S2255" s="26"/>
      <c r="T2255" s="501"/>
      <c r="U2255" s="151">
        <f t="shared" si="130"/>
        <v>44800</v>
      </c>
    </row>
    <row r="2256" spans="2:21" x14ac:dyDescent="0.2">
      <c r="B2256" s="8">
        <f t="shared" si="128"/>
        <v>86</v>
      </c>
      <c r="C2256" s="24"/>
      <c r="D2256" s="24"/>
      <c r="E2256" s="24"/>
      <c r="F2256" s="149" t="s">
        <v>57</v>
      </c>
      <c r="G2256" s="150">
        <v>620</v>
      </c>
      <c r="H2256" s="24" t="s">
        <v>134</v>
      </c>
      <c r="I2256" s="25">
        <f>4480+630+6270+360+1340+450+2130+1350</f>
        <v>17010</v>
      </c>
      <c r="J2256" s="25">
        <v>17689</v>
      </c>
      <c r="K2256" s="25">
        <v>17489</v>
      </c>
      <c r="L2256" s="26">
        <v>19363</v>
      </c>
      <c r="M2256" s="26">
        <v>20456</v>
      </c>
      <c r="N2256" s="501"/>
      <c r="O2256" s="25"/>
      <c r="P2256" s="25"/>
      <c r="Q2256" s="25"/>
      <c r="R2256" s="26"/>
      <c r="S2256" s="26"/>
      <c r="T2256" s="501"/>
      <c r="U2256" s="151">
        <f t="shared" si="130"/>
        <v>17010</v>
      </c>
    </row>
    <row r="2257" spans="2:21" x14ac:dyDescent="0.2">
      <c r="B2257" s="8">
        <f t="shared" si="128"/>
        <v>87</v>
      </c>
      <c r="C2257" s="24"/>
      <c r="D2257" s="24"/>
      <c r="E2257" s="24"/>
      <c r="F2257" s="149" t="s">
        <v>57</v>
      </c>
      <c r="G2257" s="150">
        <v>630</v>
      </c>
      <c r="H2257" s="24" t="s">
        <v>131</v>
      </c>
      <c r="I2257" s="25">
        <f>I2262+I2261+I2260+I2259+I2258</f>
        <v>12170</v>
      </c>
      <c r="J2257" s="25">
        <f>J2262+J2261+J2260+J2259+J2258</f>
        <v>12590</v>
      </c>
      <c r="K2257" s="25">
        <f>K2262+K2261+K2260+K2259+K2258</f>
        <v>16690</v>
      </c>
      <c r="L2257" s="26">
        <f>L2262+L2261+L2260+L2259+L2258</f>
        <v>8624</v>
      </c>
      <c r="M2257" s="26">
        <f>M2262+M2261+M2260+M2259+M2258</f>
        <v>9873</v>
      </c>
      <c r="N2257" s="501"/>
      <c r="O2257" s="25"/>
      <c r="P2257" s="25"/>
      <c r="Q2257" s="25"/>
      <c r="R2257" s="26"/>
      <c r="S2257" s="26"/>
      <c r="T2257" s="501"/>
      <c r="U2257" s="151">
        <f t="shared" si="130"/>
        <v>12170</v>
      </c>
    </row>
    <row r="2258" spans="2:21" x14ac:dyDescent="0.2">
      <c r="B2258" s="8">
        <f t="shared" si="128"/>
        <v>88</v>
      </c>
      <c r="C2258" s="18"/>
      <c r="D2258" s="18"/>
      <c r="E2258" s="18"/>
      <c r="F2258" s="152"/>
      <c r="G2258" s="153">
        <v>631</v>
      </c>
      <c r="H2258" s="18" t="s">
        <v>137</v>
      </c>
      <c r="I2258" s="19">
        <v>50</v>
      </c>
      <c r="J2258" s="19">
        <v>50</v>
      </c>
      <c r="K2258" s="19">
        <v>150</v>
      </c>
      <c r="L2258" s="20">
        <v>136</v>
      </c>
      <c r="M2258" s="20">
        <v>82</v>
      </c>
      <c r="N2258" s="164"/>
      <c r="O2258" s="19"/>
      <c r="P2258" s="19"/>
      <c r="Q2258" s="19"/>
      <c r="R2258" s="20"/>
      <c r="S2258" s="20"/>
      <c r="T2258" s="164"/>
      <c r="U2258" s="154">
        <f t="shared" si="130"/>
        <v>50</v>
      </c>
    </row>
    <row r="2259" spans="2:21" x14ac:dyDescent="0.2">
      <c r="B2259" s="8">
        <f t="shared" si="128"/>
        <v>89</v>
      </c>
      <c r="C2259" s="18"/>
      <c r="D2259" s="18"/>
      <c r="E2259" s="18"/>
      <c r="F2259" s="152"/>
      <c r="G2259" s="153">
        <v>632</v>
      </c>
      <c r="H2259" s="18" t="s">
        <v>144</v>
      </c>
      <c r="I2259" s="19">
        <v>9040</v>
      </c>
      <c r="J2259" s="19">
        <v>9640</v>
      </c>
      <c r="K2259" s="19">
        <v>9640</v>
      </c>
      <c r="L2259" s="20">
        <v>5958</v>
      </c>
      <c r="M2259" s="20">
        <v>4302</v>
      </c>
      <c r="N2259" s="164"/>
      <c r="O2259" s="19"/>
      <c r="P2259" s="19"/>
      <c r="Q2259" s="19"/>
      <c r="R2259" s="20"/>
      <c r="S2259" s="20"/>
      <c r="T2259" s="164"/>
      <c r="U2259" s="154">
        <f t="shared" si="130"/>
        <v>9040</v>
      </c>
    </row>
    <row r="2260" spans="2:21" x14ac:dyDescent="0.2">
      <c r="B2260" s="8">
        <f t="shared" si="128"/>
        <v>90</v>
      </c>
      <c r="C2260" s="18"/>
      <c r="D2260" s="18"/>
      <c r="E2260" s="18"/>
      <c r="F2260" s="152"/>
      <c r="G2260" s="153">
        <v>633</v>
      </c>
      <c r="H2260" s="18" t="s">
        <v>135</v>
      </c>
      <c r="I2260" s="19">
        <v>950</v>
      </c>
      <c r="J2260" s="19">
        <v>900</v>
      </c>
      <c r="K2260" s="19">
        <v>3900</v>
      </c>
      <c r="L2260" s="20">
        <v>934</v>
      </c>
      <c r="M2260" s="20">
        <v>1211</v>
      </c>
      <c r="N2260" s="164"/>
      <c r="O2260" s="19"/>
      <c r="P2260" s="19"/>
      <c r="Q2260" s="19"/>
      <c r="R2260" s="20"/>
      <c r="S2260" s="20"/>
      <c r="T2260" s="164"/>
      <c r="U2260" s="154">
        <f t="shared" si="130"/>
        <v>950</v>
      </c>
    </row>
    <row r="2261" spans="2:21" x14ac:dyDescent="0.2">
      <c r="B2261" s="8">
        <f t="shared" si="128"/>
        <v>91</v>
      </c>
      <c r="C2261" s="18"/>
      <c r="D2261" s="18"/>
      <c r="E2261" s="18"/>
      <c r="F2261" s="152"/>
      <c r="G2261" s="153">
        <v>635</v>
      </c>
      <c r="H2261" s="18" t="s">
        <v>143</v>
      </c>
      <c r="I2261" s="19">
        <v>330</v>
      </c>
      <c r="J2261" s="19">
        <v>300</v>
      </c>
      <c r="K2261" s="19">
        <v>300</v>
      </c>
      <c r="L2261" s="20"/>
      <c r="M2261" s="20">
        <v>358</v>
      </c>
      <c r="N2261" s="164"/>
      <c r="O2261" s="19"/>
      <c r="P2261" s="19"/>
      <c r="Q2261" s="19"/>
      <c r="R2261" s="20"/>
      <c r="S2261" s="20"/>
      <c r="T2261" s="164"/>
      <c r="U2261" s="154">
        <f t="shared" si="130"/>
        <v>330</v>
      </c>
    </row>
    <row r="2262" spans="2:21" x14ac:dyDescent="0.2">
      <c r="B2262" s="8">
        <f t="shared" ref="B2262:B2279" si="131">B2261+1</f>
        <v>92</v>
      </c>
      <c r="C2262" s="18"/>
      <c r="D2262" s="18"/>
      <c r="E2262" s="18"/>
      <c r="F2262" s="152"/>
      <c r="G2262" s="153">
        <v>637</v>
      </c>
      <c r="H2262" s="18" t="s">
        <v>132</v>
      </c>
      <c r="I2262" s="19">
        <v>1800</v>
      </c>
      <c r="J2262" s="19">
        <v>1700</v>
      </c>
      <c r="K2262" s="19">
        <v>2700</v>
      </c>
      <c r="L2262" s="20">
        <v>1596</v>
      </c>
      <c r="M2262" s="20">
        <f>3489+431</f>
        <v>3920</v>
      </c>
      <c r="N2262" s="164"/>
      <c r="O2262" s="19"/>
      <c r="P2262" s="19"/>
      <c r="Q2262" s="19"/>
      <c r="R2262" s="20"/>
      <c r="S2262" s="20"/>
      <c r="T2262" s="164"/>
      <c r="U2262" s="154">
        <f t="shared" si="130"/>
        <v>1800</v>
      </c>
    </row>
    <row r="2263" spans="2:21" x14ac:dyDescent="0.2">
      <c r="B2263" s="8">
        <f t="shared" si="131"/>
        <v>93</v>
      </c>
      <c r="C2263" s="24"/>
      <c r="D2263" s="24"/>
      <c r="E2263" s="24"/>
      <c r="F2263" s="149" t="s">
        <v>57</v>
      </c>
      <c r="G2263" s="150">
        <v>640</v>
      </c>
      <c r="H2263" s="24" t="s">
        <v>139</v>
      </c>
      <c r="I2263" s="25">
        <v>2000</v>
      </c>
      <c r="J2263" s="25">
        <v>1420</v>
      </c>
      <c r="K2263" s="25">
        <v>5420</v>
      </c>
      <c r="L2263" s="26">
        <v>2799</v>
      </c>
      <c r="M2263" s="26">
        <v>194</v>
      </c>
      <c r="N2263" s="501"/>
      <c r="O2263" s="25"/>
      <c r="P2263" s="25"/>
      <c r="Q2263" s="25"/>
      <c r="R2263" s="26"/>
      <c r="S2263" s="26"/>
      <c r="T2263" s="501"/>
      <c r="U2263" s="151">
        <f t="shared" si="130"/>
        <v>2000</v>
      </c>
    </row>
    <row r="2264" spans="2:21" ht="14.25" x14ac:dyDescent="0.2">
      <c r="B2264" s="8">
        <f t="shared" si="131"/>
        <v>94</v>
      </c>
      <c r="C2264" s="160"/>
      <c r="D2264" s="160">
        <v>3</v>
      </c>
      <c r="E2264" s="675" t="s">
        <v>827</v>
      </c>
      <c r="F2264" s="676"/>
      <c r="G2264" s="676"/>
      <c r="H2264" s="676"/>
      <c r="I2264" s="161">
        <v>0</v>
      </c>
      <c r="J2264" s="161">
        <v>0</v>
      </c>
      <c r="K2264" s="431">
        <v>0</v>
      </c>
      <c r="L2264" s="162">
        <v>0</v>
      </c>
      <c r="M2264" s="162">
        <v>0</v>
      </c>
      <c r="N2264" s="534"/>
      <c r="O2264" s="161"/>
      <c r="P2264" s="161"/>
      <c r="Q2264" s="161"/>
      <c r="R2264" s="162"/>
      <c r="S2264" s="162"/>
      <c r="T2264" s="534"/>
      <c r="U2264" s="163">
        <f t="shared" si="130"/>
        <v>0</v>
      </c>
    </row>
    <row r="2265" spans="2:21" ht="15.75" x14ac:dyDescent="0.25">
      <c r="B2265" s="8">
        <f t="shared" si="131"/>
        <v>95</v>
      </c>
      <c r="C2265" s="141">
        <v>5</v>
      </c>
      <c r="D2265" s="677" t="s">
        <v>187</v>
      </c>
      <c r="E2265" s="678"/>
      <c r="F2265" s="678"/>
      <c r="G2265" s="678"/>
      <c r="H2265" s="678"/>
      <c r="I2265" s="142">
        <f>I2303+I2276+I2266</f>
        <v>1244795</v>
      </c>
      <c r="J2265" s="142">
        <f>J2303+J2276+J2266</f>
        <v>1146676</v>
      </c>
      <c r="K2265" s="142">
        <f>K2303+K2276+K2266</f>
        <v>1196606</v>
      </c>
      <c r="L2265" s="143">
        <f>L2303+L2276+L2266</f>
        <v>888670</v>
      </c>
      <c r="M2265" s="143">
        <f>M2303+M2276+M2266</f>
        <v>860513</v>
      </c>
      <c r="N2265" s="533"/>
      <c r="O2265" s="142">
        <f>O2266+O2276+O2303</f>
        <v>25000</v>
      </c>
      <c r="P2265" s="142"/>
      <c r="Q2265" s="142">
        <f>Q2266+Q2276+Q2303</f>
        <v>46070</v>
      </c>
      <c r="R2265" s="143">
        <f>R2266+R2276+R2303</f>
        <v>2350</v>
      </c>
      <c r="S2265" s="143">
        <f>S2266+S2276+S2303</f>
        <v>49698</v>
      </c>
      <c r="T2265" s="533"/>
      <c r="U2265" s="144">
        <f t="shared" si="130"/>
        <v>1269795</v>
      </c>
    </row>
    <row r="2266" spans="2:21" ht="14.25" x14ac:dyDescent="0.2">
      <c r="B2266" s="8">
        <f t="shared" si="131"/>
        <v>96</v>
      </c>
      <c r="C2266" s="160"/>
      <c r="D2266" s="160">
        <v>1</v>
      </c>
      <c r="E2266" s="675" t="s">
        <v>943</v>
      </c>
      <c r="F2266" s="676"/>
      <c r="G2266" s="676"/>
      <c r="H2266" s="676"/>
      <c r="I2266" s="161">
        <f>I2267+I2272</f>
        <v>11900</v>
      </c>
      <c r="J2266" s="161">
        <f>J2267+J2272</f>
        <v>10878</v>
      </c>
      <c r="K2266" s="431">
        <f>K2267+K2272</f>
        <v>10878</v>
      </c>
      <c r="L2266" s="162">
        <f>L2267+L2272</f>
        <v>9604</v>
      </c>
      <c r="M2266" s="162">
        <f>M2267+M2272</f>
        <v>9612</v>
      </c>
      <c r="N2266" s="534"/>
      <c r="O2266" s="161"/>
      <c r="P2266" s="161"/>
      <c r="Q2266" s="161"/>
      <c r="R2266" s="162"/>
      <c r="S2266" s="162"/>
      <c r="T2266" s="534"/>
      <c r="U2266" s="163">
        <f t="shared" si="130"/>
        <v>11900</v>
      </c>
    </row>
    <row r="2267" spans="2:21" x14ac:dyDescent="0.2">
      <c r="B2267" s="8">
        <f t="shared" si="131"/>
        <v>97</v>
      </c>
      <c r="C2267" s="24"/>
      <c r="D2267" s="24"/>
      <c r="E2267" s="24"/>
      <c r="F2267" s="149" t="s">
        <v>83</v>
      </c>
      <c r="G2267" s="150">
        <v>630</v>
      </c>
      <c r="H2267" s="24" t="s">
        <v>131</v>
      </c>
      <c r="I2267" s="25">
        <f>SUM(I2268:I2271)</f>
        <v>7900</v>
      </c>
      <c r="J2267" s="25">
        <f>SUM(J2268:J2271)</f>
        <v>6878</v>
      </c>
      <c r="K2267" s="25">
        <f>SUM(K2268:K2271)</f>
        <v>6878</v>
      </c>
      <c r="L2267" s="26">
        <f>SUM(L2268:L2271)</f>
        <v>5604</v>
      </c>
      <c r="M2267" s="26">
        <f>SUM(M2268:M2271)</f>
        <v>6612</v>
      </c>
      <c r="N2267" s="501"/>
      <c r="O2267" s="25"/>
      <c r="P2267" s="25"/>
      <c r="Q2267" s="25"/>
      <c r="R2267" s="26"/>
      <c r="S2267" s="26"/>
      <c r="T2267" s="501"/>
      <c r="U2267" s="151">
        <f t="shared" si="130"/>
        <v>7900</v>
      </c>
    </row>
    <row r="2268" spans="2:21" x14ac:dyDescent="0.2">
      <c r="B2268" s="8">
        <f t="shared" si="131"/>
        <v>98</v>
      </c>
      <c r="C2268" s="18"/>
      <c r="D2268" s="18"/>
      <c r="E2268" s="18"/>
      <c r="F2268" s="152" t="s">
        <v>83</v>
      </c>
      <c r="G2268" s="153">
        <v>633</v>
      </c>
      <c r="H2268" s="18" t="s">
        <v>135</v>
      </c>
      <c r="I2268" s="19">
        <v>3800</v>
      </c>
      <c r="J2268" s="19">
        <v>3430</v>
      </c>
      <c r="K2268" s="19">
        <v>3400</v>
      </c>
      <c r="L2268" s="20">
        <v>1427</v>
      </c>
      <c r="M2268" s="20">
        <v>2609</v>
      </c>
      <c r="N2268" s="164"/>
      <c r="O2268" s="19"/>
      <c r="P2268" s="19"/>
      <c r="Q2268" s="19"/>
      <c r="R2268" s="20"/>
      <c r="S2268" s="20"/>
      <c r="T2268" s="164"/>
      <c r="U2268" s="154">
        <f t="shared" si="130"/>
        <v>3800</v>
      </c>
    </row>
    <row r="2269" spans="2:21" x14ac:dyDescent="0.2">
      <c r="B2269" s="8">
        <f t="shared" si="131"/>
        <v>99</v>
      </c>
      <c r="C2269" s="18"/>
      <c r="D2269" s="18"/>
      <c r="E2269" s="18"/>
      <c r="F2269" s="152" t="s">
        <v>83</v>
      </c>
      <c r="G2269" s="153">
        <v>634</v>
      </c>
      <c r="H2269" s="18" t="s">
        <v>142</v>
      </c>
      <c r="I2269" s="19">
        <v>1800</v>
      </c>
      <c r="J2269" s="19">
        <v>1500</v>
      </c>
      <c r="K2269" s="19">
        <v>1500</v>
      </c>
      <c r="L2269" s="20">
        <v>1042</v>
      </c>
      <c r="M2269" s="20">
        <v>1378</v>
      </c>
      <c r="N2269" s="164"/>
      <c r="O2269" s="19"/>
      <c r="P2269" s="19"/>
      <c r="Q2269" s="19"/>
      <c r="R2269" s="20"/>
      <c r="S2269" s="20"/>
      <c r="T2269" s="164"/>
      <c r="U2269" s="154">
        <f t="shared" si="130"/>
        <v>1800</v>
      </c>
    </row>
    <row r="2270" spans="2:21" x14ac:dyDescent="0.2">
      <c r="B2270" s="8">
        <f t="shared" si="131"/>
        <v>100</v>
      </c>
      <c r="C2270" s="18"/>
      <c r="D2270" s="18"/>
      <c r="E2270" s="18"/>
      <c r="F2270" s="152" t="s">
        <v>83</v>
      </c>
      <c r="G2270" s="153">
        <v>636</v>
      </c>
      <c r="H2270" s="18" t="s">
        <v>136</v>
      </c>
      <c r="I2270" s="19"/>
      <c r="J2270" s="19"/>
      <c r="K2270" s="19">
        <v>30</v>
      </c>
      <c r="L2270" s="20">
        <v>10</v>
      </c>
      <c r="M2270" s="20">
        <v>10</v>
      </c>
      <c r="N2270" s="164"/>
      <c r="O2270" s="19"/>
      <c r="P2270" s="19"/>
      <c r="Q2270" s="19"/>
      <c r="R2270" s="20"/>
      <c r="S2270" s="20"/>
      <c r="T2270" s="164"/>
      <c r="U2270" s="154">
        <f t="shared" si="130"/>
        <v>0</v>
      </c>
    </row>
    <row r="2271" spans="2:21" x14ac:dyDescent="0.2">
      <c r="B2271" s="8">
        <f t="shared" si="131"/>
        <v>101</v>
      </c>
      <c r="C2271" s="18"/>
      <c r="D2271" s="18"/>
      <c r="E2271" s="18"/>
      <c r="F2271" s="152" t="s">
        <v>83</v>
      </c>
      <c r="G2271" s="153">
        <v>637</v>
      </c>
      <c r="H2271" s="18" t="s">
        <v>132</v>
      </c>
      <c r="I2271" s="19">
        <v>2300</v>
      </c>
      <c r="J2271" s="19">
        <v>1948</v>
      </c>
      <c r="K2271" s="19">
        <v>1948</v>
      </c>
      <c r="L2271" s="20">
        <v>3125</v>
      </c>
      <c r="M2271" s="20">
        <v>2615</v>
      </c>
      <c r="N2271" s="164"/>
      <c r="O2271" s="19"/>
      <c r="P2271" s="19"/>
      <c r="Q2271" s="19"/>
      <c r="R2271" s="20"/>
      <c r="S2271" s="20"/>
      <c r="T2271" s="164"/>
      <c r="U2271" s="154">
        <f t="shared" si="130"/>
        <v>2300</v>
      </c>
    </row>
    <row r="2272" spans="2:21" x14ac:dyDescent="0.2">
      <c r="B2272" s="8">
        <f t="shared" si="131"/>
        <v>102</v>
      </c>
      <c r="C2272" s="24"/>
      <c r="D2272" s="24"/>
      <c r="E2272" s="24"/>
      <c r="F2272" s="149" t="s">
        <v>80</v>
      </c>
      <c r="G2272" s="150">
        <v>640</v>
      </c>
      <c r="H2272" s="24" t="s">
        <v>139</v>
      </c>
      <c r="I2272" s="25">
        <f>I2273+I2275</f>
        <v>4000</v>
      </c>
      <c r="J2272" s="25">
        <f>SUM(J2273:J2275)</f>
        <v>4000</v>
      </c>
      <c r="K2272" s="25">
        <f>SUM(K2273:K2275)</f>
        <v>4000</v>
      </c>
      <c r="L2272" s="26">
        <f>SUM(L2273:L2275)</f>
        <v>4000</v>
      </c>
      <c r="M2272" s="26">
        <f>SUM(M2273:M2275)</f>
        <v>3000</v>
      </c>
      <c r="N2272" s="501"/>
      <c r="O2272" s="25"/>
      <c r="P2272" s="25"/>
      <c r="Q2272" s="25"/>
      <c r="R2272" s="26"/>
      <c r="S2272" s="26"/>
      <c r="T2272" s="501"/>
      <c r="U2272" s="151">
        <f t="shared" si="130"/>
        <v>4000</v>
      </c>
    </row>
    <row r="2273" spans="2:21" x14ac:dyDescent="0.2">
      <c r="B2273" s="8">
        <f t="shared" si="131"/>
        <v>103</v>
      </c>
      <c r="C2273" s="120"/>
      <c r="D2273" s="120"/>
      <c r="E2273" s="120"/>
      <c r="F2273" s="298"/>
      <c r="G2273" s="298"/>
      <c r="H2273" s="156" t="s">
        <v>246</v>
      </c>
      <c r="I2273" s="19">
        <v>2000</v>
      </c>
      <c r="J2273" s="157">
        <v>2000</v>
      </c>
      <c r="K2273" s="157">
        <v>2000</v>
      </c>
      <c r="L2273" s="158">
        <v>2000</v>
      </c>
      <c r="M2273" s="157">
        <v>1500</v>
      </c>
      <c r="N2273" s="535"/>
      <c r="O2273" s="157"/>
      <c r="P2273" s="157"/>
      <c r="Q2273" s="157"/>
      <c r="R2273" s="157"/>
      <c r="S2273" s="157"/>
      <c r="T2273" s="535"/>
      <c r="U2273" s="159">
        <f t="shared" si="130"/>
        <v>2000</v>
      </c>
    </row>
    <row r="2274" spans="2:21" x14ac:dyDescent="0.2">
      <c r="B2274" s="8">
        <f t="shared" si="131"/>
        <v>104</v>
      </c>
      <c r="C2274" s="120"/>
      <c r="D2274" s="120"/>
      <c r="E2274" s="120"/>
      <c r="F2274" s="298"/>
      <c r="G2274" s="298"/>
      <c r="H2274" s="156" t="s">
        <v>247</v>
      </c>
      <c r="I2274" s="19"/>
      <c r="J2274" s="157"/>
      <c r="K2274" s="157"/>
      <c r="L2274" s="158"/>
      <c r="M2274" s="157">
        <v>1500</v>
      </c>
      <c r="N2274" s="535"/>
      <c r="O2274" s="157"/>
      <c r="P2274" s="157"/>
      <c r="Q2274" s="157"/>
      <c r="R2274" s="157"/>
      <c r="S2274" s="157"/>
      <c r="T2274" s="535"/>
      <c r="U2274" s="159">
        <f t="shared" si="130"/>
        <v>0</v>
      </c>
    </row>
    <row r="2275" spans="2:21" x14ac:dyDescent="0.2">
      <c r="B2275" s="8">
        <f t="shared" si="131"/>
        <v>105</v>
      </c>
      <c r="C2275" s="120"/>
      <c r="D2275" s="120"/>
      <c r="E2275" s="120"/>
      <c r="F2275" s="298"/>
      <c r="G2275" s="298"/>
      <c r="H2275" s="156" t="s">
        <v>3</v>
      </c>
      <c r="I2275" s="19">
        <v>2000</v>
      </c>
      <c r="J2275" s="157">
        <v>2000</v>
      </c>
      <c r="K2275" s="157">
        <v>2000</v>
      </c>
      <c r="L2275" s="158">
        <v>2000</v>
      </c>
      <c r="M2275" s="157"/>
      <c r="N2275" s="535"/>
      <c r="O2275" s="157"/>
      <c r="P2275" s="157"/>
      <c r="Q2275" s="157"/>
      <c r="R2275" s="157"/>
      <c r="S2275" s="157"/>
      <c r="T2275" s="535"/>
      <c r="U2275" s="159">
        <f t="shared" si="130"/>
        <v>2000</v>
      </c>
    </row>
    <row r="2276" spans="2:21" ht="14.25" x14ac:dyDescent="0.2">
      <c r="B2276" s="8">
        <f t="shared" si="131"/>
        <v>106</v>
      </c>
      <c r="C2276" s="160"/>
      <c r="D2276" s="160">
        <v>2</v>
      </c>
      <c r="E2276" s="675" t="s">
        <v>63</v>
      </c>
      <c r="F2276" s="676"/>
      <c r="G2276" s="676"/>
      <c r="H2276" s="676"/>
      <c r="I2276" s="161">
        <f>I2280+I2277</f>
        <v>1151895</v>
      </c>
      <c r="J2276" s="161">
        <f>J2280+J2277</f>
        <v>1033595</v>
      </c>
      <c r="K2276" s="161">
        <f>K2280+K2277</f>
        <v>1081525</v>
      </c>
      <c r="L2276" s="162">
        <f>L2280+L2277</f>
        <v>855276</v>
      </c>
      <c r="M2276" s="162">
        <f>M2280+M2277</f>
        <v>832917</v>
      </c>
      <c r="N2276" s="534"/>
      <c r="O2276" s="161">
        <f>O2280</f>
        <v>25000</v>
      </c>
      <c r="P2276" s="161"/>
      <c r="Q2276" s="161">
        <f>Q2280</f>
        <v>46070</v>
      </c>
      <c r="R2276" s="162">
        <f>R2280</f>
        <v>2350</v>
      </c>
      <c r="S2276" s="162">
        <f>S2280</f>
        <v>42656</v>
      </c>
      <c r="T2276" s="534"/>
      <c r="U2276" s="163">
        <f t="shared" si="130"/>
        <v>1176895</v>
      </c>
    </row>
    <row r="2277" spans="2:21" x14ac:dyDescent="0.2">
      <c r="B2277" s="8">
        <f t="shared" si="131"/>
        <v>107</v>
      </c>
      <c r="C2277" s="24"/>
      <c r="D2277" s="24"/>
      <c r="E2277" s="24"/>
      <c r="F2277" s="149" t="s">
        <v>83</v>
      </c>
      <c r="G2277" s="150">
        <v>630</v>
      </c>
      <c r="H2277" s="24" t="s">
        <v>131</v>
      </c>
      <c r="I2277" s="25">
        <f>I2279+I2278</f>
        <v>0</v>
      </c>
      <c r="J2277" s="25"/>
      <c r="K2277" s="25">
        <f>K2279+K2278</f>
        <v>0</v>
      </c>
      <c r="L2277" s="26"/>
      <c r="M2277" s="26">
        <f>M2278+M2279</f>
        <v>22133</v>
      </c>
      <c r="N2277" s="501"/>
      <c r="O2277" s="25"/>
      <c r="P2277" s="25"/>
      <c r="Q2277" s="25"/>
      <c r="R2277" s="26"/>
      <c r="S2277" s="26"/>
      <c r="T2277" s="501"/>
      <c r="U2277" s="151">
        <f t="shared" si="130"/>
        <v>0</v>
      </c>
    </row>
    <row r="2278" spans="2:21" x14ac:dyDescent="0.2">
      <c r="B2278" s="8">
        <f t="shared" si="131"/>
        <v>108</v>
      </c>
      <c r="C2278" s="18"/>
      <c r="D2278" s="18"/>
      <c r="E2278" s="18"/>
      <c r="F2278" s="152"/>
      <c r="G2278" s="153">
        <v>633</v>
      </c>
      <c r="H2278" s="18" t="s">
        <v>135</v>
      </c>
      <c r="I2278" s="19"/>
      <c r="J2278" s="19"/>
      <c r="K2278" s="19"/>
      <c r="L2278" s="20"/>
      <c r="M2278" s="20">
        <v>18475</v>
      </c>
      <c r="N2278" s="164"/>
      <c r="O2278" s="19"/>
      <c r="P2278" s="19"/>
      <c r="Q2278" s="19"/>
      <c r="R2278" s="20"/>
      <c r="S2278" s="20"/>
      <c r="T2278" s="164"/>
      <c r="U2278" s="154">
        <f t="shared" si="130"/>
        <v>0</v>
      </c>
    </row>
    <row r="2279" spans="2:21" x14ac:dyDescent="0.2">
      <c r="B2279" s="8">
        <f t="shared" si="131"/>
        <v>109</v>
      </c>
      <c r="C2279" s="18"/>
      <c r="D2279" s="18"/>
      <c r="E2279" s="18"/>
      <c r="F2279" s="152"/>
      <c r="G2279" s="153">
        <v>637</v>
      </c>
      <c r="H2279" s="18" t="s">
        <v>132</v>
      </c>
      <c r="I2279" s="19"/>
      <c r="J2279" s="19"/>
      <c r="K2279" s="19"/>
      <c r="L2279" s="20"/>
      <c r="M2279" s="20">
        <v>3658</v>
      </c>
      <c r="N2279" s="164"/>
      <c r="O2279" s="19"/>
      <c r="P2279" s="19"/>
      <c r="Q2279" s="19"/>
      <c r="R2279" s="20"/>
      <c r="S2279" s="20"/>
      <c r="T2279" s="164"/>
      <c r="U2279" s="154">
        <f t="shared" si="130"/>
        <v>0</v>
      </c>
    </row>
    <row r="2280" spans="2:21" ht="14.25" x14ac:dyDescent="0.2">
      <c r="B2280" s="8">
        <f t="shared" ref="B2280:B2328" si="132">B2279+1</f>
        <v>110</v>
      </c>
      <c r="C2280" s="267"/>
      <c r="D2280" s="267"/>
      <c r="E2280" s="267">
        <v>5</v>
      </c>
      <c r="F2280" s="268"/>
      <c r="G2280" s="268"/>
      <c r="H2280" s="267" t="s">
        <v>114</v>
      </c>
      <c r="I2280" s="269">
        <f>I2281+I2282+I2283+I2291</f>
        <v>1151895</v>
      </c>
      <c r="J2280" s="269">
        <f>J2281+J2282+J2283+J2291</f>
        <v>1033595</v>
      </c>
      <c r="K2280" s="269">
        <f>K2281+K2282+K2283+K2291</f>
        <v>1081525</v>
      </c>
      <c r="L2280" s="270">
        <f>L2281+L2282+L2283+L2291</f>
        <v>855276</v>
      </c>
      <c r="M2280" s="270">
        <f>M2281+M2282+M2283+M2291</f>
        <v>810784</v>
      </c>
      <c r="N2280" s="534"/>
      <c r="O2280" s="269">
        <f>O2292</f>
        <v>25000</v>
      </c>
      <c r="P2280" s="269"/>
      <c r="Q2280" s="269">
        <f>Q2292</f>
        <v>46070</v>
      </c>
      <c r="R2280" s="270">
        <f>R2292</f>
        <v>2350</v>
      </c>
      <c r="S2280" s="270">
        <f>S2292</f>
        <v>42656</v>
      </c>
      <c r="T2280" s="534"/>
      <c r="U2280" s="271">
        <f t="shared" si="130"/>
        <v>1176895</v>
      </c>
    </row>
    <row r="2281" spans="2:21" x14ac:dyDescent="0.2">
      <c r="B2281" s="8">
        <f t="shared" si="132"/>
        <v>111</v>
      </c>
      <c r="C2281" s="24"/>
      <c r="D2281" s="24"/>
      <c r="E2281" s="24"/>
      <c r="F2281" s="149" t="s">
        <v>83</v>
      </c>
      <c r="G2281" s="150">
        <v>610</v>
      </c>
      <c r="H2281" s="24" t="s">
        <v>141</v>
      </c>
      <c r="I2281" s="25">
        <v>584100</v>
      </c>
      <c r="J2281" s="25">
        <v>495380</v>
      </c>
      <c r="K2281" s="25">
        <v>495380</v>
      </c>
      <c r="L2281" s="26">
        <v>416772</v>
      </c>
      <c r="M2281" s="26">
        <v>424958</v>
      </c>
      <c r="N2281" s="501"/>
      <c r="O2281" s="25"/>
      <c r="P2281" s="25"/>
      <c r="Q2281" s="25"/>
      <c r="R2281" s="26"/>
      <c r="S2281" s="26"/>
      <c r="T2281" s="501"/>
      <c r="U2281" s="151">
        <f t="shared" si="130"/>
        <v>584100</v>
      </c>
    </row>
    <row r="2282" spans="2:21" x14ac:dyDescent="0.2">
      <c r="B2282" s="8">
        <f t="shared" si="132"/>
        <v>112</v>
      </c>
      <c r="C2282" s="24"/>
      <c r="D2282" s="24"/>
      <c r="E2282" s="24"/>
      <c r="F2282" s="149" t="s">
        <v>83</v>
      </c>
      <c r="G2282" s="150">
        <v>620</v>
      </c>
      <c r="H2282" s="24" t="s">
        <v>134</v>
      </c>
      <c r="I2282" s="25">
        <v>197195</v>
      </c>
      <c r="J2282" s="25">
        <v>183900</v>
      </c>
      <c r="K2282" s="25">
        <v>183900</v>
      </c>
      <c r="L2282" s="26">
        <v>144603</v>
      </c>
      <c r="M2282" s="26">
        <v>152470</v>
      </c>
      <c r="N2282" s="501"/>
      <c r="O2282" s="25"/>
      <c r="P2282" s="25"/>
      <c r="Q2282" s="25"/>
      <c r="R2282" s="26"/>
      <c r="S2282" s="26"/>
      <c r="T2282" s="501"/>
      <c r="U2282" s="151">
        <f t="shared" si="130"/>
        <v>197195</v>
      </c>
    </row>
    <row r="2283" spans="2:21" x14ac:dyDescent="0.2">
      <c r="B2283" s="8">
        <f t="shared" si="132"/>
        <v>113</v>
      </c>
      <c r="C2283" s="24"/>
      <c r="D2283" s="24"/>
      <c r="E2283" s="24"/>
      <c r="F2283" s="149" t="s">
        <v>83</v>
      </c>
      <c r="G2283" s="150">
        <v>630</v>
      </c>
      <c r="H2283" s="24" t="s">
        <v>131</v>
      </c>
      <c r="I2283" s="25">
        <f>I2290+I2289+I2288+I2287+I2286+I2285+I2284</f>
        <v>337900</v>
      </c>
      <c r="J2283" s="25">
        <f>J2290+J2289+J2288+J2287+J2286+J2285+J2284</f>
        <v>333410</v>
      </c>
      <c r="K2283" s="25">
        <f>K2290+K2289+K2288+K2287+K2286+K2285+K2284</f>
        <v>378340</v>
      </c>
      <c r="L2283" s="26">
        <f>L2290+L2289+L2288+L2287+L2286+L2285+L2284</f>
        <v>282033</v>
      </c>
      <c r="M2283" s="26">
        <f>M2290+M2289+M2288+M2287+M2286+M2285+M2284</f>
        <v>230744</v>
      </c>
      <c r="N2283" s="501"/>
      <c r="O2283" s="25"/>
      <c r="P2283" s="25"/>
      <c r="Q2283" s="25"/>
      <c r="R2283" s="26"/>
      <c r="S2283" s="26"/>
      <c r="T2283" s="501"/>
      <c r="U2283" s="151">
        <f t="shared" si="130"/>
        <v>337900</v>
      </c>
    </row>
    <row r="2284" spans="2:21" x14ac:dyDescent="0.2">
      <c r="B2284" s="8">
        <f t="shared" si="132"/>
        <v>114</v>
      </c>
      <c r="C2284" s="18"/>
      <c r="D2284" s="18"/>
      <c r="E2284" s="18"/>
      <c r="F2284" s="152"/>
      <c r="G2284" s="153">
        <v>631</v>
      </c>
      <c r="H2284" s="18" t="s">
        <v>137</v>
      </c>
      <c r="I2284" s="19">
        <v>100</v>
      </c>
      <c r="J2284" s="19">
        <v>100</v>
      </c>
      <c r="K2284" s="19">
        <v>100</v>
      </c>
      <c r="L2284" s="20"/>
      <c r="M2284" s="20">
        <v>0</v>
      </c>
      <c r="N2284" s="164"/>
      <c r="O2284" s="19"/>
      <c r="P2284" s="19"/>
      <c r="Q2284" s="19"/>
      <c r="R2284" s="20"/>
      <c r="S2284" s="20"/>
      <c r="T2284" s="164"/>
      <c r="U2284" s="154">
        <f t="shared" si="130"/>
        <v>100</v>
      </c>
    </row>
    <row r="2285" spans="2:21" x14ac:dyDescent="0.2">
      <c r="B2285" s="8">
        <f t="shared" si="132"/>
        <v>115</v>
      </c>
      <c r="C2285" s="18"/>
      <c r="D2285" s="18"/>
      <c r="E2285" s="18"/>
      <c r="F2285" s="152"/>
      <c r="G2285" s="153">
        <v>632</v>
      </c>
      <c r="H2285" s="18" t="s">
        <v>144</v>
      </c>
      <c r="I2285" s="19">
        <v>133500</v>
      </c>
      <c r="J2285" s="19">
        <v>140150</v>
      </c>
      <c r="K2285" s="19">
        <v>133150</v>
      </c>
      <c r="L2285" s="20">
        <v>77288</v>
      </c>
      <c r="M2285" s="20">
        <v>55762</v>
      </c>
      <c r="N2285" s="164"/>
      <c r="O2285" s="19"/>
      <c r="P2285" s="19"/>
      <c r="Q2285" s="19"/>
      <c r="R2285" s="20"/>
      <c r="S2285" s="20"/>
      <c r="T2285" s="164"/>
      <c r="U2285" s="154">
        <f t="shared" si="130"/>
        <v>133500</v>
      </c>
    </row>
    <row r="2286" spans="2:21" x14ac:dyDescent="0.2">
      <c r="B2286" s="8">
        <f t="shared" si="132"/>
        <v>116</v>
      </c>
      <c r="C2286" s="18"/>
      <c r="D2286" s="18"/>
      <c r="E2286" s="18"/>
      <c r="F2286" s="152"/>
      <c r="G2286" s="153">
        <v>633</v>
      </c>
      <c r="H2286" s="18" t="s">
        <v>135</v>
      </c>
      <c r="I2286" s="19">
        <v>30000</v>
      </c>
      <c r="J2286" s="19">
        <v>20280</v>
      </c>
      <c r="K2286" s="19">
        <v>22280</v>
      </c>
      <c r="L2286" s="20">
        <v>26080</v>
      </c>
      <c r="M2286" s="20">
        <v>26981</v>
      </c>
      <c r="N2286" s="164"/>
      <c r="O2286" s="19"/>
      <c r="P2286" s="19"/>
      <c r="Q2286" s="19"/>
      <c r="R2286" s="20"/>
      <c r="S2286" s="20"/>
      <c r="T2286" s="164"/>
      <c r="U2286" s="154">
        <f t="shared" si="130"/>
        <v>30000</v>
      </c>
    </row>
    <row r="2287" spans="2:21" x14ac:dyDescent="0.2">
      <c r="B2287" s="8">
        <f t="shared" si="132"/>
        <v>117</v>
      </c>
      <c r="C2287" s="18"/>
      <c r="D2287" s="18"/>
      <c r="E2287" s="18"/>
      <c r="F2287" s="152"/>
      <c r="G2287" s="153">
        <v>634</v>
      </c>
      <c r="H2287" s="18" t="s">
        <v>142</v>
      </c>
      <c r="I2287" s="19">
        <v>1800</v>
      </c>
      <c r="J2287" s="19">
        <v>1780</v>
      </c>
      <c r="K2287" s="19">
        <v>1780</v>
      </c>
      <c r="L2287" s="20">
        <v>1269</v>
      </c>
      <c r="M2287" s="20">
        <v>820</v>
      </c>
      <c r="N2287" s="164"/>
      <c r="O2287" s="19"/>
      <c r="P2287" s="19"/>
      <c r="Q2287" s="19"/>
      <c r="R2287" s="20"/>
      <c r="S2287" s="20"/>
      <c r="T2287" s="164"/>
      <c r="U2287" s="154">
        <f t="shared" si="130"/>
        <v>1800</v>
      </c>
    </row>
    <row r="2288" spans="2:21" x14ac:dyDescent="0.2">
      <c r="B2288" s="8">
        <f t="shared" si="132"/>
        <v>118</v>
      </c>
      <c r="C2288" s="18"/>
      <c r="D2288" s="18"/>
      <c r="E2288" s="18"/>
      <c r="F2288" s="152"/>
      <c r="G2288" s="153">
        <v>635</v>
      </c>
      <c r="H2288" s="18" t="s">
        <v>143</v>
      </c>
      <c r="I2288" s="19">
        <v>11500</v>
      </c>
      <c r="J2288" s="19">
        <v>15600</v>
      </c>
      <c r="K2288" s="19">
        <v>7930</v>
      </c>
      <c r="L2288" s="20">
        <v>16479</v>
      </c>
      <c r="M2288" s="20">
        <v>1924</v>
      </c>
      <c r="N2288" s="164"/>
      <c r="O2288" s="19"/>
      <c r="P2288" s="19"/>
      <c r="Q2288" s="19"/>
      <c r="R2288" s="20"/>
      <c r="S2288" s="20"/>
      <c r="T2288" s="164"/>
      <c r="U2288" s="154">
        <f t="shared" si="130"/>
        <v>11500</v>
      </c>
    </row>
    <row r="2289" spans="2:21" x14ac:dyDescent="0.2">
      <c r="B2289" s="8">
        <f t="shared" si="132"/>
        <v>119</v>
      </c>
      <c r="C2289" s="18"/>
      <c r="D2289" s="18"/>
      <c r="E2289" s="18"/>
      <c r="F2289" s="152"/>
      <c r="G2289" s="153">
        <v>636</v>
      </c>
      <c r="H2289" s="18" t="s">
        <v>136</v>
      </c>
      <c r="I2289" s="19">
        <v>1000</v>
      </c>
      <c r="J2289" s="19">
        <v>2400</v>
      </c>
      <c r="K2289" s="19">
        <v>2400</v>
      </c>
      <c r="L2289" s="20">
        <v>1422</v>
      </c>
      <c r="M2289" s="20">
        <v>2850</v>
      </c>
      <c r="N2289" s="164"/>
      <c r="O2289" s="19"/>
      <c r="P2289" s="19"/>
      <c r="Q2289" s="19"/>
      <c r="R2289" s="20"/>
      <c r="S2289" s="20"/>
      <c r="T2289" s="164"/>
      <c r="U2289" s="154">
        <f t="shared" si="130"/>
        <v>1000</v>
      </c>
    </row>
    <row r="2290" spans="2:21" x14ac:dyDescent="0.2">
      <c r="B2290" s="8">
        <f t="shared" si="132"/>
        <v>120</v>
      </c>
      <c r="C2290" s="18"/>
      <c r="D2290" s="18"/>
      <c r="E2290" s="18"/>
      <c r="F2290" s="152"/>
      <c r="G2290" s="153">
        <v>637</v>
      </c>
      <c r="H2290" s="18" t="s">
        <v>132</v>
      </c>
      <c r="I2290" s="19">
        <v>160000</v>
      </c>
      <c r="J2290" s="19">
        <v>153100</v>
      </c>
      <c r="K2290" s="19">
        <v>210700</v>
      </c>
      <c r="L2290" s="20">
        <v>159495</v>
      </c>
      <c r="M2290" s="20">
        <f>140671+1736</f>
        <v>142407</v>
      </c>
      <c r="N2290" s="164"/>
      <c r="O2290" s="19"/>
      <c r="P2290" s="19"/>
      <c r="Q2290" s="19"/>
      <c r="R2290" s="20"/>
      <c r="S2290" s="20"/>
      <c r="T2290" s="164"/>
      <c r="U2290" s="154">
        <f t="shared" si="130"/>
        <v>160000</v>
      </c>
    </row>
    <row r="2291" spans="2:21" x14ac:dyDescent="0.2">
      <c r="B2291" s="8">
        <f t="shared" si="132"/>
        <v>121</v>
      </c>
      <c r="C2291" s="24"/>
      <c r="D2291" s="24"/>
      <c r="E2291" s="24"/>
      <c r="F2291" s="149" t="s">
        <v>83</v>
      </c>
      <c r="G2291" s="150">
        <v>640</v>
      </c>
      <c r="H2291" s="24" t="s">
        <v>139</v>
      </c>
      <c r="I2291" s="25">
        <f>5880+22320+4500</f>
        <v>32700</v>
      </c>
      <c r="J2291" s="25">
        <v>20905</v>
      </c>
      <c r="K2291" s="25">
        <v>23905</v>
      </c>
      <c r="L2291" s="26">
        <v>11868</v>
      </c>
      <c r="M2291" s="26">
        <v>2612</v>
      </c>
      <c r="N2291" s="501"/>
      <c r="O2291" s="25"/>
      <c r="P2291" s="25"/>
      <c r="Q2291" s="25"/>
      <c r="R2291" s="26"/>
      <c r="S2291" s="26"/>
      <c r="T2291" s="501"/>
      <c r="U2291" s="151">
        <f t="shared" si="130"/>
        <v>32700</v>
      </c>
    </row>
    <row r="2292" spans="2:21" x14ac:dyDescent="0.2">
      <c r="B2292" s="8">
        <f t="shared" si="132"/>
        <v>122</v>
      </c>
      <c r="C2292" s="24"/>
      <c r="D2292" s="24"/>
      <c r="E2292" s="24"/>
      <c r="F2292" s="149" t="s">
        <v>83</v>
      </c>
      <c r="G2292" s="150">
        <v>710</v>
      </c>
      <c r="H2292" s="24" t="s">
        <v>185</v>
      </c>
      <c r="I2292" s="25"/>
      <c r="J2292" s="25"/>
      <c r="K2292" s="25"/>
      <c r="L2292" s="26"/>
      <c r="M2292" s="26"/>
      <c r="N2292" s="501"/>
      <c r="O2292" s="25">
        <f>O2293+O2296</f>
        <v>25000</v>
      </c>
      <c r="P2292" s="25"/>
      <c r="Q2292" s="25">
        <f>Q2293+Q2296</f>
        <v>46070</v>
      </c>
      <c r="R2292" s="26">
        <f>R2293+R2296</f>
        <v>2350</v>
      </c>
      <c r="S2292" s="26">
        <f>S2293+S2296</f>
        <v>42656</v>
      </c>
      <c r="T2292" s="501"/>
      <c r="U2292" s="151">
        <f t="shared" si="130"/>
        <v>25000</v>
      </c>
    </row>
    <row r="2293" spans="2:21" x14ac:dyDescent="0.2">
      <c r="B2293" s="8">
        <f t="shared" si="132"/>
        <v>123</v>
      </c>
      <c r="C2293" s="18"/>
      <c r="D2293" s="18"/>
      <c r="E2293" s="18"/>
      <c r="F2293" s="152"/>
      <c r="G2293" s="153">
        <v>713</v>
      </c>
      <c r="H2293" s="18" t="s">
        <v>230</v>
      </c>
      <c r="I2293" s="19"/>
      <c r="J2293" s="19"/>
      <c r="K2293" s="19"/>
      <c r="L2293" s="20"/>
      <c r="M2293" s="20"/>
      <c r="N2293" s="164"/>
      <c r="O2293" s="19"/>
      <c r="P2293" s="19"/>
      <c r="Q2293" s="19"/>
      <c r="R2293" s="20">
        <f>SUM(R2294:R2295)</f>
        <v>2350</v>
      </c>
      <c r="S2293" s="20">
        <f>SUM(S2294:S2294)</f>
        <v>3996</v>
      </c>
      <c r="T2293" s="164"/>
      <c r="U2293" s="154">
        <f t="shared" si="130"/>
        <v>0</v>
      </c>
    </row>
    <row r="2294" spans="2:21" s="318" customFormat="1" ht="12" x14ac:dyDescent="0.2">
      <c r="B2294" s="8">
        <f t="shared" si="132"/>
        <v>124</v>
      </c>
      <c r="C2294" s="120"/>
      <c r="D2294" s="120"/>
      <c r="E2294" s="120"/>
      <c r="F2294" s="317"/>
      <c r="G2294" s="298"/>
      <c r="H2294" s="156" t="s">
        <v>602</v>
      </c>
      <c r="I2294" s="157"/>
      <c r="J2294" s="157"/>
      <c r="K2294" s="157"/>
      <c r="L2294" s="157"/>
      <c r="M2294" s="157"/>
      <c r="N2294" s="535"/>
      <c r="O2294" s="157"/>
      <c r="P2294" s="157"/>
      <c r="Q2294" s="157"/>
      <c r="R2294" s="157"/>
      <c r="S2294" s="157">
        <v>3996</v>
      </c>
      <c r="T2294" s="535"/>
      <c r="U2294" s="159">
        <f t="shared" si="130"/>
        <v>0</v>
      </c>
    </row>
    <row r="2295" spans="2:21" s="318" customFormat="1" ht="12" x14ac:dyDescent="0.2">
      <c r="B2295" s="8">
        <f t="shared" si="132"/>
        <v>125</v>
      </c>
      <c r="C2295" s="120"/>
      <c r="D2295" s="120"/>
      <c r="E2295" s="120"/>
      <c r="F2295" s="317"/>
      <c r="G2295" s="298"/>
      <c r="H2295" s="156" t="s">
        <v>805</v>
      </c>
      <c r="I2295" s="157"/>
      <c r="J2295" s="157"/>
      <c r="K2295" s="157"/>
      <c r="L2295" s="157"/>
      <c r="M2295" s="157"/>
      <c r="N2295" s="535"/>
      <c r="O2295" s="157"/>
      <c r="P2295" s="157"/>
      <c r="Q2295" s="157"/>
      <c r="R2295" s="157">
        <v>2350</v>
      </c>
      <c r="S2295" s="157"/>
      <c r="T2295" s="535"/>
      <c r="U2295" s="159">
        <f t="shared" si="130"/>
        <v>0</v>
      </c>
    </row>
    <row r="2296" spans="2:21" x14ac:dyDescent="0.2">
      <c r="B2296" s="8">
        <f t="shared" si="132"/>
        <v>126</v>
      </c>
      <c r="C2296" s="18"/>
      <c r="D2296" s="18"/>
      <c r="E2296" s="18"/>
      <c r="F2296" s="152"/>
      <c r="G2296" s="153">
        <v>717</v>
      </c>
      <c r="H2296" s="18" t="s">
        <v>192</v>
      </c>
      <c r="I2296" s="19"/>
      <c r="J2296" s="19"/>
      <c r="K2296" s="19"/>
      <c r="L2296" s="20"/>
      <c r="M2296" s="20"/>
      <c r="N2296" s="164"/>
      <c r="O2296" s="19">
        <f>SUM(O2298:O2302)</f>
        <v>25000</v>
      </c>
      <c r="P2296" s="19"/>
      <c r="Q2296" s="19">
        <f>SUM(Q2300:Q2302)</f>
        <v>46070</v>
      </c>
      <c r="R2296" s="20"/>
      <c r="S2296" s="20">
        <f>SUM(S2297:S2302)</f>
        <v>38660</v>
      </c>
      <c r="T2296" s="164"/>
      <c r="U2296" s="154">
        <f t="shared" si="130"/>
        <v>25000</v>
      </c>
    </row>
    <row r="2297" spans="2:21" s="318" customFormat="1" ht="12" x14ac:dyDescent="0.2">
      <c r="B2297" s="8">
        <f t="shared" si="132"/>
        <v>127</v>
      </c>
      <c r="C2297" s="120"/>
      <c r="D2297" s="120"/>
      <c r="E2297" s="120"/>
      <c r="F2297" s="317"/>
      <c r="G2297" s="298"/>
      <c r="H2297" s="156" t="s">
        <v>520</v>
      </c>
      <c r="I2297" s="158"/>
      <c r="J2297" s="158"/>
      <c r="K2297" s="157"/>
      <c r="L2297" s="158"/>
      <c r="M2297" s="158"/>
      <c r="N2297" s="541"/>
      <c r="O2297" s="158"/>
      <c r="P2297" s="158"/>
      <c r="Q2297" s="158"/>
      <c r="R2297" s="158"/>
      <c r="S2297" s="158">
        <v>19175</v>
      </c>
      <c r="T2297" s="541"/>
      <c r="U2297" s="181">
        <f t="shared" si="130"/>
        <v>0</v>
      </c>
    </row>
    <row r="2298" spans="2:21" s="318" customFormat="1" ht="12" x14ac:dyDescent="0.2">
      <c r="B2298" s="8">
        <f t="shared" si="132"/>
        <v>128</v>
      </c>
      <c r="C2298" s="120"/>
      <c r="D2298" s="120"/>
      <c r="E2298" s="120"/>
      <c r="F2298" s="317"/>
      <c r="G2298" s="298"/>
      <c r="H2298" s="156" t="s">
        <v>948</v>
      </c>
      <c r="I2298" s="158"/>
      <c r="J2298" s="158"/>
      <c r="K2298" s="157"/>
      <c r="L2298" s="158"/>
      <c r="M2298" s="158"/>
      <c r="N2298" s="541"/>
      <c r="O2298" s="158">
        <v>25000</v>
      </c>
      <c r="P2298" s="158"/>
      <c r="Q2298" s="158"/>
      <c r="R2298" s="158"/>
      <c r="S2298" s="158"/>
      <c r="T2298" s="541"/>
      <c r="U2298" s="181">
        <f t="shared" si="130"/>
        <v>25000</v>
      </c>
    </row>
    <row r="2299" spans="2:21" s="318" customFormat="1" ht="12" x14ac:dyDescent="0.2">
      <c r="B2299" s="8">
        <f t="shared" si="132"/>
        <v>129</v>
      </c>
      <c r="C2299" s="120"/>
      <c r="D2299" s="120"/>
      <c r="E2299" s="120"/>
      <c r="F2299" s="317"/>
      <c r="G2299" s="298"/>
      <c r="H2299" s="156" t="s">
        <v>543</v>
      </c>
      <c r="I2299" s="158"/>
      <c r="J2299" s="158"/>
      <c r="K2299" s="157"/>
      <c r="L2299" s="158"/>
      <c r="M2299" s="158"/>
      <c r="N2299" s="541"/>
      <c r="O2299" s="158"/>
      <c r="P2299" s="158"/>
      <c r="Q2299" s="157"/>
      <c r="R2299" s="158"/>
      <c r="S2299" s="158">
        <v>19485</v>
      </c>
      <c r="T2299" s="541"/>
      <c r="U2299" s="181">
        <f t="shared" si="130"/>
        <v>0</v>
      </c>
    </row>
    <row r="2300" spans="2:21" s="318" customFormat="1" ht="12" x14ac:dyDescent="0.2">
      <c r="B2300" s="8">
        <f t="shared" si="132"/>
        <v>130</v>
      </c>
      <c r="C2300" s="120"/>
      <c r="D2300" s="120"/>
      <c r="E2300" s="120"/>
      <c r="F2300" s="317"/>
      <c r="G2300" s="298"/>
      <c r="H2300" s="156" t="s">
        <v>1035</v>
      </c>
      <c r="I2300" s="158"/>
      <c r="J2300" s="158"/>
      <c r="K2300" s="157"/>
      <c r="L2300" s="158"/>
      <c r="M2300" s="158"/>
      <c r="N2300" s="541"/>
      <c r="O2300" s="158"/>
      <c r="P2300" s="158"/>
      <c r="Q2300" s="157">
        <v>4400</v>
      </c>
      <c r="R2300" s="158"/>
      <c r="S2300" s="158"/>
      <c r="T2300" s="541"/>
      <c r="U2300" s="181">
        <f t="shared" si="130"/>
        <v>0</v>
      </c>
    </row>
    <row r="2301" spans="2:21" s="318" customFormat="1" ht="12" x14ac:dyDescent="0.2">
      <c r="B2301" s="8">
        <f t="shared" si="132"/>
        <v>131</v>
      </c>
      <c r="C2301" s="120"/>
      <c r="D2301" s="120"/>
      <c r="E2301" s="120"/>
      <c r="F2301" s="317"/>
      <c r="G2301" s="298"/>
      <c r="H2301" s="156" t="s">
        <v>1036</v>
      </c>
      <c r="I2301" s="158"/>
      <c r="J2301" s="158"/>
      <c r="K2301" s="157"/>
      <c r="L2301" s="158"/>
      <c r="M2301" s="158"/>
      <c r="N2301" s="541"/>
      <c r="O2301" s="158"/>
      <c r="P2301" s="158"/>
      <c r="Q2301" s="157">
        <v>22240</v>
      </c>
      <c r="R2301" s="158"/>
      <c r="S2301" s="158"/>
      <c r="T2301" s="541"/>
      <c r="U2301" s="181">
        <f t="shared" si="130"/>
        <v>0</v>
      </c>
    </row>
    <row r="2302" spans="2:21" s="318" customFormat="1" ht="12" x14ac:dyDescent="0.2">
      <c r="B2302" s="8">
        <f t="shared" si="132"/>
        <v>132</v>
      </c>
      <c r="C2302" s="120"/>
      <c r="D2302" s="120"/>
      <c r="E2302" s="120"/>
      <c r="F2302" s="317"/>
      <c r="G2302" s="298"/>
      <c r="H2302" s="156" t="s">
        <v>1037</v>
      </c>
      <c r="I2302" s="158"/>
      <c r="J2302" s="158"/>
      <c r="K2302" s="157"/>
      <c r="L2302" s="158"/>
      <c r="M2302" s="158"/>
      <c r="N2302" s="541"/>
      <c r="O2302" s="158"/>
      <c r="P2302" s="158"/>
      <c r="Q2302" s="157">
        <v>19430</v>
      </c>
      <c r="R2302" s="158"/>
      <c r="S2302" s="158"/>
      <c r="T2302" s="541"/>
      <c r="U2302" s="181">
        <f t="shared" si="130"/>
        <v>0</v>
      </c>
    </row>
    <row r="2303" spans="2:21" ht="14.25" x14ac:dyDescent="0.2">
      <c r="B2303" s="8">
        <f t="shared" si="132"/>
        <v>133</v>
      </c>
      <c r="C2303" s="160"/>
      <c r="D2303" s="160">
        <v>3</v>
      </c>
      <c r="E2303" s="675" t="s">
        <v>605</v>
      </c>
      <c r="F2303" s="676"/>
      <c r="G2303" s="676"/>
      <c r="H2303" s="676"/>
      <c r="I2303" s="161">
        <f>I2304</f>
        <v>81000</v>
      </c>
      <c r="J2303" s="161">
        <f>J2304</f>
        <v>102203</v>
      </c>
      <c r="K2303" s="161">
        <f>K2304</f>
        <v>104203</v>
      </c>
      <c r="L2303" s="162">
        <f>L2304</f>
        <v>23790</v>
      </c>
      <c r="M2303" s="162">
        <f>M2304</f>
        <v>17984</v>
      </c>
      <c r="N2303" s="534"/>
      <c r="O2303" s="161"/>
      <c r="P2303" s="161">
        <f>P2309</f>
        <v>0</v>
      </c>
      <c r="Q2303" s="161">
        <f>Q2309</f>
        <v>0</v>
      </c>
      <c r="R2303" s="162">
        <f>R2309</f>
        <v>0</v>
      </c>
      <c r="S2303" s="162">
        <f>S2309</f>
        <v>7042</v>
      </c>
      <c r="T2303" s="534"/>
      <c r="U2303" s="163">
        <f t="shared" si="130"/>
        <v>81000</v>
      </c>
    </row>
    <row r="2304" spans="2:21" x14ac:dyDescent="0.2">
      <c r="B2304" s="8">
        <f t="shared" si="132"/>
        <v>134</v>
      </c>
      <c r="C2304" s="24"/>
      <c r="D2304" s="24"/>
      <c r="E2304" s="24"/>
      <c r="F2304" s="149" t="s">
        <v>83</v>
      </c>
      <c r="G2304" s="150">
        <v>630</v>
      </c>
      <c r="H2304" s="24" t="s">
        <v>131</v>
      </c>
      <c r="I2304" s="25">
        <f>I2308+I2307+I2306+I2305</f>
        <v>81000</v>
      </c>
      <c r="J2304" s="25">
        <f>J2308+J2307+J2306+J2305</f>
        <v>102203</v>
      </c>
      <c r="K2304" s="25">
        <f>K2308+K2307+K2306+K2305</f>
        <v>104203</v>
      </c>
      <c r="L2304" s="26">
        <f>L2308+L2307+L2306+L2305</f>
        <v>23790</v>
      </c>
      <c r="M2304" s="26">
        <f>M2308+M2307+M2306+M2305</f>
        <v>17984</v>
      </c>
      <c r="N2304" s="501"/>
      <c r="O2304" s="25"/>
      <c r="P2304" s="25"/>
      <c r="Q2304" s="25"/>
      <c r="R2304" s="26"/>
      <c r="S2304" s="26"/>
      <c r="T2304" s="501"/>
      <c r="U2304" s="151">
        <f t="shared" si="130"/>
        <v>81000</v>
      </c>
    </row>
    <row r="2305" spans="2:21" x14ac:dyDescent="0.2">
      <c r="B2305" s="8">
        <f t="shared" si="132"/>
        <v>135</v>
      </c>
      <c r="C2305" s="18"/>
      <c r="D2305" s="18"/>
      <c r="E2305" s="18"/>
      <c r="F2305" s="152"/>
      <c r="G2305" s="153">
        <v>632</v>
      </c>
      <c r="H2305" s="18" t="s">
        <v>144</v>
      </c>
      <c r="I2305" s="19">
        <v>70000</v>
      </c>
      <c r="J2305" s="19">
        <v>92163</v>
      </c>
      <c r="K2305" s="19">
        <v>92163</v>
      </c>
      <c r="L2305" s="20">
        <v>21492</v>
      </c>
      <c r="M2305" s="20">
        <v>15437</v>
      </c>
      <c r="N2305" s="164"/>
      <c r="O2305" s="19"/>
      <c r="P2305" s="19"/>
      <c r="Q2305" s="19"/>
      <c r="R2305" s="20"/>
      <c r="S2305" s="20"/>
      <c r="T2305" s="164"/>
      <c r="U2305" s="154">
        <f t="shared" si="130"/>
        <v>70000</v>
      </c>
    </row>
    <row r="2306" spans="2:21" x14ac:dyDescent="0.2">
      <c r="B2306" s="8">
        <f t="shared" si="132"/>
        <v>136</v>
      </c>
      <c r="C2306" s="18"/>
      <c r="D2306" s="18"/>
      <c r="E2306" s="18"/>
      <c r="F2306" s="152"/>
      <c r="G2306" s="153">
        <v>633</v>
      </c>
      <c r="H2306" s="18" t="s">
        <v>135</v>
      </c>
      <c r="I2306" s="19">
        <v>2500</v>
      </c>
      <c r="J2306" s="19">
        <v>2000</v>
      </c>
      <c r="K2306" s="19">
        <v>2000</v>
      </c>
      <c r="L2306" s="20">
        <v>1988</v>
      </c>
      <c r="M2306" s="20">
        <v>1643</v>
      </c>
      <c r="N2306" s="164"/>
      <c r="O2306" s="19"/>
      <c r="P2306" s="19"/>
      <c r="Q2306" s="19"/>
      <c r="R2306" s="20"/>
      <c r="S2306" s="20"/>
      <c r="T2306" s="164"/>
      <c r="U2306" s="154">
        <f t="shared" si="130"/>
        <v>2500</v>
      </c>
    </row>
    <row r="2307" spans="2:21" x14ac:dyDescent="0.2">
      <c r="B2307" s="8">
        <f t="shared" si="132"/>
        <v>137</v>
      </c>
      <c r="C2307" s="18"/>
      <c r="D2307" s="18"/>
      <c r="E2307" s="18"/>
      <c r="F2307" s="152"/>
      <c r="G2307" s="153">
        <v>635</v>
      </c>
      <c r="H2307" s="18" t="s">
        <v>143</v>
      </c>
      <c r="I2307" s="19">
        <v>5200</v>
      </c>
      <c r="J2307" s="19">
        <v>5000</v>
      </c>
      <c r="K2307" s="19">
        <v>7000</v>
      </c>
      <c r="L2307" s="20">
        <v>80</v>
      </c>
      <c r="M2307" s="20"/>
      <c r="N2307" s="164"/>
      <c r="O2307" s="19"/>
      <c r="P2307" s="19"/>
      <c r="Q2307" s="19"/>
      <c r="R2307" s="20"/>
      <c r="S2307" s="20"/>
      <c r="T2307" s="164"/>
      <c r="U2307" s="154">
        <f t="shared" si="130"/>
        <v>5200</v>
      </c>
    </row>
    <row r="2308" spans="2:21" x14ac:dyDescent="0.2">
      <c r="B2308" s="8">
        <f t="shared" si="132"/>
        <v>138</v>
      </c>
      <c r="C2308" s="18"/>
      <c r="D2308" s="18"/>
      <c r="E2308" s="18"/>
      <c r="F2308" s="152"/>
      <c r="G2308" s="153">
        <v>637</v>
      </c>
      <c r="H2308" s="18" t="s">
        <v>132</v>
      </c>
      <c r="I2308" s="19">
        <v>3300</v>
      </c>
      <c r="J2308" s="19">
        <v>3040</v>
      </c>
      <c r="K2308" s="19">
        <v>3040</v>
      </c>
      <c r="L2308" s="20">
        <v>230</v>
      </c>
      <c r="M2308" s="20">
        <v>904</v>
      </c>
      <c r="N2308" s="164"/>
      <c r="O2308" s="19"/>
      <c r="P2308" s="19"/>
      <c r="Q2308" s="19"/>
      <c r="R2308" s="20"/>
      <c r="S2308" s="20"/>
      <c r="T2308" s="164"/>
      <c r="U2308" s="154">
        <f t="shared" ref="U2308:U2373" si="133">I2308+O2308</f>
        <v>3300</v>
      </c>
    </row>
    <row r="2309" spans="2:21" x14ac:dyDescent="0.2">
      <c r="B2309" s="8">
        <f t="shared" si="132"/>
        <v>139</v>
      </c>
      <c r="C2309" s="18"/>
      <c r="D2309" s="18"/>
      <c r="E2309" s="18"/>
      <c r="F2309" s="149" t="s">
        <v>83</v>
      </c>
      <c r="G2309" s="150">
        <v>710</v>
      </c>
      <c r="H2309" s="24" t="s">
        <v>185</v>
      </c>
      <c r="I2309" s="19"/>
      <c r="J2309" s="19"/>
      <c r="K2309" s="19"/>
      <c r="L2309" s="20"/>
      <c r="M2309" s="20"/>
      <c r="N2309" s="164"/>
      <c r="O2309" s="19"/>
      <c r="P2309" s="19"/>
      <c r="Q2309" s="19">
        <f>Q2310</f>
        <v>0</v>
      </c>
      <c r="R2309" s="20">
        <f>R2310</f>
        <v>0</v>
      </c>
      <c r="S2309" s="20">
        <f>S2310</f>
        <v>7042</v>
      </c>
      <c r="T2309" s="164"/>
      <c r="U2309" s="154">
        <f t="shared" si="133"/>
        <v>0</v>
      </c>
    </row>
    <row r="2310" spans="2:21" x14ac:dyDescent="0.2">
      <c r="B2310" s="8">
        <f t="shared" si="132"/>
        <v>140</v>
      </c>
      <c r="C2310" s="18"/>
      <c r="D2310" s="18"/>
      <c r="E2310" s="18"/>
      <c r="F2310" s="152"/>
      <c r="G2310" s="153">
        <v>713</v>
      </c>
      <c r="H2310" s="18" t="s">
        <v>230</v>
      </c>
      <c r="I2310" s="19"/>
      <c r="J2310" s="19"/>
      <c r="K2310" s="19"/>
      <c r="L2310" s="20"/>
      <c r="M2310" s="20"/>
      <c r="N2310" s="164"/>
      <c r="O2310" s="19"/>
      <c r="P2310" s="19"/>
      <c r="Q2310" s="19">
        <f>Q2311</f>
        <v>0</v>
      </c>
      <c r="R2310" s="20"/>
      <c r="S2310" s="20">
        <f>SUM(S2311:S2312)</f>
        <v>7042</v>
      </c>
      <c r="T2310" s="164"/>
      <c r="U2310" s="154">
        <f t="shared" si="133"/>
        <v>0</v>
      </c>
    </row>
    <row r="2311" spans="2:21" x14ac:dyDescent="0.2">
      <c r="B2311" s="8">
        <f t="shared" si="132"/>
        <v>141</v>
      </c>
      <c r="C2311" s="18"/>
      <c r="D2311" s="18"/>
      <c r="E2311" s="18"/>
      <c r="F2311" s="152"/>
      <c r="G2311" s="153"/>
      <c r="H2311" s="156" t="s">
        <v>544</v>
      </c>
      <c r="I2311" s="19"/>
      <c r="J2311" s="19"/>
      <c r="K2311" s="19"/>
      <c r="L2311" s="20"/>
      <c r="M2311" s="20"/>
      <c r="N2311" s="164"/>
      <c r="O2311" s="19"/>
      <c r="P2311" s="19"/>
      <c r="Q2311" s="19"/>
      <c r="R2311" s="158"/>
      <c r="S2311" s="158">
        <v>3190</v>
      </c>
      <c r="T2311" s="164"/>
      <c r="U2311" s="154">
        <f t="shared" si="133"/>
        <v>0</v>
      </c>
    </row>
    <row r="2312" spans="2:21" x14ac:dyDescent="0.2">
      <c r="B2312" s="8">
        <f t="shared" si="132"/>
        <v>142</v>
      </c>
      <c r="C2312" s="18"/>
      <c r="D2312" s="18"/>
      <c r="E2312" s="18"/>
      <c r="F2312" s="152"/>
      <c r="G2312" s="153"/>
      <c r="H2312" s="156" t="s">
        <v>720</v>
      </c>
      <c r="I2312" s="19"/>
      <c r="J2312" s="19"/>
      <c r="K2312" s="19"/>
      <c r="L2312" s="20"/>
      <c r="M2312" s="20"/>
      <c r="N2312" s="164"/>
      <c r="O2312" s="19"/>
      <c r="P2312" s="19"/>
      <c r="Q2312" s="19"/>
      <c r="R2312" s="158"/>
      <c r="S2312" s="158">
        <v>3852</v>
      </c>
      <c r="T2312" s="164"/>
      <c r="U2312" s="154">
        <f t="shared" si="133"/>
        <v>0</v>
      </c>
    </row>
    <row r="2313" spans="2:21" ht="15.75" x14ac:dyDescent="0.25">
      <c r="B2313" s="8">
        <f t="shared" si="132"/>
        <v>143</v>
      </c>
      <c r="C2313" s="141">
        <v>6</v>
      </c>
      <c r="D2313" s="677" t="s">
        <v>241</v>
      </c>
      <c r="E2313" s="678"/>
      <c r="F2313" s="678"/>
      <c r="G2313" s="678"/>
      <c r="H2313" s="678"/>
      <c r="I2313" s="142">
        <f>I2329</f>
        <v>2190730</v>
      </c>
      <c r="J2313" s="142">
        <f>J2314+J2315+J2317+J2329</f>
        <v>1955510</v>
      </c>
      <c r="K2313" s="142">
        <f>K2314+K2315+K2317+K2329</f>
        <v>2086851</v>
      </c>
      <c r="L2313" s="143">
        <f>L2314+L2315+L2317+L2329</f>
        <v>1713434</v>
      </c>
      <c r="M2313" s="143">
        <f>M2314+M2315+M2317+M2329</f>
        <v>1628919</v>
      </c>
      <c r="N2313" s="533"/>
      <c r="O2313" s="142">
        <f>O2321+O2329</f>
        <v>460000</v>
      </c>
      <c r="P2313" s="142">
        <f>P2321</f>
        <v>330000</v>
      </c>
      <c r="Q2313" s="142">
        <f>Q2321+Q2329</f>
        <v>77600</v>
      </c>
      <c r="R2313" s="143">
        <f>R2321+R2329</f>
        <v>13312</v>
      </c>
      <c r="S2313" s="143">
        <f>S2321+S2329</f>
        <v>49780</v>
      </c>
      <c r="T2313" s="533"/>
      <c r="U2313" s="144">
        <f t="shared" si="133"/>
        <v>2650730</v>
      </c>
    </row>
    <row r="2314" spans="2:21" x14ac:dyDescent="0.2">
      <c r="B2314" s="8">
        <f>B2313+1</f>
        <v>144</v>
      </c>
      <c r="C2314" s="24"/>
      <c r="D2314" s="24"/>
      <c r="E2314" s="24"/>
      <c r="F2314" s="149" t="s">
        <v>83</v>
      </c>
      <c r="G2314" s="150">
        <v>620</v>
      </c>
      <c r="H2314" s="24" t="s">
        <v>134</v>
      </c>
      <c r="I2314" s="25"/>
      <c r="J2314" s="25"/>
      <c r="K2314" s="25"/>
      <c r="L2314" s="26"/>
      <c r="M2314" s="26">
        <v>768</v>
      </c>
      <c r="N2314" s="501"/>
      <c r="O2314" s="25"/>
      <c r="P2314" s="25"/>
      <c r="Q2314" s="25"/>
      <c r="R2314" s="26"/>
      <c r="S2314" s="26"/>
      <c r="T2314" s="501"/>
      <c r="U2314" s="151">
        <f t="shared" si="133"/>
        <v>0</v>
      </c>
    </row>
    <row r="2315" spans="2:21" x14ac:dyDescent="0.2">
      <c r="B2315" s="8">
        <f t="shared" si="132"/>
        <v>145</v>
      </c>
      <c r="C2315" s="24"/>
      <c r="D2315" s="24"/>
      <c r="E2315" s="24"/>
      <c r="F2315" s="149" t="s">
        <v>83</v>
      </c>
      <c r="G2315" s="150">
        <v>630</v>
      </c>
      <c r="H2315" s="24" t="s">
        <v>131</v>
      </c>
      <c r="I2315" s="25"/>
      <c r="J2315" s="25"/>
      <c r="K2315" s="25">
        <f>K2316</f>
        <v>5597</v>
      </c>
      <c r="L2315" s="26"/>
      <c r="M2315" s="26">
        <f>M2316</f>
        <v>2197</v>
      </c>
      <c r="N2315" s="501"/>
      <c r="O2315" s="25"/>
      <c r="P2315" s="25"/>
      <c r="Q2315" s="25"/>
      <c r="R2315" s="26"/>
      <c r="S2315" s="26"/>
      <c r="T2315" s="501"/>
      <c r="U2315" s="151">
        <f t="shared" si="133"/>
        <v>0</v>
      </c>
    </row>
    <row r="2316" spans="2:21" x14ac:dyDescent="0.2">
      <c r="B2316" s="8">
        <f t="shared" si="132"/>
        <v>146</v>
      </c>
      <c r="C2316" s="18"/>
      <c r="D2316" s="18"/>
      <c r="E2316" s="18"/>
      <c r="F2316" s="152"/>
      <c r="G2316" s="153">
        <v>637</v>
      </c>
      <c r="H2316" s="18" t="s">
        <v>132</v>
      </c>
      <c r="I2316" s="19"/>
      <c r="J2316" s="19"/>
      <c r="K2316" s="19">
        <v>5597</v>
      </c>
      <c r="L2316" s="20"/>
      <c r="M2316" s="20">
        <v>2197</v>
      </c>
      <c r="N2316" s="164"/>
      <c r="O2316" s="19"/>
      <c r="P2316" s="19"/>
      <c r="Q2316" s="19"/>
      <c r="R2316" s="20"/>
      <c r="S2316" s="20"/>
      <c r="T2316" s="164"/>
      <c r="U2316" s="154">
        <f t="shared" si="133"/>
        <v>0</v>
      </c>
    </row>
    <row r="2317" spans="2:21" x14ac:dyDescent="0.2">
      <c r="B2317" s="8">
        <f t="shared" si="132"/>
        <v>147</v>
      </c>
      <c r="C2317" s="24"/>
      <c r="D2317" s="24"/>
      <c r="E2317" s="24"/>
      <c r="F2317" s="149" t="s">
        <v>83</v>
      </c>
      <c r="G2317" s="150">
        <v>640</v>
      </c>
      <c r="H2317" s="24" t="s">
        <v>139</v>
      </c>
      <c r="I2317" s="25"/>
      <c r="J2317" s="25"/>
      <c r="K2317" s="25"/>
      <c r="L2317" s="26"/>
      <c r="M2317" s="26">
        <f>M2318</f>
        <v>21023</v>
      </c>
      <c r="N2317" s="501"/>
      <c r="O2317" s="25"/>
      <c r="P2317" s="25"/>
      <c r="Q2317" s="25"/>
      <c r="R2317" s="26"/>
      <c r="S2317" s="26"/>
      <c r="T2317" s="501"/>
      <c r="U2317" s="151">
        <f t="shared" si="133"/>
        <v>0</v>
      </c>
    </row>
    <row r="2318" spans="2:21" x14ac:dyDescent="0.2">
      <c r="B2318" s="8">
        <f t="shared" si="132"/>
        <v>148</v>
      </c>
      <c r="C2318" s="18"/>
      <c r="D2318" s="18"/>
      <c r="E2318" s="18"/>
      <c r="F2318" s="152"/>
      <c r="G2318" s="153">
        <v>642</v>
      </c>
      <c r="H2318" s="18" t="s">
        <v>140</v>
      </c>
      <c r="I2318" s="19"/>
      <c r="J2318" s="19"/>
      <c r="K2318" s="19"/>
      <c r="L2318" s="20"/>
      <c r="M2318" s="20">
        <f>M2320+M2319</f>
        <v>21023</v>
      </c>
      <c r="N2318" s="164"/>
      <c r="O2318" s="19"/>
      <c r="P2318" s="19"/>
      <c r="Q2318" s="19"/>
      <c r="R2318" s="20"/>
      <c r="S2318" s="20"/>
      <c r="T2318" s="164"/>
      <c r="U2318" s="154">
        <f t="shared" si="133"/>
        <v>0</v>
      </c>
    </row>
    <row r="2319" spans="2:21" x14ac:dyDescent="0.2">
      <c r="B2319" s="8">
        <f t="shared" si="132"/>
        <v>149</v>
      </c>
      <c r="C2319" s="120"/>
      <c r="D2319" s="120"/>
      <c r="E2319" s="120"/>
      <c r="F2319" s="298"/>
      <c r="G2319" s="298"/>
      <c r="H2319" s="120" t="s">
        <v>17</v>
      </c>
      <c r="I2319" s="158"/>
      <c r="J2319" s="158"/>
      <c r="K2319" s="157"/>
      <c r="L2319" s="158"/>
      <c r="M2319" s="158">
        <v>21023</v>
      </c>
      <c r="N2319" s="541"/>
      <c r="O2319" s="158"/>
      <c r="P2319" s="158"/>
      <c r="Q2319" s="158"/>
      <c r="R2319" s="158"/>
      <c r="S2319" s="158"/>
      <c r="T2319" s="541"/>
      <c r="U2319" s="181">
        <f t="shared" si="133"/>
        <v>0</v>
      </c>
    </row>
    <row r="2320" spans="2:21" x14ac:dyDescent="0.2">
      <c r="B2320" s="8">
        <f t="shared" si="132"/>
        <v>150</v>
      </c>
      <c r="C2320" s="120"/>
      <c r="D2320" s="120"/>
      <c r="E2320" s="120"/>
      <c r="F2320" s="298"/>
      <c r="G2320" s="298"/>
      <c r="H2320" s="120" t="s">
        <v>340</v>
      </c>
      <c r="I2320" s="158"/>
      <c r="J2320" s="158"/>
      <c r="K2320" s="157"/>
      <c r="L2320" s="158"/>
      <c r="M2320" s="158"/>
      <c r="N2320" s="541"/>
      <c r="O2320" s="158"/>
      <c r="P2320" s="158"/>
      <c r="Q2320" s="158"/>
      <c r="R2320" s="158"/>
      <c r="S2320" s="158"/>
      <c r="T2320" s="541"/>
      <c r="U2320" s="181">
        <f t="shared" si="133"/>
        <v>0</v>
      </c>
    </row>
    <row r="2321" spans="2:21" x14ac:dyDescent="0.2">
      <c r="B2321" s="8">
        <f t="shared" si="132"/>
        <v>151</v>
      </c>
      <c r="C2321" s="24"/>
      <c r="D2321" s="24"/>
      <c r="E2321" s="24"/>
      <c r="F2321" s="149" t="s">
        <v>82</v>
      </c>
      <c r="G2321" s="150">
        <v>710</v>
      </c>
      <c r="H2321" s="24" t="s">
        <v>185</v>
      </c>
      <c r="I2321" s="25"/>
      <c r="J2321" s="25"/>
      <c r="K2321" s="25"/>
      <c r="L2321" s="26"/>
      <c r="M2321" s="26"/>
      <c r="N2321" s="501"/>
      <c r="O2321" s="25"/>
      <c r="P2321" s="25">
        <f>P2326+P2322</f>
        <v>330000</v>
      </c>
      <c r="Q2321" s="25">
        <f>Q2326+Q2322+Q2324</f>
        <v>2000</v>
      </c>
      <c r="R2321" s="26"/>
      <c r="S2321" s="26"/>
      <c r="T2321" s="501"/>
      <c r="U2321" s="151">
        <f t="shared" si="133"/>
        <v>0</v>
      </c>
    </row>
    <row r="2322" spans="2:21" x14ac:dyDescent="0.2">
      <c r="B2322" s="8">
        <f t="shared" si="132"/>
        <v>152</v>
      </c>
      <c r="C2322" s="24"/>
      <c r="D2322" s="24"/>
      <c r="E2322" s="24"/>
      <c r="F2322" s="149"/>
      <c r="G2322" s="153">
        <v>713</v>
      </c>
      <c r="H2322" s="18" t="s">
        <v>230</v>
      </c>
      <c r="I2322" s="25"/>
      <c r="J2322" s="25"/>
      <c r="K2322" s="25"/>
      <c r="L2322" s="26"/>
      <c r="M2322" s="26"/>
      <c r="N2322" s="501"/>
      <c r="O2322" s="19"/>
      <c r="P2322" s="19"/>
      <c r="Q2322" s="19"/>
      <c r="R2322" s="20"/>
      <c r="S2322" s="20"/>
      <c r="T2322" s="501"/>
      <c r="U2322" s="154">
        <f t="shared" si="133"/>
        <v>0</v>
      </c>
    </row>
    <row r="2323" spans="2:21" x14ac:dyDescent="0.2">
      <c r="B2323" s="8">
        <f t="shared" si="132"/>
        <v>153</v>
      </c>
      <c r="C2323" s="24"/>
      <c r="D2323" s="24"/>
      <c r="E2323" s="24"/>
      <c r="F2323" s="149"/>
      <c r="G2323" s="150"/>
      <c r="H2323" s="156" t="s">
        <v>560</v>
      </c>
      <c r="I2323" s="25"/>
      <c r="J2323" s="25"/>
      <c r="K2323" s="25"/>
      <c r="L2323" s="25"/>
      <c r="M2323" s="25"/>
      <c r="N2323" s="501"/>
      <c r="O2323" s="25"/>
      <c r="P2323" s="25"/>
      <c r="Q2323" s="25"/>
      <c r="R2323" s="25"/>
      <c r="S2323" s="25"/>
      <c r="T2323" s="501"/>
      <c r="U2323" s="154">
        <f t="shared" si="133"/>
        <v>0</v>
      </c>
    </row>
    <row r="2324" spans="2:21" x14ac:dyDescent="0.2">
      <c r="B2324" s="8">
        <f t="shared" si="132"/>
        <v>154</v>
      </c>
      <c r="C2324" s="24"/>
      <c r="D2324" s="24"/>
      <c r="E2324" s="24"/>
      <c r="F2324" s="149"/>
      <c r="G2324" s="153">
        <v>716</v>
      </c>
      <c r="H2324" s="18" t="s">
        <v>226</v>
      </c>
      <c r="I2324" s="25"/>
      <c r="J2324" s="25"/>
      <c r="K2324" s="25"/>
      <c r="L2324" s="25"/>
      <c r="M2324" s="25"/>
      <c r="N2324" s="501"/>
      <c r="O2324" s="25"/>
      <c r="P2324" s="25"/>
      <c r="Q2324" s="25">
        <f>Q2325</f>
        <v>2000</v>
      </c>
      <c r="R2324" s="25"/>
      <c r="S2324" s="25"/>
      <c r="T2324" s="501"/>
      <c r="U2324" s="154">
        <v>0</v>
      </c>
    </row>
    <row r="2325" spans="2:21" x14ac:dyDescent="0.2">
      <c r="B2325" s="8">
        <f t="shared" si="132"/>
        <v>155</v>
      </c>
      <c r="C2325" s="24"/>
      <c r="D2325" s="24"/>
      <c r="E2325" s="24"/>
      <c r="F2325" s="149"/>
      <c r="G2325" s="150"/>
      <c r="H2325" s="156" t="s">
        <v>1125</v>
      </c>
      <c r="I2325" s="25"/>
      <c r="J2325" s="25"/>
      <c r="K2325" s="25"/>
      <c r="L2325" s="25"/>
      <c r="M2325" s="25"/>
      <c r="N2325" s="501"/>
      <c r="O2325" s="25"/>
      <c r="P2325" s="25"/>
      <c r="Q2325" s="157">
        <v>2000</v>
      </c>
      <c r="R2325" s="25"/>
      <c r="S2325" s="25"/>
      <c r="T2325" s="501"/>
      <c r="U2325" s="154">
        <v>0</v>
      </c>
    </row>
    <row r="2326" spans="2:21" x14ac:dyDescent="0.2">
      <c r="B2326" s="8">
        <f t="shared" si="132"/>
        <v>156</v>
      </c>
      <c r="C2326" s="18"/>
      <c r="D2326" s="18"/>
      <c r="E2326" s="18"/>
      <c r="F2326" s="152"/>
      <c r="G2326" s="153">
        <v>717</v>
      </c>
      <c r="H2326" s="18" t="s">
        <v>192</v>
      </c>
      <c r="I2326" s="19"/>
      <c r="J2326" s="19"/>
      <c r="K2326" s="19"/>
      <c r="L2326" s="20"/>
      <c r="M2326" s="20"/>
      <c r="N2326" s="164"/>
      <c r="O2326" s="19"/>
      <c r="P2326" s="19">
        <f>P2327+P2328</f>
        <v>330000</v>
      </c>
      <c r="Q2326" s="19">
        <f>Q2327+Q2328</f>
        <v>0</v>
      </c>
      <c r="R2326" s="20"/>
      <c r="S2326" s="20"/>
      <c r="T2326" s="164"/>
      <c r="U2326" s="154">
        <f t="shared" si="133"/>
        <v>0</v>
      </c>
    </row>
    <row r="2327" spans="2:21" x14ac:dyDescent="0.2">
      <c r="B2327" s="8">
        <f t="shared" si="132"/>
        <v>157</v>
      </c>
      <c r="C2327" s="120"/>
      <c r="D2327" s="120"/>
      <c r="E2327" s="120"/>
      <c r="F2327" s="298"/>
      <c r="G2327" s="298"/>
      <c r="H2327" s="156" t="s">
        <v>812</v>
      </c>
      <c r="I2327" s="157"/>
      <c r="J2327" s="157"/>
      <c r="K2327" s="157"/>
      <c r="L2327" s="157"/>
      <c r="M2327" s="157"/>
      <c r="N2327" s="535"/>
      <c r="O2327" s="157"/>
      <c r="P2327" s="157">
        <v>330000</v>
      </c>
      <c r="Q2327" s="157">
        <v>0</v>
      </c>
      <c r="R2327" s="158"/>
      <c r="S2327" s="157"/>
      <c r="T2327" s="535"/>
      <c r="U2327" s="159">
        <f t="shared" si="133"/>
        <v>0</v>
      </c>
    </row>
    <row r="2328" spans="2:21" x14ac:dyDescent="0.2">
      <c r="B2328" s="8">
        <f t="shared" si="132"/>
        <v>158</v>
      </c>
      <c r="C2328" s="120"/>
      <c r="D2328" s="120"/>
      <c r="E2328" s="120"/>
      <c r="F2328" s="298"/>
      <c r="G2328" s="298"/>
      <c r="H2328" s="156" t="s">
        <v>503</v>
      </c>
      <c r="I2328" s="157"/>
      <c r="J2328" s="157"/>
      <c r="K2328" s="157"/>
      <c r="L2328" s="157"/>
      <c r="M2328" s="157"/>
      <c r="N2328" s="535"/>
      <c r="O2328" s="157"/>
      <c r="P2328" s="157"/>
      <c r="Q2328" s="157"/>
      <c r="R2328" s="158"/>
      <c r="S2328" s="157"/>
      <c r="T2328" s="535"/>
      <c r="U2328" s="159">
        <f t="shared" si="133"/>
        <v>0</v>
      </c>
    </row>
    <row r="2329" spans="2:21" ht="14.25" x14ac:dyDescent="0.2">
      <c r="B2329" s="8">
        <f t="shared" ref="B2329:B2357" si="134">B2328+1</f>
        <v>159</v>
      </c>
      <c r="C2329" s="267"/>
      <c r="D2329" s="267"/>
      <c r="E2329" s="267">
        <v>5</v>
      </c>
      <c r="F2329" s="268"/>
      <c r="G2329" s="268"/>
      <c r="H2329" s="267" t="s">
        <v>114</v>
      </c>
      <c r="I2329" s="269">
        <f>I2330+I2331+I2332+I2340</f>
        <v>2190730</v>
      </c>
      <c r="J2329" s="269">
        <f>J2330+J2331+J2332+J2340</f>
        <v>1955510</v>
      </c>
      <c r="K2329" s="269">
        <f>K2330+K2331+K2332+K2340</f>
        <v>2081254</v>
      </c>
      <c r="L2329" s="270">
        <f>L2330+L2331+L2332+L2340</f>
        <v>1713434</v>
      </c>
      <c r="M2329" s="270">
        <f>M2330+M2331+M2332+M2340</f>
        <v>1604931</v>
      </c>
      <c r="N2329" s="534"/>
      <c r="O2329" s="269">
        <f>O2341</f>
        <v>460000</v>
      </c>
      <c r="P2329" s="269"/>
      <c r="Q2329" s="269">
        <f>Q2341</f>
        <v>75600</v>
      </c>
      <c r="R2329" s="270">
        <f>R2341</f>
        <v>13312</v>
      </c>
      <c r="S2329" s="270">
        <f>S2341</f>
        <v>49780</v>
      </c>
      <c r="T2329" s="534"/>
      <c r="U2329" s="271">
        <f t="shared" si="133"/>
        <v>2650730</v>
      </c>
    </row>
    <row r="2330" spans="2:21" x14ac:dyDescent="0.2">
      <c r="B2330" s="8">
        <f t="shared" si="134"/>
        <v>160</v>
      </c>
      <c r="C2330" s="24"/>
      <c r="D2330" s="24"/>
      <c r="E2330" s="24"/>
      <c r="F2330" s="149" t="s">
        <v>82</v>
      </c>
      <c r="G2330" s="150">
        <v>610</v>
      </c>
      <c r="H2330" s="24" t="s">
        <v>141</v>
      </c>
      <c r="I2330" s="25">
        <f>812000+130000+170000+3000</f>
        <v>1115000</v>
      </c>
      <c r="J2330" s="25">
        <v>960000</v>
      </c>
      <c r="K2330" s="25">
        <v>955000</v>
      </c>
      <c r="L2330" s="26">
        <v>848278</v>
      </c>
      <c r="M2330" s="26">
        <v>866871</v>
      </c>
      <c r="N2330" s="501"/>
      <c r="O2330" s="25"/>
      <c r="P2330" s="25"/>
      <c r="Q2330" s="25"/>
      <c r="R2330" s="26"/>
      <c r="S2330" s="26"/>
      <c r="T2330" s="501"/>
      <c r="U2330" s="151">
        <f t="shared" si="133"/>
        <v>1115000</v>
      </c>
    </row>
    <row r="2331" spans="2:21" x14ac:dyDescent="0.2">
      <c r="B2331" s="8">
        <f t="shared" si="134"/>
        <v>161</v>
      </c>
      <c r="C2331" s="24"/>
      <c r="D2331" s="24"/>
      <c r="E2331" s="24"/>
      <c r="F2331" s="149" t="s">
        <v>82</v>
      </c>
      <c r="G2331" s="150">
        <v>620</v>
      </c>
      <c r="H2331" s="24" t="s">
        <v>134</v>
      </c>
      <c r="I2331" s="25">
        <f>65840+30000+15360+15610+156100+8920+33450+11150+52900+15000</f>
        <v>404330</v>
      </c>
      <c r="J2331" s="25">
        <v>345490</v>
      </c>
      <c r="K2331" s="25">
        <v>343490</v>
      </c>
      <c r="L2331" s="26">
        <v>303365</v>
      </c>
      <c r="M2331" s="26">
        <v>305458</v>
      </c>
      <c r="N2331" s="501"/>
      <c r="O2331" s="25"/>
      <c r="P2331" s="25"/>
      <c r="Q2331" s="25"/>
      <c r="R2331" s="26"/>
      <c r="S2331" s="26"/>
      <c r="T2331" s="501"/>
      <c r="U2331" s="151">
        <f t="shared" si="133"/>
        <v>404330</v>
      </c>
    </row>
    <row r="2332" spans="2:21" x14ac:dyDescent="0.2">
      <c r="B2332" s="8">
        <f t="shared" si="134"/>
        <v>162</v>
      </c>
      <c r="C2332" s="24"/>
      <c r="D2332" s="24"/>
      <c r="E2332" s="24"/>
      <c r="F2332" s="149" t="s">
        <v>82</v>
      </c>
      <c r="G2332" s="150">
        <v>630</v>
      </c>
      <c r="H2332" s="24" t="s">
        <v>131</v>
      </c>
      <c r="I2332" s="25">
        <f>I2339+I2338+I2337+I2336+I2335+I2334+I2333</f>
        <v>611400</v>
      </c>
      <c r="J2332" s="25">
        <f>J2339+J2338+J2337+J2336+J2335+J2334+J2333</f>
        <v>623020</v>
      </c>
      <c r="K2332" s="25">
        <f>K2339+K2338+K2337+K2336+K2335+K2334+K2333</f>
        <v>730764</v>
      </c>
      <c r="L2332" s="26">
        <f>L2339+L2338+L2337+L2336+L2335+L2334+L2333</f>
        <v>533822</v>
      </c>
      <c r="M2332" s="26">
        <f>M2339+M2338+M2337+M2336+M2335+M2334+M2333</f>
        <v>420925</v>
      </c>
      <c r="N2332" s="501"/>
      <c r="O2332" s="25"/>
      <c r="P2332" s="25"/>
      <c r="Q2332" s="25"/>
      <c r="R2332" s="26"/>
      <c r="S2332" s="26"/>
      <c r="T2332" s="501"/>
      <c r="U2332" s="151">
        <f t="shared" si="133"/>
        <v>611400</v>
      </c>
    </row>
    <row r="2333" spans="2:21" x14ac:dyDescent="0.2">
      <c r="B2333" s="8">
        <f t="shared" si="134"/>
        <v>163</v>
      </c>
      <c r="C2333" s="18"/>
      <c r="D2333" s="18"/>
      <c r="E2333" s="18"/>
      <c r="F2333" s="152"/>
      <c r="G2333" s="153">
        <v>631</v>
      </c>
      <c r="H2333" s="18" t="s">
        <v>137</v>
      </c>
      <c r="I2333" s="19">
        <v>200</v>
      </c>
      <c r="J2333" s="19">
        <v>200</v>
      </c>
      <c r="K2333" s="19">
        <v>200</v>
      </c>
      <c r="L2333" s="20">
        <v>45</v>
      </c>
      <c r="M2333" s="20">
        <v>0</v>
      </c>
      <c r="N2333" s="164"/>
      <c r="O2333" s="19"/>
      <c r="P2333" s="19"/>
      <c r="Q2333" s="19"/>
      <c r="R2333" s="20"/>
      <c r="S2333" s="20"/>
      <c r="T2333" s="164"/>
      <c r="U2333" s="154">
        <f t="shared" si="133"/>
        <v>200</v>
      </c>
    </row>
    <row r="2334" spans="2:21" x14ac:dyDescent="0.2">
      <c r="B2334" s="8">
        <f t="shared" si="134"/>
        <v>164</v>
      </c>
      <c r="C2334" s="18"/>
      <c r="D2334" s="18"/>
      <c r="E2334" s="18"/>
      <c r="F2334" s="152"/>
      <c r="G2334" s="153">
        <v>632</v>
      </c>
      <c r="H2334" s="18" t="s">
        <v>144</v>
      </c>
      <c r="I2334" s="19">
        <v>235000</v>
      </c>
      <c r="J2334" s="19">
        <v>241490</v>
      </c>
      <c r="K2334" s="19">
        <v>223490</v>
      </c>
      <c r="L2334" s="20">
        <v>151485</v>
      </c>
      <c r="M2334" s="20">
        <v>96331</v>
      </c>
      <c r="N2334" s="164"/>
      <c r="O2334" s="19"/>
      <c r="P2334" s="19"/>
      <c r="Q2334" s="19"/>
      <c r="R2334" s="20"/>
      <c r="S2334" s="20"/>
      <c r="T2334" s="164"/>
      <c r="U2334" s="154">
        <f t="shared" si="133"/>
        <v>235000</v>
      </c>
    </row>
    <row r="2335" spans="2:21" x14ac:dyDescent="0.2">
      <c r="B2335" s="8">
        <f t="shared" si="134"/>
        <v>165</v>
      </c>
      <c r="C2335" s="18"/>
      <c r="D2335" s="18"/>
      <c r="E2335" s="18"/>
      <c r="F2335" s="152"/>
      <c r="G2335" s="153">
        <v>633</v>
      </c>
      <c r="H2335" s="18" t="s">
        <v>135</v>
      </c>
      <c r="I2335" s="19">
        <v>44000</v>
      </c>
      <c r="J2335" s="19">
        <v>40390</v>
      </c>
      <c r="K2335" s="19">
        <v>50834</v>
      </c>
      <c r="L2335" s="20">
        <v>49467</v>
      </c>
      <c r="M2335" s="20">
        <v>60001</v>
      </c>
      <c r="N2335" s="164"/>
      <c r="O2335" s="19"/>
      <c r="P2335" s="19"/>
      <c r="Q2335" s="19"/>
      <c r="R2335" s="20"/>
      <c r="S2335" s="20"/>
      <c r="T2335" s="164"/>
      <c r="U2335" s="154">
        <f t="shared" si="133"/>
        <v>44000</v>
      </c>
    </row>
    <row r="2336" spans="2:21" x14ac:dyDescent="0.2">
      <c r="B2336" s="8">
        <f t="shared" si="134"/>
        <v>166</v>
      </c>
      <c r="C2336" s="18"/>
      <c r="D2336" s="18"/>
      <c r="E2336" s="18"/>
      <c r="F2336" s="152"/>
      <c r="G2336" s="153">
        <v>634</v>
      </c>
      <c r="H2336" s="18" t="s">
        <v>142</v>
      </c>
      <c r="I2336" s="19">
        <v>1200</v>
      </c>
      <c r="J2336" s="19">
        <v>1900</v>
      </c>
      <c r="K2336" s="19">
        <v>200</v>
      </c>
      <c r="L2336" s="20">
        <v>1215</v>
      </c>
      <c r="M2336" s="20">
        <v>1000</v>
      </c>
      <c r="N2336" s="164"/>
      <c r="O2336" s="19"/>
      <c r="P2336" s="19"/>
      <c r="Q2336" s="19"/>
      <c r="R2336" s="20"/>
      <c r="S2336" s="20"/>
      <c r="T2336" s="164"/>
      <c r="U2336" s="154">
        <f t="shared" si="133"/>
        <v>1200</v>
      </c>
    </row>
    <row r="2337" spans="2:21" x14ac:dyDescent="0.2">
      <c r="B2337" s="8">
        <f t="shared" si="134"/>
        <v>167</v>
      </c>
      <c r="C2337" s="18"/>
      <c r="D2337" s="18"/>
      <c r="E2337" s="18"/>
      <c r="F2337" s="152"/>
      <c r="G2337" s="153">
        <v>635</v>
      </c>
      <c r="H2337" s="18" t="s">
        <v>143</v>
      </c>
      <c r="I2337" s="19">
        <v>50000</v>
      </c>
      <c r="J2337" s="19">
        <v>39150</v>
      </c>
      <c r="K2337" s="19">
        <v>39150</v>
      </c>
      <c r="L2337" s="20">
        <v>55914</v>
      </c>
      <c r="M2337" s="20">
        <v>17128</v>
      </c>
      <c r="N2337" s="164"/>
      <c r="O2337" s="19"/>
      <c r="P2337" s="19"/>
      <c r="Q2337" s="19"/>
      <c r="R2337" s="20"/>
      <c r="S2337" s="20"/>
      <c r="T2337" s="164"/>
      <c r="U2337" s="154">
        <f t="shared" si="133"/>
        <v>50000</v>
      </c>
    </row>
    <row r="2338" spans="2:21" x14ac:dyDescent="0.2">
      <c r="B2338" s="8">
        <f t="shared" si="134"/>
        <v>168</v>
      </c>
      <c r="C2338" s="18"/>
      <c r="D2338" s="18"/>
      <c r="E2338" s="18"/>
      <c r="F2338" s="152"/>
      <c r="G2338" s="153">
        <v>636</v>
      </c>
      <c r="H2338" s="18" t="s">
        <v>136</v>
      </c>
      <c r="I2338" s="19">
        <v>1000</v>
      </c>
      <c r="J2338" s="19">
        <v>1000</v>
      </c>
      <c r="K2338" s="19">
        <v>1000</v>
      </c>
      <c r="L2338" s="20">
        <v>984</v>
      </c>
      <c r="M2338" s="20"/>
      <c r="N2338" s="164"/>
      <c r="O2338" s="19"/>
      <c r="P2338" s="19"/>
      <c r="Q2338" s="19"/>
      <c r="R2338" s="20"/>
      <c r="S2338" s="20"/>
      <c r="T2338" s="164"/>
      <c r="U2338" s="154">
        <f t="shared" si="133"/>
        <v>1000</v>
      </c>
    </row>
    <row r="2339" spans="2:21" x14ac:dyDescent="0.2">
      <c r="B2339" s="8">
        <f t="shared" si="134"/>
        <v>169</v>
      </c>
      <c r="C2339" s="18"/>
      <c r="D2339" s="18"/>
      <c r="E2339" s="18"/>
      <c r="F2339" s="152"/>
      <c r="G2339" s="153">
        <v>637</v>
      </c>
      <c r="H2339" s="18" t="s">
        <v>132</v>
      </c>
      <c r="I2339" s="19">
        <v>280000</v>
      </c>
      <c r="J2339" s="19">
        <v>298890</v>
      </c>
      <c r="K2339" s="19">
        <v>415890</v>
      </c>
      <c r="L2339" s="20">
        <v>274712</v>
      </c>
      <c r="M2339" s="20">
        <f>243913+2552</f>
        <v>246465</v>
      </c>
      <c r="N2339" s="164"/>
      <c r="O2339" s="19"/>
      <c r="P2339" s="19"/>
      <c r="Q2339" s="19"/>
      <c r="R2339" s="20"/>
      <c r="S2339" s="20"/>
      <c r="T2339" s="164"/>
      <c r="U2339" s="154">
        <f t="shared" si="133"/>
        <v>280000</v>
      </c>
    </row>
    <row r="2340" spans="2:21" x14ac:dyDescent="0.2">
      <c r="B2340" s="8">
        <f t="shared" si="134"/>
        <v>170</v>
      </c>
      <c r="C2340" s="24"/>
      <c r="D2340" s="24"/>
      <c r="E2340" s="24"/>
      <c r="F2340" s="149" t="s">
        <v>82</v>
      </c>
      <c r="G2340" s="150">
        <v>640</v>
      </c>
      <c r="H2340" s="24" t="s">
        <v>139</v>
      </c>
      <c r="I2340" s="25">
        <v>60000</v>
      </c>
      <c r="J2340" s="25">
        <v>27000</v>
      </c>
      <c r="K2340" s="25">
        <v>52000</v>
      </c>
      <c r="L2340" s="26">
        <v>27969</v>
      </c>
      <c r="M2340" s="26">
        <v>11677</v>
      </c>
      <c r="N2340" s="501"/>
      <c r="O2340" s="25"/>
      <c r="P2340" s="25"/>
      <c r="Q2340" s="25"/>
      <c r="R2340" s="26"/>
      <c r="S2340" s="26"/>
      <c r="T2340" s="501"/>
      <c r="U2340" s="151">
        <f t="shared" si="133"/>
        <v>60000</v>
      </c>
    </row>
    <row r="2341" spans="2:21" x14ac:dyDescent="0.2">
      <c r="B2341" s="8">
        <f t="shared" si="134"/>
        <v>171</v>
      </c>
      <c r="C2341" s="24"/>
      <c r="D2341" s="24"/>
      <c r="E2341" s="24"/>
      <c r="F2341" s="149" t="s">
        <v>82</v>
      </c>
      <c r="G2341" s="150">
        <v>710</v>
      </c>
      <c r="H2341" s="24" t="s">
        <v>185</v>
      </c>
      <c r="I2341" s="25"/>
      <c r="J2341" s="25"/>
      <c r="K2341" s="25"/>
      <c r="L2341" s="26"/>
      <c r="M2341" s="26"/>
      <c r="N2341" s="501"/>
      <c r="O2341" s="25">
        <f>O2342+O2346+O2348</f>
        <v>460000</v>
      </c>
      <c r="P2341" s="25"/>
      <c r="Q2341" s="25">
        <f>Q2348+Q2342</f>
        <v>75600</v>
      </c>
      <c r="R2341" s="26">
        <f>R2342</f>
        <v>13312</v>
      </c>
      <c r="S2341" s="26">
        <f>S2348</f>
        <v>49780</v>
      </c>
      <c r="T2341" s="501"/>
      <c r="U2341" s="151">
        <f t="shared" si="133"/>
        <v>460000</v>
      </c>
    </row>
    <row r="2342" spans="2:21" x14ac:dyDescent="0.2">
      <c r="B2342" s="8">
        <f t="shared" si="134"/>
        <v>172</v>
      </c>
      <c r="C2342" s="18"/>
      <c r="D2342" s="18"/>
      <c r="E2342" s="18"/>
      <c r="F2342" s="152"/>
      <c r="G2342" s="153">
        <v>713</v>
      </c>
      <c r="H2342" s="18" t="s">
        <v>230</v>
      </c>
      <c r="I2342" s="19"/>
      <c r="J2342" s="19"/>
      <c r="K2342" s="19"/>
      <c r="L2342" s="20"/>
      <c r="M2342" s="20"/>
      <c r="N2342" s="164"/>
      <c r="O2342" s="19"/>
      <c r="P2342" s="19"/>
      <c r="Q2342" s="19">
        <f>Q2345</f>
        <v>5600</v>
      </c>
      <c r="R2342" s="20">
        <f>SUM(R2343:R2345)</f>
        <v>13312</v>
      </c>
      <c r="S2342" s="20"/>
      <c r="T2342" s="164"/>
      <c r="U2342" s="154">
        <f t="shared" si="133"/>
        <v>0</v>
      </c>
    </row>
    <row r="2343" spans="2:21" s="165" customFormat="1" x14ac:dyDescent="0.2">
      <c r="B2343" s="8">
        <f t="shared" si="134"/>
        <v>173</v>
      </c>
      <c r="C2343" s="156"/>
      <c r="D2343" s="156"/>
      <c r="E2343" s="156"/>
      <c r="F2343" s="272"/>
      <c r="G2343" s="155"/>
      <c r="H2343" s="156" t="s">
        <v>970</v>
      </c>
      <c r="I2343" s="157"/>
      <c r="J2343" s="157"/>
      <c r="K2343" s="157"/>
      <c r="L2343" s="157"/>
      <c r="M2343" s="157"/>
      <c r="N2343" s="535"/>
      <c r="O2343" s="157"/>
      <c r="P2343" s="157"/>
      <c r="Q2343" s="157"/>
      <c r="R2343" s="158">
        <v>4632</v>
      </c>
      <c r="S2343" s="157"/>
      <c r="T2343" s="535"/>
      <c r="U2343" s="159">
        <f t="shared" si="133"/>
        <v>0</v>
      </c>
    </row>
    <row r="2344" spans="2:21" s="165" customFormat="1" x14ac:dyDescent="0.2">
      <c r="B2344" s="8">
        <f t="shared" si="134"/>
        <v>174</v>
      </c>
      <c r="C2344" s="156"/>
      <c r="D2344" s="156"/>
      <c r="E2344" s="156"/>
      <c r="F2344" s="272"/>
      <c r="G2344" s="155"/>
      <c r="H2344" s="156" t="s">
        <v>805</v>
      </c>
      <c r="I2344" s="157"/>
      <c r="J2344" s="157"/>
      <c r="K2344" s="157"/>
      <c r="L2344" s="157"/>
      <c r="M2344" s="157"/>
      <c r="N2344" s="535"/>
      <c r="O2344" s="157"/>
      <c r="P2344" s="157"/>
      <c r="Q2344" s="157"/>
      <c r="R2344" s="158">
        <v>8680</v>
      </c>
      <c r="S2344" s="157"/>
      <c r="T2344" s="535"/>
      <c r="U2344" s="159">
        <f t="shared" si="133"/>
        <v>0</v>
      </c>
    </row>
    <row r="2345" spans="2:21" s="165" customFormat="1" x14ac:dyDescent="0.2">
      <c r="B2345" s="8">
        <f t="shared" si="134"/>
        <v>175</v>
      </c>
      <c r="C2345" s="156"/>
      <c r="D2345" s="156"/>
      <c r="E2345" s="156"/>
      <c r="F2345" s="272"/>
      <c r="G2345" s="155"/>
      <c r="H2345" s="156" t="s">
        <v>949</v>
      </c>
      <c r="I2345" s="157"/>
      <c r="J2345" s="157"/>
      <c r="K2345" s="157"/>
      <c r="L2345" s="157"/>
      <c r="M2345" s="157"/>
      <c r="N2345" s="535"/>
      <c r="O2345" s="157"/>
      <c r="P2345" s="157"/>
      <c r="Q2345" s="157">
        <v>5600</v>
      </c>
      <c r="R2345" s="157"/>
      <c r="S2345" s="157"/>
      <c r="T2345" s="535"/>
      <c r="U2345" s="159">
        <f t="shared" si="133"/>
        <v>0</v>
      </c>
    </row>
    <row r="2346" spans="2:21" s="165" customFormat="1" x14ac:dyDescent="0.2">
      <c r="B2346" s="8">
        <f t="shared" si="134"/>
        <v>176</v>
      </c>
      <c r="C2346" s="156"/>
      <c r="D2346" s="156"/>
      <c r="E2346" s="156"/>
      <c r="F2346" s="272"/>
      <c r="G2346" s="153">
        <v>716</v>
      </c>
      <c r="H2346" s="18" t="s">
        <v>226</v>
      </c>
      <c r="I2346" s="19"/>
      <c r="J2346" s="19"/>
      <c r="K2346" s="19"/>
      <c r="L2346" s="19"/>
      <c r="M2346" s="19"/>
      <c r="N2346" s="164"/>
      <c r="O2346" s="19">
        <f>O2347</f>
        <v>10000</v>
      </c>
      <c r="P2346" s="19"/>
      <c r="Q2346" s="19"/>
      <c r="R2346" s="19"/>
      <c r="S2346" s="19"/>
      <c r="T2346" s="164"/>
      <c r="U2346" s="159">
        <f t="shared" si="133"/>
        <v>10000</v>
      </c>
    </row>
    <row r="2347" spans="2:21" s="165" customFormat="1" x14ac:dyDescent="0.2">
      <c r="B2347" s="8">
        <f t="shared" si="134"/>
        <v>177</v>
      </c>
      <c r="C2347" s="156"/>
      <c r="D2347" s="156"/>
      <c r="E2347" s="156"/>
      <c r="F2347" s="272"/>
      <c r="G2347" s="155"/>
      <c r="H2347" s="156" t="s">
        <v>812</v>
      </c>
      <c r="I2347" s="157"/>
      <c r="J2347" s="157"/>
      <c r="K2347" s="157"/>
      <c r="L2347" s="157"/>
      <c r="M2347" s="157"/>
      <c r="N2347" s="535"/>
      <c r="O2347" s="157">
        <v>10000</v>
      </c>
      <c r="P2347" s="157"/>
      <c r="Q2347" s="157"/>
      <c r="R2347" s="157"/>
      <c r="S2347" s="157"/>
      <c r="T2347" s="535"/>
      <c r="U2347" s="159">
        <f t="shared" si="133"/>
        <v>10000</v>
      </c>
    </row>
    <row r="2348" spans="2:21" x14ac:dyDescent="0.2">
      <c r="B2348" s="8">
        <f t="shared" si="134"/>
        <v>178</v>
      </c>
      <c r="C2348" s="18"/>
      <c r="D2348" s="18"/>
      <c r="E2348" s="18"/>
      <c r="F2348" s="152"/>
      <c r="G2348" s="153">
        <v>717</v>
      </c>
      <c r="H2348" s="18" t="s">
        <v>192</v>
      </c>
      <c r="I2348" s="19"/>
      <c r="J2348" s="19"/>
      <c r="K2348" s="19"/>
      <c r="L2348" s="20"/>
      <c r="M2348" s="20"/>
      <c r="N2348" s="164"/>
      <c r="O2348" s="19">
        <f>O2351</f>
        <v>450000</v>
      </c>
      <c r="P2348" s="19"/>
      <c r="Q2348" s="19">
        <f>SUM(Q2350:Q2350)</f>
        <v>70000</v>
      </c>
      <c r="R2348" s="20"/>
      <c r="S2348" s="20">
        <f>S2349</f>
        <v>49780</v>
      </c>
      <c r="T2348" s="164"/>
      <c r="U2348" s="159">
        <f t="shared" si="133"/>
        <v>450000</v>
      </c>
    </row>
    <row r="2349" spans="2:21" s="165" customFormat="1" x14ac:dyDescent="0.2">
      <c r="B2349" s="8">
        <f t="shared" si="134"/>
        <v>179</v>
      </c>
      <c r="C2349" s="156"/>
      <c r="D2349" s="156"/>
      <c r="E2349" s="156"/>
      <c r="F2349" s="272"/>
      <c r="G2349" s="155"/>
      <c r="H2349" s="156" t="s">
        <v>503</v>
      </c>
      <c r="I2349" s="157"/>
      <c r="J2349" s="157"/>
      <c r="K2349" s="157"/>
      <c r="L2349" s="157"/>
      <c r="M2349" s="157"/>
      <c r="N2349" s="535"/>
      <c r="O2349" s="157"/>
      <c r="P2349" s="157"/>
      <c r="Q2349" s="157"/>
      <c r="R2349" s="157"/>
      <c r="S2349" s="157">
        <v>49780</v>
      </c>
      <c r="T2349" s="535"/>
      <c r="U2349" s="159">
        <f t="shared" si="133"/>
        <v>0</v>
      </c>
    </row>
    <row r="2350" spans="2:21" s="165" customFormat="1" x14ac:dyDescent="0.2">
      <c r="B2350" s="8">
        <f t="shared" si="134"/>
        <v>180</v>
      </c>
      <c r="C2350" s="156"/>
      <c r="D2350" s="156"/>
      <c r="E2350" s="156"/>
      <c r="F2350" s="272"/>
      <c r="G2350" s="155"/>
      <c r="H2350" s="156" t="s">
        <v>1038</v>
      </c>
      <c r="I2350" s="157"/>
      <c r="J2350" s="157"/>
      <c r="K2350" s="157"/>
      <c r="L2350" s="157"/>
      <c r="M2350" s="157"/>
      <c r="N2350" s="535"/>
      <c r="O2350" s="157"/>
      <c r="P2350" s="157"/>
      <c r="Q2350" s="157">
        <v>70000</v>
      </c>
      <c r="R2350" s="157"/>
      <c r="S2350" s="157"/>
      <c r="T2350" s="535"/>
      <c r="U2350" s="159">
        <f t="shared" si="133"/>
        <v>0</v>
      </c>
    </row>
    <row r="2351" spans="2:21" s="165" customFormat="1" x14ac:dyDescent="0.2">
      <c r="B2351" s="8">
        <f t="shared" si="134"/>
        <v>181</v>
      </c>
      <c r="C2351" s="156"/>
      <c r="D2351" s="156"/>
      <c r="E2351" s="156"/>
      <c r="F2351" s="272"/>
      <c r="G2351" s="155"/>
      <c r="H2351" s="156" t="s">
        <v>812</v>
      </c>
      <c r="I2351" s="157"/>
      <c r="J2351" s="157"/>
      <c r="K2351" s="157"/>
      <c r="L2351" s="157"/>
      <c r="M2351" s="157"/>
      <c r="N2351" s="535"/>
      <c r="O2351" s="157">
        <v>450000</v>
      </c>
      <c r="P2351" s="157"/>
      <c r="Q2351" s="157"/>
      <c r="R2351" s="157"/>
      <c r="S2351" s="157"/>
      <c r="T2351" s="535"/>
      <c r="U2351" s="159">
        <f t="shared" si="133"/>
        <v>450000</v>
      </c>
    </row>
    <row r="2352" spans="2:21" ht="15.75" x14ac:dyDescent="0.25">
      <c r="B2352" s="8">
        <f t="shared" si="134"/>
        <v>182</v>
      </c>
      <c r="C2352" s="141">
        <v>7</v>
      </c>
      <c r="D2352" s="677" t="s">
        <v>56</v>
      </c>
      <c r="E2352" s="678"/>
      <c r="F2352" s="678"/>
      <c r="G2352" s="678"/>
      <c r="H2352" s="678"/>
      <c r="I2352" s="142">
        <f>I2353</f>
        <v>1178595</v>
      </c>
      <c r="J2352" s="142">
        <f>J2353</f>
        <v>1045540</v>
      </c>
      <c r="K2352" s="142">
        <f>K2353</f>
        <v>1128674</v>
      </c>
      <c r="L2352" s="143">
        <f>L2353</f>
        <v>845918</v>
      </c>
      <c r="M2352" s="143">
        <f>M2353</f>
        <v>892609</v>
      </c>
      <c r="N2352" s="533"/>
      <c r="O2352" s="142"/>
      <c r="P2352" s="142"/>
      <c r="Q2352" s="142"/>
      <c r="R2352" s="143"/>
      <c r="S2352" s="143"/>
      <c r="T2352" s="533"/>
      <c r="U2352" s="144">
        <f t="shared" si="133"/>
        <v>1178595</v>
      </c>
    </row>
    <row r="2353" spans="2:21" ht="14.25" x14ac:dyDescent="0.2">
      <c r="B2353" s="8">
        <f t="shared" si="134"/>
        <v>183</v>
      </c>
      <c r="C2353" s="267"/>
      <c r="D2353" s="267"/>
      <c r="E2353" s="267">
        <v>5</v>
      </c>
      <c r="F2353" s="268"/>
      <c r="G2353" s="268"/>
      <c r="H2353" s="267" t="s">
        <v>114</v>
      </c>
      <c r="I2353" s="269">
        <f>I2354+I2355+I2356+I2363</f>
        <v>1178595</v>
      </c>
      <c r="J2353" s="269">
        <f>J2354+J2355+J2356+J2363</f>
        <v>1045540</v>
      </c>
      <c r="K2353" s="269">
        <f>K2354+K2355+K2356+K2363</f>
        <v>1128674</v>
      </c>
      <c r="L2353" s="270">
        <f>L2354+L2355+L2356+L2363</f>
        <v>845918</v>
      </c>
      <c r="M2353" s="270">
        <f>M2354+M2355+M2356+M2363</f>
        <v>892609</v>
      </c>
      <c r="N2353" s="534"/>
      <c r="O2353" s="269"/>
      <c r="P2353" s="269"/>
      <c r="Q2353" s="269"/>
      <c r="R2353" s="270"/>
      <c r="S2353" s="270"/>
      <c r="T2353" s="534"/>
      <c r="U2353" s="271">
        <f t="shared" si="133"/>
        <v>1178595</v>
      </c>
    </row>
    <row r="2354" spans="2:21" x14ac:dyDescent="0.2">
      <c r="B2354" s="8">
        <f t="shared" si="134"/>
        <v>184</v>
      </c>
      <c r="C2354" s="24"/>
      <c r="D2354" s="24"/>
      <c r="E2354" s="24"/>
      <c r="F2354" s="149" t="s">
        <v>82</v>
      </c>
      <c r="G2354" s="150">
        <v>610</v>
      </c>
      <c r="H2354" s="24" t="s">
        <v>141</v>
      </c>
      <c r="I2354" s="25">
        <f>760284+13700+3700+600+1</f>
        <v>778285</v>
      </c>
      <c r="J2354" s="25">
        <v>694730</v>
      </c>
      <c r="K2354" s="25">
        <v>694730</v>
      </c>
      <c r="L2354" s="26">
        <v>573216</v>
      </c>
      <c r="M2354" s="26">
        <v>622043</v>
      </c>
      <c r="N2354" s="501"/>
      <c r="O2354" s="25"/>
      <c r="P2354" s="25"/>
      <c r="Q2354" s="25"/>
      <c r="R2354" s="26"/>
      <c r="S2354" s="26"/>
      <c r="T2354" s="501"/>
      <c r="U2354" s="151">
        <f t="shared" si="133"/>
        <v>778285</v>
      </c>
    </row>
    <row r="2355" spans="2:21" x14ac:dyDescent="0.2">
      <c r="B2355" s="8">
        <f t="shared" si="134"/>
        <v>185</v>
      </c>
      <c r="C2355" s="24"/>
      <c r="D2355" s="24"/>
      <c r="E2355" s="24"/>
      <c r="F2355" s="149" t="s">
        <v>82</v>
      </c>
      <c r="G2355" s="150">
        <v>620</v>
      </c>
      <c r="H2355" s="24" t="s">
        <v>134</v>
      </c>
      <c r="I2355" s="25">
        <f>47200+16750+13850+10890+108900+6230+23330+7780+36940+14500</f>
        <v>286370</v>
      </c>
      <c r="J2355" s="25">
        <v>256930</v>
      </c>
      <c r="K2355" s="25">
        <v>256930</v>
      </c>
      <c r="L2355" s="26">
        <v>204323</v>
      </c>
      <c r="M2355" s="26">
        <v>214489</v>
      </c>
      <c r="N2355" s="501"/>
      <c r="O2355" s="25"/>
      <c r="P2355" s="25"/>
      <c r="Q2355" s="25"/>
      <c r="R2355" s="26"/>
      <c r="S2355" s="26"/>
      <c r="T2355" s="501"/>
      <c r="U2355" s="151">
        <f t="shared" si="133"/>
        <v>286370</v>
      </c>
    </row>
    <row r="2356" spans="2:21" x14ac:dyDescent="0.2">
      <c r="B2356" s="8">
        <f t="shared" si="134"/>
        <v>186</v>
      </c>
      <c r="C2356" s="24"/>
      <c r="D2356" s="24"/>
      <c r="E2356" s="24"/>
      <c r="F2356" s="149" t="s">
        <v>82</v>
      </c>
      <c r="G2356" s="150">
        <v>630</v>
      </c>
      <c r="H2356" s="24" t="s">
        <v>131</v>
      </c>
      <c r="I2356" s="25">
        <f>I2362+I2361+I2360+I2359+I2358+I2357</f>
        <v>45440</v>
      </c>
      <c r="J2356" s="25">
        <f>J2362+J2361+J2360+J2359+J2358+J2357</f>
        <v>50880</v>
      </c>
      <c r="K2356" s="25">
        <f>K2362+K2361+K2360+K2359+K2358+K2357</f>
        <v>128014</v>
      </c>
      <c r="L2356" s="26">
        <f>L2362+L2361+L2360+L2359+L2358+L2357</f>
        <v>33135</v>
      </c>
      <c r="M2356" s="26">
        <f>M2362+M2361+M2360+M2359+M2358+M2357</f>
        <v>50205</v>
      </c>
      <c r="N2356" s="501"/>
      <c r="O2356" s="25"/>
      <c r="P2356" s="25"/>
      <c r="Q2356" s="25"/>
      <c r="R2356" s="26"/>
      <c r="S2356" s="26"/>
      <c r="T2356" s="501"/>
      <c r="U2356" s="151">
        <f t="shared" si="133"/>
        <v>45440</v>
      </c>
    </row>
    <row r="2357" spans="2:21" x14ac:dyDescent="0.2">
      <c r="B2357" s="8">
        <f t="shared" si="134"/>
        <v>187</v>
      </c>
      <c r="C2357" s="18"/>
      <c r="D2357" s="18"/>
      <c r="E2357" s="18"/>
      <c r="F2357" s="152"/>
      <c r="G2357" s="153">
        <v>631</v>
      </c>
      <c r="H2357" s="18" t="s">
        <v>137</v>
      </c>
      <c r="I2357" s="19">
        <v>500</v>
      </c>
      <c r="J2357" s="19">
        <v>700</v>
      </c>
      <c r="K2357" s="19">
        <v>700</v>
      </c>
      <c r="L2357" s="20">
        <v>207</v>
      </c>
      <c r="M2357" s="20">
        <v>128</v>
      </c>
      <c r="N2357" s="164"/>
      <c r="O2357" s="19"/>
      <c r="P2357" s="19"/>
      <c r="Q2357" s="19"/>
      <c r="R2357" s="20"/>
      <c r="S2357" s="20"/>
      <c r="T2357" s="164"/>
      <c r="U2357" s="154">
        <f t="shared" si="133"/>
        <v>500</v>
      </c>
    </row>
    <row r="2358" spans="2:21" x14ac:dyDescent="0.2">
      <c r="B2358" s="8">
        <f t="shared" ref="B2358:B2397" si="135">B2357+1</f>
        <v>188</v>
      </c>
      <c r="C2358" s="18"/>
      <c r="D2358" s="18"/>
      <c r="E2358" s="18"/>
      <c r="F2358" s="152"/>
      <c r="G2358" s="153">
        <v>632</v>
      </c>
      <c r="H2358" s="18" t="s">
        <v>144</v>
      </c>
      <c r="I2358" s="19">
        <v>730</v>
      </c>
      <c r="J2358" s="19">
        <v>800</v>
      </c>
      <c r="K2358" s="19">
        <v>800</v>
      </c>
      <c r="L2358" s="20">
        <v>614</v>
      </c>
      <c r="M2358" s="20">
        <v>719</v>
      </c>
      <c r="N2358" s="164"/>
      <c r="O2358" s="19"/>
      <c r="P2358" s="19"/>
      <c r="Q2358" s="19"/>
      <c r="R2358" s="20"/>
      <c r="S2358" s="20"/>
      <c r="T2358" s="164"/>
      <c r="U2358" s="154">
        <f t="shared" si="133"/>
        <v>730</v>
      </c>
    </row>
    <row r="2359" spans="2:21" x14ac:dyDescent="0.2">
      <c r="B2359" s="8">
        <f t="shared" si="135"/>
        <v>189</v>
      </c>
      <c r="C2359" s="18"/>
      <c r="D2359" s="18"/>
      <c r="E2359" s="18"/>
      <c r="F2359" s="152"/>
      <c r="G2359" s="153">
        <v>633</v>
      </c>
      <c r="H2359" s="18" t="s">
        <v>135</v>
      </c>
      <c r="I2359" s="19">
        <f>300+610+4500</f>
        <v>5410</v>
      </c>
      <c r="J2359" s="19">
        <v>4900</v>
      </c>
      <c r="K2359" s="19">
        <v>4900</v>
      </c>
      <c r="L2359" s="20">
        <v>4464</v>
      </c>
      <c r="M2359" s="20">
        <v>4370</v>
      </c>
      <c r="N2359" s="164"/>
      <c r="O2359" s="19"/>
      <c r="P2359" s="19"/>
      <c r="Q2359" s="19"/>
      <c r="R2359" s="20"/>
      <c r="S2359" s="20"/>
      <c r="T2359" s="164"/>
      <c r="U2359" s="154">
        <f t="shared" si="133"/>
        <v>5410</v>
      </c>
    </row>
    <row r="2360" spans="2:21" x14ac:dyDescent="0.2">
      <c r="B2360" s="8">
        <f t="shared" si="135"/>
        <v>190</v>
      </c>
      <c r="C2360" s="18"/>
      <c r="D2360" s="18"/>
      <c r="E2360" s="18"/>
      <c r="F2360" s="152"/>
      <c r="G2360" s="153">
        <v>634</v>
      </c>
      <c r="H2360" s="18" t="s">
        <v>142</v>
      </c>
      <c r="I2360" s="19">
        <v>6600</v>
      </c>
      <c r="J2360" s="19">
        <v>6000</v>
      </c>
      <c r="K2360" s="19">
        <v>6000</v>
      </c>
      <c r="L2360" s="20">
        <v>5452</v>
      </c>
      <c r="M2360" s="20">
        <v>4791</v>
      </c>
      <c r="N2360" s="164"/>
      <c r="O2360" s="19"/>
      <c r="P2360" s="19"/>
      <c r="Q2360" s="19"/>
      <c r="R2360" s="20"/>
      <c r="S2360" s="20"/>
      <c r="T2360" s="164"/>
      <c r="U2360" s="154">
        <f t="shared" si="133"/>
        <v>6600</v>
      </c>
    </row>
    <row r="2361" spans="2:21" x14ac:dyDescent="0.2">
      <c r="B2361" s="8">
        <f t="shared" si="135"/>
        <v>191</v>
      </c>
      <c r="C2361" s="18"/>
      <c r="D2361" s="18"/>
      <c r="E2361" s="18"/>
      <c r="F2361" s="152"/>
      <c r="G2361" s="153">
        <v>635</v>
      </c>
      <c r="H2361" s="18" t="s">
        <v>143</v>
      </c>
      <c r="I2361" s="19"/>
      <c r="J2361" s="19"/>
      <c r="K2361" s="19"/>
      <c r="L2361" s="20"/>
      <c r="M2361" s="20"/>
      <c r="N2361" s="164"/>
      <c r="O2361" s="19"/>
      <c r="P2361" s="19"/>
      <c r="Q2361" s="19"/>
      <c r="R2361" s="20"/>
      <c r="S2361" s="20"/>
      <c r="T2361" s="164"/>
      <c r="U2361" s="154">
        <f t="shared" si="133"/>
        <v>0</v>
      </c>
    </row>
    <row r="2362" spans="2:21" x14ac:dyDescent="0.2">
      <c r="B2362" s="8">
        <f t="shared" si="135"/>
        <v>192</v>
      </c>
      <c r="C2362" s="18"/>
      <c r="D2362" s="18"/>
      <c r="E2362" s="18"/>
      <c r="F2362" s="152"/>
      <c r="G2362" s="153">
        <v>637</v>
      </c>
      <c r="H2362" s="18" t="s">
        <v>132</v>
      </c>
      <c r="I2362" s="19">
        <v>32200</v>
      </c>
      <c r="J2362" s="19">
        <v>38480</v>
      </c>
      <c r="K2362" s="19">
        <v>115614</v>
      </c>
      <c r="L2362" s="20">
        <v>22398</v>
      </c>
      <c r="M2362" s="20">
        <f>37911+2286</f>
        <v>40197</v>
      </c>
      <c r="N2362" s="164"/>
      <c r="O2362" s="19"/>
      <c r="P2362" s="19"/>
      <c r="Q2362" s="19"/>
      <c r="R2362" s="20"/>
      <c r="S2362" s="20"/>
      <c r="T2362" s="164"/>
      <c r="U2362" s="154">
        <f t="shared" si="133"/>
        <v>32200</v>
      </c>
    </row>
    <row r="2363" spans="2:21" x14ac:dyDescent="0.2">
      <c r="B2363" s="8">
        <f t="shared" si="135"/>
        <v>193</v>
      </c>
      <c r="C2363" s="24"/>
      <c r="D2363" s="24"/>
      <c r="E2363" s="24"/>
      <c r="F2363" s="149" t="s">
        <v>82</v>
      </c>
      <c r="G2363" s="150">
        <v>640</v>
      </c>
      <c r="H2363" s="24" t="s">
        <v>139</v>
      </c>
      <c r="I2363" s="25">
        <f>23250+34050+11200</f>
        <v>68500</v>
      </c>
      <c r="J2363" s="25">
        <v>43000</v>
      </c>
      <c r="K2363" s="25">
        <v>49000</v>
      </c>
      <c r="L2363" s="26">
        <v>35244</v>
      </c>
      <c r="M2363" s="26">
        <v>5872</v>
      </c>
      <c r="N2363" s="501"/>
      <c r="O2363" s="25"/>
      <c r="P2363" s="25"/>
      <c r="Q2363" s="25"/>
      <c r="R2363" s="26"/>
      <c r="S2363" s="26"/>
      <c r="T2363" s="501"/>
      <c r="U2363" s="151">
        <f t="shared" si="133"/>
        <v>68500</v>
      </c>
    </row>
    <row r="2364" spans="2:21" ht="15.75" x14ac:dyDescent="0.25">
      <c r="B2364" s="8">
        <f t="shared" si="135"/>
        <v>194</v>
      </c>
      <c r="C2364" s="141">
        <v>8</v>
      </c>
      <c r="D2364" s="677" t="s">
        <v>204</v>
      </c>
      <c r="E2364" s="678"/>
      <c r="F2364" s="678"/>
      <c r="G2364" s="678"/>
      <c r="H2364" s="678"/>
      <c r="I2364" s="142">
        <f>I2365</f>
        <v>6650</v>
      </c>
      <c r="J2364" s="142">
        <f t="shared" ref="J2364:M2365" si="136">J2365</f>
        <v>6650</v>
      </c>
      <c r="K2364" s="142">
        <f t="shared" si="136"/>
        <v>6650</v>
      </c>
      <c r="L2364" s="143">
        <f t="shared" si="136"/>
        <v>5008</v>
      </c>
      <c r="M2364" s="143">
        <f t="shared" si="136"/>
        <v>5691</v>
      </c>
      <c r="N2364" s="533"/>
      <c r="O2364" s="142"/>
      <c r="P2364" s="142"/>
      <c r="Q2364" s="142"/>
      <c r="R2364" s="143"/>
      <c r="S2364" s="143"/>
      <c r="T2364" s="533"/>
      <c r="U2364" s="144">
        <f t="shared" si="133"/>
        <v>6650</v>
      </c>
    </row>
    <row r="2365" spans="2:21" x14ac:dyDescent="0.2">
      <c r="B2365" s="8">
        <f t="shared" si="135"/>
        <v>195</v>
      </c>
      <c r="C2365" s="24"/>
      <c r="D2365" s="24"/>
      <c r="E2365" s="24"/>
      <c r="F2365" s="149" t="s">
        <v>154</v>
      </c>
      <c r="G2365" s="150">
        <v>630</v>
      </c>
      <c r="H2365" s="24" t="s">
        <v>131</v>
      </c>
      <c r="I2365" s="25">
        <f>I2366</f>
        <v>6650</v>
      </c>
      <c r="J2365" s="25">
        <f t="shared" si="136"/>
        <v>6650</v>
      </c>
      <c r="K2365" s="25">
        <f t="shared" si="136"/>
        <v>6650</v>
      </c>
      <c r="L2365" s="26">
        <f t="shared" si="136"/>
        <v>5008</v>
      </c>
      <c r="M2365" s="26">
        <f t="shared" si="136"/>
        <v>5691</v>
      </c>
      <c r="N2365" s="501"/>
      <c r="O2365" s="25"/>
      <c r="P2365" s="25"/>
      <c r="Q2365" s="25"/>
      <c r="R2365" s="26"/>
      <c r="S2365" s="26"/>
      <c r="T2365" s="501"/>
      <c r="U2365" s="151">
        <f t="shared" si="133"/>
        <v>6650</v>
      </c>
    </row>
    <row r="2366" spans="2:21" x14ac:dyDescent="0.2">
      <c r="B2366" s="8">
        <f t="shared" si="135"/>
        <v>196</v>
      </c>
      <c r="C2366" s="18"/>
      <c r="D2366" s="18"/>
      <c r="E2366" s="18"/>
      <c r="F2366" s="152"/>
      <c r="G2366" s="153">
        <v>637</v>
      </c>
      <c r="H2366" s="18" t="s">
        <v>132</v>
      </c>
      <c r="I2366" s="19">
        <f>7000-350</f>
        <v>6650</v>
      </c>
      <c r="J2366" s="19">
        <v>6650</v>
      </c>
      <c r="K2366" s="19">
        <v>6650</v>
      </c>
      <c r="L2366" s="20">
        <v>5008</v>
      </c>
      <c r="M2366" s="20">
        <v>5691</v>
      </c>
      <c r="N2366" s="164"/>
      <c r="O2366" s="19"/>
      <c r="P2366" s="19"/>
      <c r="Q2366" s="19"/>
      <c r="R2366" s="20"/>
      <c r="S2366" s="20"/>
      <c r="T2366" s="164"/>
      <c r="U2366" s="154">
        <f t="shared" si="133"/>
        <v>6650</v>
      </c>
    </row>
    <row r="2367" spans="2:21" ht="15.75" x14ac:dyDescent="0.25">
      <c r="B2367" s="8">
        <f t="shared" si="135"/>
        <v>197</v>
      </c>
      <c r="C2367" s="141">
        <v>9</v>
      </c>
      <c r="D2367" s="677" t="s">
        <v>183</v>
      </c>
      <c r="E2367" s="678"/>
      <c r="F2367" s="678"/>
      <c r="G2367" s="678"/>
      <c r="H2367" s="678"/>
      <c r="I2367" s="142">
        <f>I2368+I2370</f>
        <v>17100</v>
      </c>
      <c r="J2367" s="142">
        <f>J2368+J2370</f>
        <v>17100</v>
      </c>
      <c r="K2367" s="142">
        <f>K2368+K2370</f>
        <v>17100</v>
      </c>
      <c r="L2367" s="143">
        <f>L2368</f>
        <v>8075</v>
      </c>
      <c r="M2367" s="143">
        <f>M2368</f>
        <v>5904</v>
      </c>
      <c r="N2367" s="533"/>
      <c r="O2367" s="142"/>
      <c r="P2367" s="142"/>
      <c r="Q2367" s="142"/>
      <c r="R2367" s="143"/>
      <c r="S2367" s="143"/>
      <c r="T2367" s="533"/>
      <c r="U2367" s="144">
        <f t="shared" si="133"/>
        <v>17100</v>
      </c>
    </row>
    <row r="2368" spans="2:21" x14ac:dyDescent="0.2">
      <c r="B2368" s="8">
        <f t="shared" si="135"/>
        <v>198</v>
      </c>
      <c r="C2368" s="24"/>
      <c r="D2368" s="24"/>
      <c r="E2368" s="24"/>
      <c r="F2368" s="149" t="s">
        <v>81</v>
      </c>
      <c r="G2368" s="150">
        <v>630</v>
      </c>
      <c r="H2368" s="24" t="s">
        <v>131</v>
      </c>
      <c r="I2368" s="25">
        <f>I2369</f>
        <v>16000</v>
      </c>
      <c r="J2368" s="25">
        <f>J2369</f>
        <v>16000</v>
      </c>
      <c r="K2368" s="25">
        <f>K2369</f>
        <v>16000</v>
      </c>
      <c r="L2368" s="26">
        <f>L2369</f>
        <v>8075</v>
      </c>
      <c r="M2368" s="26">
        <f>M2369</f>
        <v>5904</v>
      </c>
      <c r="N2368" s="501"/>
      <c r="O2368" s="25"/>
      <c r="P2368" s="25"/>
      <c r="Q2368" s="25"/>
      <c r="R2368" s="26"/>
      <c r="S2368" s="26"/>
      <c r="T2368" s="501"/>
      <c r="U2368" s="151">
        <f t="shared" si="133"/>
        <v>16000</v>
      </c>
    </row>
    <row r="2369" spans="2:21" x14ac:dyDescent="0.2">
      <c r="B2369" s="8">
        <f t="shared" si="135"/>
        <v>199</v>
      </c>
      <c r="C2369" s="18"/>
      <c r="D2369" s="18"/>
      <c r="E2369" s="18"/>
      <c r="F2369" s="152"/>
      <c r="G2369" s="153">
        <v>637</v>
      </c>
      <c r="H2369" s="18" t="s">
        <v>132</v>
      </c>
      <c r="I2369" s="19">
        <v>16000</v>
      </c>
      <c r="J2369" s="19">
        <v>16000</v>
      </c>
      <c r="K2369" s="19">
        <v>16000</v>
      </c>
      <c r="L2369" s="20">
        <v>8075</v>
      </c>
      <c r="M2369" s="20">
        <v>5904</v>
      </c>
      <c r="N2369" s="164"/>
      <c r="O2369" s="19"/>
      <c r="P2369" s="19"/>
      <c r="Q2369" s="19"/>
      <c r="R2369" s="20"/>
      <c r="S2369" s="20"/>
      <c r="T2369" s="164"/>
      <c r="U2369" s="154">
        <f t="shared" si="133"/>
        <v>16000</v>
      </c>
    </row>
    <row r="2370" spans="2:21" x14ac:dyDescent="0.2">
      <c r="B2370" s="8">
        <f t="shared" si="135"/>
        <v>200</v>
      </c>
      <c r="C2370" s="24"/>
      <c r="D2370" s="24"/>
      <c r="E2370" s="24"/>
      <c r="F2370" s="149" t="s">
        <v>81</v>
      </c>
      <c r="G2370" s="150">
        <v>640</v>
      </c>
      <c r="H2370" s="24" t="s">
        <v>139</v>
      </c>
      <c r="I2370" s="25">
        <f>I2371</f>
        <v>1100</v>
      </c>
      <c r="J2370" s="25">
        <f>J2371</f>
        <v>1100</v>
      </c>
      <c r="K2370" s="25">
        <f>K2371</f>
        <v>1100</v>
      </c>
      <c r="L2370" s="25"/>
      <c r="M2370" s="25">
        <f>M2371</f>
        <v>0</v>
      </c>
      <c r="N2370" s="501"/>
      <c r="O2370" s="25"/>
      <c r="P2370" s="25"/>
      <c r="Q2370" s="25"/>
      <c r="R2370" s="25"/>
      <c r="S2370" s="25"/>
      <c r="T2370" s="501"/>
      <c r="U2370" s="151">
        <f t="shared" si="133"/>
        <v>1100</v>
      </c>
    </row>
    <row r="2371" spans="2:21" x14ac:dyDescent="0.2">
      <c r="B2371" s="8">
        <f t="shared" si="135"/>
        <v>201</v>
      </c>
      <c r="C2371" s="120"/>
      <c r="D2371" s="120"/>
      <c r="E2371" s="120"/>
      <c r="F2371" s="298"/>
      <c r="G2371" s="298"/>
      <c r="H2371" s="156" t="s">
        <v>607</v>
      </c>
      <c r="I2371" s="157">
        <v>1100</v>
      </c>
      <c r="J2371" s="157">
        <v>1100</v>
      </c>
      <c r="K2371" s="157">
        <v>1100</v>
      </c>
      <c r="L2371" s="157"/>
      <c r="M2371" s="157"/>
      <c r="N2371" s="535"/>
      <c r="O2371" s="157"/>
      <c r="P2371" s="157"/>
      <c r="Q2371" s="157"/>
      <c r="R2371" s="157"/>
      <c r="S2371" s="157"/>
      <c r="T2371" s="535"/>
      <c r="U2371" s="159">
        <f t="shared" si="133"/>
        <v>1100</v>
      </c>
    </row>
    <row r="2372" spans="2:21" ht="15.75" x14ac:dyDescent="0.25">
      <c r="B2372" s="8">
        <f t="shared" si="135"/>
        <v>202</v>
      </c>
      <c r="C2372" s="141">
        <v>10</v>
      </c>
      <c r="D2372" s="677" t="s">
        <v>184</v>
      </c>
      <c r="E2372" s="678"/>
      <c r="F2372" s="678"/>
      <c r="G2372" s="678"/>
      <c r="H2372" s="678"/>
      <c r="I2372" s="142">
        <f>I2373</f>
        <v>26770</v>
      </c>
      <c r="J2372" s="142">
        <f>J2373</f>
        <v>23480</v>
      </c>
      <c r="K2372" s="142">
        <f>K2373</f>
        <v>24980</v>
      </c>
      <c r="L2372" s="143">
        <f>L2373</f>
        <v>19077</v>
      </c>
      <c r="M2372" s="143">
        <f>M2373</f>
        <v>16735</v>
      </c>
      <c r="N2372" s="533"/>
      <c r="O2372" s="142">
        <f>O2373</f>
        <v>55000</v>
      </c>
      <c r="P2372" s="142">
        <f>P2373</f>
        <v>0</v>
      </c>
      <c r="Q2372" s="142">
        <f>Q2373</f>
        <v>55000</v>
      </c>
      <c r="R2372" s="143"/>
      <c r="S2372" s="143"/>
      <c r="T2372" s="533"/>
      <c r="U2372" s="144">
        <f t="shared" si="133"/>
        <v>81770</v>
      </c>
    </row>
    <row r="2373" spans="2:21" ht="14.25" x14ac:dyDescent="0.2">
      <c r="B2373" s="8">
        <f t="shared" si="135"/>
        <v>203</v>
      </c>
      <c r="C2373" s="267"/>
      <c r="D2373" s="267"/>
      <c r="E2373" s="267">
        <v>5</v>
      </c>
      <c r="F2373" s="268"/>
      <c r="G2373" s="268"/>
      <c r="H2373" s="267" t="s">
        <v>114</v>
      </c>
      <c r="I2373" s="269">
        <f>I2374+I2375+I2376+I2381</f>
        <v>26770</v>
      </c>
      <c r="J2373" s="269">
        <f>J2374+J2375+J2376+J2381</f>
        <v>23480</v>
      </c>
      <c r="K2373" s="269">
        <f>K2374+K2375+K2376+K2381</f>
        <v>24980</v>
      </c>
      <c r="L2373" s="270">
        <f>L2374+L2375+L2376+L2381</f>
        <v>19077</v>
      </c>
      <c r="M2373" s="270">
        <f>M2374+M2375+M2376+M2381</f>
        <v>16735</v>
      </c>
      <c r="N2373" s="534"/>
      <c r="O2373" s="269">
        <f>O2382</f>
        <v>55000</v>
      </c>
      <c r="P2373" s="269">
        <v>0</v>
      </c>
      <c r="Q2373" s="269">
        <f>Q2382</f>
        <v>55000</v>
      </c>
      <c r="R2373" s="270"/>
      <c r="S2373" s="270"/>
      <c r="T2373" s="534"/>
      <c r="U2373" s="271">
        <f t="shared" si="133"/>
        <v>81770</v>
      </c>
    </row>
    <row r="2374" spans="2:21" x14ac:dyDescent="0.2">
      <c r="B2374" s="8">
        <f t="shared" si="135"/>
        <v>204</v>
      </c>
      <c r="C2374" s="24"/>
      <c r="D2374" s="24"/>
      <c r="E2374" s="24"/>
      <c r="F2374" s="149" t="s">
        <v>82</v>
      </c>
      <c r="G2374" s="150">
        <v>610</v>
      </c>
      <c r="H2374" s="24" t="s">
        <v>141</v>
      </c>
      <c r="I2374" s="25">
        <f>11920+3486</f>
        <v>15406</v>
      </c>
      <c r="J2374" s="25">
        <v>13700</v>
      </c>
      <c r="K2374" s="25">
        <v>13700</v>
      </c>
      <c r="L2374" s="26">
        <v>10382</v>
      </c>
      <c r="M2374" s="26">
        <v>10518</v>
      </c>
      <c r="N2374" s="501"/>
      <c r="O2374" s="25"/>
      <c r="P2374" s="25"/>
      <c r="Q2374" s="25"/>
      <c r="R2374" s="26"/>
      <c r="S2374" s="26"/>
      <c r="T2374" s="501"/>
      <c r="U2374" s="151">
        <f t="shared" ref="U2374:U2397" si="137">I2374+O2374</f>
        <v>15406</v>
      </c>
    </row>
    <row r="2375" spans="2:21" x14ac:dyDescent="0.2">
      <c r="B2375" s="8">
        <f t="shared" si="135"/>
        <v>205</v>
      </c>
      <c r="C2375" s="24"/>
      <c r="D2375" s="24"/>
      <c r="E2375" s="24"/>
      <c r="F2375" s="149" t="s">
        <v>82</v>
      </c>
      <c r="G2375" s="150">
        <v>620</v>
      </c>
      <c r="H2375" s="24" t="s">
        <v>134</v>
      </c>
      <c r="I2375" s="25">
        <f>1540+220+2200+125+465+155+735</f>
        <v>5440</v>
      </c>
      <c r="J2375" s="25">
        <v>4925</v>
      </c>
      <c r="K2375" s="25">
        <v>4925</v>
      </c>
      <c r="L2375" s="26">
        <v>3635</v>
      </c>
      <c r="M2375" s="26">
        <v>3051</v>
      </c>
      <c r="N2375" s="501"/>
      <c r="O2375" s="25"/>
      <c r="P2375" s="25"/>
      <c r="Q2375" s="25"/>
      <c r="R2375" s="26"/>
      <c r="S2375" s="26"/>
      <c r="T2375" s="501"/>
      <c r="U2375" s="151">
        <f t="shared" si="137"/>
        <v>5440</v>
      </c>
    </row>
    <row r="2376" spans="2:21" x14ac:dyDescent="0.2">
      <c r="B2376" s="8">
        <f t="shared" si="135"/>
        <v>206</v>
      </c>
      <c r="C2376" s="24"/>
      <c r="D2376" s="24"/>
      <c r="E2376" s="24"/>
      <c r="F2376" s="149" t="s">
        <v>82</v>
      </c>
      <c r="G2376" s="150">
        <v>630</v>
      </c>
      <c r="H2376" s="24" t="s">
        <v>131</v>
      </c>
      <c r="I2376" s="25">
        <f>I2380+I2379+I2378+I2377</f>
        <v>4964</v>
      </c>
      <c r="J2376" s="25">
        <f>J2380+J2379+J2378+J2377</f>
        <v>3805</v>
      </c>
      <c r="K2376" s="25">
        <f>K2380+K2379+K2378+K2377</f>
        <v>5305</v>
      </c>
      <c r="L2376" s="26">
        <f>L2380+L2379+L2378+L2377</f>
        <v>4189</v>
      </c>
      <c r="M2376" s="26">
        <f>M2380+M2379+M2378+M2377</f>
        <v>3166</v>
      </c>
      <c r="N2376" s="501"/>
      <c r="O2376" s="25"/>
      <c r="P2376" s="25"/>
      <c r="Q2376" s="25"/>
      <c r="R2376" s="26"/>
      <c r="S2376" s="26"/>
      <c r="T2376" s="501"/>
      <c r="U2376" s="151">
        <f t="shared" si="137"/>
        <v>4964</v>
      </c>
    </row>
    <row r="2377" spans="2:21" x14ac:dyDescent="0.2">
      <c r="B2377" s="8">
        <f t="shared" si="135"/>
        <v>207</v>
      </c>
      <c r="C2377" s="18"/>
      <c r="D2377" s="18"/>
      <c r="E2377" s="18"/>
      <c r="F2377" s="152"/>
      <c r="G2377" s="153">
        <v>632</v>
      </c>
      <c r="H2377" s="18" t="s">
        <v>144</v>
      </c>
      <c r="I2377" s="19">
        <f>20+25</f>
        <v>45</v>
      </c>
      <c r="J2377" s="19">
        <v>50</v>
      </c>
      <c r="K2377" s="19">
        <v>50</v>
      </c>
      <c r="L2377" s="20">
        <v>6</v>
      </c>
      <c r="M2377" s="20">
        <v>8</v>
      </c>
      <c r="N2377" s="164"/>
      <c r="O2377" s="19"/>
      <c r="P2377" s="19"/>
      <c r="Q2377" s="19"/>
      <c r="R2377" s="20"/>
      <c r="S2377" s="20"/>
      <c r="T2377" s="164"/>
      <c r="U2377" s="154">
        <f t="shared" si="137"/>
        <v>45</v>
      </c>
    </row>
    <row r="2378" spans="2:21" x14ac:dyDescent="0.2">
      <c r="B2378" s="8">
        <f t="shared" si="135"/>
        <v>208</v>
      </c>
      <c r="C2378" s="18"/>
      <c r="D2378" s="18"/>
      <c r="E2378" s="18"/>
      <c r="F2378" s="152"/>
      <c r="G2378" s="153">
        <v>633</v>
      </c>
      <c r="H2378" s="18" t="s">
        <v>135</v>
      </c>
      <c r="I2378" s="19">
        <f>50+80</f>
        <v>130</v>
      </c>
      <c r="J2378" s="19">
        <v>80</v>
      </c>
      <c r="K2378" s="19">
        <v>80</v>
      </c>
      <c r="L2378" s="20">
        <v>0</v>
      </c>
      <c r="M2378" s="20">
        <v>12</v>
      </c>
      <c r="N2378" s="164"/>
      <c r="O2378" s="19"/>
      <c r="P2378" s="19"/>
      <c r="Q2378" s="19"/>
      <c r="R2378" s="20"/>
      <c r="S2378" s="20"/>
      <c r="T2378" s="164"/>
      <c r="U2378" s="154">
        <f t="shared" si="137"/>
        <v>130</v>
      </c>
    </row>
    <row r="2379" spans="2:21" x14ac:dyDescent="0.2">
      <c r="B2379" s="8">
        <f t="shared" si="135"/>
        <v>209</v>
      </c>
      <c r="C2379" s="18"/>
      <c r="D2379" s="18"/>
      <c r="E2379" s="18"/>
      <c r="F2379" s="152"/>
      <c r="G2379" s="153">
        <v>634</v>
      </c>
      <c r="H2379" s="18" t="s">
        <v>142</v>
      </c>
      <c r="I2379" s="19">
        <f>2000+2000+320+120-261</f>
        <v>4179</v>
      </c>
      <c r="J2379" s="19">
        <v>3050</v>
      </c>
      <c r="K2379" s="19">
        <v>4550</v>
      </c>
      <c r="L2379" s="20">
        <v>3962</v>
      </c>
      <c r="M2379" s="20">
        <v>2575</v>
      </c>
      <c r="N2379" s="164"/>
      <c r="O2379" s="19"/>
      <c r="P2379" s="19"/>
      <c r="Q2379" s="19"/>
      <c r="R2379" s="20"/>
      <c r="S2379" s="20"/>
      <c r="T2379" s="164"/>
      <c r="U2379" s="154">
        <f t="shared" si="137"/>
        <v>4179</v>
      </c>
    </row>
    <row r="2380" spans="2:21" x14ac:dyDescent="0.2">
      <c r="B2380" s="8">
        <f t="shared" si="135"/>
        <v>210</v>
      </c>
      <c r="C2380" s="18"/>
      <c r="D2380" s="18"/>
      <c r="E2380" s="18"/>
      <c r="F2380" s="152"/>
      <c r="G2380" s="153">
        <v>637</v>
      </c>
      <c r="H2380" s="18" t="s">
        <v>132</v>
      </c>
      <c r="I2380" s="19">
        <f>100+275+235</f>
        <v>610</v>
      </c>
      <c r="J2380" s="19">
        <v>625</v>
      </c>
      <c r="K2380" s="19">
        <v>625</v>
      </c>
      <c r="L2380" s="20">
        <v>221</v>
      </c>
      <c r="M2380" s="20">
        <v>571</v>
      </c>
      <c r="N2380" s="164"/>
      <c r="O2380" s="19"/>
      <c r="P2380" s="19"/>
      <c r="Q2380" s="19"/>
      <c r="R2380" s="20"/>
      <c r="S2380" s="20"/>
      <c r="T2380" s="164"/>
      <c r="U2380" s="154">
        <f t="shared" si="137"/>
        <v>610</v>
      </c>
    </row>
    <row r="2381" spans="2:21" x14ac:dyDescent="0.2">
      <c r="B2381" s="8">
        <f t="shared" si="135"/>
        <v>211</v>
      </c>
      <c r="C2381" s="24"/>
      <c r="D2381" s="24"/>
      <c r="E2381" s="24"/>
      <c r="F2381" s="149" t="s">
        <v>82</v>
      </c>
      <c r="G2381" s="150">
        <v>640</v>
      </c>
      <c r="H2381" s="24" t="s">
        <v>139</v>
      </c>
      <c r="I2381" s="25">
        <f>760+200</f>
        <v>960</v>
      </c>
      <c r="J2381" s="25">
        <v>1050</v>
      </c>
      <c r="K2381" s="25">
        <v>1050</v>
      </c>
      <c r="L2381" s="26">
        <v>871</v>
      </c>
      <c r="M2381" s="26"/>
      <c r="N2381" s="501"/>
      <c r="O2381" s="25"/>
      <c r="P2381" s="25"/>
      <c r="Q2381" s="25"/>
      <c r="R2381" s="26"/>
      <c r="S2381" s="26"/>
      <c r="T2381" s="501"/>
      <c r="U2381" s="151">
        <f t="shared" si="137"/>
        <v>960</v>
      </c>
    </row>
    <row r="2382" spans="2:21" x14ac:dyDescent="0.2">
      <c r="B2382" s="8">
        <f t="shared" si="135"/>
        <v>212</v>
      </c>
      <c r="C2382" s="24"/>
      <c r="D2382" s="24"/>
      <c r="E2382" s="24"/>
      <c r="F2382" s="149" t="s">
        <v>82</v>
      </c>
      <c r="G2382" s="150">
        <v>710</v>
      </c>
      <c r="H2382" s="24" t="s">
        <v>185</v>
      </c>
      <c r="I2382" s="25"/>
      <c r="J2382" s="25"/>
      <c r="K2382" s="25"/>
      <c r="L2382" s="26"/>
      <c r="M2382" s="26"/>
      <c r="N2382" s="501"/>
      <c r="O2382" s="25">
        <f>O2383</f>
        <v>55000</v>
      </c>
      <c r="P2382" s="25"/>
      <c r="Q2382" s="25">
        <f>Q2383</f>
        <v>55000</v>
      </c>
      <c r="R2382" s="26"/>
      <c r="S2382" s="26"/>
      <c r="T2382" s="501"/>
      <c r="U2382" s="151">
        <f t="shared" si="137"/>
        <v>55000</v>
      </c>
    </row>
    <row r="2383" spans="2:21" x14ac:dyDescent="0.2">
      <c r="B2383" s="8">
        <f t="shared" si="135"/>
        <v>213</v>
      </c>
      <c r="C2383" s="24"/>
      <c r="D2383" s="24"/>
      <c r="E2383" s="24"/>
      <c r="F2383" s="149"/>
      <c r="G2383" s="153">
        <v>713</v>
      </c>
      <c r="H2383" s="18" t="s">
        <v>186</v>
      </c>
      <c r="I2383" s="19"/>
      <c r="J2383" s="19"/>
      <c r="K2383" s="19"/>
      <c r="L2383" s="19"/>
      <c r="M2383" s="19"/>
      <c r="N2383" s="164"/>
      <c r="O2383" s="19">
        <f>O2384</f>
        <v>55000</v>
      </c>
      <c r="P2383" s="19"/>
      <c r="Q2383" s="19">
        <f>Q2384</f>
        <v>55000</v>
      </c>
      <c r="R2383" s="26"/>
      <c r="S2383" s="26"/>
      <c r="T2383" s="501"/>
      <c r="U2383" s="151">
        <f t="shared" si="137"/>
        <v>55000</v>
      </c>
    </row>
    <row r="2384" spans="2:21" x14ac:dyDescent="0.2">
      <c r="B2384" s="8">
        <f t="shared" si="135"/>
        <v>214</v>
      </c>
      <c r="C2384" s="24"/>
      <c r="D2384" s="24"/>
      <c r="E2384" s="24"/>
      <c r="F2384" s="149"/>
      <c r="G2384" s="313"/>
      <c r="H2384" s="410" t="s">
        <v>1092</v>
      </c>
      <c r="I2384" s="169"/>
      <c r="J2384" s="169"/>
      <c r="K2384" s="169"/>
      <c r="L2384" s="169"/>
      <c r="M2384" s="169"/>
      <c r="N2384" s="536"/>
      <c r="O2384" s="169">
        <v>55000</v>
      </c>
      <c r="P2384" s="169"/>
      <c r="Q2384" s="169">
        <v>55000</v>
      </c>
      <c r="R2384" s="26"/>
      <c r="S2384" s="26"/>
      <c r="T2384" s="501"/>
      <c r="U2384" s="151">
        <f t="shared" si="137"/>
        <v>55000</v>
      </c>
    </row>
    <row r="2385" spans="2:21" ht="15.75" x14ac:dyDescent="0.25">
      <c r="B2385" s="8">
        <f t="shared" si="135"/>
        <v>215</v>
      </c>
      <c r="C2385" s="141">
        <v>11</v>
      </c>
      <c r="D2385" s="677" t="s">
        <v>77</v>
      </c>
      <c r="E2385" s="678"/>
      <c r="F2385" s="678"/>
      <c r="G2385" s="678"/>
      <c r="H2385" s="678"/>
      <c r="I2385" s="142">
        <f>I2386</f>
        <v>265580</v>
      </c>
      <c r="J2385" s="142">
        <f>J2386</f>
        <v>225545</v>
      </c>
      <c r="K2385" s="142">
        <f>K2386</f>
        <v>225445</v>
      </c>
      <c r="L2385" s="143">
        <f>L2386</f>
        <v>221285</v>
      </c>
      <c r="M2385" s="143">
        <f>M2386</f>
        <v>203379</v>
      </c>
      <c r="N2385" s="533"/>
      <c r="O2385" s="142"/>
      <c r="P2385" s="142"/>
      <c r="Q2385" s="142"/>
      <c r="R2385" s="143"/>
      <c r="S2385" s="143"/>
      <c r="T2385" s="533"/>
      <c r="U2385" s="144">
        <f t="shared" si="137"/>
        <v>265580</v>
      </c>
    </row>
    <row r="2386" spans="2:21" ht="14.25" x14ac:dyDescent="0.2">
      <c r="B2386" s="8">
        <f t="shared" si="135"/>
        <v>216</v>
      </c>
      <c r="C2386" s="267"/>
      <c r="D2386" s="267"/>
      <c r="E2386" s="267">
        <v>5</v>
      </c>
      <c r="F2386" s="268"/>
      <c r="G2386" s="268"/>
      <c r="H2386" s="267" t="s">
        <v>114</v>
      </c>
      <c r="I2386" s="269">
        <f>I2387+I2388+I2389+I2396</f>
        <v>265580</v>
      </c>
      <c r="J2386" s="269">
        <f>J2387+J2388+J2389+J2396</f>
        <v>225545</v>
      </c>
      <c r="K2386" s="269">
        <f>K2387+K2388+K2389+K2396</f>
        <v>225445</v>
      </c>
      <c r="L2386" s="270">
        <f>L2387+L2388+L2389+L2396</f>
        <v>221285</v>
      </c>
      <c r="M2386" s="270">
        <f>M2387+M2388+M2389+M2396</f>
        <v>203379</v>
      </c>
      <c r="N2386" s="534"/>
      <c r="O2386" s="269"/>
      <c r="P2386" s="269"/>
      <c r="Q2386" s="269"/>
      <c r="R2386" s="270"/>
      <c r="S2386" s="270"/>
      <c r="T2386" s="534"/>
      <c r="U2386" s="271">
        <f t="shared" si="137"/>
        <v>265580</v>
      </c>
    </row>
    <row r="2387" spans="2:21" x14ac:dyDescent="0.2">
      <c r="B2387" s="8">
        <f t="shared" si="135"/>
        <v>217</v>
      </c>
      <c r="C2387" s="24"/>
      <c r="D2387" s="24"/>
      <c r="E2387" s="24"/>
      <c r="F2387" s="149" t="s">
        <v>66</v>
      </c>
      <c r="G2387" s="150">
        <v>610</v>
      </c>
      <c r="H2387" s="24" t="s">
        <v>141</v>
      </c>
      <c r="I2387" s="25">
        <f>114890+43600+7855+1875</f>
        <v>168220</v>
      </c>
      <c r="J2387" s="25">
        <v>138550</v>
      </c>
      <c r="K2387" s="25">
        <v>138550</v>
      </c>
      <c r="L2387" s="26">
        <v>138253</v>
      </c>
      <c r="M2387" s="26">
        <v>124487</v>
      </c>
      <c r="N2387" s="501"/>
      <c r="O2387" s="25"/>
      <c r="P2387" s="25"/>
      <c r="Q2387" s="25"/>
      <c r="R2387" s="26"/>
      <c r="S2387" s="26"/>
      <c r="T2387" s="501"/>
      <c r="U2387" s="151">
        <f t="shared" si="137"/>
        <v>168220</v>
      </c>
    </row>
    <row r="2388" spans="2:21" x14ac:dyDescent="0.2">
      <c r="B2388" s="8">
        <f t="shared" si="135"/>
        <v>218</v>
      </c>
      <c r="C2388" s="24"/>
      <c r="D2388" s="24"/>
      <c r="E2388" s="24"/>
      <c r="F2388" s="149" t="s">
        <v>66</v>
      </c>
      <c r="G2388" s="150">
        <v>620</v>
      </c>
      <c r="H2388" s="24" t="s">
        <v>134</v>
      </c>
      <c r="I2388" s="25">
        <f>12680+1835+2130+2330+23300+1330+4990+1665+7900+5000</f>
        <v>63160</v>
      </c>
      <c r="J2388" s="25">
        <v>52460</v>
      </c>
      <c r="K2388" s="25">
        <v>52460</v>
      </c>
      <c r="L2388" s="26">
        <v>50392</v>
      </c>
      <c r="M2388" s="26">
        <v>47103</v>
      </c>
      <c r="N2388" s="501"/>
      <c r="O2388" s="25"/>
      <c r="P2388" s="25"/>
      <c r="Q2388" s="25"/>
      <c r="R2388" s="26"/>
      <c r="S2388" s="26"/>
      <c r="T2388" s="501"/>
      <c r="U2388" s="151">
        <f t="shared" si="137"/>
        <v>63160</v>
      </c>
    </row>
    <row r="2389" spans="2:21" x14ac:dyDescent="0.2">
      <c r="B2389" s="8">
        <f t="shared" si="135"/>
        <v>219</v>
      </c>
      <c r="C2389" s="24"/>
      <c r="D2389" s="24"/>
      <c r="E2389" s="24"/>
      <c r="F2389" s="149" t="s">
        <v>66</v>
      </c>
      <c r="G2389" s="150">
        <v>630</v>
      </c>
      <c r="H2389" s="24" t="s">
        <v>131</v>
      </c>
      <c r="I2389" s="25">
        <f>I2395+I2394+I2393+I2392+I2391+I2390</f>
        <v>28600</v>
      </c>
      <c r="J2389" s="25">
        <f>J2395+J2394+J2393+J2392+J2391+J2390</f>
        <v>30235</v>
      </c>
      <c r="K2389" s="25">
        <f>K2395+K2394+K2393+K2392+K2391+K2390</f>
        <v>30135</v>
      </c>
      <c r="L2389" s="26">
        <f>L2395+L2394+L2393+L2392+L2391+L2390</f>
        <v>28431</v>
      </c>
      <c r="M2389" s="26">
        <f>M2395+M2394+M2393+M2392+M2391+M2390</f>
        <v>30946</v>
      </c>
      <c r="N2389" s="501"/>
      <c r="O2389" s="25"/>
      <c r="P2389" s="25"/>
      <c r="Q2389" s="25"/>
      <c r="R2389" s="26"/>
      <c r="S2389" s="26"/>
      <c r="T2389" s="501"/>
      <c r="U2389" s="151">
        <f t="shared" si="137"/>
        <v>28600</v>
      </c>
    </row>
    <row r="2390" spans="2:21" x14ac:dyDescent="0.2">
      <c r="B2390" s="8">
        <f t="shared" si="135"/>
        <v>220</v>
      </c>
      <c r="C2390" s="18"/>
      <c r="D2390" s="18"/>
      <c r="E2390" s="18"/>
      <c r="F2390" s="152"/>
      <c r="G2390" s="153">
        <v>631</v>
      </c>
      <c r="H2390" s="18" t="s">
        <v>137</v>
      </c>
      <c r="I2390" s="19">
        <v>200</v>
      </c>
      <c r="J2390" s="19">
        <v>200</v>
      </c>
      <c r="K2390" s="19">
        <v>100</v>
      </c>
      <c r="L2390" s="20">
        <v>152</v>
      </c>
      <c r="M2390" s="20"/>
      <c r="N2390" s="164"/>
      <c r="O2390" s="19"/>
      <c r="P2390" s="19"/>
      <c r="Q2390" s="19"/>
      <c r="R2390" s="20"/>
      <c r="S2390" s="20"/>
      <c r="T2390" s="164"/>
      <c r="U2390" s="154">
        <f t="shared" si="137"/>
        <v>200</v>
      </c>
    </row>
    <row r="2391" spans="2:21" x14ac:dyDescent="0.2">
      <c r="B2391" s="8">
        <f t="shared" si="135"/>
        <v>221</v>
      </c>
      <c r="C2391" s="18"/>
      <c r="D2391" s="18"/>
      <c r="E2391" s="18"/>
      <c r="F2391" s="152"/>
      <c r="G2391" s="153">
        <v>632</v>
      </c>
      <c r="H2391" s="18" t="s">
        <v>144</v>
      </c>
      <c r="I2391" s="19">
        <v>1800</v>
      </c>
      <c r="J2391" s="19">
        <v>2300</v>
      </c>
      <c r="K2391" s="19">
        <v>2300</v>
      </c>
      <c r="L2391" s="20">
        <v>1395</v>
      </c>
      <c r="M2391" s="20">
        <v>2080</v>
      </c>
      <c r="N2391" s="164"/>
      <c r="O2391" s="19"/>
      <c r="P2391" s="19"/>
      <c r="Q2391" s="19"/>
      <c r="R2391" s="20"/>
      <c r="S2391" s="20"/>
      <c r="T2391" s="164"/>
      <c r="U2391" s="154">
        <f t="shared" si="137"/>
        <v>1800</v>
      </c>
    </row>
    <row r="2392" spans="2:21" x14ac:dyDescent="0.2">
      <c r="B2392" s="8">
        <f t="shared" si="135"/>
        <v>222</v>
      </c>
      <c r="C2392" s="18"/>
      <c r="D2392" s="18"/>
      <c r="E2392" s="18"/>
      <c r="F2392" s="152"/>
      <c r="G2392" s="153">
        <v>633</v>
      </c>
      <c r="H2392" s="18" t="s">
        <v>135</v>
      </c>
      <c r="I2392" s="19">
        <v>2600</v>
      </c>
      <c r="J2392" s="19">
        <v>2970</v>
      </c>
      <c r="K2392" s="19">
        <v>2970</v>
      </c>
      <c r="L2392" s="20">
        <v>2129</v>
      </c>
      <c r="M2392" s="20">
        <v>3340</v>
      </c>
      <c r="N2392" s="164"/>
      <c r="O2392" s="19"/>
      <c r="P2392" s="19"/>
      <c r="Q2392" s="19"/>
      <c r="R2392" s="20"/>
      <c r="S2392" s="20"/>
      <c r="T2392" s="164"/>
      <c r="U2392" s="154">
        <f t="shared" si="137"/>
        <v>2600</v>
      </c>
    </row>
    <row r="2393" spans="2:21" x14ac:dyDescent="0.2">
      <c r="B2393" s="8">
        <f t="shared" si="135"/>
        <v>223</v>
      </c>
      <c r="C2393" s="18"/>
      <c r="D2393" s="18"/>
      <c r="E2393" s="18"/>
      <c r="F2393" s="152"/>
      <c r="G2393" s="153">
        <v>634</v>
      </c>
      <c r="H2393" s="18" t="s">
        <v>142</v>
      </c>
      <c r="I2393" s="19">
        <v>1000</v>
      </c>
      <c r="J2393" s="19">
        <v>2000</v>
      </c>
      <c r="K2393" s="19">
        <v>2000</v>
      </c>
      <c r="L2393" s="20">
        <v>2597</v>
      </c>
      <c r="M2393" s="20">
        <v>1182</v>
      </c>
      <c r="N2393" s="164"/>
      <c r="O2393" s="19"/>
      <c r="P2393" s="19"/>
      <c r="Q2393" s="19"/>
      <c r="R2393" s="20"/>
      <c r="S2393" s="20"/>
      <c r="T2393" s="164"/>
      <c r="U2393" s="154">
        <f t="shared" si="137"/>
        <v>1000</v>
      </c>
    </row>
    <row r="2394" spans="2:21" x14ac:dyDescent="0.2">
      <c r="B2394" s="8">
        <f t="shared" si="135"/>
        <v>224</v>
      </c>
      <c r="C2394" s="18"/>
      <c r="D2394" s="18"/>
      <c r="E2394" s="18"/>
      <c r="F2394" s="152"/>
      <c r="G2394" s="153">
        <v>635</v>
      </c>
      <c r="H2394" s="18" t="s">
        <v>143</v>
      </c>
      <c r="I2394" s="19">
        <v>500</v>
      </c>
      <c r="J2394" s="19">
        <v>800</v>
      </c>
      <c r="K2394" s="19">
        <v>800</v>
      </c>
      <c r="L2394" s="20">
        <v>170</v>
      </c>
      <c r="M2394" s="20">
        <v>618</v>
      </c>
      <c r="N2394" s="164"/>
      <c r="O2394" s="19"/>
      <c r="P2394" s="19"/>
      <c r="Q2394" s="19"/>
      <c r="R2394" s="20"/>
      <c r="S2394" s="20"/>
      <c r="T2394" s="164"/>
      <c r="U2394" s="154">
        <f t="shared" si="137"/>
        <v>500</v>
      </c>
    </row>
    <row r="2395" spans="2:21" x14ac:dyDescent="0.2">
      <c r="B2395" s="8">
        <f t="shared" si="135"/>
        <v>225</v>
      </c>
      <c r="C2395" s="18"/>
      <c r="D2395" s="18"/>
      <c r="E2395" s="18"/>
      <c r="F2395" s="152"/>
      <c r="G2395" s="153">
        <v>637</v>
      </c>
      <c r="H2395" s="18" t="s">
        <v>132</v>
      </c>
      <c r="I2395" s="19">
        <v>22500</v>
      </c>
      <c r="J2395" s="19">
        <v>21965</v>
      </c>
      <c r="K2395" s="19">
        <v>21965</v>
      </c>
      <c r="L2395" s="20">
        <v>21988</v>
      </c>
      <c r="M2395" s="20">
        <f>22939+787</f>
        <v>23726</v>
      </c>
      <c r="N2395" s="164"/>
      <c r="O2395" s="19"/>
      <c r="P2395" s="19"/>
      <c r="Q2395" s="19"/>
      <c r="R2395" s="20"/>
      <c r="S2395" s="20"/>
      <c r="T2395" s="164"/>
      <c r="U2395" s="154">
        <f t="shared" si="137"/>
        <v>22500</v>
      </c>
    </row>
    <row r="2396" spans="2:21" x14ac:dyDescent="0.2">
      <c r="B2396" s="8">
        <f t="shared" si="135"/>
        <v>226</v>
      </c>
      <c r="C2396" s="319"/>
      <c r="D2396" s="319"/>
      <c r="E2396" s="319"/>
      <c r="F2396" s="320" t="s">
        <v>66</v>
      </c>
      <c r="G2396" s="321">
        <v>640</v>
      </c>
      <c r="H2396" s="319" t="s">
        <v>139</v>
      </c>
      <c r="I2396" s="322">
        <f>4550+1050</f>
        <v>5600</v>
      </c>
      <c r="J2396" s="322">
        <v>4300</v>
      </c>
      <c r="K2396" s="322">
        <v>4300</v>
      </c>
      <c r="L2396" s="323">
        <v>4209</v>
      </c>
      <c r="M2396" s="323">
        <v>843</v>
      </c>
      <c r="N2396" s="563"/>
      <c r="O2396" s="322"/>
      <c r="P2396" s="322"/>
      <c r="Q2396" s="322"/>
      <c r="R2396" s="323"/>
      <c r="S2396" s="323"/>
      <c r="T2396" s="563"/>
      <c r="U2396" s="324">
        <f t="shared" si="137"/>
        <v>5600</v>
      </c>
    </row>
    <row r="2397" spans="2:21" ht="15.75" x14ac:dyDescent="0.25">
      <c r="B2397" s="8">
        <f t="shared" si="135"/>
        <v>227</v>
      </c>
      <c r="C2397" s="303">
        <v>12</v>
      </c>
      <c r="D2397" s="690" t="s">
        <v>828</v>
      </c>
      <c r="E2397" s="691"/>
      <c r="F2397" s="691"/>
      <c r="G2397" s="691"/>
      <c r="H2397" s="691"/>
      <c r="I2397" s="304">
        <v>0</v>
      </c>
      <c r="J2397" s="304">
        <v>0</v>
      </c>
      <c r="K2397" s="435">
        <v>0</v>
      </c>
      <c r="L2397" s="305">
        <v>0</v>
      </c>
      <c r="M2397" s="305">
        <v>0</v>
      </c>
      <c r="N2397" s="564"/>
      <c r="O2397" s="304">
        <f>O2398</f>
        <v>0</v>
      </c>
      <c r="P2397" s="304"/>
      <c r="Q2397" s="304"/>
      <c r="R2397" s="305"/>
      <c r="S2397" s="305"/>
      <c r="T2397" s="564"/>
      <c r="U2397" s="306">
        <f t="shared" si="137"/>
        <v>0</v>
      </c>
    </row>
    <row r="2402" spans="2:21" ht="27" x14ac:dyDescent="0.35">
      <c r="B2402" s="679" t="s">
        <v>27</v>
      </c>
      <c r="C2402" s="680"/>
      <c r="D2402" s="680"/>
      <c r="E2402" s="680"/>
      <c r="F2402" s="680"/>
      <c r="G2402" s="680"/>
      <c r="H2402" s="680"/>
      <c r="I2402" s="680"/>
      <c r="J2402" s="680"/>
      <c r="K2402" s="680"/>
      <c r="L2402" s="680"/>
      <c r="M2402" s="680"/>
      <c r="N2402" s="680"/>
      <c r="O2402" s="680"/>
      <c r="P2402" s="680"/>
      <c r="Q2402" s="680"/>
      <c r="R2402" s="680"/>
      <c r="S2402" s="680"/>
      <c r="T2402" s="680"/>
      <c r="U2402" s="680"/>
    </row>
    <row r="2403" spans="2:21" ht="13.5" customHeight="1" x14ac:dyDescent="0.2">
      <c r="B2403" s="684" t="s">
        <v>842</v>
      </c>
      <c r="C2403" s="685"/>
      <c r="D2403" s="685"/>
      <c r="E2403" s="685"/>
      <c r="F2403" s="685"/>
      <c r="G2403" s="685"/>
      <c r="H2403" s="685"/>
      <c r="I2403" s="685"/>
      <c r="J2403" s="685"/>
      <c r="K2403" s="685"/>
      <c r="L2403" s="685"/>
      <c r="M2403" s="685"/>
      <c r="N2403" s="685"/>
      <c r="O2403" s="685"/>
      <c r="P2403" s="685"/>
      <c r="Q2403" s="685"/>
      <c r="R2403" s="685"/>
      <c r="S2403" s="685"/>
      <c r="T2403" s="567"/>
      <c r="U2403" s="682" t="s">
        <v>1207</v>
      </c>
    </row>
    <row r="2404" spans="2:21" ht="12.75" customHeight="1" x14ac:dyDescent="0.2">
      <c r="B2404" s="681"/>
      <c r="C2404" s="681" t="s">
        <v>122</v>
      </c>
      <c r="D2404" s="681" t="s">
        <v>123</v>
      </c>
      <c r="E2404" s="681"/>
      <c r="F2404" s="681" t="s">
        <v>124</v>
      </c>
      <c r="G2404" s="689" t="s">
        <v>125</v>
      </c>
      <c r="H2404" s="686" t="s">
        <v>126</v>
      </c>
      <c r="I2404" s="673" t="s">
        <v>1205</v>
      </c>
      <c r="J2404" s="674" t="s">
        <v>837</v>
      </c>
      <c r="K2404" s="674" t="s">
        <v>838</v>
      </c>
      <c r="L2404" s="672" t="s">
        <v>839</v>
      </c>
      <c r="M2404" s="672" t="s">
        <v>643</v>
      </c>
      <c r="N2404" s="493"/>
      <c r="O2404" s="673" t="s">
        <v>1206</v>
      </c>
      <c r="P2404" s="674" t="s">
        <v>840</v>
      </c>
      <c r="Q2404" s="674" t="s">
        <v>841</v>
      </c>
      <c r="R2404" s="672" t="s">
        <v>839</v>
      </c>
      <c r="S2404" s="672" t="s">
        <v>643</v>
      </c>
      <c r="T2404" s="493"/>
      <c r="U2404" s="683"/>
    </row>
    <row r="2405" spans="2:21" x14ac:dyDescent="0.2">
      <c r="B2405" s="681"/>
      <c r="C2405" s="681"/>
      <c r="D2405" s="681"/>
      <c r="E2405" s="681"/>
      <c r="F2405" s="681"/>
      <c r="G2405" s="689"/>
      <c r="H2405" s="686"/>
      <c r="I2405" s="673"/>
      <c r="J2405" s="674"/>
      <c r="K2405" s="674"/>
      <c r="L2405" s="672"/>
      <c r="M2405" s="672"/>
      <c r="N2405" s="493"/>
      <c r="O2405" s="673"/>
      <c r="P2405" s="674"/>
      <c r="Q2405" s="674"/>
      <c r="R2405" s="672"/>
      <c r="S2405" s="672"/>
      <c r="T2405" s="493"/>
      <c r="U2405" s="683"/>
    </row>
    <row r="2406" spans="2:21" x14ac:dyDescent="0.2">
      <c r="B2406" s="681"/>
      <c r="C2406" s="681"/>
      <c r="D2406" s="681"/>
      <c r="E2406" s="681"/>
      <c r="F2406" s="681"/>
      <c r="G2406" s="689"/>
      <c r="H2406" s="686"/>
      <c r="I2406" s="673"/>
      <c r="J2406" s="674"/>
      <c r="K2406" s="674"/>
      <c r="L2406" s="672"/>
      <c r="M2406" s="672"/>
      <c r="N2406" s="493"/>
      <c r="O2406" s="673"/>
      <c r="P2406" s="674"/>
      <c r="Q2406" s="674"/>
      <c r="R2406" s="672"/>
      <c r="S2406" s="672"/>
      <c r="T2406" s="493"/>
      <c r="U2406" s="683"/>
    </row>
    <row r="2407" spans="2:21" x14ac:dyDescent="0.2">
      <c r="B2407" s="681"/>
      <c r="C2407" s="681"/>
      <c r="D2407" s="681"/>
      <c r="E2407" s="681"/>
      <c r="F2407" s="681"/>
      <c r="G2407" s="689"/>
      <c r="H2407" s="686"/>
      <c r="I2407" s="673"/>
      <c r="J2407" s="674"/>
      <c r="K2407" s="674"/>
      <c r="L2407" s="672"/>
      <c r="M2407" s="672"/>
      <c r="N2407" s="493"/>
      <c r="O2407" s="673"/>
      <c r="P2407" s="674"/>
      <c r="Q2407" s="674"/>
      <c r="R2407" s="672"/>
      <c r="S2407" s="672"/>
      <c r="T2407" s="493"/>
      <c r="U2407" s="683"/>
    </row>
    <row r="2408" spans="2:21" ht="15.75" x14ac:dyDescent="0.2">
      <c r="B2408" s="8">
        <v>1</v>
      </c>
      <c r="C2408" s="687" t="s">
        <v>27</v>
      </c>
      <c r="D2408" s="688"/>
      <c r="E2408" s="688"/>
      <c r="F2408" s="688"/>
      <c r="G2408" s="688"/>
      <c r="H2408" s="688"/>
      <c r="I2408" s="138">
        <f t="shared" ref="I2408:Q2408" si="138">I2409</f>
        <v>385260</v>
      </c>
      <c r="J2408" s="138">
        <f t="shared" si="138"/>
        <v>470770</v>
      </c>
      <c r="K2408" s="138">
        <f t="shared" si="138"/>
        <v>468270</v>
      </c>
      <c r="L2408" s="139">
        <f t="shared" si="138"/>
        <v>413581</v>
      </c>
      <c r="M2408" s="139">
        <f t="shared" si="138"/>
        <v>294461</v>
      </c>
      <c r="N2408" s="532"/>
      <c r="O2408" s="138">
        <f t="shared" si="138"/>
        <v>1650</v>
      </c>
      <c r="P2408" s="138">
        <f t="shared" si="138"/>
        <v>0</v>
      </c>
      <c r="Q2408" s="138">
        <f t="shared" si="138"/>
        <v>1650</v>
      </c>
      <c r="R2408" s="139"/>
      <c r="S2408" s="139"/>
      <c r="T2408" s="532"/>
      <c r="U2408" s="140">
        <f t="shared" ref="U2408:U2428" si="139">I2408+O2408</f>
        <v>386910</v>
      </c>
    </row>
    <row r="2409" spans="2:21" ht="15.75" x14ac:dyDescent="0.25">
      <c r="B2409" s="8">
        <f>B2408+1</f>
        <v>2</v>
      </c>
      <c r="C2409" s="141">
        <v>1</v>
      </c>
      <c r="D2409" s="677" t="s">
        <v>165</v>
      </c>
      <c r="E2409" s="678"/>
      <c r="F2409" s="678"/>
      <c r="G2409" s="678"/>
      <c r="H2409" s="678"/>
      <c r="I2409" s="142">
        <f>I2410+I2421</f>
        <v>385260</v>
      </c>
      <c r="J2409" s="142">
        <f>J2410+J2421</f>
        <v>470770</v>
      </c>
      <c r="K2409" s="142">
        <f>K2410+K2421</f>
        <v>468270</v>
      </c>
      <c r="L2409" s="143">
        <f>L2410+L2421</f>
        <v>413581</v>
      </c>
      <c r="M2409" s="143">
        <f>M2410+M2421</f>
        <v>294461</v>
      </c>
      <c r="N2409" s="533"/>
      <c r="O2409" s="142">
        <f>O2410+O2421</f>
        <v>1650</v>
      </c>
      <c r="P2409" s="142"/>
      <c r="Q2409" s="142">
        <f>Q2410+Q2421</f>
        <v>1650</v>
      </c>
      <c r="R2409" s="143"/>
      <c r="S2409" s="143"/>
      <c r="T2409" s="533"/>
      <c r="U2409" s="144">
        <f t="shared" si="139"/>
        <v>386910</v>
      </c>
    </row>
    <row r="2410" spans="2:21" ht="14.25" x14ac:dyDescent="0.2">
      <c r="B2410" s="8">
        <f>B2409+1</f>
        <v>3</v>
      </c>
      <c r="C2410" s="160"/>
      <c r="D2410" s="160">
        <v>1</v>
      </c>
      <c r="E2410" s="675" t="s">
        <v>164</v>
      </c>
      <c r="F2410" s="676"/>
      <c r="G2410" s="676"/>
      <c r="H2410" s="676"/>
      <c r="I2410" s="161">
        <f>I2411+I2415</f>
        <v>336500</v>
      </c>
      <c r="J2410" s="161">
        <f>J2411+J2415</f>
        <v>428880</v>
      </c>
      <c r="K2410" s="161">
        <f>K2411+K2415</f>
        <v>426380</v>
      </c>
      <c r="L2410" s="162">
        <f>L2411+L2415</f>
        <v>382073</v>
      </c>
      <c r="M2410" s="162">
        <f>M2411+M2415</f>
        <v>262237</v>
      </c>
      <c r="N2410" s="534"/>
      <c r="O2410" s="161">
        <f>O2417</f>
        <v>1650</v>
      </c>
      <c r="P2410" s="161"/>
      <c r="Q2410" s="161">
        <f>Q2417</f>
        <v>1650</v>
      </c>
      <c r="R2410" s="162"/>
      <c r="S2410" s="162"/>
      <c r="T2410" s="534"/>
      <c r="U2410" s="163">
        <f t="shared" si="139"/>
        <v>338150</v>
      </c>
    </row>
    <row r="2411" spans="2:21" x14ac:dyDescent="0.2">
      <c r="B2411" s="8">
        <f t="shared" ref="B2411:B2428" si="140">B2410+1</f>
        <v>4</v>
      </c>
      <c r="C2411" s="24"/>
      <c r="D2411" s="24"/>
      <c r="E2411" s="24"/>
      <c r="F2411" s="149" t="s">
        <v>163</v>
      </c>
      <c r="G2411" s="150">
        <v>630</v>
      </c>
      <c r="H2411" s="24" t="s">
        <v>131</v>
      </c>
      <c r="I2411" s="25">
        <f>SUM(I2412:I2414)</f>
        <v>263000</v>
      </c>
      <c r="J2411" s="25">
        <f>J2414+J2413+J2412</f>
        <v>357380</v>
      </c>
      <c r="K2411" s="25">
        <f>K2414+K2413+K2412</f>
        <v>354880</v>
      </c>
      <c r="L2411" s="26">
        <f>L2414+L2413+L2412</f>
        <v>307282</v>
      </c>
      <c r="M2411" s="26">
        <f>M2414+M2413</f>
        <v>190496</v>
      </c>
      <c r="N2411" s="501"/>
      <c r="O2411" s="25"/>
      <c r="P2411" s="25"/>
      <c r="Q2411" s="25"/>
      <c r="R2411" s="26"/>
      <c r="S2411" s="26"/>
      <c r="T2411" s="501"/>
      <c r="U2411" s="151">
        <f t="shared" si="139"/>
        <v>263000</v>
      </c>
    </row>
    <row r="2412" spans="2:21" x14ac:dyDescent="0.2">
      <c r="B2412" s="8">
        <f t="shared" si="140"/>
        <v>5</v>
      </c>
      <c r="C2412" s="18"/>
      <c r="D2412" s="18"/>
      <c r="E2412" s="18"/>
      <c r="F2412" s="152"/>
      <c r="G2412" s="153">
        <v>635</v>
      </c>
      <c r="H2412" s="18" t="s">
        <v>143</v>
      </c>
      <c r="I2412" s="19">
        <v>10000</v>
      </c>
      <c r="J2412" s="19">
        <v>10000</v>
      </c>
      <c r="K2412" s="19">
        <v>10000</v>
      </c>
      <c r="L2412" s="20">
        <v>1227</v>
      </c>
      <c r="M2412" s="20"/>
      <c r="N2412" s="164"/>
      <c r="O2412" s="19"/>
      <c r="P2412" s="19"/>
      <c r="Q2412" s="19"/>
      <c r="R2412" s="20"/>
      <c r="S2412" s="20"/>
      <c r="T2412" s="164"/>
      <c r="U2412" s="154">
        <f t="shared" si="139"/>
        <v>10000</v>
      </c>
    </row>
    <row r="2413" spans="2:21" x14ac:dyDescent="0.2">
      <c r="B2413" s="8">
        <f t="shared" si="140"/>
        <v>6</v>
      </c>
      <c r="C2413" s="18"/>
      <c r="D2413" s="18"/>
      <c r="E2413" s="18"/>
      <c r="F2413" s="152"/>
      <c r="G2413" s="153">
        <v>636</v>
      </c>
      <c r="H2413" s="18" t="s">
        <v>136</v>
      </c>
      <c r="I2413" s="19">
        <v>9000</v>
      </c>
      <c r="J2413" s="19">
        <v>9600</v>
      </c>
      <c r="K2413" s="19">
        <v>7100</v>
      </c>
      <c r="L2413" s="20">
        <v>741</v>
      </c>
      <c r="M2413" s="20">
        <v>2966</v>
      </c>
      <c r="N2413" s="164"/>
      <c r="O2413" s="19"/>
      <c r="P2413" s="19"/>
      <c r="Q2413" s="19"/>
      <c r="R2413" s="20"/>
      <c r="S2413" s="20"/>
      <c r="T2413" s="164"/>
      <c r="U2413" s="154">
        <f t="shared" si="139"/>
        <v>9000</v>
      </c>
    </row>
    <row r="2414" spans="2:21" x14ac:dyDescent="0.2">
      <c r="B2414" s="8">
        <f t="shared" si="140"/>
        <v>7</v>
      </c>
      <c r="C2414" s="18"/>
      <c r="D2414" s="18"/>
      <c r="E2414" s="18"/>
      <c r="F2414" s="152"/>
      <c r="G2414" s="153">
        <v>637</v>
      </c>
      <c r="H2414" s="18" t="s">
        <v>132</v>
      </c>
      <c r="I2414" s="19">
        <v>244000</v>
      </c>
      <c r="J2414" s="19">
        <v>337780</v>
      </c>
      <c r="K2414" s="19">
        <v>337780</v>
      </c>
      <c r="L2414" s="20">
        <v>305314</v>
      </c>
      <c r="M2414" s="20">
        <v>187530</v>
      </c>
      <c r="N2414" s="164"/>
      <c r="O2414" s="19"/>
      <c r="P2414" s="19"/>
      <c r="Q2414" s="19"/>
      <c r="R2414" s="20"/>
      <c r="S2414" s="20"/>
      <c r="T2414" s="164"/>
      <c r="U2414" s="154">
        <f t="shared" si="139"/>
        <v>244000</v>
      </c>
    </row>
    <row r="2415" spans="2:21" x14ac:dyDescent="0.2">
      <c r="B2415" s="8">
        <f t="shared" si="140"/>
        <v>8</v>
      </c>
      <c r="C2415" s="24"/>
      <c r="D2415" s="24"/>
      <c r="E2415" s="24"/>
      <c r="F2415" s="149" t="s">
        <v>163</v>
      </c>
      <c r="G2415" s="150">
        <v>640</v>
      </c>
      <c r="H2415" s="24" t="s">
        <v>139</v>
      </c>
      <c r="I2415" s="25">
        <f>I2416</f>
        <v>73500</v>
      </c>
      <c r="J2415" s="25">
        <f>J2416</f>
        <v>71500</v>
      </c>
      <c r="K2415" s="25">
        <f>K2416</f>
        <v>71500</v>
      </c>
      <c r="L2415" s="26">
        <f>L2416</f>
        <v>74791</v>
      </c>
      <c r="M2415" s="26">
        <f>M2416</f>
        <v>71741</v>
      </c>
      <c r="N2415" s="501"/>
      <c r="O2415" s="25"/>
      <c r="P2415" s="25"/>
      <c r="Q2415" s="25"/>
      <c r="R2415" s="26"/>
      <c r="S2415" s="26"/>
      <c r="T2415" s="501"/>
      <c r="U2415" s="151">
        <f t="shared" si="139"/>
        <v>73500</v>
      </c>
    </row>
    <row r="2416" spans="2:21" x14ac:dyDescent="0.2">
      <c r="B2416" s="8">
        <f t="shared" si="140"/>
        <v>9</v>
      </c>
      <c r="C2416" s="18"/>
      <c r="D2416" s="18"/>
      <c r="E2416" s="18"/>
      <c r="F2416" s="152"/>
      <c r="G2416" s="153">
        <v>642</v>
      </c>
      <c r="H2416" s="18" t="s">
        <v>140</v>
      </c>
      <c r="I2416" s="19">
        <v>73500</v>
      </c>
      <c r="J2416" s="19">
        <v>71500</v>
      </c>
      <c r="K2416" s="19">
        <v>71500</v>
      </c>
      <c r="L2416" s="20">
        <v>74791</v>
      </c>
      <c r="M2416" s="20">
        <v>71741</v>
      </c>
      <c r="N2416" s="164"/>
      <c r="O2416" s="19"/>
      <c r="P2416" s="19"/>
      <c r="Q2416" s="19"/>
      <c r="R2416" s="20"/>
      <c r="S2416" s="20"/>
      <c r="T2416" s="164"/>
      <c r="U2416" s="154">
        <f t="shared" si="139"/>
        <v>73500</v>
      </c>
    </row>
    <row r="2417" spans="2:21" x14ac:dyDescent="0.2">
      <c r="B2417" s="8">
        <f t="shared" si="140"/>
        <v>10</v>
      </c>
      <c r="C2417" s="24"/>
      <c r="D2417" s="24"/>
      <c r="E2417" s="24"/>
      <c r="F2417" s="149" t="s">
        <v>163</v>
      </c>
      <c r="G2417" s="150">
        <v>710</v>
      </c>
      <c r="H2417" s="24" t="s">
        <v>185</v>
      </c>
      <c r="I2417" s="25"/>
      <c r="J2417" s="25"/>
      <c r="K2417" s="25"/>
      <c r="L2417" s="26"/>
      <c r="M2417" s="26"/>
      <c r="N2417" s="501"/>
      <c r="O2417" s="25">
        <f>O2418</f>
        <v>1650</v>
      </c>
      <c r="P2417" s="25"/>
      <c r="Q2417" s="25">
        <f>Q2418</f>
        <v>1650</v>
      </c>
      <c r="R2417" s="26"/>
      <c r="S2417" s="26"/>
      <c r="T2417" s="501"/>
      <c r="U2417" s="151">
        <f t="shared" si="139"/>
        <v>1650</v>
      </c>
    </row>
    <row r="2418" spans="2:21" x14ac:dyDescent="0.2">
      <c r="B2418" s="8">
        <f t="shared" si="140"/>
        <v>11</v>
      </c>
      <c r="C2418" s="18"/>
      <c r="D2418" s="18"/>
      <c r="E2418" s="18"/>
      <c r="F2418" s="152"/>
      <c r="G2418" s="153">
        <v>717</v>
      </c>
      <c r="H2418" s="18" t="s">
        <v>192</v>
      </c>
      <c r="I2418" s="19"/>
      <c r="J2418" s="19"/>
      <c r="K2418" s="19"/>
      <c r="L2418" s="20"/>
      <c r="M2418" s="20"/>
      <c r="N2418" s="164"/>
      <c r="O2418" s="19">
        <f>O2419</f>
        <v>1650</v>
      </c>
      <c r="P2418" s="19"/>
      <c r="Q2418" s="19">
        <f>SUM(Q2419:Q2419)</f>
        <v>1650</v>
      </c>
      <c r="R2418" s="20"/>
      <c r="S2418" s="20"/>
      <c r="T2418" s="164"/>
      <c r="U2418" s="154">
        <f t="shared" si="139"/>
        <v>1650</v>
      </c>
    </row>
    <row r="2419" spans="2:21" x14ac:dyDescent="0.2">
      <c r="B2419" s="8">
        <f t="shared" si="140"/>
        <v>12</v>
      </c>
      <c r="C2419" s="120"/>
      <c r="D2419" s="120"/>
      <c r="E2419" s="120"/>
      <c r="F2419" s="298"/>
      <c r="G2419" s="298"/>
      <c r="H2419" s="156" t="s">
        <v>944</v>
      </c>
      <c r="I2419" s="157"/>
      <c r="J2419" s="157"/>
      <c r="K2419" s="157"/>
      <c r="L2419" s="157"/>
      <c r="M2419" s="157"/>
      <c r="N2419" s="535"/>
      <c r="O2419" s="157">
        <v>1650</v>
      </c>
      <c r="P2419" s="157"/>
      <c r="Q2419" s="157">
        <v>1650</v>
      </c>
      <c r="R2419" s="157"/>
      <c r="S2419" s="157"/>
      <c r="T2419" s="535"/>
      <c r="U2419" s="159">
        <f t="shared" si="139"/>
        <v>1650</v>
      </c>
    </row>
    <row r="2420" spans="2:21" ht="14.25" x14ac:dyDescent="0.2">
      <c r="B2420" s="8">
        <f t="shared" si="140"/>
        <v>13</v>
      </c>
      <c r="C2420" s="160"/>
      <c r="D2420" s="160">
        <v>2</v>
      </c>
      <c r="E2420" s="675" t="s">
        <v>504</v>
      </c>
      <c r="F2420" s="676"/>
      <c r="G2420" s="676"/>
      <c r="H2420" s="676"/>
      <c r="I2420" s="161">
        <v>0</v>
      </c>
      <c r="J2420" s="161">
        <v>0</v>
      </c>
      <c r="K2420" s="431">
        <v>0</v>
      </c>
      <c r="L2420" s="162"/>
      <c r="M2420" s="162"/>
      <c r="N2420" s="534"/>
      <c r="O2420" s="161"/>
      <c r="P2420" s="161"/>
      <c r="Q2420" s="161"/>
      <c r="R2420" s="162"/>
      <c r="S2420" s="162"/>
      <c r="T2420" s="534"/>
      <c r="U2420" s="163">
        <f t="shared" si="139"/>
        <v>0</v>
      </c>
    </row>
    <row r="2421" spans="2:21" ht="14.25" x14ac:dyDescent="0.2">
      <c r="B2421" s="8">
        <f t="shared" si="140"/>
        <v>14</v>
      </c>
      <c r="C2421" s="160"/>
      <c r="D2421" s="160">
        <v>3</v>
      </c>
      <c r="E2421" s="675" t="s">
        <v>196</v>
      </c>
      <c r="F2421" s="676"/>
      <c r="G2421" s="676"/>
      <c r="H2421" s="676"/>
      <c r="I2421" s="161">
        <f>I2422+I2423+I2424+I2428</f>
        <v>48760</v>
      </c>
      <c r="J2421" s="161">
        <f>J2422+J2423+J2424+J2428</f>
        <v>41890</v>
      </c>
      <c r="K2421" s="161">
        <f>K2422+K2423+K2424+K2428</f>
        <v>41890</v>
      </c>
      <c r="L2421" s="162">
        <f>L2422+L2423+L2424+L2428</f>
        <v>31508</v>
      </c>
      <c r="M2421" s="162">
        <f>M2422+M2423+M2424+M2428</f>
        <v>32224</v>
      </c>
      <c r="N2421" s="534"/>
      <c r="O2421" s="161"/>
      <c r="P2421" s="161"/>
      <c r="Q2421" s="161"/>
      <c r="R2421" s="162"/>
      <c r="S2421" s="162"/>
      <c r="T2421" s="534"/>
      <c r="U2421" s="163">
        <f t="shared" si="139"/>
        <v>48760</v>
      </c>
    </row>
    <row r="2422" spans="2:21" x14ac:dyDescent="0.2">
      <c r="B2422" s="8">
        <f t="shared" si="140"/>
        <v>15</v>
      </c>
      <c r="C2422" s="24"/>
      <c r="D2422" s="24"/>
      <c r="E2422" s="24"/>
      <c r="F2422" s="149" t="s">
        <v>195</v>
      </c>
      <c r="G2422" s="150">
        <v>610</v>
      </c>
      <c r="H2422" s="24" t="s">
        <v>141</v>
      </c>
      <c r="I2422" s="25">
        <f>17700+11500+4000</f>
        <v>33200</v>
      </c>
      <c r="J2422" s="25">
        <v>28600</v>
      </c>
      <c r="K2422" s="25">
        <v>28600</v>
      </c>
      <c r="L2422" s="26">
        <v>20936</v>
      </c>
      <c r="M2422" s="26">
        <v>21765</v>
      </c>
      <c r="N2422" s="501"/>
      <c r="O2422" s="25"/>
      <c r="P2422" s="25"/>
      <c r="Q2422" s="25"/>
      <c r="R2422" s="26"/>
      <c r="S2422" s="26"/>
      <c r="T2422" s="501"/>
      <c r="U2422" s="151">
        <f t="shared" si="139"/>
        <v>33200</v>
      </c>
    </row>
    <row r="2423" spans="2:21" x14ac:dyDescent="0.2">
      <c r="B2423" s="8">
        <f t="shared" si="140"/>
        <v>16</v>
      </c>
      <c r="C2423" s="24"/>
      <c r="D2423" s="24"/>
      <c r="E2423" s="24"/>
      <c r="F2423" s="149" t="s">
        <v>195</v>
      </c>
      <c r="G2423" s="150">
        <v>620</v>
      </c>
      <c r="H2423" s="24" t="s">
        <v>134</v>
      </c>
      <c r="I2423" s="25">
        <f>2500+400+1840+2700+250+920+300+1400+500</f>
        <v>10810</v>
      </c>
      <c r="J2423" s="25">
        <v>9050</v>
      </c>
      <c r="K2423" s="25">
        <v>9050</v>
      </c>
      <c r="L2423" s="26">
        <v>7535</v>
      </c>
      <c r="M2423" s="26">
        <v>7866</v>
      </c>
      <c r="N2423" s="501"/>
      <c r="O2423" s="25"/>
      <c r="P2423" s="25"/>
      <c r="Q2423" s="25"/>
      <c r="R2423" s="26"/>
      <c r="S2423" s="26"/>
      <c r="T2423" s="501"/>
      <c r="U2423" s="151">
        <f t="shared" si="139"/>
        <v>10810</v>
      </c>
    </row>
    <row r="2424" spans="2:21" x14ac:dyDescent="0.2">
      <c r="B2424" s="8">
        <f t="shared" si="140"/>
        <v>17</v>
      </c>
      <c r="C2424" s="24"/>
      <c r="D2424" s="24"/>
      <c r="E2424" s="24"/>
      <c r="F2424" s="149" t="s">
        <v>195</v>
      </c>
      <c r="G2424" s="150">
        <v>630</v>
      </c>
      <c r="H2424" s="24" t="s">
        <v>131</v>
      </c>
      <c r="I2424" s="25">
        <f>SUM(I2425:I2427)</f>
        <v>2250</v>
      </c>
      <c r="J2424" s="25">
        <f>SUM(J2425:J2427)</f>
        <v>2050</v>
      </c>
      <c r="K2424" s="25">
        <f>SUM(K2425:K2427)</f>
        <v>2050</v>
      </c>
      <c r="L2424" s="26">
        <f>SUM(L2425:L2427)</f>
        <v>1475</v>
      </c>
      <c r="M2424" s="26">
        <f>SUM(M2425:M2427)</f>
        <v>2358</v>
      </c>
      <c r="N2424" s="501"/>
      <c r="O2424" s="25"/>
      <c r="P2424" s="25"/>
      <c r="Q2424" s="25"/>
      <c r="R2424" s="26"/>
      <c r="S2424" s="26"/>
      <c r="T2424" s="501"/>
      <c r="U2424" s="151">
        <f t="shared" si="139"/>
        <v>2250</v>
      </c>
    </row>
    <row r="2425" spans="2:21" x14ac:dyDescent="0.2">
      <c r="B2425" s="8">
        <f t="shared" si="140"/>
        <v>18</v>
      </c>
      <c r="C2425" s="18"/>
      <c r="D2425" s="18"/>
      <c r="E2425" s="18"/>
      <c r="F2425" s="152"/>
      <c r="G2425" s="153">
        <v>632</v>
      </c>
      <c r="H2425" s="18" t="s">
        <v>144</v>
      </c>
      <c r="I2425" s="19">
        <f>500</f>
        <v>500</v>
      </c>
      <c r="J2425" s="19">
        <v>400</v>
      </c>
      <c r="K2425" s="19">
        <v>400</v>
      </c>
      <c r="L2425" s="20">
        <v>420</v>
      </c>
      <c r="M2425" s="20">
        <v>265</v>
      </c>
      <c r="N2425" s="164"/>
      <c r="O2425" s="19"/>
      <c r="P2425" s="19"/>
      <c r="Q2425" s="19"/>
      <c r="R2425" s="20"/>
      <c r="S2425" s="20"/>
      <c r="T2425" s="164"/>
      <c r="U2425" s="154">
        <f t="shared" si="139"/>
        <v>500</v>
      </c>
    </row>
    <row r="2426" spans="2:21" x14ac:dyDescent="0.2">
      <c r="B2426" s="8">
        <f t="shared" si="140"/>
        <v>19</v>
      </c>
      <c r="C2426" s="18"/>
      <c r="D2426" s="18"/>
      <c r="E2426" s="18"/>
      <c r="F2426" s="152"/>
      <c r="G2426" s="153">
        <v>633</v>
      </c>
      <c r="H2426" s="18" t="s">
        <v>135</v>
      </c>
      <c r="I2426" s="19">
        <f>400+300</f>
        <v>700</v>
      </c>
      <c r="J2426" s="19">
        <v>700</v>
      </c>
      <c r="K2426" s="19">
        <v>700</v>
      </c>
      <c r="L2426" s="20">
        <v>396</v>
      </c>
      <c r="M2426" s="20">
        <v>451</v>
      </c>
      <c r="N2426" s="164"/>
      <c r="O2426" s="19"/>
      <c r="P2426" s="19"/>
      <c r="Q2426" s="19"/>
      <c r="R2426" s="20"/>
      <c r="S2426" s="20"/>
      <c r="T2426" s="164"/>
      <c r="U2426" s="154">
        <f t="shared" si="139"/>
        <v>700</v>
      </c>
    </row>
    <row r="2427" spans="2:21" x14ac:dyDescent="0.2">
      <c r="B2427" s="8">
        <f t="shared" si="140"/>
        <v>20</v>
      </c>
      <c r="C2427" s="18"/>
      <c r="D2427" s="18"/>
      <c r="E2427" s="18"/>
      <c r="F2427" s="152"/>
      <c r="G2427" s="153">
        <v>637</v>
      </c>
      <c r="H2427" s="18" t="s">
        <v>132</v>
      </c>
      <c r="I2427" s="19">
        <f>600+450</f>
        <v>1050</v>
      </c>
      <c r="J2427" s="19">
        <v>950</v>
      </c>
      <c r="K2427" s="19">
        <v>950</v>
      </c>
      <c r="L2427" s="20">
        <v>659</v>
      </c>
      <c r="M2427" s="20">
        <f>1202+440</f>
        <v>1642</v>
      </c>
      <c r="N2427" s="164"/>
      <c r="O2427" s="19"/>
      <c r="P2427" s="19"/>
      <c r="Q2427" s="19"/>
      <c r="R2427" s="20"/>
      <c r="S2427" s="20"/>
      <c r="T2427" s="164"/>
      <c r="U2427" s="154">
        <f t="shared" si="139"/>
        <v>1050</v>
      </c>
    </row>
    <row r="2428" spans="2:21" x14ac:dyDescent="0.2">
      <c r="B2428" s="8">
        <f t="shared" si="140"/>
        <v>21</v>
      </c>
      <c r="C2428" s="355"/>
      <c r="D2428" s="355"/>
      <c r="E2428" s="355"/>
      <c r="F2428" s="356" t="s">
        <v>195</v>
      </c>
      <c r="G2428" s="357">
        <v>640</v>
      </c>
      <c r="H2428" s="355" t="s">
        <v>139</v>
      </c>
      <c r="I2428" s="358">
        <f>1900+600</f>
        <v>2500</v>
      </c>
      <c r="J2428" s="358">
        <v>2190</v>
      </c>
      <c r="K2428" s="358">
        <v>2190</v>
      </c>
      <c r="L2428" s="359">
        <v>1562</v>
      </c>
      <c r="M2428" s="359">
        <v>235</v>
      </c>
      <c r="N2428" s="565"/>
      <c r="O2428" s="358"/>
      <c r="P2428" s="358"/>
      <c r="Q2428" s="358"/>
      <c r="R2428" s="359"/>
      <c r="S2428" s="359"/>
      <c r="T2428" s="565"/>
      <c r="U2428" s="360">
        <f t="shared" si="139"/>
        <v>2500</v>
      </c>
    </row>
  </sheetData>
  <mergeCells count="348">
    <mergeCell ref="B1:U1"/>
    <mergeCell ref="U1664:U1668"/>
    <mergeCell ref="B1664:S1664"/>
    <mergeCell ref="M1894:M1897"/>
    <mergeCell ref="B1663:U1663"/>
    <mergeCell ref="M1665:M1668"/>
    <mergeCell ref="D1673:H1673"/>
    <mergeCell ref="R122:R125"/>
    <mergeCell ref="C342:H342"/>
    <mergeCell ref="D243:D246"/>
    <mergeCell ref="D248:H248"/>
    <mergeCell ref="B120:U120"/>
    <mergeCell ref="B121:S121"/>
    <mergeCell ref="D325:H325"/>
    <mergeCell ref="Q243:Q246"/>
    <mergeCell ref="F122:F125"/>
    <mergeCell ref="B1665:B1668"/>
    <mergeCell ref="C1665:C1668"/>
    <mergeCell ref="E85:E88"/>
    <mergeCell ref="B242:S242"/>
    <mergeCell ref="K122:K125"/>
    <mergeCell ref="O122:O125"/>
    <mergeCell ref="E122:E125"/>
    <mergeCell ref="P122:P125"/>
    <mergeCell ref="D1970:H1970"/>
    <mergeCell ref="R2163:R2166"/>
    <mergeCell ref="S2027:S2030"/>
    <mergeCell ref="Q1665:Q1668"/>
    <mergeCell ref="J1894:J1897"/>
    <mergeCell ref="O1894:O1897"/>
    <mergeCell ref="M122:M125"/>
    <mergeCell ref="D2109:H2109"/>
    <mergeCell ref="S243:S246"/>
    <mergeCell ref="R1665:R1668"/>
    <mergeCell ref="S1894:S1897"/>
    <mergeCell ref="S681:S684"/>
    <mergeCell ref="O1665:O1668"/>
    <mergeCell ref="E1789:H1789"/>
    <mergeCell ref="L1894:L1897"/>
    <mergeCell ref="E1894:E1897"/>
    <mergeCell ref="I1894:I1897"/>
    <mergeCell ref="I1665:I1668"/>
    <mergeCell ref="P1665:P1668"/>
    <mergeCell ref="J1665:J1668"/>
    <mergeCell ref="K1665:K1668"/>
    <mergeCell ref="R243:R246"/>
    <mergeCell ref="R338:R341"/>
    <mergeCell ref="D130:H130"/>
    <mergeCell ref="U2026:U2030"/>
    <mergeCell ref="H2027:H2030"/>
    <mergeCell ref="C2027:C2030"/>
    <mergeCell ref="R2027:R2030"/>
    <mergeCell ref="U2162:U2166"/>
    <mergeCell ref="B2163:B2166"/>
    <mergeCell ref="S2163:S2166"/>
    <mergeCell ref="Q2163:Q2166"/>
    <mergeCell ref="O2163:O2166"/>
    <mergeCell ref="I2163:I2166"/>
    <mergeCell ref="J2163:J2166"/>
    <mergeCell ref="L2163:L2166"/>
    <mergeCell ref="K2163:K2166"/>
    <mergeCell ref="D2163:D2166"/>
    <mergeCell ref="C2163:C2166"/>
    <mergeCell ref="H2163:H2166"/>
    <mergeCell ref="E2163:E2166"/>
    <mergeCell ref="G2163:G2166"/>
    <mergeCell ref="P2163:P2166"/>
    <mergeCell ref="E2103:H2103"/>
    <mergeCell ref="D2032:H2032"/>
    <mergeCell ref="K2027:K2030"/>
    <mergeCell ref="D2125:H2125"/>
    <mergeCell ref="D2128:H2128"/>
    <mergeCell ref="B1892:U1892"/>
    <mergeCell ref="E1707:H1707"/>
    <mergeCell ref="D1670:H1670"/>
    <mergeCell ref="E1717:H1717"/>
    <mergeCell ref="E1733:H1733"/>
    <mergeCell ref="D1794:H1794"/>
    <mergeCell ref="E1767:H1767"/>
    <mergeCell ref="D277:H277"/>
    <mergeCell ref="S1665:S1668"/>
    <mergeCell ref="B338:B341"/>
    <mergeCell ref="C338:C341"/>
    <mergeCell ref="J338:J341"/>
    <mergeCell ref="B336:U336"/>
    <mergeCell ref="U337:U341"/>
    <mergeCell ref="D292:H292"/>
    <mergeCell ref="B438:S438"/>
    <mergeCell ref="D343:H343"/>
    <mergeCell ref="D338:D341"/>
    <mergeCell ref="F439:F442"/>
    <mergeCell ref="I439:I442"/>
    <mergeCell ref="G439:G442"/>
    <mergeCell ref="H439:H442"/>
    <mergeCell ref="D362:H362"/>
    <mergeCell ref="D400:H400"/>
    <mergeCell ref="B241:U241"/>
    <mergeCell ref="U242:U246"/>
    <mergeCell ref="C243:C246"/>
    <mergeCell ref="J122:J125"/>
    <mergeCell ref="D231:H231"/>
    <mergeCell ref="S122:S125"/>
    <mergeCell ref="I122:I125"/>
    <mergeCell ref="J243:J246"/>
    <mergeCell ref="D189:H189"/>
    <mergeCell ref="E141:H141"/>
    <mergeCell ref="D127:H127"/>
    <mergeCell ref="C126:H126"/>
    <mergeCell ref="O243:O246"/>
    <mergeCell ref="K243:K246"/>
    <mergeCell ref="M243:M246"/>
    <mergeCell ref="L243:L246"/>
    <mergeCell ref="B243:B246"/>
    <mergeCell ref="F243:F246"/>
    <mergeCell ref="G243:G246"/>
    <mergeCell ref="E243:E246"/>
    <mergeCell ref="B2:S2"/>
    <mergeCell ref="U2:U6"/>
    <mergeCell ref="O3:O6"/>
    <mergeCell ref="S3:S6"/>
    <mergeCell ref="R3:R6"/>
    <mergeCell ref="L3:L6"/>
    <mergeCell ref="B3:B6"/>
    <mergeCell ref="E25:H25"/>
    <mergeCell ref="D51:H51"/>
    <mergeCell ref="F3:F6"/>
    <mergeCell ref="Q3:Q6"/>
    <mergeCell ref="P3:P6"/>
    <mergeCell ref="J3:J6"/>
    <mergeCell ref="M3:M6"/>
    <mergeCell ref="K3:K6"/>
    <mergeCell ref="I3:I6"/>
    <mergeCell ref="D75:H75"/>
    <mergeCell ref="D67:H67"/>
    <mergeCell ref="D64:H64"/>
    <mergeCell ref="G3:G6"/>
    <mergeCell ref="E19:H19"/>
    <mergeCell ref="D9:H9"/>
    <mergeCell ref="E22:H22"/>
    <mergeCell ref="D65:H65"/>
    <mergeCell ref="E10:H10"/>
    <mergeCell ref="D66:H66"/>
    <mergeCell ref="D32:H32"/>
    <mergeCell ref="H3:H6"/>
    <mergeCell ref="D3:D6"/>
    <mergeCell ref="C8:H8"/>
    <mergeCell ref="C3:C6"/>
    <mergeCell ref="E3:E6"/>
    <mergeCell ref="B7:U7"/>
    <mergeCell ref="D78:H78"/>
    <mergeCell ref="D90:H90"/>
    <mergeCell ref="B83:U83"/>
    <mergeCell ref="L85:L88"/>
    <mergeCell ref="L122:L125"/>
    <mergeCell ref="Q85:Q88"/>
    <mergeCell ref="P85:P88"/>
    <mergeCell ref="Q122:Q125"/>
    <mergeCell ref="U121:U125"/>
    <mergeCell ref="B122:B125"/>
    <mergeCell ref="B85:B88"/>
    <mergeCell ref="G85:G88"/>
    <mergeCell ref="J85:J88"/>
    <mergeCell ref="I85:I88"/>
    <mergeCell ref="U84:U88"/>
    <mergeCell ref="K85:K88"/>
    <mergeCell ref="H85:H88"/>
    <mergeCell ref="O85:O88"/>
    <mergeCell ref="S85:S88"/>
    <mergeCell ref="B84:S84"/>
    <mergeCell ref="R85:R88"/>
    <mergeCell ref="H122:H125"/>
    <mergeCell ref="M85:M88"/>
    <mergeCell ref="C85:C88"/>
    <mergeCell ref="D85:D88"/>
    <mergeCell ref="E131:H131"/>
    <mergeCell ref="D155:H155"/>
    <mergeCell ref="D205:H205"/>
    <mergeCell ref="E134:H134"/>
    <mergeCell ref="C122:C125"/>
    <mergeCell ref="D210:H210"/>
    <mergeCell ref="D149:H149"/>
    <mergeCell ref="D122:D125"/>
    <mergeCell ref="D103:H103"/>
    <mergeCell ref="C89:H89"/>
    <mergeCell ref="F85:F88"/>
    <mergeCell ref="G122:G125"/>
    <mergeCell ref="D265:H265"/>
    <mergeCell ref="D254:H254"/>
    <mergeCell ref="I243:I246"/>
    <mergeCell ref="O338:O341"/>
    <mergeCell ref="P338:P341"/>
    <mergeCell ref="E338:E341"/>
    <mergeCell ref="F338:F341"/>
    <mergeCell ref="G338:G341"/>
    <mergeCell ref="M338:M341"/>
    <mergeCell ref="L338:L341"/>
    <mergeCell ref="B337:S337"/>
    <mergeCell ref="H243:H246"/>
    <mergeCell ref="S338:S341"/>
    <mergeCell ref="K338:K341"/>
    <mergeCell ref="Q338:Q341"/>
    <mergeCell ref="I338:I341"/>
    <mergeCell ref="D303:H303"/>
    <mergeCell ref="H338:H341"/>
    <mergeCell ref="P243:P246"/>
    <mergeCell ref="C247:H247"/>
    <mergeCell ref="D408:H408"/>
    <mergeCell ref="D415:H415"/>
    <mergeCell ref="B437:U437"/>
    <mergeCell ref="K439:K442"/>
    <mergeCell ref="S439:S442"/>
    <mergeCell ref="O439:O442"/>
    <mergeCell ref="R439:R442"/>
    <mergeCell ref="B439:B442"/>
    <mergeCell ref="C439:C442"/>
    <mergeCell ref="D439:D442"/>
    <mergeCell ref="E439:E442"/>
    <mergeCell ref="D494:H494"/>
    <mergeCell ref="D681:D684"/>
    <mergeCell ref="E681:E684"/>
    <mergeCell ref="U438:U442"/>
    <mergeCell ref="P439:P442"/>
    <mergeCell ref="Q439:Q442"/>
    <mergeCell ref="O681:O684"/>
    <mergeCell ref="R681:R684"/>
    <mergeCell ref="B681:B684"/>
    <mergeCell ref="C681:C684"/>
    <mergeCell ref="I681:I684"/>
    <mergeCell ref="K681:K684"/>
    <mergeCell ref="M681:M684"/>
    <mergeCell ref="E457:H457"/>
    <mergeCell ref="B680:S680"/>
    <mergeCell ref="B679:U679"/>
    <mergeCell ref="J439:J442"/>
    <mergeCell ref="C443:H443"/>
    <mergeCell ref="D444:H444"/>
    <mergeCell ref="E480:H480"/>
    <mergeCell ref="D456:H456"/>
    <mergeCell ref="U680:U684"/>
    <mergeCell ref="M439:M442"/>
    <mergeCell ref="L439:L442"/>
    <mergeCell ref="D1665:D1668"/>
    <mergeCell ref="E1665:E1668"/>
    <mergeCell ref="D1620:H1620"/>
    <mergeCell ref="F1665:F1668"/>
    <mergeCell ref="G1665:G1668"/>
    <mergeCell ref="D1899:H1899"/>
    <mergeCell ref="D1199:H1199"/>
    <mergeCell ref="D1706:H1706"/>
    <mergeCell ref="Q681:Q684"/>
    <mergeCell ref="P681:P684"/>
    <mergeCell ref="D920:H920"/>
    <mergeCell ref="D1324:H1324"/>
    <mergeCell ref="C1669:H1669"/>
    <mergeCell ref="D686:H686"/>
    <mergeCell ref="C685:H685"/>
    <mergeCell ref="L1665:L1668"/>
    <mergeCell ref="J681:J684"/>
    <mergeCell ref="F681:F684"/>
    <mergeCell ref="G681:G684"/>
    <mergeCell ref="H681:H684"/>
    <mergeCell ref="L681:L684"/>
    <mergeCell ref="H1665:H1668"/>
    <mergeCell ref="B1893:S1893"/>
    <mergeCell ref="B1894:B1897"/>
    <mergeCell ref="C2167:H2167"/>
    <mergeCell ref="D2168:H2168"/>
    <mergeCell ref="D2198:H2198"/>
    <mergeCell ref="U1893:U1897"/>
    <mergeCell ref="Q1894:Q1897"/>
    <mergeCell ref="R1894:R1897"/>
    <mergeCell ref="K1894:K1897"/>
    <mergeCell ref="B2025:U2025"/>
    <mergeCell ref="B2026:S2026"/>
    <mergeCell ref="D1928:H1928"/>
    <mergeCell ref="F1894:F1897"/>
    <mergeCell ref="H1894:H1897"/>
    <mergeCell ref="C1898:H1898"/>
    <mergeCell ref="G1894:G1897"/>
    <mergeCell ref="C1894:C1897"/>
    <mergeCell ref="P1894:P1897"/>
    <mergeCell ref="D2009:H2009"/>
    <mergeCell ref="D1894:D1897"/>
    <mergeCell ref="E2027:E2030"/>
    <mergeCell ref="D1938:H1938"/>
    <mergeCell ref="D1967:H1967"/>
    <mergeCell ref="B2027:B2030"/>
    <mergeCell ref="Q2027:Q2030"/>
    <mergeCell ref="D2138:H2138"/>
    <mergeCell ref="M2163:M2166"/>
    <mergeCell ref="G2027:G2030"/>
    <mergeCell ref="F2027:F2030"/>
    <mergeCell ref="F2163:F2166"/>
    <mergeCell ref="O2027:O2030"/>
    <mergeCell ref="J2027:J2030"/>
    <mergeCell ref="M2027:M2030"/>
    <mergeCell ref="L2027:L2030"/>
    <mergeCell ref="I2027:I2030"/>
    <mergeCell ref="D2083:H2083"/>
    <mergeCell ref="C2031:H2031"/>
    <mergeCell ref="P2027:P2030"/>
    <mergeCell ref="B2161:U2161"/>
    <mergeCell ref="B2162:S2162"/>
    <mergeCell ref="D2027:D2030"/>
    <mergeCell ref="E2084:H2084"/>
    <mergeCell ref="E2421:H2421"/>
    <mergeCell ref="F2404:F2407"/>
    <mergeCell ref="H2404:H2407"/>
    <mergeCell ref="D2404:D2407"/>
    <mergeCell ref="C2404:C2407"/>
    <mergeCell ref="E2266:H2266"/>
    <mergeCell ref="D2409:H2409"/>
    <mergeCell ref="C2408:H2408"/>
    <mergeCell ref="B2403:S2403"/>
    <mergeCell ref="G2404:G2407"/>
    <mergeCell ref="B2404:B2407"/>
    <mergeCell ref="I2404:I2407"/>
    <mergeCell ref="E2303:H2303"/>
    <mergeCell ref="D2352:H2352"/>
    <mergeCell ref="D2385:H2385"/>
    <mergeCell ref="D2397:H2397"/>
    <mergeCell ref="J2404:J2407"/>
    <mergeCell ref="K2404:K2407"/>
    <mergeCell ref="D2313:H2313"/>
    <mergeCell ref="L2404:L2407"/>
    <mergeCell ref="S2404:S2407"/>
    <mergeCell ref="O2404:O2407"/>
    <mergeCell ref="P2404:P2407"/>
    <mergeCell ref="M2404:M2407"/>
    <mergeCell ref="E2190:H2190"/>
    <mergeCell ref="E2169:H2169"/>
    <mergeCell ref="E2420:H2420"/>
    <mergeCell ref="E2410:H2410"/>
    <mergeCell ref="D2372:H2372"/>
    <mergeCell ref="B2402:U2402"/>
    <mergeCell ref="E2404:E2407"/>
    <mergeCell ref="Q2404:Q2407"/>
    <mergeCell ref="D2230:H2230"/>
    <mergeCell ref="E2251:H2251"/>
    <mergeCell ref="D2265:H2265"/>
    <mergeCell ref="U2403:U2407"/>
    <mergeCell ref="E2264:H2264"/>
    <mergeCell ref="E2276:H2276"/>
    <mergeCell ref="E2231:H2231"/>
    <mergeCell ref="D2367:H2367"/>
    <mergeCell ref="D2364:H2364"/>
    <mergeCell ref="R2404:R2407"/>
    <mergeCell ref="D2203:H2203"/>
  </mergeCells>
  <phoneticPr fontId="1" type="noConversion"/>
  <pageMargins left="0.31496062992125984" right="0.31496062992125984" top="0.15748031496062992" bottom="0.15748031496062992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B1:W1657"/>
  <sheetViews>
    <sheetView zoomScaleNormal="100" zoomScaleSheetLayoutView="80" workbookViewId="0">
      <pane ySplit="4" topLeftCell="A5" activePane="bottomLeft" state="frozen"/>
      <selection pane="bottomLeft" activeCell="B2" sqref="B2:C4"/>
    </sheetView>
  </sheetViews>
  <sheetFormatPr defaultRowHeight="12.75" x14ac:dyDescent="0.2"/>
  <cols>
    <col min="1" max="1" width="1" style="2" customWidth="1"/>
    <col min="2" max="2" width="2.7109375" style="2" customWidth="1"/>
    <col min="3" max="3" width="35.85546875" style="2" customWidth="1"/>
    <col min="4" max="4" width="11.28515625" style="2" customWidth="1"/>
    <col min="5" max="5" width="8.85546875" style="2" customWidth="1"/>
    <col min="6" max="6" width="9.28515625" style="2" customWidth="1"/>
    <col min="7" max="7" width="10" style="2" customWidth="1"/>
    <col min="8" max="8" width="9.5703125" style="2" customWidth="1"/>
    <col min="9" max="9" width="0.7109375" style="2" customWidth="1"/>
    <col min="10" max="10" width="11.85546875" style="2" customWidth="1"/>
    <col min="11" max="11" width="9.42578125" style="2" customWidth="1"/>
    <col min="12" max="12" width="9.28515625" style="2" customWidth="1"/>
    <col min="13" max="13" width="9" style="2" customWidth="1"/>
    <col min="14" max="14" width="8" style="2" customWidth="1"/>
    <col min="15" max="15" width="0.85546875" style="2" customWidth="1"/>
    <col min="16" max="16" width="12.7109375" style="2" customWidth="1"/>
    <col min="17" max="17" width="9.42578125" style="2" customWidth="1"/>
    <col min="18" max="18" width="9.28515625" style="2" customWidth="1"/>
    <col min="19" max="19" width="8.7109375" style="2" customWidth="1"/>
    <col min="20" max="20" width="9.140625" style="2" customWidth="1"/>
    <col min="21" max="22" width="9.140625" style="2"/>
    <col min="23" max="23" width="10.140625" style="2" bestFit="1" customWidth="1"/>
    <col min="24" max="16384" width="9.140625" style="2"/>
  </cols>
  <sheetData>
    <row r="1" spans="2:23" ht="7.5" customHeight="1" x14ac:dyDescent="0.2"/>
    <row r="2" spans="2:23" s="1" customFormat="1" ht="16.5" customHeight="1" x14ac:dyDescent="0.25">
      <c r="B2" s="722" t="s">
        <v>118</v>
      </c>
      <c r="C2" s="723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1"/>
    </row>
    <row r="3" spans="2:23" s="327" customFormat="1" ht="15" customHeight="1" x14ac:dyDescent="0.2">
      <c r="B3" s="724"/>
      <c r="C3" s="725"/>
      <c r="D3" s="729" t="s">
        <v>127</v>
      </c>
      <c r="E3" s="729"/>
      <c r="F3" s="729"/>
      <c r="G3" s="729"/>
      <c r="H3" s="729"/>
      <c r="I3" s="326"/>
      <c r="J3" s="726" t="s">
        <v>128</v>
      </c>
      <c r="K3" s="726"/>
      <c r="L3" s="726"/>
      <c r="M3" s="726"/>
      <c r="N3" s="726"/>
      <c r="O3" s="326"/>
      <c r="P3" s="726" t="s">
        <v>1093</v>
      </c>
      <c r="Q3" s="726"/>
      <c r="R3" s="726"/>
      <c r="S3" s="726"/>
      <c r="T3" s="726"/>
    </row>
    <row r="4" spans="2:23" s="12" customFormat="1" ht="42.75" customHeight="1" x14ac:dyDescent="0.2">
      <c r="B4" s="724"/>
      <c r="C4" s="725"/>
      <c r="D4" s="328" t="s">
        <v>1204</v>
      </c>
      <c r="E4" s="437" t="s">
        <v>836</v>
      </c>
      <c r="F4" s="437" t="s">
        <v>835</v>
      </c>
      <c r="G4" s="437" t="s">
        <v>843</v>
      </c>
      <c r="H4" s="437" t="s">
        <v>644</v>
      </c>
      <c r="I4" s="329"/>
      <c r="J4" s="328" t="s">
        <v>1204</v>
      </c>
      <c r="K4" s="437" t="s">
        <v>836</v>
      </c>
      <c r="L4" s="437" t="s">
        <v>835</v>
      </c>
      <c r="M4" s="437" t="s">
        <v>843</v>
      </c>
      <c r="N4" s="437" t="s">
        <v>644</v>
      </c>
      <c r="O4" s="329"/>
      <c r="P4" s="328" t="s">
        <v>1204</v>
      </c>
      <c r="Q4" s="437" t="s">
        <v>836</v>
      </c>
      <c r="R4" s="437" t="s">
        <v>835</v>
      </c>
      <c r="S4" s="437" t="s">
        <v>843</v>
      </c>
      <c r="T4" s="437" t="s">
        <v>644</v>
      </c>
    </row>
    <row r="5" spans="2:23" ht="3.75" customHeight="1" x14ac:dyDescent="0.2">
      <c r="B5" s="330"/>
      <c r="C5" s="331"/>
      <c r="D5" s="331"/>
      <c r="E5" s="214"/>
      <c r="F5" s="214"/>
      <c r="G5" s="214"/>
      <c r="H5" s="351"/>
      <c r="I5" s="331"/>
      <c r="J5" s="214"/>
      <c r="K5" s="214"/>
      <c r="L5" s="214"/>
      <c r="M5" s="214"/>
      <c r="N5" s="351"/>
      <c r="O5" s="331"/>
      <c r="P5" s="214"/>
      <c r="Q5" s="214"/>
      <c r="R5" s="214"/>
      <c r="S5" s="214"/>
      <c r="T5" s="214"/>
    </row>
    <row r="6" spans="2:23" s="1" customFormat="1" ht="15" x14ac:dyDescent="0.25">
      <c r="B6" s="332">
        <v>1</v>
      </c>
      <c r="C6" s="333" t="s">
        <v>561</v>
      </c>
      <c r="D6" s="383">
        <f>'Príjmy 2024'!E422</f>
        <v>71335598</v>
      </c>
      <c r="E6" s="334">
        <f>'Príjmy 2024'!G422</f>
        <v>65871766</v>
      </c>
      <c r="F6" s="334">
        <f>'Príjmy 2024'!H422</f>
        <v>68608122</v>
      </c>
      <c r="G6" s="334">
        <f>'Príjmy 2024'!I523</f>
        <v>59977304</v>
      </c>
      <c r="H6" s="334">
        <f>'Príjmy 2024'!J422</f>
        <v>54373299</v>
      </c>
      <c r="I6" s="335"/>
      <c r="J6" s="383">
        <f>'Príjmy 2024'!E517</f>
        <v>56102374</v>
      </c>
      <c r="K6" s="334">
        <f>'Príjmy 2024'!G517</f>
        <v>42496437</v>
      </c>
      <c r="L6" s="334">
        <f>'Príjmy 2024'!H517</f>
        <v>49143266</v>
      </c>
      <c r="M6" s="334">
        <f>'Príjmy 2024'!I524</f>
        <v>2154065</v>
      </c>
      <c r="N6" s="352">
        <f>'Príjmy 2024'!J517</f>
        <v>3108977</v>
      </c>
      <c r="O6" s="335"/>
      <c r="P6" s="383">
        <f>D6+J6</f>
        <v>127437972</v>
      </c>
      <c r="Q6" s="334">
        <f>E6+K6</f>
        <v>108368203</v>
      </c>
      <c r="R6" s="334">
        <f>F6+L6</f>
        <v>117751388</v>
      </c>
      <c r="S6" s="334">
        <f>G6+M6</f>
        <v>62131369</v>
      </c>
      <c r="T6" s="334">
        <f>H6+N6</f>
        <v>57482276</v>
      </c>
    </row>
    <row r="7" spans="2:23" s="1" customFormat="1" ht="15" x14ac:dyDescent="0.25">
      <c r="B7" s="332">
        <v>2</v>
      </c>
      <c r="C7" s="333" t="s">
        <v>562</v>
      </c>
      <c r="D7" s="383">
        <f>SUM(D8:D19)</f>
        <v>70666374</v>
      </c>
      <c r="E7" s="334">
        <f>SUM(E8:E19)</f>
        <v>65205983</v>
      </c>
      <c r="F7" s="334">
        <f>SUM(F8:F19)</f>
        <v>67899523</v>
      </c>
      <c r="G7" s="334">
        <f>SUM(G8:G19)</f>
        <v>54794473</v>
      </c>
      <c r="H7" s="334">
        <f>SUM(H8:H19)</f>
        <v>46950765</v>
      </c>
      <c r="I7" s="335"/>
      <c r="J7" s="383">
        <f>SUM(J8:J19)</f>
        <v>83820867</v>
      </c>
      <c r="K7" s="334">
        <f>SUM(K8:K19)</f>
        <v>71840511</v>
      </c>
      <c r="L7" s="334">
        <f>SUM(L8:L19)</f>
        <v>79423970</v>
      </c>
      <c r="M7" s="334">
        <f>SUM(M8:M19)</f>
        <v>12057561</v>
      </c>
      <c r="N7" s="352">
        <f>SUM(N8:N19)</f>
        <v>6559152</v>
      </c>
      <c r="O7" s="335"/>
      <c r="P7" s="383">
        <f t="shared" ref="P7:P19" si="0">D7+J7</f>
        <v>154487241</v>
      </c>
      <c r="Q7" s="334">
        <f t="shared" ref="Q7:Q19" si="1">E7+K7</f>
        <v>137046494</v>
      </c>
      <c r="R7" s="334">
        <f t="shared" ref="R7:R19" si="2">F7+L7</f>
        <v>147323493</v>
      </c>
      <c r="S7" s="334">
        <f>SUM(S8:S19)</f>
        <v>66852034</v>
      </c>
      <c r="T7" s="334">
        <f t="shared" ref="T7:T19" si="3">H7+N7</f>
        <v>53509917</v>
      </c>
    </row>
    <row r="8" spans="2:23" ht="15" x14ac:dyDescent="0.25">
      <c r="B8" s="332">
        <v>3</v>
      </c>
      <c r="C8" s="224" t="s">
        <v>28</v>
      </c>
      <c r="D8" s="362">
        <f>'Výdavky 2024'!I8</f>
        <v>977385</v>
      </c>
      <c r="E8" s="225">
        <f>'Výdavky 2024'!J8</f>
        <v>941269</v>
      </c>
      <c r="F8" s="225">
        <f>'Výdavky 2024'!K8</f>
        <v>784976</v>
      </c>
      <c r="G8" s="225">
        <f>'Výdavky 2024'!L8</f>
        <v>700228</v>
      </c>
      <c r="H8" s="225">
        <f>'Výdavky 2024'!M8</f>
        <v>521892</v>
      </c>
      <c r="I8" s="336"/>
      <c r="J8" s="362">
        <f>'Výdavky 2024'!O8</f>
        <v>1113500</v>
      </c>
      <c r="K8" s="225">
        <f>'Výdavky 2024'!P8</f>
        <v>2649040</v>
      </c>
      <c r="L8" s="225">
        <f>'Výdavky 2024'!Q8</f>
        <v>1350574</v>
      </c>
      <c r="M8" s="225">
        <f>'Výdavky 2024'!R8</f>
        <v>144638</v>
      </c>
      <c r="N8" s="225">
        <f>'Výdavky 2024'!S8</f>
        <v>129945</v>
      </c>
      <c r="O8" s="336"/>
      <c r="P8" s="362">
        <f t="shared" si="0"/>
        <v>2090885</v>
      </c>
      <c r="Q8" s="225">
        <f t="shared" si="1"/>
        <v>3590309</v>
      </c>
      <c r="R8" s="225">
        <f t="shared" si="2"/>
        <v>2135550</v>
      </c>
      <c r="S8" s="225">
        <f t="shared" ref="S8:S19" si="4">G8+M8</f>
        <v>844866</v>
      </c>
      <c r="T8" s="225">
        <f t="shared" si="3"/>
        <v>651837</v>
      </c>
      <c r="V8" s="603"/>
      <c r="W8" s="603"/>
    </row>
    <row r="9" spans="2:23" ht="15" x14ac:dyDescent="0.25">
      <c r="B9" s="332">
        <v>4</v>
      </c>
      <c r="C9" s="224" t="s">
        <v>29</v>
      </c>
      <c r="D9" s="362">
        <f>'Výdavky 2024'!I89</f>
        <v>128440</v>
      </c>
      <c r="E9" s="225">
        <f>'Výdavky 2024'!J89</f>
        <v>110000</v>
      </c>
      <c r="F9" s="225">
        <f>'Výdavky 2024'!K89</f>
        <v>117000</v>
      </c>
      <c r="G9" s="225">
        <f>'Výdavky 2024'!L89</f>
        <v>111189</v>
      </c>
      <c r="H9" s="225">
        <f>'Výdavky 2024'!M89</f>
        <v>493687</v>
      </c>
      <c r="I9" s="336"/>
      <c r="J9" s="362">
        <f>'Výdavky 2024'!O89</f>
        <v>0</v>
      </c>
      <c r="K9" s="225">
        <f>'Výdavky 2024'!P89</f>
        <v>0</v>
      </c>
      <c r="L9" s="225">
        <f>'Výdavky 2024'!Q89</f>
        <v>0</v>
      </c>
      <c r="M9" s="225">
        <f>'Výdavky 2024'!R89</f>
        <v>0</v>
      </c>
      <c r="N9" s="225">
        <f>'Výdavky 2024'!S89</f>
        <v>5957</v>
      </c>
      <c r="O9" s="336"/>
      <c r="P9" s="362">
        <f t="shared" si="0"/>
        <v>128440</v>
      </c>
      <c r="Q9" s="225">
        <f t="shared" si="1"/>
        <v>110000</v>
      </c>
      <c r="R9" s="225">
        <f t="shared" si="2"/>
        <v>117000</v>
      </c>
      <c r="S9" s="225">
        <f t="shared" si="4"/>
        <v>111189</v>
      </c>
      <c r="T9" s="225">
        <f t="shared" si="3"/>
        <v>499644</v>
      </c>
      <c r="W9" s="603"/>
    </row>
    <row r="10" spans="2:23" ht="15" x14ac:dyDescent="0.25">
      <c r="B10" s="332">
        <v>5</v>
      </c>
      <c r="C10" s="224" t="s">
        <v>30</v>
      </c>
      <c r="D10" s="362">
        <f>'Výdavky 2024'!I126</f>
        <v>7263625</v>
      </c>
      <c r="E10" s="225">
        <f>'Výdavky 2024'!J126</f>
        <v>7014982</v>
      </c>
      <c r="F10" s="225">
        <f>'Výdavky 2024'!K126</f>
        <v>7162610</v>
      </c>
      <c r="G10" s="225">
        <f>'Výdavky 2024'!L126</f>
        <v>5205095</v>
      </c>
      <c r="H10" s="225">
        <f>'Výdavky 2024'!M126</f>
        <v>4678345</v>
      </c>
      <c r="I10" s="336"/>
      <c r="J10" s="362">
        <f>'Výdavky 2024'!O126</f>
        <v>3299081</v>
      </c>
      <c r="K10" s="225">
        <f>'Výdavky 2024'!P126</f>
        <v>2465854</v>
      </c>
      <c r="L10" s="225">
        <f>'Výdavky 2024'!Q126</f>
        <v>2700553</v>
      </c>
      <c r="M10" s="225">
        <f>'Výdavky 2024'!R126</f>
        <v>497542</v>
      </c>
      <c r="N10" s="225">
        <f>'Výdavky 2024'!S126</f>
        <v>334462</v>
      </c>
      <c r="O10" s="336"/>
      <c r="P10" s="362">
        <f t="shared" si="0"/>
        <v>10562706</v>
      </c>
      <c r="Q10" s="225">
        <f t="shared" si="1"/>
        <v>9480836</v>
      </c>
      <c r="R10" s="225">
        <f t="shared" si="2"/>
        <v>9863163</v>
      </c>
      <c r="S10" s="225">
        <f t="shared" si="4"/>
        <v>5702637</v>
      </c>
      <c r="T10" s="225">
        <f t="shared" si="3"/>
        <v>5012807</v>
      </c>
      <c r="W10" s="603"/>
    </row>
    <row r="11" spans="2:23" ht="15" x14ac:dyDescent="0.25">
      <c r="B11" s="332">
        <v>6</v>
      </c>
      <c r="C11" s="224" t="s">
        <v>31</v>
      </c>
      <c r="D11" s="362">
        <f>'Výdavky 2024'!I247</f>
        <v>955055</v>
      </c>
      <c r="E11" s="225">
        <f>'Výdavky 2024'!J247</f>
        <v>889505</v>
      </c>
      <c r="F11" s="225">
        <f>'Výdavky 2024'!K247</f>
        <v>941242</v>
      </c>
      <c r="G11" s="225">
        <f>'Výdavky 2024'!L247</f>
        <v>830906</v>
      </c>
      <c r="H11" s="225">
        <f>'Výdavky 2024'!M247</f>
        <v>757494</v>
      </c>
      <c r="I11" s="336"/>
      <c r="J11" s="362">
        <f>'Výdavky 2024'!O247</f>
        <v>310560</v>
      </c>
      <c r="K11" s="225">
        <f>'Výdavky 2024'!P247</f>
        <v>253000</v>
      </c>
      <c r="L11" s="225">
        <f>'Výdavky 2024'!Q247</f>
        <v>263020</v>
      </c>
      <c r="M11" s="225">
        <f>'Výdavky 2024'!R247</f>
        <v>87432</v>
      </c>
      <c r="N11" s="225">
        <f>'Výdavky 2024'!S247</f>
        <v>16200</v>
      </c>
      <c r="O11" s="336"/>
      <c r="P11" s="362">
        <f t="shared" si="0"/>
        <v>1265615</v>
      </c>
      <c r="Q11" s="225">
        <f t="shared" si="1"/>
        <v>1142505</v>
      </c>
      <c r="R11" s="225">
        <f t="shared" si="2"/>
        <v>1204262</v>
      </c>
      <c r="S11" s="225">
        <f t="shared" si="4"/>
        <v>918338</v>
      </c>
      <c r="T11" s="225">
        <f t="shared" si="3"/>
        <v>773694</v>
      </c>
      <c r="W11" s="603"/>
    </row>
    <row r="12" spans="2:23" ht="15" x14ac:dyDescent="0.25">
      <c r="B12" s="332">
        <v>7</v>
      </c>
      <c r="C12" s="224" t="s">
        <v>811</v>
      </c>
      <c r="D12" s="362">
        <f>'Výdavky 2024'!I342</f>
        <v>2671049</v>
      </c>
      <c r="E12" s="225">
        <f>'Výdavky 2024'!J342</f>
        <v>3162509</v>
      </c>
      <c r="F12" s="225">
        <f>'Výdavky 2024'!K342</f>
        <v>3224437</v>
      </c>
      <c r="G12" s="225">
        <f>'Výdavky 2024'!L342</f>
        <v>2111887</v>
      </c>
      <c r="H12" s="225">
        <f>'Výdavky 2024'!M342</f>
        <v>1875256</v>
      </c>
      <c r="I12" s="336"/>
      <c r="J12" s="362">
        <f>'Výdavky 2024'!O342</f>
        <v>15018400</v>
      </c>
      <c r="K12" s="225">
        <f>'Výdavky 2024'!P342</f>
        <v>14990900</v>
      </c>
      <c r="L12" s="225">
        <f>'Výdavky 2024'!Q342</f>
        <v>15036000</v>
      </c>
      <c r="M12" s="225">
        <f>'Výdavky 2024'!R342</f>
        <v>337974</v>
      </c>
      <c r="N12" s="225">
        <f>'Výdavky 2024'!S342</f>
        <v>37723</v>
      </c>
      <c r="O12" s="336"/>
      <c r="P12" s="362">
        <f t="shared" si="0"/>
        <v>17689449</v>
      </c>
      <c r="Q12" s="225">
        <f t="shared" si="1"/>
        <v>18153409</v>
      </c>
      <c r="R12" s="225">
        <f t="shared" si="2"/>
        <v>18260437</v>
      </c>
      <c r="S12" s="225">
        <f t="shared" si="4"/>
        <v>2449861</v>
      </c>
      <c r="T12" s="225">
        <f t="shared" si="3"/>
        <v>1912979</v>
      </c>
      <c r="W12" s="603"/>
    </row>
    <row r="13" spans="2:23" ht="15" x14ac:dyDescent="0.25">
      <c r="B13" s="332">
        <v>8</v>
      </c>
      <c r="C13" s="224" t="s">
        <v>32</v>
      </c>
      <c r="D13" s="362">
        <f>'Výdavky 2024'!I443</f>
        <v>7153756</v>
      </c>
      <c r="E13" s="225">
        <f>'Výdavky 2024'!J443</f>
        <v>5788150</v>
      </c>
      <c r="F13" s="225">
        <f>'Výdavky 2024'!K443</f>
        <v>5942921</v>
      </c>
      <c r="G13" s="225">
        <f>'Výdavky 2024'!L443</f>
        <v>5716646</v>
      </c>
      <c r="H13" s="225">
        <f>'Výdavky 2024'!M443</f>
        <v>4953213</v>
      </c>
      <c r="I13" s="336"/>
      <c r="J13" s="362">
        <f>'Výdavky 2024'!O443</f>
        <v>2423347</v>
      </c>
      <c r="K13" s="225">
        <f>'Výdavky 2024'!P443</f>
        <v>4541157</v>
      </c>
      <c r="L13" s="225">
        <f>'Výdavky 2024'!Q443</f>
        <v>4814153</v>
      </c>
      <c r="M13" s="225">
        <f>'Výdavky 2024'!R443</f>
        <v>3769857</v>
      </c>
      <c r="N13" s="225">
        <f>'Výdavky 2024'!S443</f>
        <v>2304486</v>
      </c>
      <c r="O13" s="336"/>
      <c r="P13" s="362">
        <f t="shared" si="0"/>
        <v>9577103</v>
      </c>
      <c r="Q13" s="225">
        <f t="shared" si="1"/>
        <v>10329307</v>
      </c>
      <c r="R13" s="225">
        <f t="shared" si="2"/>
        <v>10757074</v>
      </c>
      <c r="S13" s="225">
        <f t="shared" si="4"/>
        <v>9486503</v>
      </c>
      <c r="T13" s="225">
        <f t="shared" si="3"/>
        <v>7257699</v>
      </c>
      <c r="W13" s="603"/>
    </row>
    <row r="14" spans="2:23" ht="15" x14ac:dyDescent="0.25">
      <c r="B14" s="332">
        <v>9</v>
      </c>
      <c r="C14" s="224" t="s">
        <v>810</v>
      </c>
      <c r="D14" s="362">
        <f>'Výdavky 2024'!I685</f>
        <v>34690214</v>
      </c>
      <c r="E14" s="225">
        <f>'Výdavky 2024'!J685</f>
        <v>31034024</v>
      </c>
      <c r="F14" s="225">
        <f>'Výdavky 2024'!K685</f>
        <v>31661059</v>
      </c>
      <c r="G14" s="225">
        <f>'Výdavky 2024'!L685</f>
        <v>26177600</v>
      </c>
      <c r="H14" s="225">
        <f>'Výdavky 2024'!M685</f>
        <v>23025509</v>
      </c>
      <c r="I14" s="336"/>
      <c r="J14" s="362">
        <f>'Výdavky 2024'!O685</f>
        <v>2522461</v>
      </c>
      <c r="K14" s="225">
        <f>'Výdavky 2024'!P685</f>
        <v>2751991</v>
      </c>
      <c r="L14" s="225">
        <f>'Výdavky 2024'!Q685</f>
        <v>3121512</v>
      </c>
      <c r="M14" s="225">
        <f>'Výdavky 2024'!R685</f>
        <v>829940</v>
      </c>
      <c r="N14" s="225">
        <f>'Výdavky 2024'!S685</f>
        <v>574697</v>
      </c>
      <c r="O14" s="336"/>
      <c r="P14" s="362">
        <f t="shared" si="0"/>
        <v>37212675</v>
      </c>
      <c r="Q14" s="225">
        <f t="shared" si="1"/>
        <v>33786015</v>
      </c>
      <c r="R14" s="225">
        <f t="shared" si="2"/>
        <v>34782571</v>
      </c>
      <c r="S14" s="225">
        <f t="shared" si="4"/>
        <v>27007540</v>
      </c>
      <c r="T14" s="225">
        <f t="shared" si="3"/>
        <v>23600206</v>
      </c>
      <c r="W14" s="603"/>
    </row>
    <row r="15" spans="2:23" ht="15" x14ac:dyDescent="0.25">
      <c r="B15" s="332">
        <v>10</v>
      </c>
      <c r="C15" s="224" t="s">
        <v>809</v>
      </c>
      <c r="D15" s="362">
        <f>'Výdavky 2024'!I1669</f>
        <v>3091945</v>
      </c>
      <c r="E15" s="225">
        <f>'Výdavky 2024'!J1669</f>
        <v>3599280</v>
      </c>
      <c r="F15" s="225">
        <f>'Výdavky 2024'!K1669</f>
        <v>3661280</v>
      </c>
      <c r="G15" s="225">
        <f>'Výdavky 2024'!L1669</f>
        <v>2630181</v>
      </c>
      <c r="H15" s="225">
        <f>'Výdavky 2024'!M1669</f>
        <v>1707703</v>
      </c>
      <c r="I15" s="336"/>
      <c r="J15" s="362">
        <f>'Výdavky 2024'!O1669</f>
        <v>48452429</v>
      </c>
      <c r="K15" s="225">
        <f>'Výdavky 2024'!P1669</f>
        <v>29621742</v>
      </c>
      <c r="L15" s="225">
        <f>'Výdavky 2024'!Q1669</f>
        <v>36439731</v>
      </c>
      <c r="M15" s="225">
        <f>'Výdavky 2024'!R1669</f>
        <v>3848048</v>
      </c>
      <c r="N15" s="225">
        <f>'Výdavky 2024'!S1669</f>
        <v>1235890</v>
      </c>
      <c r="O15" s="336"/>
      <c r="P15" s="362">
        <f t="shared" si="0"/>
        <v>51544374</v>
      </c>
      <c r="Q15" s="225">
        <f t="shared" si="1"/>
        <v>33221022</v>
      </c>
      <c r="R15" s="225">
        <f t="shared" si="2"/>
        <v>40101011</v>
      </c>
      <c r="S15" s="225">
        <f t="shared" si="4"/>
        <v>6478229</v>
      </c>
      <c r="T15" s="225">
        <f t="shared" si="3"/>
        <v>2943593</v>
      </c>
      <c r="W15" s="603"/>
    </row>
    <row r="16" spans="2:23" ht="15" x14ac:dyDescent="0.25">
      <c r="B16" s="332">
        <v>11</v>
      </c>
      <c r="C16" s="224" t="s">
        <v>33</v>
      </c>
      <c r="D16" s="362">
        <f>'Výdavky 2024'!I1898</f>
        <v>2102150</v>
      </c>
      <c r="E16" s="225">
        <f>'Výdavky 2024'!J1898</f>
        <v>2042168</v>
      </c>
      <c r="F16" s="225">
        <f>'Výdavky 2024'!K1898</f>
        <v>2030168</v>
      </c>
      <c r="G16" s="225">
        <f>'Výdavky 2024'!L1898</f>
        <v>1504469</v>
      </c>
      <c r="H16" s="225">
        <f>'Výdavky 2024'!M1898</f>
        <v>395277</v>
      </c>
      <c r="I16" s="336"/>
      <c r="J16" s="362">
        <f>'Výdavky 2024'!O1898</f>
        <v>8371139</v>
      </c>
      <c r="K16" s="225">
        <f>'Výdavky 2024'!P1898</f>
        <v>13197607</v>
      </c>
      <c r="L16" s="225">
        <f>'Výdavky 2024'!Q1898</f>
        <v>13453227</v>
      </c>
      <c r="M16" s="225">
        <f>'Výdavky 2024'!R1898</f>
        <v>2302377</v>
      </c>
      <c r="N16" s="225">
        <f>'Výdavky 2024'!S1898</f>
        <v>934547</v>
      </c>
      <c r="O16" s="336"/>
      <c r="P16" s="362">
        <f t="shared" si="0"/>
        <v>10473289</v>
      </c>
      <c r="Q16" s="225">
        <f t="shared" si="1"/>
        <v>15239775</v>
      </c>
      <c r="R16" s="225">
        <f t="shared" si="2"/>
        <v>15483395</v>
      </c>
      <c r="S16" s="225">
        <f t="shared" si="4"/>
        <v>3806846</v>
      </c>
      <c r="T16" s="225">
        <f t="shared" si="3"/>
        <v>1329824</v>
      </c>
      <c r="W16" s="603"/>
    </row>
    <row r="17" spans="2:23" ht="15" x14ac:dyDescent="0.25">
      <c r="B17" s="332">
        <v>12</v>
      </c>
      <c r="C17" s="224" t="s">
        <v>34</v>
      </c>
      <c r="D17" s="362">
        <f>'Výdavky 2024'!I2031</f>
        <v>5673545</v>
      </c>
      <c r="E17" s="225">
        <f>'Výdavky 2024'!J2031</f>
        <v>5109696</v>
      </c>
      <c r="F17" s="225">
        <f>'Výdavky 2024'!K2031</f>
        <v>5075796</v>
      </c>
      <c r="G17" s="225">
        <f>'Výdavky 2024'!L2031</f>
        <v>4440738</v>
      </c>
      <c r="H17" s="225">
        <f>'Výdavky 2024'!M2031</f>
        <v>4177308</v>
      </c>
      <c r="I17" s="336"/>
      <c r="J17" s="362">
        <f>'Výdavky 2024'!O2031</f>
        <v>817500</v>
      </c>
      <c r="K17" s="225">
        <f>'Výdavky 2024'!P2031</f>
        <v>366400</v>
      </c>
      <c r="L17" s="225">
        <f>'Výdavky 2024'!Q2031</f>
        <v>1155102</v>
      </c>
      <c r="M17" s="225">
        <f>'Výdavky 2024'!R2031</f>
        <v>221601</v>
      </c>
      <c r="N17" s="225">
        <f>'Výdavky 2024'!S2031</f>
        <v>857179</v>
      </c>
      <c r="O17" s="336"/>
      <c r="P17" s="362">
        <f t="shared" si="0"/>
        <v>6491045</v>
      </c>
      <c r="Q17" s="225">
        <f t="shared" si="1"/>
        <v>5476096</v>
      </c>
      <c r="R17" s="225">
        <f t="shared" si="2"/>
        <v>6230898</v>
      </c>
      <c r="S17" s="225">
        <f t="shared" si="4"/>
        <v>4662339</v>
      </c>
      <c r="T17" s="225">
        <f t="shared" si="3"/>
        <v>5034487</v>
      </c>
      <c r="W17" s="603"/>
    </row>
    <row r="18" spans="2:23" ht="15" x14ac:dyDescent="0.25">
      <c r="B18" s="332">
        <v>13</v>
      </c>
      <c r="C18" s="224" t="s">
        <v>35</v>
      </c>
      <c r="D18" s="362">
        <f>'Výdavky 2024'!I2167</f>
        <v>5573950</v>
      </c>
      <c r="E18" s="225">
        <f>'Výdavky 2024'!J2167</f>
        <v>5043630</v>
      </c>
      <c r="F18" s="225">
        <f>'Výdavky 2024'!K2167</f>
        <v>6829764</v>
      </c>
      <c r="G18" s="225">
        <f>'Výdavky 2024'!L2167</f>
        <v>4951953</v>
      </c>
      <c r="H18" s="225">
        <f>'Výdavky 2024'!M2167</f>
        <v>4070620</v>
      </c>
      <c r="I18" s="336"/>
      <c r="J18" s="362">
        <f>'Výdavky 2024'!O2167</f>
        <v>1490800</v>
      </c>
      <c r="K18" s="225">
        <f>'Výdavky 2024'!P2167</f>
        <v>1002820</v>
      </c>
      <c r="L18" s="225">
        <f>'Výdavky 2024'!Q2167</f>
        <v>1088448</v>
      </c>
      <c r="M18" s="225">
        <f>'Výdavky 2024'!R2167</f>
        <v>18152</v>
      </c>
      <c r="N18" s="225">
        <f>'Výdavky 2024'!S2167</f>
        <v>128066</v>
      </c>
      <c r="O18" s="336"/>
      <c r="P18" s="362">
        <f t="shared" si="0"/>
        <v>7064750</v>
      </c>
      <c r="Q18" s="225">
        <f t="shared" si="1"/>
        <v>6046450</v>
      </c>
      <c r="R18" s="225">
        <f t="shared" si="2"/>
        <v>7918212</v>
      </c>
      <c r="S18" s="225">
        <f t="shared" si="4"/>
        <v>4970105</v>
      </c>
      <c r="T18" s="225">
        <f t="shared" si="3"/>
        <v>4198686</v>
      </c>
      <c r="W18" s="603"/>
    </row>
    <row r="19" spans="2:23" ht="15" x14ac:dyDescent="0.25">
      <c r="B19" s="332">
        <v>14</v>
      </c>
      <c r="C19" s="224" t="s">
        <v>36</v>
      </c>
      <c r="D19" s="362">
        <f>'Výdavky 2024'!I2408</f>
        <v>385260</v>
      </c>
      <c r="E19" s="225">
        <f>'Výdavky 2024'!J2408</f>
        <v>470770</v>
      </c>
      <c r="F19" s="225">
        <f>'Výdavky 2024'!K2408</f>
        <v>468270</v>
      </c>
      <c r="G19" s="225">
        <f>'Výdavky 2024'!L2408</f>
        <v>413581</v>
      </c>
      <c r="H19" s="225">
        <f>'Výdavky 2024'!M2408</f>
        <v>294461</v>
      </c>
      <c r="I19" s="336"/>
      <c r="J19" s="362">
        <f>'Výdavky 2024'!O2408</f>
        <v>1650</v>
      </c>
      <c r="K19" s="225">
        <f>'Výdavky 2024'!P2408</f>
        <v>0</v>
      </c>
      <c r="L19" s="225">
        <f>'Výdavky 2024'!Q2408</f>
        <v>1650</v>
      </c>
      <c r="M19" s="225">
        <v>0</v>
      </c>
      <c r="N19" s="225">
        <f>'Výdavky 2024'!S2408</f>
        <v>0</v>
      </c>
      <c r="O19" s="336"/>
      <c r="P19" s="362">
        <f t="shared" si="0"/>
        <v>386910</v>
      </c>
      <c r="Q19" s="225">
        <f t="shared" si="1"/>
        <v>470770</v>
      </c>
      <c r="R19" s="225">
        <f t="shared" si="2"/>
        <v>469920</v>
      </c>
      <c r="S19" s="225">
        <f t="shared" si="4"/>
        <v>413581</v>
      </c>
      <c r="T19" s="225">
        <f t="shared" si="3"/>
        <v>294461</v>
      </c>
    </row>
    <row r="20" spans="2:23" s="327" customFormat="1" ht="15" x14ac:dyDescent="0.2">
      <c r="B20" s="337">
        <v>15</v>
      </c>
      <c r="C20" s="338" t="s">
        <v>37</v>
      </c>
      <c r="D20" s="384">
        <f>D6-D7</f>
        <v>669224</v>
      </c>
      <c r="E20" s="339">
        <f>E6-E7</f>
        <v>665783</v>
      </c>
      <c r="F20" s="339">
        <f>F6-F7</f>
        <v>708599</v>
      </c>
      <c r="G20" s="339">
        <f>G6-G7</f>
        <v>5182831</v>
      </c>
      <c r="H20" s="339">
        <f>H6-H7</f>
        <v>7422534</v>
      </c>
      <c r="I20" s="340"/>
      <c r="J20" s="338"/>
      <c r="K20" s="339"/>
      <c r="L20" s="339"/>
      <c r="M20" s="339"/>
      <c r="N20" s="353"/>
      <c r="O20" s="340"/>
      <c r="P20" s="338"/>
      <c r="Q20" s="339"/>
      <c r="R20" s="339"/>
      <c r="S20" s="339"/>
      <c r="T20" s="339"/>
    </row>
    <row r="21" spans="2:23" s="327" customFormat="1" ht="15" x14ac:dyDescent="0.2">
      <c r="B21" s="337">
        <v>16</v>
      </c>
      <c r="C21" s="338" t="s">
        <v>1039</v>
      </c>
      <c r="D21" s="338"/>
      <c r="E21" s="338"/>
      <c r="F21" s="338"/>
      <c r="G21" s="338"/>
      <c r="H21" s="338"/>
      <c r="I21" s="340"/>
      <c r="J21" s="384">
        <f>J6-J7</f>
        <v>-27718493</v>
      </c>
      <c r="K21" s="339">
        <f>K6-K7</f>
        <v>-29344074</v>
      </c>
      <c r="L21" s="339">
        <f>L6-L7</f>
        <v>-30280704</v>
      </c>
      <c r="M21" s="339">
        <f>M6-M7</f>
        <v>-9903496</v>
      </c>
      <c r="N21" s="353">
        <f>N6-N7</f>
        <v>-3450175</v>
      </c>
      <c r="O21" s="340"/>
      <c r="P21" s="338"/>
      <c r="Q21" s="339"/>
      <c r="R21" s="339"/>
      <c r="S21" s="339"/>
      <c r="T21" s="339"/>
    </row>
    <row r="22" spans="2:23" s="327" customFormat="1" ht="15" x14ac:dyDescent="0.2">
      <c r="B22" s="341">
        <v>17</v>
      </c>
      <c r="C22" s="342" t="s">
        <v>1153</v>
      </c>
      <c r="D22" s="342"/>
      <c r="E22" s="342"/>
      <c r="F22" s="342"/>
      <c r="G22" s="342"/>
      <c r="H22" s="342"/>
      <c r="I22" s="343"/>
      <c r="J22" s="342"/>
      <c r="K22" s="342"/>
      <c r="L22" s="342"/>
      <c r="M22" s="342"/>
      <c r="N22" s="342"/>
      <c r="O22" s="343"/>
      <c r="P22" s="385">
        <f>P6-P7</f>
        <v>-27049269</v>
      </c>
      <c r="Q22" s="344">
        <f>Q6-Q7</f>
        <v>-28678291</v>
      </c>
      <c r="R22" s="344">
        <f>R6-R7</f>
        <v>-29572105</v>
      </c>
      <c r="S22" s="344">
        <f>S6-S7</f>
        <v>-4720665</v>
      </c>
      <c r="T22" s="344">
        <f>T6-T7</f>
        <v>3972359</v>
      </c>
    </row>
    <row r="23" spans="2:23" ht="15" customHeight="1" x14ac:dyDescent="0.2"/>
    <row r="24" spans="2:23" ht="15.75" x14ac:dyDescent="0.25">
      <c r="B24" s="727" t="s">
        <v>117</v>
      </c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</row>
    <row r="25" spans="2:23" s="1" customFormat="1" ht="15" x14ac:dyDescent="0.25">
      <c r="B25" s="332">
        <v>1</v>
      </c>
      <c r="C25" s="718" t="s">
        <v>38</v>
      </c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345"/>
      <c r="P25" s="386">
        <f>SUM(P26:P39)</f>
        <v>29801969</v>
      </c>
      <c r="Q25" s="346">
        <f>SUM(Q26:Q39)</f>
        <v>30987291</v>
      </c>
      <c r="R25" s="346">
        <f>SUM(R26:R39)</f>
        <v>31881105</v>
      </c>
      <c r="S25" s="346">
        <f>SUM(S26:S39)</f>
        <v>14436601</v>
      </c>
      <c r="T25" s="346">
        <f>SUM(T26:T39)</f>
        <v>11499709</v>
      </c>
    </row>
    <row r="26" spans="2:23" ht="14.25" x14ac:dyDescent="0.2">
      <c r="B26" s="332">
        <v>2</v>
      </c>
      <c r="C26" s="720" t="s">
        <v>563</v>
      </c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  <c r="O26" s="331"/>
      <c r="P26" s="335">
        <v>0</v>
      </c>
      <c r="Q26" s="214">
        <v>23000</v>
      </c>
      <c r="R26" s="214">
        <v>629512</v>
      </c>
      <c r="S26" s="214">
        <v>785268</v>
      </c>
      <c r="T26" s="214">
        <v>478205</v>
      </c>
    </row>
    <row r="27" spans="2:23" x14ac:dyDescent="0.2">
      <c r="B27" s="332">
        <f>B26+1</f>
        <v>3</v>
      </c>
      <c r="C27" s="720" t="s">
        <v>564</v>
      </c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331"/>
      <c r="P27" s="387">
        <v>0</v>
      </c>
      <c r="R27" s="214">
        <v>23253</v>
      </c>
      <c r="S27" s="214">
        <v>20376</v>
      </c>
      <c r="T27" s="214">
        <v>11663</v>
      </c>
    </row>
    <row r="28" spans="2:23" x14ac:dyDescent="0.2">
      <c r="B28" s="332">
        <f t="shared" ref="B28:B44" si="5">B27+1</f>
        <v>4</v>
      </c>
      <c r="C28" s="720" t="s">
        <v>1094</v>
      </c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331"/>
      <c r="P28" s="387">
        <f>2925000-116000+15800</f>
        <v>2824800</v>
      </c>
      <c r="Q28" s="214">
        <v>5174291</v>
      </c>
      <c r="R28" s="214">
        <v>4569990</v>
      </c>
      <c r="S28" s="214">
        <v>10471083</v>
      </c>
      <c r="T28" s="214">
        <v>10972462</v>
      </c>
    </row>
    <row r="29" spans="2:23" x14ac:dyDescent="0.2">
      <c r="B29" s="332">
        <f t="shared" si="5"/>
        <v>5</v>
      </c>
      <c r="C29" s="720" t="s">
        <v>565</v>
      </c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721"/>
      <c r="O29" s="331"/>
      <c r="P29" s="387">
        <v>0</v>
      </c>
      <c r="Q29" s="214"/>
      <c r="R29" s="214">
        <v>2736</v>
      </c>
      <c r="S29" s="214"/>
      <c r="T29" s="214"/>
    </row>
    <row r="30" spans="2:23" x14ac:dyDescent="0.2">
      <c r="B30" s="332">
        <f t="shared" si="5"/>
        <v>6</v>
      </c>
      <c r="C30" s="720" t="s">
        <v>566</v>
      </c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331"/>
      <c r="P30" s="387">
        <v>0</v>
      </c>
      <c r="Q30" s="214"/>
      <c r="R30" s="214">
        <v>8984</v>
      </c>
      <c r="S30" s="214">
        <v>1019</v>
      </c>
      <c r="T30" s="214">
        <v>4500</v>
      </c>
    </row>
    <row r="31" spans="2:23" x14ac:dyDescent="0.2">
      <c r="B31" s="332">
        <f t="shared" si="5"/>
        <v>7</v>
      </c>
      <c r="C31" s="720" t="s">
        <v>574</v>
      </c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331"/>
      <c r="P31" s="387">
        <v>0</v>
      </c>
      <c r="Q31" s="214"/>
      <c r="R31" s="214">
        <v>2730</v>
      </c>
      <c r="S31" s="214"/>
      <c r="T31" s="214">
        <v>1879</v>
      </c>
    </row>
    <row r="32" spans="2:23" x14ac:dyDescent="0.2">
      <c r="B32" s="332">
        <f t="shared" si="5"/>
        <v>8</v>
      </c>
      <c r="C32" s="720" t="s">
        <v>831</v>
      </c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331"/>
      <c r="P32" s="387">
        <v>0</v>
      </c>
      <c r="Q32" s="214"/>
      <c r="R32" s="214"/>
      <c r="S32" s="214">
        <v>31000</v>
      </c>
      <c r="T32" s="214"/>
    </row>
    <row r="33" spans="2:20" x14ac:dyDescent="0.2">
      <c r="B33" s="332">
        <f t="shared" si="5"/>
        <v>9</v>
      </c>
      <c r="C33" s="732" t="s">
        <v>567</v>
      </c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331"/>
      <c r="P33" s="387">
        <v>0</v>
      </c>
      <c r="Q33" s="214"/>
      <c r="R33" s="214"/>
      <c r="S33" s="214"/>
      <c r="T33" s="214"/>
    </row>
    <row r="34" spans="2:20" x14ac:dyDescent="0.2">
      <c r="B34" s="332">
        <f t="shared" si="5"/>
        <v>10</v>
      </c>
      <c r="C34" s="720" t="s">
        <v>1095</v>
      </c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331"/>
      <c r="P34" s="387">
        <v>381000</v>
      </c>
      <c r="Q34" s="214">
        <v>1840000</v>
      </c>
      <c r="R34" s="214">
        <v>2693900</v>
      </c>
      <c r="S34" s="214">
        <v>427855</v>
      </c>
      <c r="T34" s="214">
        <v>31000</v>
      </c>
    </row>
    <row r="35" spans="2:20" x14ac:dyDescent="0.2">
      <c r="B35" s="332">
        <f t="shared" si="5"/>
        <v>11</v>
      </c>
      <c r="C35" s="720" t="s">
        <v>568</v>
      </c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331"/>
      <c r="P35" s="387">
        <v>0</v>
      </c>
      <c r="Q35" s="214"/>
      <c r="R35" s="214"/>
      <c r="S35" s="214"/>
      <c r="T35" s="214"/>
    </row>
    <row r="36" spans="2:20" x14ac:dyDescent="0.2">
      <c r="B36" s="332">
        <f t="shared" si="5"/>
        <v>12</v>
      </c>
      <c r="C36" s="720" t="s">
        <v>569</v>
      </c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331"/>
      <c r="P36" s="387">
        <v>5000000</v>
      </c>
      <c r="Q36" s="214"/>
      <c r="R36" s="214"/>
      <c r="S36" s="214">
        <v>2700000</v>
      </c>
      <c r="T36" s="214"/>
    </row>
    <row r="37" spans="2:20" x14ac:dyDescent="0.2">
      <c r="B37" s="332">
        <f t="shared" si="5"/>
        <v>13</v>
      </c>
      <c r="C37" s="361" t="s">
        <v>1061</v>
      </c>
      <c r="D37" s="368"/>
      <c r="E37" s="368"/>
      <c r="F37" s="368"/>
      <c r="G37" s="368"/>
      <c r="H37" s="368"/>
      <c r="I37" s="368"/>
      <c r="J37" s="450"/>
      <c r="K37" s="368"/>
      <c r="L37" s="368"/>
      <c r="M37" s="368"/>
      <c r="N37" s="368"/>
      <c r="O37" s="331"/>
      <c r="P37" s="387">
        <f>4222065+1090528+986386+342190+5000</f>
        <v>6646169</v>
      </c>
      <c r="Q37" s="214">
        <v>9000000</v>
      </c>
      <c r="R37" s="214">
        <v>9000000</v>
      </c>
      <c r="S37" s="214"/>
      <c r="T37" s="214"/>
    </row>
    <row r="38" spans="2:20" x14ac:dyDescent="0.2">
      <c r="B38" s="332">
        <f t="shared" si="5"/>
        <v>14</v>
      </c>
      <c r="C38" s="361" t="s">
        <v>881</v>
      </c>
      <c r="D38" s="368"/>
      <c r="E38" s="368"/>
      <c r="F38" s="368"/>
      <c r="G38" s="368"/>
      <c r="H38" s="368"/>
      <c r="I38" s="368"/>
      <c r="K38" s="368"/>
      <c r="L38" s="368"/>
      <c r="M38" s="368"/>
      <c r="N38" s="368"/>
      <c r="O38" s="331"/>
      <c r="P38" s="387">
        <f>148000+6440000+8362000</f>
        <v>14950000</v>
      </c>
      <c r="Q38" s="214">
        <v>14950000</v>
      </c>
      <c r="R38" s="214">
        <v>14950000</v>
      </c>
      <c r="S38" s="214"/>
      <c r="T38" s="214"/>
    </row>
    <row r="39" spans="2:20" x14ac:dyDescent="0.2">
      <c r="B39" s="332">
        <f t="shared" si="5"/>
        <v>15</v>
      </c>
      <c r="C39" s="732" t="s">
        <v>573</v>
      </c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331"/>
      <c r="P39" s="387">
        <v>0</v>
      </c>
      <c r="Q39" s="214"/>
      <c r="R39" s="214"/>
      <c r="S39" s="214"/>
      <c r="T39" s="214"/>
    </row>
    <row r="40" spans="2:20" s="1" customFormat="1" ht="15" x14ac:dyDescent="0.25">
      <c r="B40" s="332">
        <f t="shared" si="5"/>
        <v>16</v>
      </c>
      <c r="C40" s="718" t="s">
        <v>562</v>
      </c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345"/>
      <c r="P40" s="386">
        <f>P41+P43</f>
        <v>2610000</v>
      </c>
      <c r="Q40" s="346">
        <f>SUM(Q41:Q43)</f>
        <v>2309000</v>
      </c>
      <c r="R40" s="346">
        <f>SUM(R41:R43)</f>
        <v>2309000</v>
      </c>
      <c r="S40" s="346">
        <f>SUM(S41:S43)</f>
        <v>2105443</v>
      </c>
      <c r="T40" s="346">
        <f>SUM(T41:T43)</f>
        <v>2103556</v>
      </c>
    </row>
    <row r="41" spans="2:20" x14ac:dyDescent="0.2">
      <c r="B41" s="332">
        <f t="shared" si="5"/>
        <v>17</v>
      </c>
      <c r="C41" s="720" t="s">
        <v>570</v>
      </c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331"/>
      <c r="P41" s="387">
        <v>2505000</v>
      </c>
      <c r="Q41" s="214">
        <v>2204000</v>
      </c>
      <c r="R41" s="214">
        <v>2204000</v>
      </c>
      <c r="S41" s="214">
        <v>2006263</v>
      </c>
      <c r="T41" s="214">
        <v>2006263</v>
      </c>
    </row>
    <row r="42" spans="2:20" x14ac:dyDescent="0.2">
      <c r="B42" s="332">
        <f t="shared" si="5"/>
        <v>18</v>
      </c>
      <c r="C42" s="732" t="s">
        <v>571</v>
      </c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331"/>
      <c r="P42" s="387"/>
      <c r="Q42" s="214"/>
      <c r="R42" s="214"/>
      <c r="S42" s="214"/>
      <c r="T42" s="214"/>
    </row>
    <row r="43" spans="2:20" x14ac:dyDescent="0.2">
      <c r="B43" s="332">
        <f t="shared" si="5"/>
        <v>19</v>
      </c>
      <c r="C43" s="736" t="s">
        <v>572</v>
      </c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331"/>
      <c r="P43" s="387">
        <v>105000</v>
      </c>
      <c r="Q43" s="214">
        <v>105000</v>
      </c>
      <c r="R43" s="214">
        <v>105000</v>
      </c>
      <c r="S43" s="214">
        <v>99180</v>
      </c>
      <c r="T43" s="214">
        <f>29897+44904+22492</f>
        <v>97293</v>
      </c>
    </row>
    <row r="44" spans="2:20" s="327" customFormat="1" ht="25.5" customHeight="1" x14ac:dyDescent="0.2">
      <c r="B44" s="347">
        <f t="shared" si="5"/>
        <v>20</v>
      </c>
      <c r="C44" s="734" t="s">
        <v>39</v>
      </c>
      <c r="D44" s="735"/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348"/>
      <c r="P44" s="363">
        <f>P22+P25-P40</f>
        <v>142700</v>
      </c>
      <c r="Q44" s="349">
        <f>Q22+Q25-Q40</f>
        <v>0</v>
      </c>
      <c r="R44" s="349">
        <f>R22+R25-R40</f>
        <v>0</v>
      </c>
      <c r="S44" s="349">
        <f>S22+S25-S40</f>
        <v>7610493</v>
      </c>
      <c r="T44" s="349">
        <f>T22+T25-T40</f>
        <v>13368512</v>
      </c>
    </row>
    <row r="45" spans="2:20" s="438" customFormat="1" x14ac:dyDescent="0.2"/>
    <row r="46" spans="2:20" s="438" customFormat="1" x14ac:dyDescent="0.2"/>
    <row r="47" spans="2:20" s="438" customFormat="1" x14ac:dyDescent="0.2"/>
    <row r="48" spans="2:20" s="438" customFormat="1" x14ac:dyDescent="0.2"/>
    <row r="49" s="438" customFormat="1" x14ac:dyDescent="0.2"/>
    <row r="50" s="438" customFormat="1" x14ac:dyDescent="0.2"/>
    <row r="51" s="438" customFormat="1" x14ac:dyDescent="0.2"/>
    <row r="52" s="438" customFormat="1" x14ac:dyDescent="0.2"/>
    <row r="53" s="438" customFormat="1" x14ac:dyDescent="0.2"/>
    <row r="54" s="438" customFormat="1" x14ac:dyDescent="0.2"/>
    <row r="55" s="438" customFormat="1" x14ac:dyDescent="0.2"/>
    <row r="56" s="438" customFormat="1" x14ac:dyDescent="0.2"/>
    <row r="57" s="438" customFormat="1" x14ac:dyDescent="0.2"/>
    <row r="58" s="438" customFormat="1" x14ac:dyDescent="0.2"/>
    <row r="59" s="438" customFormat="1" x14ac:dyDescent="0.2"/>
    <row r="60" s="438" customFormat="1" x14ac:dyDescent="0.2"/>
    <row r="61" s="438" customFormat="1" x14ac:dyDescent="0.2"/>
    <row r="62" s="438" customFormat="1" x14ac:dyDescent="0.2"/>
    <row r="63" s="438" customFormat="1" x14ac:dyDescent="0.2"/>
    <row r="64" s="438" customFormat="1" x14ac:dyDescent="0.2"/>
    <row r="65" s="438" customFormat="1" x14ac:dyDescent="0.2"/>
    <row r="66" s="438" customFormat="1" x14ac:dyDescent="0.2"/>
    <row r="67" s="438" customFormat="1" x14ac:dyDescent="0.2"/>
    <row r="68" s="438" customFormat="1" x14ac:dyDescent="0.2"/>
    <row r="69" s="438" customFormat="1" x14ac:dyDescent="0.2"/>
    <row r="70" s="438" customFormat="1" x14ac:dyDescent="0.2"/>
    <row r="71" s="438" customFormat="1" x14ac:dyDescent="0.2"/>
    <row r="72" s="438" customFormat="1" x14ac:dyDescent="0.2"/>
    <row r="73" s="438" customFormat="1" x14ac:dyDescent="0.2"/>
    <row r="74" s="438" customFormat="1" x14ac:dyDescent="0.2"/>
    <row r="75" s="438" customFormat="1" x14ac:dyDescent="0.2"/>
    <row r="76" s="438" customFormat="1" x14ac:dyDescent="0.2"/>
    <row r="77" s="438" customFormat="1" x14ac:dyDescent="0.2"/>
    <row r="78" s="438" customFormat="1" x14ac:dyDescent="0.2"/>
    <row r="79" s="438" customFormat="1" x14ac:dyDescent="0.2"/>
    <row r="80" s="438" customFormat="1" x14ac:dyDescent="0.2"/>
    <row r="81" s="438" customFormat="1" x14ac:dyDescent="0.2"/>
    <row r="82" s="438" customFormat="1" x14ac:dyDescent="0.2"/>
    <row r="83" s="438" customFormat="1" x14ac:dyDescent="0.2"/>
    <row r="84" s="438" customFormat="1" x14ac:dyDescent="0.2"/>
    <row r="85" s="438" customFormat="1" x14ac:dyDescent="0.2"/>
    <row r="86" s="438" customFormat="1" x14ac:dyDescent="0.2"/>
    <row r="87" s="438" customFormat="1" x14ac:dyDescent="0.2"/>
    <row r="88" s="438" customFormat="1" x14ac:dyDescent="0.2"/>
    <row r="89" s="438" customFormat="1" x14ac:dyDescent="0.2"/>
    <row r="90" s="438" customFormat="1" x14ac:dyDescent="0.2"/>
    <row r="91" s="438" customFormat="1" x14ac:dyDescent="0.2"/>
    <row r="92" s="438" customFormat="1" x14ac:dyDescent="0.2"/>
    <row r="93" s="438" customFormat="1" x14ac:dyDescent="0.2"/>
    <row r="94" s="438" customFormat="1" x14ac:dyDescent="0.2"/>
    <row r="95" s="438" customFormat="1" x14ac:dyDescent="0.2"/>
    <row r="96" s="438" customFormat="1" x14ac:dyDescent="0.2"/>
    <row r="97" s="438" customFormat="1" x14ac:dyDescent="0.2"/>
    <row r="98" s="438" customFormat="1" x14ac:dyDescent="0.2"/>
    <row r="99" s="438" customFormat="1" x14ac:dyDescent="0.2"/>
    <row r="100" s="438" customFormat="1" x14ac:dyDescent="0.2"/>
    <row r="101" s="438" customFormat="1" x14ac:dyDescent="0.2"/>
    <row r="102" s="438" customFormat="1" x14ac:dyDescent="0.2"/>
    <row r="103" s="438" customFormat="1" x14ac:dyDescent="0.2"/>
    <row r="104" s="438" customFormat="1" x14ac:dyDescent="0.2"/>
    <row r="105" s="438" customFormat="1" x14ac:dyDescent="0.2"/>
    <row r="106" s="438" customFormat="1" x14ac:dyDescent="0.2"/>
    <row r="107" s="438" customFormat="1" x14ac:dyDescent="0.2"/>
    <row r="108" s="438" customFormat="1" x14ac:dyDescent="0.2"/>
    <row r="109" s="438" customFormat="1" x14ac:dyDescent="0.2"/>
    <row r="110" s="438" customFormat="1" x14ac:dyDescent="0.2"/>
    <row r="111" s="438" customFormat="1" x14ac:dyDescent="0.2"/>
    <row r="112" s="438" customFormat="1" x14ac:dyDescent="0.2"/>
    <row r="113" s="438" customFormat="1" x14ac:dyDescent="0.2"/>
    <row r="114" s="438" customFormat="1" x14ac:dyDescent="0.2"/>
    <row r="115" s="438" customFormat="1" x14ac:dyDescent="0.2"/>
    <row r="116" s="438" customFormat="1" x14ac:dyDescent="0.2"/>
    <row r="117" s="438" customFormat="1" x14ac:dyDescent="0.2"/>
    <row r="118" s="438" customFormat="1" x14ac:dyDescent="0.2"/>
    <row r="119" s="438" customFormat="1" x14ac:dyDescent="0.2"/>
    <row r="120" s="438" customFormat="1" x14ac:dyDescent="0.2"/>
    <row r="121" s="438" customFormat="1" x14ac:dyDescent="0.2"/>
    <row r="122" s="438" customFormat="1" x14ac:dyDescent="0.2"/>
    <row r="123" s="438" customFormat="1" x14ac:dyDescent="0.2"/>
    <row r="124" s="438" customFormat="1" x14ac:dyDescent="0.2"/>
    <row r="125" s="438" customFormat="1" x14ac:dyDescent="0.2"/>
    <row r="126" s="438" customFormat="1" x14ac:dyDescent="0.2"/>
    <row r="127" s="438" customFormat="1" x14ac:dyDescent="0.2"/>
    <row r="128" s="438" customFormat="1" x14ac:dyDescent="0.2"/>
    <row r="129" s="438" customFormat="1" x14ac:dyDescent="0.2"/>
    <row r="130" s="438" customFormat="1" x14ac:dyDescent="0.2"/>
    <row r="131" s="438" customFormat="1" x14ac:dyDescent="0.2"/>
    <row r="132" s="438" customFormat="1" x14ac:dyDescent="0.2"/>
    <row r="133" s="438" customFormat="1" x14ac:dyDescent="0.2"/>
    <row r="134" s="438" customFormat="1" x14ac:dyDescent="0.2"/>
    <row r="135" s="438" customFormat="1" x14ac:dyDescent="0.2"/>
    <row r="136" s="438" customFormat="1" x14ac:dyDescent="0.2"/>
    <row r="137" s="438" customFormat="1" x14ac:dyDescent="0.2"/>
    <row r="138" s="438" customFormat="1" x14ac:dyDescent="0.2"/>
    <row r="139" s="438" customFormat="1" x14ac:dyDescent="0.2"/>
    <row r="140" s="438" customFormat="1" x14ac:dyDescent="0.2"/>
    <row r="141" s="438" customFormat="1" x14ac:dyDescent="0.2"/>
    <row r="142" s="438" customFormat="1" x14ac:dyDescent="0.2"/>
    <row r="143" s="438" customFormat="1" x14ac:dyDescent="0.2"/>
    <row r="144" s="438" customFormat="1" x14ac:dyDescent="0.2"/>
    <row r="145" s="438" customFormat="1" x14ac:dyDescent="0.2"/>
    <row r="146" s="438" customFormat="1" x14ac:dyDescent="0.2"/>
    <row r="147" s="438" customFormat="1" x14ac:dyDescent="0.2"/>
    <row r="148" s="438" customFormat="1" x14ac:dyDescent="0.2"/>
    <row r="149" s="438" customFormat="1" x14ac:dyDescent="0.2"/>
    <row r="150" s="438" customFormat="1" x14ac:dyDescent="0.2"/>
    <row r="151" s="438" customFormat="1" x14ac:dyDescent="0.2"/>
    <row r="152" s="438" customFormat="1" x14ac:dyDescent="0.2"/>
    <row r="153" s="438" customFormat="1" x14ac:dyDescent="0.2"/>
    <row r="154" s="438" customFormat="1" x14ac:dyDescent="0.2"/>
    <row r="155" s="438" customFormat="1" x14ac:dyDescent="0.2"/>
    <row r="156" s="438" customFormat="1" x14ac:dyDescent="0.2"/>
    <row r="157" s="438" customFormat="1" x14ac:dyDescent="0.2"/>
    <row r="158" s="438" customFormat="1" x14ac:dyDescent="0.2"/>
    <row r="159" s="438" customFormat="1" x14ac:dyDescent="0.2"/>
    <row r="160" s="438" customFormat="1" x14ac:dyDescent="0.2"/>
    <row r="161" s="438" customFormat="1" x14ac:dyDescent="0.2"/>
    <row r="162" s="438" customFormat="1" x14ac:dyDescent="0.2"/>
    <row r="163" s="438" customFormat="1" x14ac:dyDescent="0.2"/>
    <row r="164" s="438" customFormat="1" x14ac:dyDescent="0.2"/>
    <row r="165" s="438" customFormat="1" x14ac:dyDescent="0.2"/>
    <row r="166" s="438" customFormat="1" x14ac:dyDescent="0.2"/>
    <row r="167" s="438" customFormat="1" x14ac:dyDescent="0.2"/>
    <row r="168" s="438" customFormat="1" x14ac:dyDescent="0.2"/>
    <row r="169" s="438" customFormat="1" x14ac:dyDescent="0.2"/>
    <row r="170" s="438" customFormat="1" x14ac:dyDescent="0.2"/>
    <row r="171" s="438" customFormat="1" x14ac:dyDescent="0.2"/>
    <row r="172" s="438" customFormat="1" x14ac:dyDescent="0.2"/>
    <row r="173" s="438" customFormat="1" x14ac:dyDescent="0.2"/>
    <row r="174" s="438" customFormat="1" x14ac:dyDescent="0.2"/>
    <row r="175" s="438" customFormat="1" x14ac:dyDescent="0.2"/>
    <row r="176" s="438" customFormat="1" x14ac:dyDescent="0.2"/>
    <row r="177" s="438" customFormat="1" x14ac:dyDescent="0.2"/>
    <row r="178" s="438" customFormat="1" x14ac:dyDescent="0.2"/>
    <row r="179" s="438" customFormat="1" x14ac:dyDescent="0.2"/>
    <row r="180" s="438" customFormat="1" x14ac:dyDescent="0.2"/>
    <row r="181" s="438" customFormat="1" x14ac:dyDescent="0.2"/>
    <row r="182" s="438" customFormat="1" x14ac:dyDescent="0.2"/>
    <row r="183" s="438" customFormat="1" x14ac:dyDescent="0.2"/>
    <row r="184" s="438" customFormat="1" x14ac:dyDescent="0.2"/>
    <row r="185" s="438" customFormat="1" x14ac:dyDescent="0.2"/>
    <row r="186" s="438" customFormat="1" x14ac:dyDescent="0.2"/>
    <row r="187" s="438" customFormat="1" x14ac:dyDescent="0.2"/>
    <row r="188" s="438" customFormat="1" x14ac:dyDescent="0.2"/>
    <row r="189" s="438" customFormat="1" x14ac:dyDescent="0.2"/>
    <row r="190" s="438" customFormat="1" x14ac:dyDescent="0.2"/>
    <row r="191" s="438" customFormat="1" x14ac:dyDescent="0.2"/>
    <row r="192" s="438" customFormat="1" x14ac:dyDescent="0.2"/>
    <row r="193" s="438" customFormat="1" x14ac:dyDescent="0.2"/>
    <row r="194" s="438" customFormat="1" x14ac:dyDescent="0.2"/>
    <row r="195" s="438" customFormat="1" x14ac:dyDescent="0.2"/>
    <row r="196" s="438" customFormat="1" x14ac:dyDescent="0.2"/>
    <row r="197" s="438" customFormat="1" x14ac:dyDescent="0.2"/>
    <row r="198" s="438" customFormat="1" x14ac:dyDescent="0.2"/>
    <row r="199" s="438" customFormat="1" x14ac:dyDescent="0.2"/>
    <row r="200" s="438" customFormat="1" x14ac:dyDescent="0.2"/>
    <row r="201" s="438" customFormat="1" x14ac:dyDescent="0.2"/>
    <row r="202" s="438" customFormat="1" x14ac:dyDescent="0.2"/>
    <row r="203" s="438" customFormat="1" x14ac:dyDescent="0.2"/>
    <row r="204" s="438" customFormat="1" x14ac:dyDescent="0.2"/>
    <row r="205" s="438" customFormat="1" x14ac:dyDescent="0.2"/>
    <row r="206" s="438" customFormat="1" x14ac:dyDescent="0.2"/>
    <row r="207" s="438" customFormat="1" x14ac:dyDescent="0.2"/>
    <row r="208" s="438" customFormat="1" x14ac:dyDescent="0.2"/>
    <row r="209" s="438" customFormat="1" x14ac:dyDescent="0.2"/>
    <row r="210" s="438" customFormat="1" x14ac:dyDescent="0.2"/>
    <row r="211" s="438" customFormat="1" x14ac:dyDescent="0.2"/>
    <row r="212" s="438" customFormat="1" x14ac:dyDescent="0.2"/>
    <row r="213" s="438" customFormat="1" x14ac:dyDescent="0.2"/>
    <row r="214" s="438" customFormat="1" x14ac:dyDescent="0.2"/>
    <row r="215" s="438" customFormat="1" x14ac:dyDescent="0.2"/>
    <row r="216" s="438" customFormat="1" x14ac:dyDescent="0.2"/>
    <row r="217" s="438" customFormat="1" x14ac:dyDescent="0.2"/>
    <row r="218" s="438" customFormat="1" x14ac:dyDescent="0.2"/>
    <row r="219" s="438" customFormat="1" x14ac:dyDescent="0.2"/>
    <row r="220" s="438" customFormat="1" x14ac:dyDescent="0.2"/>
    <row r="221" s="438" customFormat="1" x14ac:dyDescent="0.2"/>
    <row r="222" s="438" customFormat="1" x14ac:dyDescent="0.2"/>
    <row r="223" s="438" customFormat="1" x14ac:dyDescent="0.2"/>
    <row r="224" s="438" customFormat="1" x14ac:dyDescent="0.2"/>
    <row r="225" s="438" customFormat="1" x14ac:dyDescent="0.2"/>
    <row r="226" s="438" customFormat="1" x14ac:dyDescent="0.2"/>
    <row r="227" s="438" customFormat="1" x14ac:dyDescent="0.2"/>
    <row r="228" s="438" customFormat="1" x14ac:dyDescent="0.2"/>
    <row r="229" s="438" customFormat="1" x14ac:dyDescent="0.2"/>
    <row r="230" s="438" customFormat="1" x14ac:dyDescent="0.2"/>
    <row r="231" s="438" customFormat="1" x14ac:dyDescent="0.2"/>
    <row r="232" s="438" customFormat="1" x14ac:dyDescent="0.2"/>
    <row r="233" s="438" customFormat="1" x14ac:dyDescent="0.2"/>
    <row r="234" s="438" customFormat="1" x14ac:dyDescent="0.2"/>
    <row r="235" s="438" customFormat="1" x14ac:dyDescent="0.2"/>
    <row r="236" s="438" customFormat="1" x14ac:dyDescent="0.2"/>
    <row r="237" s="438" customFormat="1" x14ac:dyDescent="0.2"/>
    <row r="238" s="438" customFormat="1" x14ac:dyDescent="0.2"/>
    <row r="239" s="438" customFormat="1" x14ac:dyDescent="0.2"/>
    <row r="240" s="438" customFormat="1" x14ac:dyDescent="0.2"/>
    <row r="241" s="438" customFormat="1" x14ac:dyDescent="0.2"/>
    <row r="242" s="438" customFormat="1" x14ac:dyDescent="0.2"/>
    <row r="243" s="438" customFormat="1" x14ac:dyDescent="0.2"/>
    <row r="244" s="438" customFormat="1" x14ac:dyDescent="0.2"/>
    <row r="245" s="438" customFormat="1" x14ac:dyDescent="0.2"/>
    <row r="246" s="438" customFormat="1" x14ac:dyDescent="0.2"/>
    <row r="247" s="438" customFormat="1" x14ac:dyDescent="0.2"/>
    <row r="248" s="438" customFormat="1" x14ac:dyDescent="0.2"/>
    <row r="249" s="438" customFormat="1" x14ac:dyDescent="0.2"/>
    <row r="250" s="438" customFormat="1" x14ac:dyDescent="0.2"/>
    <row r="251" s="438" customFormat="1" x14ac:dyDescent="0.2"/>
    <row r="252" s="438" customFormat="1" x14ac:dyDescent="0.2"/>
    <row r="253" s="438" customFormat="1" x14ac:dyDescent="0.2"/>
    <row r="254" s="438" customFormat="1" x14ac:dyDescent="0.2"/>
    <row r="255" s="438" customFormat="1" x14ac:dyDescent="0.2"/>
    <row r="256" s="438" customFormat="1" x14ac:dyDescent="0.2"/>
    <row r="257" s="438" customFormat="1" x14ac:dyDescent="0.2"/>
    <row r="258" s="438" customFormat="1" x14ac:dyDescent="0.2"/>
    <row r="259" s="438" customFormat="1" x14ac:dyDescent="0.2"/>
    <row r="260" s="438" customFormat="1" x14ac:dyDescent="0.2"/>
    <row r="261" s="438" customFormat="1" x14ac:dyDescent="0.2"/>
    <row r="262" s="438" customFormat="1" x14ac:dyDescent="0.2"/>
    <row r="263" s="438" customFormat="1" x14ac:dyDescent="0.2"/>
    <row r="264" s="438" customFormat="1" x14ac:dyDescent="0.2"/>
    <row r="265" s="438" customFormat="1" x14ac:dyDescent="0.2"/>
    <row r="266" s="438" customFormat="1" x14ac:dyDescent="0.2"/>
    <row r="267" s="438" customFormat="1" x14ac:dyDescent="0.2"/>
    <row r="268" s="438" customFormat="1" x14ac:dyDescent="0.2"/>
    <row r="269" s="438" customFormat="1" x14ac:dyDescent="0.2"/>
    <row r="270" s="438" customFormat="1" x14ac:dyDescent="0.2"/>
    <row r="271" s="438" customFormat="1" x14ac:dyDescent="0.2"/>
    <row r="272" s="438" customFormat="1" x14ac:dyDescent="0.2"/>
    <row r="273" s="438" customFormat="1" x14ac:dyDescent="0.2"/>
    <row r="274" s="438" customFormat="1" x14ac:dyDescent="0.2"/>
    <row r="275" s="438" customFormat="1" x14ac:dyDescent="0.2"/>
    <row r="276" s="438" customFormat="1" x14ac:dyDescent="0.2"/>
    <row r="277" s="438" customFormat="1" x14ac:dyDescent="0.2"/>
    <row r="278" s="438" customFormat="1" x14ac:dyDescent="0.2"/>
    <row r="279" s="438" customFormat="1" x14ac:dyDescent="0.2"/>
    <row r="280" s="438" customFormat="1" x14ac:dyDescent="0.2"/>
    <row r="281" s="438" customFormat="1" x14ac:dyDescent="0.2"/>
    <row r="282" s="438" customFormat="1" x14ac:dyDescent="0.2"/>
    <row r="283" s="438" customFormat="1" x14ac:dyDescent="0.2"/>
    <row r="284" s="438" customFormat="1" x14ac:dyDescent="0.2"/>
    <row r="285" s="438" customFormat="1" x14ac:dyDescent="0.2"/>
    <row r="286" s="438" customFormat="1" x14ac:dyDescent="0.2"/>
    <row r="287" s="438" customFormat="1" x14ac:dyDescent="0.2"/>
    <row r="288" s="438" customFormat="1" x14ac:dyDescent="0.2"/>
    <row r="289" s="438" customFormat="1" x14ac:dyDescent="0.2"/>
    <row r="290" s="438" customFormat="1" x14ac:dyDescent="0.2"/>
    <row r="291" s="438" customFormat="1" x14ac:dyDescent="0.2"/>
    <row r="292" s="438" customFormat="1" x14ac:dyDescent="0.2"/>
    <row r="293" s="438" customFormat="1" x14ac:dyDescent="0.2"/>
    <row r="294" s="438" customFormat="1" x14ac:dyDescent="0.2"/>
    <row r="295" s="438" customFormat="1" x14ac:dyDescent="0.2"/>
    <row r="296" s="438" customFormat="1" x14ac:dyDescent="0.2"/>
    <row r="297" s="438" customFormat="1" x14ac:dyDescent="0.2"/>
    <row r="298" s="438" customFormat="1" x14ac:dyDescent="0.2"/>
    <row r="299" s="438" customFormat="1" x14ac:dyDescent="0.2"/>
    <row r="300" s="438" customFormat="1" x14ac:dyDescent="0.2"/>
    <row r="301" s="438" customFormat="1" x14ac:dyDescent="0.2"/>
    <row r="302" s="438" customFormat="1" x14ac:dyDescent="0.2"/>
    <row r="303" s="438" customFormat="1" x14ac:dyDescent="0.2"/>
    <row r="304" s="438" customFormat="1" x14ac:dyDescent="0.2"/>
    <row r="305" s="438" customFormat="1" x14ac:dyDescent="0.2"/>
    <row r="306" s="438" customFormat="1" x14ac:dyDescent="0.2"/>
    <row r="307" s="438" customFormat="1" x14ac:dyDescent="0.2"/>
    <row r="308" s="438" customFormat="1" x14ac:dyDescent="0.2"/>
    <row r="309" s="438" customFormat="1" x14ac:dyDescent="0.2"/>
    <row r="310" s="438" customFormat="1" x14ac:dyDescent="0.2"/>
    <row r="311" s="438" customFormat="1" x14ac:dyDescent="0.2"/>
    <row r="312" s="438" customFormat="1" x14ac:dyDescent="0.2"/>
    <row r="313" s="438" customFormat="1" x14ac:dyDescent="0.2"/>
    <row r="314" s="438" customFormat="1" x14ac:dyDescent="0.2"/>
    <row r="315" s="438" customFormat="1" x14ac:dyDescent="0.2"/>
    <row r="316" s="438" customFormat="1" x14ac:dyDescent="0.2"/>
    <row r="317" s="438" customFormat="1" x14ac:dyDescent="0.2"/>
    <row r="318" s="438" customFormat="1" x14ac:dyDescent="0.2"/>
    <row r="319" s="438" customFormat="1" x14ac:dyDescent="0.2"/>
    <row r="320" s="438" customFormat="1" x14ac:dyDescent="0.2"/>
    <row r="321" s="438" customFormat="1" x14ac:dyDescent="0.2"/>
    <row r="322" s="438" customFormat="1" x14ac:dyDescent="0.2"/>
    <row r="323" s="438" customFormat="1" x14ac:dyDescent="0.2"/>
    <row r="324" s="438" customFormat="1" x14ac:dyDescent="0.2"/>
    <row r="325" s="438" customFormat="1" x14ac:dyDescent="0.2"/>
    <row r="326" s="438" customFormat="1" x14ac:dyDescent="0.2"/>
    <row r="327" s="438" customFormat="1" x14ac:dyDescent="0.2"/>
    <row r="328" s="438" customFormat="1" x14ac:dyDescent="0.2"/>
    <row r="329" s="438" customFormat="1" x14ac:dyDescent="0.2"/>
    <row r="330" s="438" customFormat="1" x14ac:dyDescent="0.2"/>
    <row r="331" s="438" customFormat="1" x14ac:dyDescent="0.2"/>
    <row r="332" s="438" customFormat="1" x14ac:dyDescent="0.2"/>
    <row r="333" s="438" customFormat="1" x14ac:dyDescent="0.2"/>
    <row r="334" s="438" customFormat="1" x14ac:dyDescent="0.2"/>
    <row r="335" s="438" customFormat="1" x14ac:dyDescent="0.2"/>
    <row r="336" s="438" customFormat="1" x14ac:dyDescent="0.2"/>
    <row r="337" s="438" customFormat="1" x14ac:dyDescent="0.2"/>
    <row r="338" s="438" customFormat="1" x14ac:dyDescent="0.2"/>
    <row r="339" s="438" customFormat="1" x14ac:dyDescent="0.2"/>
    <row r="340" s="438" customFormat="1" x14ac:dyDescent="0.2"/>
    <row r="341" s="438" customFormat="1" x14ac:dyDescent="0.2"/>
    <row r="342" s="438" customFormat="1" x14ac:dyDescent="0.2"/>
    <row r="343" s="438" customFormat="1" x14ac:dyDescent="0.2"/>
    <row r="344" s="438" customFormat="1" x14ac:dyDescent="0.2"/>
    <row r="345" s="438" customFormat="1" x14ac:dyDescent="0.2"/>
    <row r="346" s="438" customFormat="1" x14ac:dyDescent="0.2"/>
    <row r="347" s="438" customFormat="1" x14ac:dyDescent="0.2"/>
    <row r="348" s="438" customFormat="1" x14ac:dyDescent="0.2"/>
    <row r="349" s="438" customFormat="1" x14ac:dyDescent="0.2"/>
    <row r="350" s="438" customFormat="1" x14ac:dyDescent="0.2"/>
    <row r="351" s="438" customFormat="1" x14ac:dyDescent="0.2"/>
    <row r="352" s="438" customFormat="1" x14ac:dyDescent="0.2"/>
    <row r="353" s="438" customFormat="1" x14ac:dyDescent="0.2"/>
    <row r="354" s="438" customFormat="1" x14ac:dyDescent="0.2"/>
    <row r="355" s="438" customFormat="1" x14ac:dyDescent="0.2"/>
    <row r="356" s="438" customFormat="1" x14ac:dyDescent="0.2"/>
    <row r="357" s="438" customFormat="1" x14ac:dyDescent="0.2"/>
    <row r="358" s="438" customFormat="1" x14ac:dyDescent="0.2"/>
    <row r="359" s="438" customFormat="1" x14ac:dyDescent="0.2"/>
    <row r="360" s="438" customFormat="1" x14ac:dyDescent="0.2"/>
    <row r="361" s="438" customFormat="1" x14ac:dyDescent="0.2"/>
    <row r="362" s="438" customFormat="1" x14ac:dyDescent="0.2"/>
    <row r="363" s="438" customFormat="1" x14ac:dyDescent="0.2"/>
    <row r="364" s="438" customFormat="1" x14ac:dyDescent="0.2"/>
    <row r="365" s="438" customFormat="1" x14ac:dyDescent="0.2"/>
    <row r="366" s="438" customFormat="1" x14ac:dyDescent="0.2"/>
    <row r="367" s="438" customFormat="1" x14ac:dyDescent="0.2"/>
    <row r="368" s="438" customFormat="1" x14ac:dyDescent="0.2"/>
    <row r="369" s="438" customFormat="1" x14ac:dyDescent="0.2"/>
    <row r="370" s="438" customFormat="1" x14ac:dyDescent="0.2"/>
    <row r="371" s="438" customFormat="1" x14ac:dyDescent="0.2"/>
    <row r="372" s="438" customFormat="1" x14ac:dyDescent="0.2"/>
    <row r="373" s="438" customFormat="1" x14ac:dyDescent="0.2"/>
    <row r="374" s="438" customFormat="1" x14ac:dyDescent="0.2"/>
    <row r="375" s="438" customFormat="1" x14ac:dyDescent="0.2"/>
    <row r="376" s="438" customFormat="1" x14ac:dyDescent="0.2"/>
    <row r="377" s="438" customFormat="1" x14ac:dyDescent="0.2"/>
    <row r="378" s="438" customFormat="1" x14ac:dyDescent="0.2"/>
    <row r="379" s="438" customFormat="1" x14ac:dyDescent="0.2"/>
    <row r="380" s="438" customFormat="1" x14ac:dyDescent="0.2"/>
    <row r="381" s="438" customFormat="1" x14ac:dyDescent="0.2"/>
    <row r="382" s="438" customFormat="1" x14ac:dyDescent="0.2"/>
    <row r="383" s="438" customFormat="1" x14ac:dyDescent="0.2"/>
    <row r="384" s="438" customFormat="1" x14ac:dyDescent="0.2"/>
    <row r="385" s="438" customFormat="1" x14ac:dyDescent="0.2"/>
    <row r="386" s="438" customFormat="1" x14ac:dyDescent="0.2"/>
    <row r="387" s="438" customFormat="1" x14ac:dyDescent="0.2"/>
    <row r="388" s="438" customFormat="1" x14ac:dyDescent="0.2"/>
    <row r="389" s="438" customFormat="1" x14ac:dyDescent="0.2"/>
    <row r="390" s="438" customFormat="1" x14ac:dyDescent="0.2"/>
    <row r="391" s="438" customFormat="1" x14ac:dyDescent="0.2"/>
    <row r="392" s="438" customFormat="1" x14ac:dyDescent="0.2"/>
    <row r="393" s="438" customFormat="1" x14ac:dyDescent="0.2"/>
    <row r="394" s="438" customFormat="1" x14ac:dyDescent="0.2"/>
    <row r="395" s="438" customFormat="1" x14ac:dyDescent="0.2"/>
    <row r="396" s="438" customFormat="1" x14ac:dyDescent="0.2"/>
    <row r="397" s="438" customFormat="1" x14ac:dyDescent="0.2"/>
    <row r="398" s="438" customFormat="1" x14ac:dyDescent="0.2"/>
    <row r="399" s="438" customFormat="1" x14ac:dyDescent="0.2"/>
    <row r="400" s="438" customFormat="1" x14ac:dyDescent="0.2"/>
    <row r="401" s="438" customFormat="1" x14ac:dyDescent="0.2"/>
    <row r="402" s="438" customFormat="1" x14ac:dyDescent="0.2"/>
    <row r="403" s="438" customFormat="1" x14ac:dyDescent="0.2"/>
    <row r="404" s="438" customFormat="1" x14ac:dyDescent="0.2"/>
    <row r="405" s="438" customFormat="1" x14ac:dyDescent="0.2"/>
    <row r="406" s="438" customFormat="1" x14ac:dyDescent="0.2"/>
    <row r="407" s="438" customFormat="1" x14ac:dyDescent="0.2"/>
    <row r="408" s="438" customFormat="1" x14ac:dyDescent="0.2"/>
    <row r="409" s="438" customFormat="1" x14ac:dyDescent="0.2"/>
    <row r="410" s="438" customFormat="1" x14ac:dyDescent="0.2"/>
    <row r="411" s="438" customFormat="1" x14ac:dyDescent="0.2"/>
    <row r="412" s="438" customFormat="1" x14ac:dyDescent="0.2"/>
    <row r="413" s="438" customFormat="1" x14ac:dyDescent="0.2"/>
    <row r="414" s="438" customFormat="1" x14ac:dyDescent="0.2"/>
    <row r="415" s="438" customFormat="1" x14ac:dyDescent="0.2"/>
    <row r="416" s="438" customFormat="1" x14ac:dyDescent="0.2"/>
    <row r="417" s="438" customFormat="1" x14ac:dyDescent="0.2"/>
    <row r="418" s="438" customFormat="1" x14ac:dyDescent="0.2"/>
    <row r="419" s="438" customFormat="1" x14ac:dyDescent="0.2"/>
    <row r="420" s="438" customFormat="1" x14ac:dyDescent="0.2"/>
    <row r="421" s="438" customFormat="1" x14ac:dyDescent="0.2"/>
    <row r="422" s="438" customFormat="1" x14ac:dyDescent="0.2"/>
    <row r="423" s="438" customFormat="1" x14ac:dyDescent="0.2"/>
    <row r="424" s="438" customFormat="1" x14ac:dyDescent="0.2"/>
    <row r="425" s="438" customFormat="1" x14ac:dyDescent="0.2"/>
    <row r="426" s="438" customFormat="1" x14ac:dyDescent="0.2"/>
    <row r="427" s="438" customFormat="1" x14ac:dyDescent="0.2"/>
    <row r="428" s="438" customFormat="1" x14ac:dyDescent="0.2"/>
    <row r="429" s="438" customFormat="1" x14ac:dyDescent="0.2"/>
    <row r="430" s="438" customFormat="1" x14ac:dyDescent="0.2"/>
    <row r="431" s="438" customFormat="1" x14ac:dyDescent="0.2"/>
    <row r="432" s="438" customFormat="1" x14ac:dyDescent="0.2"/>
    <row r="433" s="438" customFormat="1" x14ac:dyDescent="0.2"/>
    <row r="434" s="438" customFormat="1" x14ac:dyDescent="0.2"/>
    <row r="435" s="438" customFormat="1" x14ac:dyDescent="0.2"/>
    <row r="436" s="438" customFormat="1" x14ac:dyDescent="0.2"/>
    <row r="437" s="438" customFormat="1" x14ac:dyDescent="0.2"/>
    <row r="438" s="438" customFormat="1" x14ac:dyDescent="0.2"/>
    <row r="439" s="438" customFormat="1" x14ac:dyDescent="0.2"/>
    <row r="440" s="438" customFormat="1" x14ac:dyDescent="0.2"/>
    <row r="441" s="438" customFormat="1" x14ac:dyDescent="0.2"/>
    <row r="442" s="438" customFormat="1" x14ac:dyDescent="0.2"/>
    <row r="443" s="438" customFormat="1" x14ac:dyDescent="0.2"/>
    <row r="444" s="438" customFormat="1" x14ac:dyDescent="0.2"/>
    <row r="445" s="438" customFormat="1" x14ac:dyDescent="0.2"/>
    <row r="446" s="438" customFormat="1" x14ac:dyDescent="0.2"/>
    <row r="447" s="438" customFormat="1" x14ac:dyDescent="0.2"/>
    <row r="448" s="438" customFormat="1" x14ac:dyDescent="0.2"/>
    <row r="449" s="438" customFormat="1" x14ac:dyDescent="0.2"/>
    <row r="450" s="438" customFormat="1" x14ac:dyDescent="0.2"/>
    <row r="451" s="438" customFormat="1" x14ac:dyDescent="0.2"/>
    <row r="452" s="438" customFormat="1" x14ac:dyDescent="0.2"/>
    <row r="453" s="438" customFormat="1" x14ac:dyDescent="0.2"/>
    <row r="454" s="438" customFormat="1" x14ac:dyDescent="0.2"/>
    <row r="455" s="438" customFormat="1" x14ac:dyDescent="0.2"/>
    <row r="456" s="438" customFormat="1" x14ac:dyDescent="0.2"/>
    <row r="457" s="438" customFormat="1" x14ac:dyDescent="0.2"/>
    <row r="458" s="438" customFormat="1" x14ac:dyDescent="0.2"/>
    <row r="459" s="438" customFormat="1" x14ac:dyDescent="0.2"/>
    <row r="460" s="438" customFormat="1" x14ac:dyDescent="0.2"/>
    <row r="461" s="438" customFormat="1" x14ac:dyDescent="0.2"/>
    <row r="462" s="438" customFormat="1" x14ac:dyDescent="0.2"/>
    <row r="463" s="438" customFormat="1" x14ac:dyDescent="0.2"/>
    <row r="464" s="438" customFormat="1" x14ac:dyDescent="0.2"/>
    <row r="465" s="438" customFormat="1" x14ac:dyDescent="0.2"/>
    <row r="466" s="438" customFormat="1" x14ac:dyDescent="0.2"/>
    <row r="467" s="438" customFormat="1" x14ac:dyDescent="0.2"/>
    <row r="468" s="438" customFormat="1" x14ac:dyDescent="0.2"/>
    <row r="469" s="438" customFormat="1" x14ac:dyDescent="0.2"/>
    <row r="470" s="438" customFormat="1" x14ac:dyDescent="0.2"/>
    <row r="471" s="438" customFormat="1" x14ac:dyDescent="0.2"/>
    <row r="472" s="438" customFormat="1" x14ac:dyDescent="0.2"/>
    <row r="473" s="438" customFormat="1" x14ac:dyDescent="0.2"/>
    <row r="474" s="438" customFormat="1" x14ac:dyDescent="0.2"/>
    <row r="475" s="438" customFormat="1" x14ac:dyDescent="0.2"/>
    <row r="476" s="438" customFormat="1" x14ac:dyDescent="0.2"/>
    <row r="477" s="438" customFormat="1" x14ac:dyDescent="0.2"/>
    <row r="478" s="438" customFormat="1" x14ac:dyDescent="0.2"/>
    <row r="479" s="438" customFormat="1" x14ac:dyDescent="0.2"/>
    <row r="480" s="438" customFormat="1" x14ac:dyDescent="0.2"/>
    <row r="481" s="438" customFormat="1" x14ac:dyDescent="0.2"/>
    <row r="482" s="438" customFormat="1" x14ac:dyDescent="0.2"/>
    <row r="483" s="438" customFormat="1" x14ac:dyDescent="0.2"/>
    <row r="484" s="438" customFormat="1" x14ac:dyDescent="0.2"/>
    <row r="485" s="438" customFormat="1" x14ac:dyDescent="0.2"/>
    <row r="486" s="438" customFormat="1" x14ac:dyDescent="0.2"/>
    <row r="487" s="438" customFormat="1" x14ac:dyDescent="0.2"/>
    <row r="488" s="438" customFormat="1" x14ac:dyDescent="0.2"/>
    <row r="489" s="438" customFormat="1" x14ac:dyDescent="0.2"/>
    <row r="490" s="438" customFormat="1" x14ac:dyDescent="0.2"/>
    <row r="491" s="438" customFormat="1" x14ac:dyDescent="0.2"/>
    <row r="492" s="438" customFormat="1" x14ac:dyDescent="0.2"/>
    <row r="493" s="438" customFormat="1" x14ac:dyDescent="0.2"/>
    <row r="494" s="438" customFormat="1" x14ac:dyDescent="0.2"/>
    <row r="495" s="438" customFormat="1" x14ac:dyDescent="0.2"/>
    <row r="496" s="438" customFormat="1" x14ac:dyDescent="0.2"/>
    <row r="497" s="438" customFormat="1" x14ac:dyDescent="0.2"/>
    <row r="498" s="438" customFormat="1" x14ac:dyDescent="0.2"/>
    <row r="499" s="438" customFormat="1" x14ac:dyDescent="0.2"/>
    <row r="500" s="438" customFormat="1" x14ac:dyDescent="0.2"/>
    <row r="501" s="438" customFormat="1" x14ac:dyDescent="0.2"/>
    <row r="502" s="438" customFormat="1" x14ac:dyDescent="0.2"/>
    <row r="503" s="438" customFormat="1" x14ac:dyDescent="0.2"/>
    <row r="504" s="438" customFormat="1" x14ac:dyDescent="0.2"/>
    <row r="505" s="438" customFormat="1" x14ac:dyDescent="0.2"/>
    <row r="506" s="438" customFormat="1" x14ac:dyDescent="0.2"/>
    <row r="507" s="438" customFormat="1" x14ac:dyDescent="0.2"/>
    <row r="508" s="438" customFormat="1" x14ac:dyDescent="0.2"/>
    <row r="509" s="438" customFormat="1" x14ac:dyDescent="0.2"/>
    <row r="510" s="438" customFormat="1" x14ac:dyDescent="0.2"/>
    <row r="511" s="438" customFormat="1" x14ac:dyDescent="0.2"/>
    <row r="512" s="438" customFormat="1" x14ac:dyDescent="0.2"/>
    <row r="513" s="438" customFormat="1" x14ac:dyDescent="0.2"/>
    <row r="514" s="438" customFormat="1" x14ac:dyDescent="0.2"/>
    <row r="515" s="438" customFormat="1" x14ac:dyDescent="0.2"/>
    <row r="516" s="438" customFormat="1" x14ac:dyDescent="0.2"/>
    <row r="517" s="438" customFormat="1" x14ac:dyDescent="0.2"/>
    <row r="518" s="438" customFormat="1" x14ac:dyDescent="0.2"/>
    <row r="519" s="438" customFormat="1" x14ac:dyDescent="0.2"/>
    <row r="520" s="438" customFormat="1" x14ac:dyDescent="0.2"/>
    <row r="521" s="438" customFormat="1" x14ac:dyDescent="0.2"/>
    <row r="522" s="438" customFormat="1" x14ac:dyDescent="0.2"/>
    <row r="523" s="438" customFormat="1" x14ac:dyDescent="0.2"/>
    <row r="524" s="438" customFormat="1" x14ac:dyDescent="0.2"/>
    <row r="525" s="438" customFormat="1" x14ac:dyDescent="0.2"/>
    <row r="526" s="438" customFormat="1" x14ac:dyDescent="0.2"/>
    <row r="527" s="438" customFormat="1" x14ac:dyDescent="0.2"/>
    <row r="528" s="438" customFormat="1" x14ac:dyDescent="0.2"/>
    <row r="529" s="438" customFormat="1" x14ac:dyDescent="0.2"/>
    <row r="530" s="438" customFormat="1" x14ac:dyDescent="0.2"/>
    <row r="531" s="438" customFormat="1" x14ac:dyDescent="0.2"/>
    <row r="532" s="438" customFormat="1" x14ac:dyDescent="0.2"/>
    <row r="533" s="438" customFormat="1" x14ac:dyDescent="0.2"/>
    <row r="534" s="438" customFormat="1" x14ac:dyDescent="0.2"/>
    <row r="535" s="438" customFormat="1" x14ac:dyDescent="0.2"/>
    <row r="536" s="438" customFormat="1" x14ac:dyDescent="0.2"/>
    <row r="537" s="438" customFormat="1" x14ac:dyDescent="0.2"/>
    <row r="538" s="438" customFormat="1" x14ac:dyDescent="0.2"/>
    <row r="539" s="438" customFormat="1" x14ac:dyDescent="0.2"/>
    <row r="540" s="438" customFormat="1" x14ac:dyDescent="0.2"/>
    <row r="541" s="438" customFormat="1" x14ac:dyDescent="0.2"/>
    <row r="542" s="438" customFormat="1" x14ac:dyDescent="0.2"/>
    <row r="543" s="438" customFormat="1" x14ac:dyDescent="0.2"/>
    <row r="544" s="438" customFormat="1" x14ac:dyDescent="0.2"/>
    <row r="545" s="438" customFormat="1" x14ac:dyDescent="0.2"/>
    <row r="546" s="438" customFormat="1" x14ac:dyDescent="0.2"/>
    <row r="547" s="438" customFormat="1" x14ac:dyDescent="0.2"/>
    <row r="548" s="438" customFormat="1" x14ac:dyDescent="0.2"/>
    <row r="549" s="438" customFormat="1" x14ac:dyDescent="0.2"/>
    <row r="550" s="438" customFormat="1" x14ac:dyDescent="0.2"/>
    <row r="551" s="438" customFormat="1" x14ac:dyDescent="0.2"/>
    <row r="552" s="438" customFormat="1" x14ac:dyDescent="0.2"/>
    <row r="553" s="438" customFormat="1" x14ac:dyDescent="0.2"/>
    <row r="554" s="438" customFormat="1" x14ac:dyDescent="0.2"/>
    <row r="555" s="438" customFormat="1" x14ac:dyDescent="0.2"/>
    <row r="556" s="438" customFormat="1" x14ac:dyDescent="0.2"/>
    <row r="557" s="438" customFormat="1" x14ac:dyDescent="0.2"/>
    <row r="558" s="438" customFormat="1" x14ac:dyDescent="0.2"/>
    <row r="559" s="438" customFormat="1" x14ac:dyDescent="0.2"/>
    <row r="560" s="438" customFormat="1" x14ac:dyDescent="0.2"/>
    <row r="561" s="438" customFormat="1" x14ac:dyDescent="0.2"/>
    <row r="562" s="438" customFormat="1" x14ac:dyDescent="0.2"/>
    <row r="563" s="438" customFormat="1" x14ac:dyDescent="0.2"/>
    <row r="564" s="438" customFormat="1" x14ac:dyDescent="0.2"/>
    <row r="565" s="438" customFormat="1" x14ac:dyDescent="0.2"/>
    <row r="566" s="438" customFormat="1" x14ac:dyDescent="0.2"/>
    <row r="567" s="438" customFormat="1" x14ac:dyDescent="0.2"/>
    <row r="568" s="438" customFormat="1" x14ac:dyDescent="0.2"/>
    <row r="569" s="438" customFormat="1" x14ac:dyDescent="0.2"/>
    <row r="570" s="438" customFormat="1" x14ac:dyDescent="0.2"/>
    <row r="571" s="438" customFormat="1" x14ac:dyDescent="0.2"/>
    <row r="572" s="438" customFormat="1" x14ac:dyDescent="0.2"/>
    <row r="573" s="438" customFormat="1" x14ac:dyDescent="0.2"/>
    <row r="574" s="438" customFormat="1" x14ac:dyDescent="0.2"/>
    <row r="575" s="438" customFormat="1" x14ac:dyDescent="0.2"/>
    <row r="576" s="438" customFormat="1" x14ac:dyDescent="0.2"/>
    <row r="577" s="438" customFormat="1" x14ac:dyDescent="0.2"/>
    <row r="578" s="438" customFormat="1" x14ac:dyDescent="0.2"/>
    <row r="579" s="438" customFormat="1" x14ac:dyDescent="0.2"/>
    <row r="580" s="438" customFormat="1" x14ac:dyDescent="0.2"/>
    <row r="581" s="438" customFormat="1" x14ac:dyDescent="0.2"/>
    <row r="582" s="438" customFormat="1" x14ac:dyDescent="0.2"/>
    <row r="583" s="438" customFormat="1" x14ac:dyDescent="0.2"/>
    <row r="584" s="438" customFormat="1" x14ac:dyDescent="0.2"/>
    <row r="585" s="438" customFormat="1" x14ac:dyDescent="0.2"/>
    <row r="586" s="438" customFormat="1" x14ac:dyDescent="0.2"/>
    <row r="587" s="438" customFormat="1" x14ac:dyDescent="0.2"/>
    <row r="588" s="438" customFormat="1" x14ac:dyDescent="0.2"/>
    <row r="589" s="438" customFormat="1" x14ac:dyDescent="0.2"/>
    <row r="590" s="438" customFormat="1" x14ac:dyDescent="0.2"/>
    <row r="591" s="438" customFormat="1" x14ac:dyDescent="0.2"/>
    <row r="592" s="438" customFormat="1" x14ac:dyDescent="0.2"/>
    <row r="593" s="438" customFormat="1" x14ac:dyDescent="0.2"/>
    <row r="594" s="438" customFormat="1" x14ac:dyDescent="0.2"/>
    <row r="595" s="438" customFormat="1" x14ac:dyDescent="0.2"/>
    <row r="596" s="438" customFormat="1" x14ac:dyDescent="0.2"/>
    <row r="597" s="438" customFormat="1" x14ac:dyDescent="0.2"/>
    <row r="598" s="438" customFormat="1" x14ac:dyDescent="0.2"/>
    <row r="599" s="438" customFormat="1" x14ac:dyDescent="0.2"/>
    <row r="600" s="438" customFormat="1" x14ac:dyDescent="0.2"/>
    <row r="601" s="438" customFormat="1" x14ac:dyDescent="0.2"/>
    <row r="602" s="438" customFormat="1" x14ac:dyDescent="0.2"/>
    <row r="603" s="438" customFormat="1" x14ac:dyDescent="0.2"/>
    <row r="604" s="438" customFormat="1" x14ac:dyDescent="0.2"/>
    <row r="605" s="438" customFormat="1" x14ac:dyDescent="0.2"/>
    <row r="606" s="438" customFormat="1" x14ac:dyDescent="0.2"/>
    <row r="607" s="438" customFormat="1" x14ac:dyDescent="0.2"/>
    <row r="608" s="438" customFormat="1" x14ac:dyDescent="0.2"/>
    <row r="609" s="438" customFormat="1" x14ac:dyDescent="0.2"/>
    <row r="610" s="438" customFormat="1" x14ac:dyDescent="0.2"/>
    <row r="611" s="438" customFormat="1" x14ac:dyDescent="0.2"/>
    <row r="612" s="438" customFormat="1" x14ac:dyDescent="0.2"/>
    <row r="613" s="438" customFormat="1" x14ac:dyDescent="0.2"/>
    <row r="614" s="438" customFormat="1" x14ac:dyDescent="0.2"/>
    <row r="615" s="438" customFormat="1" x14ac:dyDescent="0.2"/>
    <row r="616" s="438" customFormat="1" x14ac:dyDescent="0.2"/>
    <row r="617" s="438" customFormat="1" x14ac:dyDescent="0.2"/>
    <row r="618" s="438" customFormat="1" x14ac:dyDescent="0.2"/>
    <row r="619" s="438" customFormat="1" x14ac:dyDescent="0.2"/>
    <row r="620" s="438" customFormat="1" x14ac:dyDescent="0.2"/>
    <row r="621" s="438" customFormat="1" x14ac:dyDescent="0.2"/>
    <row r="622" s="438" customFormat="1" x14ac:dyDescent="0.2"/>
    <row r="623" s="438" customFormat="1" x14ac:dyDescent="0.2"/>
    <row r="624" s="438" customFormat="1" x14ac:dyDescent="0.2"/>
    <row r="625" s="438" customFormat="1" x14ac:dyDescent="0.2"/>
    <row r="626" s="438" customFormat="1" x14ac:dyDescent="0.2"/>
    <row r="627" s="438" customFormat="1" x14ac:dyDescent="0.2"/>
    <row r="628" s="438" customFormat="1" x14ac:dyDescent="0.2"/>
    <row r="629" s="438" customFormat="1" x14ac:dyDescent="0.2"/>
    <row r="630" s="438" customFormat="1" x14ac:dyDescent="0.2"/>
    <row r="631" s="438" customFormat="1" x14ac:dyDescent="0.2"/>
    <row r="632" s="438" customFormat="1" x14ac:dyDescent="0.2"/>
    <row r="633" s="438" customFormat="1" x14ac:dyDescent="0.2"/>
    <row r="634" s="438" customFormat="1" x14ac:dyDescent="0.2"/>
    <row r="635" s="438" customFormat="1" x14ac:dyDescent="0.2"/>
    <row r="636" s="438" customFormat="1" x14ac:dyDescent="0.2"/>
    <row r="637" s="438" customFormat="1" x14ac:dyDescent="0.2"/>
    <row r="638" s="438" customFormat="1" x14ac:dyDescent="0.2"/>
    <row r="639" s="438" customFormat="1" x14ac:dyDescent="0.2"/>
    <row r="640" s="438" customFormat="1" x14ac:dyDescent="0.2"/>
    <row r="641" s="438" customFormat="1" x14ac:dyDescent="0.2"/>
    <row r="642" s="438" customFormat="1" x14ac:dyDescent="0.2"/>
    <row r="643" s="438" customFormat="1" x14ac:dyDescent="0.2"/>
    <row r="644" s="438" customFormat="1" x14ac:dyDescent="0.2"/>
    <row r="645" s="438" customFormat="1" x14ac:dyDescent="0.2"/>
    <row r="646" s="438" customFormat="1" x14ac:dyDescent="0.2"/>
    <row r="647" s="438" customFormat="1" x14ac:dyDescent="0.2"/>
    <row r="648" s="438" customFormat="1" x14ac:dyDescent="0.2"/>
    <row r="649" s="438" customFormat="1" x14ac:dyDescent="0.2"/>
    <row r="650" s="438" customFormat="1" x14ac:dyDescent="0.2"/>
    <row r="651" s="438" customFormat="1" x14ac:dyDescent="0.2"/>
    <row r="652" s="438" customFormat="1" x14ac:dyDescent="0.2"/>
    <row r="653" s="438" customFormat="1" x14ac:dyDescent="0.2"/>
    <row r="654" s="438" customFormat="1" x14ac:dyDescent="0.2"/>
    <row r="655" s="438" customFormat="1" x14ac:dyDescent="0.2"/>
    <row r="656" s="438" customFormat="1" x14ac:dyDescent="0.2"/>
    <row r="657" s="438" customFormat="1" x14ac:dyDescent="0.2"/>
    <row r="658" s="438" customFormat="1" x14ac:dyDescent="0.2"/>
    <row r="659" s="438" customFormat="1" x14ac:dyDescent="0.2"/>
    <row r="660" s="438" customFormat="1" x14ac:dyDescent="0.2"/>
    <row r="661" s="438" customFormat="1" x14ac:dyDescent="0.2"/>
    <row r="662" s="438" customFormat="1" x14ac:dyDescent="0.2"/>
    <row r="663" s="438" customFormat="1" x14ac:dyDescent="0.2"/>
    <row r="664" s="438" customFormat="1" x14ac:dyDescent="0.2"/>
    <row r="665" s="438" customFormat="1" x14ac:dyDescent="0.2"/>
    <row r="666" s="438" customFormat="1" x14ac:dyDescent="0.2"/>
    <row r="667" s="438" customFormat="1" x14ac:dyDescent="0.2"/>
    <row r="668" s="438" customFormat="1" x14ac:dyDescent="0.2"/>
    <row r="669" s="438" customFormat="1" x14ac:dyDescent="0.2"/>
    <row r="670" s="438" customFormat="1" x14ac:dyDescent="0.2"/>
    <row r="671" s="438" customFormat="1" x14ac:dyDescent="0.2"/>
    <row r="672" s="438" customFormat="1" x14ac:dyDescent="0.2"/>
    <row r="673" s="438" customFormat="1" x14ac:dyDescent="0.2"/>
    <row r="674" s="438" customFormat="1" x14ac:dyDescent="0.2"/>
    <row r="675" s="438" customFormat="1" x14ac:dyDescent="0.2"/>
    <row r="676" s="438" customFormat="1" x14ac:dyDescent="0.2"/>
    <row r="677" s="438" customFormat="1" x14ac:dyDescent="0.2"/>
    <row r="678" s="438" customFormat="1" x14ac:dyDescent="0.2"/>
    <row r="679" s="438" customFormat="1" x14ac:dyDescent="0.2"/>
    <row r="680" s="438" customFormat="1" x14ac:dyDescent="0.2"/>
    <row r="681" s="438" customFormat="1" x14ac:dyDescent="0.2"/>
    <row r="682" s="438" customFormat="1" x14ac:dyDescent="0.2"/>
    <row r="683" s="438" customFormat="1" x14ac:dyDescent="0.2"/>
    <row r="684" s="438" customFormat="1" x14ac:dyDescent="0.2"/>
    <row r="685" s="438" customFormat="1" x14ac:dyDescent="0.2"/>
    <row r="686" s="438" customFormat="1" x14ac:dyDescent="0.2"/>
    <row r="687" s="438" customFormat="1" x14ac:dyDescent="0.2"/>
    <row r="688" s="438" customFormat="1" x14ac:dyDescent="0.2"/>
    <row r="689" s="438" customFormat="1" x14ac:dyDescent="0.2"/>
    <row r="690" s="438" customFormat="1" x14ac:dyDescent="0.2"/>
    <row r="691" s="438" customFormat="1" x14ac:dyDescent="0.2"/>
    <row r="692" s="438" customFormat="1" x14ac:dyDescent="0.2"/>
    <row r="693" s="438" customFormat="1" x14ac:dyDescent="0.2"/>
    <row r="694" s="438" customFormat="1" x14ac:dyDescent="0.2"/>
    <row r="695" s="438" customFormat="1" x14ac:dyDescent="0.2"/>
    <row r="696" s="438" customFormat="1" x14ac:dyDescent="0.2"/>
    <row r="697" s="438" customFormat="1" x14ac:dyDescent="0.2"/>
    <row r="698" s="438" customFormat="1" x14ac:dyDescent="0.2"/>
    <row r="699" s="438" customFormat="1" x14ac:dyDescent="0.2"/>
    <row r="700" s="438" customFormat="1" x14ac:dyDescent="0.2"/>
    <row r="701" s="438" customFormat="1" x14ac:dyDescent="0.2"/>
    <row r="702" s="438" customFormat="1" x14ac:dyDescent="0.2"/>
    <row r="703" s="438" customFormat="1" x14ac:dyDescent="0.2"/>
    <row r="704" s="438" customFormat="1" x14ac:dyDescent="0.2"/>
    <row r="705" s="438" customFormat="1" x14ac:dyDescent="0.2"/>
    <row r="706" s="438" customFormat="1" x14ac:dyDescent="0.2"/>
    <row r="707" s="438" customFormat="1" x14ac:dyDescent="0.2"/>
    <row r="708" s="438" customFormat="1" x14ac:dyDescent="0.2"/>
    <row r="709" s="438" customFormat="1" x14ac:dyDescent="0.2"/>
    <row r="710" s="438" customFormat="1" x14ac:dyDescent="0.2"/>
    <row r="711" s="438" customFormat="1" x14ac:dyDescent="0.2"/>
    <row r="712" s="438" customFormat="1" x14ac:dyDescent="0.2"/>
    <row r="713" s="438" customFormat="1" x14ac:dyDescent="0.2"/>
    <row r="714" s="438" customFormat="1" x14ac:dyDescent="0.2"/>
    <row r="715" s="438" customFormat="1" x14ac:dyDescent="0.2"/>
    <row r="716" s="438" customFormat="1" x14ac:dyDescent="0.2"/>
    <row r="717" s="438" customFormat="1" x14ac:dyDescent="0.2"/>
    <row r="718" s="438" customFormat="1" x14ac:dyDescent="0.2"/>
    <row r="719" s="438" customFormat="1" x14ac:dyDescent="0.2"/>
    <row r="720" s="438" customFormat="1" x14ac:dyDescent="0.2"/>
    <row r="721" s="438" customFormat="1" x14ac:dyDescent="0.2"/>
    <row r="722" s="438" customFormat="1" x14ac:dyDescent="0.2"/>
    <row r="723" s="438" customFormat="1" x14ac:dyDescent="0.2"/>
    <row r="724" s="438" customFormat="1" x14ac:dyDescent="0.2"/>
    <row r="725" s="438" customFormat="1" x14ac:dyDescent="0.2"/>
    <row r="726" s="438" customFormat="1" x14ac:dyDescent="0.2"/>
    <row r="727" s="438" customFormat="1" x14ac:dyDescent="0.2"/>
    <row r="728" s="438" customFormat="1" x14ac:dyDescent="0.2"/>
    <row r="729" s="438" customFormat="1" x14ac:dyDescent="0.2"/>
    <row r="730" s="438" customFormat="1" x14ac:dyDescent="0.2"/>
    <row r="731" s="438" customFormat="1" x14ac:dyDescent="0.2"/>
    <row r="732" s="438" customFormat="1" x14ac:dyDescent="0.2"/>
    <row r="733" s="438" customFormat="1" x14ac:dyDescent="0.2"/>
    <row r="734" s="438" customFormat="1" x14ac:dyDescent="0.2"/>
    <row r="735" s="438" customFormat="1" x14ac:dyDescent="0.2"/>
    <row r="736" s="438" customFormat="1" x14ac:dyDescent="0.2"/>
    <row r="737" s="438" customFormat="1" x14ac:dyDescent="0.2"/>
    <row r="738" s="438" customFormat="1" x14ac:dyDescent="0.2"/>
    <row r="739" s="438" customFormat="1" x14ac:dyDescent="0.2"/>
    <row r="740" s="438" customFormat="1" x14ac:dyDescent="0.2"/>
    <row r="741" s="438" customFormat="1" x14ac:dyDescent="0.2"/>
    <row r="742" s="438" customFormat="1" x14ac:dyDescent="0.2"/>
    <row r="743" s="438" customFormat="1" x14ac:dyDescent="0.2"/>
    <row r="744" s="438" customFormat="1" x14ac:dyDescent="0.2"/>
    <row r="745" s="438" customFormat="1" x14ac:dyDescent="0.2"/>
    <row r="746" s="438" customFormat="1" x14ac:dyDescent="0.2"/>
    <row r="747" s="438" customFormat="1" x14ac:dyDescent="0.2"/>
    <row r="748" s="438" customFormat="1" x14ac:dyDescent="0.2"/>
    <row r="749" s="438" customFormat="1" x14ac:dyDescent="0.2"/>
    <row r="750" s="438" customFormat="1" x14ac:dyDescent="0.2"/>
    <row r="751" s="438" customFormat="1" x14ac:dyDescent="0.2"/>
    <row r="752" s="438" customFormat="1" x14ac:dyDescent="0.2"/>
    <row r="753" s="438" customFormat="1" x14ac:dyDescent="0.2"/>
    <row r="754" s="438" customFormat="1" x14ac:dyDescent="0.2"/>
    <row r="755" s="438" customFormat="1" x14ac:dyDescent="0.2"/>
    <row r="756" s="438" customFormat="1" x14ac:dyDescent="0.2"/>
    <row r="757" s="438" customFormat="1" x14ac:dyDescent="0.2"/>
    <row r="758" s="438" customFormat="1" x14ac:dyDescent="0.2"/>
    <row r="759" s="438" customFormat="1" x14ac:dyDescent="0.2"/>
    <row r="760" s="438" customFormat="1" x14ac:dyDescent="0.2"/>
    <row r="761" s="438" customFormat="1" x14ac:dyDescent="0.2"/>
    <row r="762" s="438" customFormat="1" x14ac:dyDescent="0.2"/>
    <row r="763" s="438" customFormat="1" x14ac:dyDescent="0.2"/>
    <row r="764" s="438" customFormat="1" x14ac:dyDescent="0.2"/>
    <row r="765" s="438" customFormat="1" x14ac:dyDescent="0.2"/>
    <row r="766" s="438" customFormat="1" x14ac:dyDescent="0.2"/>
    <row r="767" s="438" customFormat="1" x14ac:dyDescent="0.2"/>
    <row r="768" s="438" customFormat="1" x14ac:dyDescent="0.2"/>
    <row r="769" s="438" customFormat="1" x14ac:dyDescent="0.2"/>
    <row r="770" s="438" customFormat="1" x14ac:dyDescent="0.2"/>
    <row r="771" s="438" customFormat="1" x14ac:dyDescent="0.2"/>
    <row r="772" s="438" customFormat="1" x14ac:dyDescent="0.2"/>
    <row r="773" s="438" customFormat="1" x14ac:dyDescent="0.2"/>
    <row r="774" s="438" customFormat="1" x14ac:dyDescent="0.2"/>
    <row r="775" s="438" customFormat="1" x14ac:dyDescent="0.2"/>
    <row r="776" s="438" customFormat="1" x14ac:dyDescent="0.2"/>
    <row r="777" s="438" customFormat="1" x14ac:dyDescent="0.2"/>
    <row r="778" s="438" customFormat="1" x14ac:dyDescent="0.2"/>
    <row r="779" s="438" customFormat="1" x14ac:dyDescent="0.2"/>
    <row r="780" s="438" customFormat="1" x14ac:dyDescent="0.2"/>
    <row r="781" s="438" customFormat="1" x14ac:dyDescent="0.2"/>
    <row r="782" s="438" customFormat="1" x14ac:dyDescent="0.2"/>
    <row r="783" s="438" customFormat="1" x14ac:dyDescent="0.2"/>
    <row r="784" s="438" customFormat="1" x14ac:dyDescent="0.2"/>
    <row r="785" s="438" customFormat="1" x14ac:dyDescent="0.2"/>
    <row r="786" s="438" customFormat="1" x14ac:dyDescent="0.2"/>
    <row r="787" s="438" customFormat="1" x14ac:dyDescent="0.2"/>
    <row r="788" s="438" customFormat="1" x14ac:dyDescent="0.2"/>
    <row r="789" s="438" customFormat="1" x14ac:dyDescent="0.2"/>
    <row r="790" s="438" customFormat="1" x14ac:dyDescent="0.2"/>
    <row r="791" s="438" customFormat="1" x14ac:dyDescent="0.2"/>
    <row r="792" s="438" customFormat="1" x14ac:dyDescent="0.2"/>
    <row r="793" s="438" customFormat="1" x14ac:dyDescent="0.2"/>
    <row r="794" s="438" customFormat="1" x14ac:dyDescent="0.2"/>
    <row r="795" s="438" customFormat="1" x14ac:dyDescent="0.2"/>
    <row r="796" s="438" customFormat="1" x14ac:dyDescent="0.2"/>
    <row r="797" s="438" customFormat="1" x14ac:dyDescent="0.2"/>
    <row r="798" s="438" customFormat="1" x14ac:dyDescent="0.2"/>
    <row r="799" s="438" customFormat="1" x14ac:dyDescent="0.2"/>
    <row r="800" s="438" customFormat="1" x14ac:dyDescent="0.2"/>
    <row r="801" s="438" customFormat="1" x14ac:dyDescent="0.2"/>
    <row r="802" s="438" customFormat="1" x14ac:dyDescent="0.2"/>
    <row r="803" s="438" customFormat="1" x14ac:dyDescent="0.2"/>
    <row r="804" s="438" customFormat="1" x14ac:dyDescent="0.2"/>
    <row r="805" s="438" customFormat="1" x14ac:dyDescent="0.2"/>
    <row r="806" s="438" customFormat="1" x14ac:dyDescent="0.2"/>
    <row r="807" s="438" customFormat="1" x14ac:dyDescent="0.2"/>
    <row r="808" s="438" customFormat="1" x14ac:dyDescent="0.2"/>
    <row r="809" s="438" customFormat="1" x14ac:dyDescent="0.2"/>
    <row r="810" s="438" customFormat="1" x14ac:dyDescent="0.2"/>
    <row r="811" s="438" customFormat="1" x14ac:dyDescent="0.2"/>
    <row r="812" s="438" customFormat="1" x14ac:dyDescent="0.2"/>
    <row r="813" s="438" customFormat="1" x14ac:dyDescent="0.2"/>
    <row r="814" s="438" customFormat="1" x14ac:dyDescent="0.2"/>
    <row r="815" s="438" customFormat="1" x14ac:dyDescent="0.2"/>
    <row r="816" s="438" customFormat="1" x14ac:dyDescent="0.2"/>
    <row r="817" s="438" customFormat="1" x14ac:dyDescent="0.2"/>
    <row r="818" s="438" customFormat="1" x14ac:dyDescent="0.2"/>
    <row r="819" s="438" customFormat="1" x14ac:dyDescent="0.2"/>
    <row r="820" s="438" customFormat="1" x14ac:dyDescent="0.2"/>
    <row r="821" s="438" customFormat="1" x14ac:dyDescent="0.2"/>
    <row r="822" s="438" customFormat="1" x14ac:dyDescent="0.2"/>
    <row r="823" s="438" customFormat="1" x14ac:dyDescent="0.2"/>
    <row r="824" s="438" customFormat="1" x14ac:dyDescent="0.2"/>
    <row r="825" s="438" customFormat="1" x14ac:dyDescent="0.2"/>
    <row r="826" s="438" customFormat="1" x14ac:dyDescent="0.2"/>
    <row r="827" s="438" customFormat="1" x14ac:dyDescent="0.2"/>
    <row r="828" s="438" customFormat="1" x14ac:dyDescent="0.2"/>
    <row r="829" s="438" customFormat="1" x14ac:dyDescent="0.2"/>
    <row r="830" s="438" customFormat="1" x14ac:dyDescent="0.2"/>
    <row r="831" s="438" customFormat="1" x14ac:dyDescent="0.2"/>
    <row r="832" s="438" customFormat="1" x14ac:dyDescent="0.2"/>
    <row r="833" s="438" customFormat="1" x14ac:dyDescent="0.2"/>
    <row r="834" s="438" customFormat="1" x14ac:dyDescent="0.2"/>
    <row r="835" s="438" customFormat="1" x14ac:dyDescent="0.2"/>
    <row r="836" s="438" customFormat="1" x14ac:dyDescent="0.2"/>
    <row r="837" s="438" customFormat="1" x14ac:dyDescent="0.2"/>
    <row r="838" s="438" customFormat="1" x14ac:dyDescent="0.2"/>
    <row r="839" s="438" customFormat="1" x14ac:dyDescent="0.2"/>
    <row r="840" s="438" customFormat="1" x14ac:dyDescent="0.2"/>
    <row r="841" s="438" customFormat="1" x14ac:dyDescent="0.2"/>
    <row r="842" s="438" customFormat="1" x14ac:dyDescent="0.2"/>
    <row r="843" s="438" customFormat="1" x14ac:dyDescent="0.2"/>
    <row r="844" s="438" customFormat="1" x14ac:dyDescent="0.2"/>
    <row r="845" s="438" customFormat="1" x14ac:dyDescent="0.2"/>
    <row r="846" s="438" customFormat="1" x14ac:dyDescent="0.2"/>
    <row r="847" s="438" customFormat="1" x14ac:dyDescent="0.2"/>
    <row r="848" s="438" customFormat="1" x14ac:dyDescent="0.2"/>
    <row r="849" s="438" customFormat="1" x14ac:dyDescent="0.2"/>
    <row r="850" s="438" customFormat="1" x14ac:dyDescent="0.2"/>
    <row r="851" s="438" customFormat="1" x14ac:dyDescent="0.2"/>
    <row r="852" s="438" customFormat="1" x14ac:dyDescent="0.2"/>
    <row r="853" s="438" customFormat="1" x14ac:dyDescent="0.2"/>
    <row r="854" s="438" customFormat="1" x14ac:dyDescent="0.2"/>
    <row r="855" s="438" customFormat="1" x14ac:dyDescent="0.2"/>
    <row r="856" s="438" customFormat="1" x14ac:dyDescent="0.2"/>
    <row r="857" s="438" customFormat="1" x14ac:dyDescent="0.2"/>
    <row r="858" s="438" customFormat="1" x14ac:dyDescent="0.2"/>
    <row r="859" s="438" customFormat="1" x14ac:dyDescent="0.2"/>
    <row r="860" s="438" customFormat="1" x14ac:dyDescent="0.2"/>
    <row r="861" s="438" customFormat="1" x14ac:dyDescent="0.2"/>
    <row r="862" s="438" customFormat="1" x14ac:dyDescent="0.2"/>
    <row r="863" s="438" customFormat="1" x14ac:dyDescent="0.2"/>
    <row r="864" s="438" customFormat="1" x14ac:dyDescent="0.2"/>
    <row r="865" s="438" customFormat="1" x14ac:dyDescent="0.2"/>
    <row r="866" s="438" customFormat="1" x14ac:dyDescent="0.2"/>
    <row r="867" s="438" customFormat="1" x14ac:dyDescent="0.2"/>
    <row r="868" s="438" customFormat="1" x14ac:dyDescent="0.2"/>
    <row r="869" s="438" customFormat="1" x14ac:dyDescent="0.2"/>
    <row r="870" s="438" customFormat="1" x14ac:dyDescent="0.2"/>
    <row r="871" s="438" customFormat="1" x14ac:dyDescent="0.2"/>
    <row r="872" s="438" customFormat="1" x14ac:dyDescent="0.2"/>
    <row r="873" s="438" customFormat="1" x14ac:dyDescent="0.2"/>
    <row r="874" s="438" customFormat="1" x14ac:dyDescent="0.2"/>
    <row r="875" s="438" customFormat="1" x14ac:dyDescent="0.2"/>
    <row r="876" s="438" customFormat="1" x14ac:dyDescent="0.2"/>
    <row r="877" s="438" customFormat="1" x14ac:dyDescent="0.2"/>
    <row r="878" s="438" customFormat="1" x14ac:dyDescent="0.2"/>
    <row r="879" s="438" customFormat="1" x14ac:dyDescent="0.2"/>
    <row r="880" s="438" customFormat="1" x14ac:dyDescent="0.2"/>
    <row r="881" s="438" customFormat="1" x14ac:dyDescent="0.2"/>
    <row r="882" s="438" customFormat="1" x14ac:dyDescent="0.2"/>
    <row r="883" s="438" customFormat="1" x14ac:dyDescent="0.2"/>
    <row r="884" s="438" customFormat="1" x14ac:dyDescent="0.2"/>
    <row r="885" s="438" customFormat="1" x14ac:dyDescent="0.2"/>
    <row r="886" s="438" customFormat="1" x14ac:dyDescent="0.2"/>
    <row r="887" s="438" customFormat="1" x14ac:dyDescent="0.2"/>
    <row r="888" s="438" customFormat="1" x14ac:dyDescent="0.2"/>
    <row r="889" s="438" customFormat="1" x14ac:dyDescent="0.2"/>
    <row r="890" s="438" customFormat="1" x14ac:dyDescent="0.2"/>
    <row r="891" s="438" customFormat="1" x14ac:dyDescent="0.2"/>
    <row r="892" s="438" customFormat="1" x14ac:dyDescent="0.2"/>
    <row r="893" s="438" customFormat="1" x14ac:dyDescent="0.2"/>
    <row r="894" s="438" customFormat="1" x14ac:dyDescent="0.2"/>
    <row r="895" s="438" customFormat="1" x14ac:dyDescent="0.2"/>
    <row r="896" s="438" customFormat="1" x14ac:dyDescent="0.2"/>
    <row r="897" s="438" customFormat="1" x14ac:dyDescent="0.2"/>
    <row r="898" s="438" customFormat="1" x14ac:dyDescent="0.2"/>
    <row r="899" s="438" customFormat="1" x14ac:dyDescent="0.2"/>
    <row r="900" s="438" customFormat="1" x14ac:dyDescent="0.2"/>
    <row r="901" s="438" customFormat="1" x14ac:dyDescent="0.2"/>
    <row r="902" s="438" customFormat="1" x14ac:dyDescent="0.2"/>
    <row r="903" s="438" customFormat="1" x14ac:dyDescent="0.2"/>
    <row r="904" s="438" customFormat="1" x14ac:dyDescent="0.2"/>
    <row r="905" s="438" customFormat="1" x14ac:dyDescent="0.2"/>
    <row r="906" s="438" customFormat="1" x14ac:dyDescent="0.2"/>
    <row r="907" s="438" customFormat="1" x14ac:dyDescent="0.2"/>
    <row r="908" s="438" customFormat="1" x14ac:dyDescent="0.2"/>
    <row r="909" s="438" customFormat="1" x14ac:dyDescent="0.2"/>
    <row r="910" s="438" customFormat="1" x14ac:dyDescent="0.2"/>
    <row r="911" s="438" customFormat="1" x14ac:dyDescent="0.2"/>
    <row r="912" s="438" customFormat="1" x14ac:dyDescent="0.2"/>
    <row r="913" s="438" customFormat="1" x14ac:dyDescent="0.2"/>
    <row r="914" s="438" customFormat="1" x14ac:dyDescent="0.2"/>
    <row r="915" s="438" customFormat="1" x14ac:dyDescent="0.2"/>
    <row r="916" s="438" customFormat="1" x14ac:dyDescent="0.2"/>
    <row r="917" s="438" customFormat="1" x14ac:dyDescent="0.2"/>
    <row r="918" s="438" customFormat="1" x14ac:dyDescent="0.2"/>
    <row r="919" s="438" customFormat="1" x14ac:dyDescent="0.2"/>
    <row r="920" s="438" customFormat="1" x14ac:dyDescent="0.2"/>
    <row r="921" s="438" customFormat="1" x14ac:dyDescent="0.2"/>
    <row r="922" s="438" customFormat="1" x14ac:dyDescent="0.2"/>
    <row r="923" s="438" customFormat="1" x14ac:dyDescent="0.2"/>
    <row r="924" s="438" customFormat="1" x14ac:dyDescent="0.2"/>
    <row r="925" s="438" customFormat="1" x14ac:dyDescent="0.2"/>
    <row r="926" s="438" customFormat="1" x14ac:dyDescent="0.2"/>
    <row r="927" s="438" customFormat="1" x14ac:dyDescent="0.2"/>
    <row r="928" s="438" customFormat="1" x14ac:dyDescent="0.2"/>
    <row r="929" s="438" customFormat="1" x14ac:dyDescent="0.2"/>
    <row r="930" s="438" customFormat="1" x14ac:dyDescent="0.2"/>
    <row r="931" s="438" customFormat="1" x14ac:dyDescent="0.2"/>
    <row r="932" s="438" customFormat="1" x14ac:dyDescent="0.2"/>
    <row r="933" s="438" customFormat="1" x14ac:dyDescent="0.2"/>
    <row r="934" s="438" customFormat="1" x14ac:dyDescent="0.2"/>
    <row r="935" s="438" customFormat="1" x14ac:dyDescent="0.2"/>
    <row r="936" s="438" customFormat="1" x14ac:dyDescent="0.2"/>
    <row r="937" s="438" customFormat="1" x14ac:dyDescent="0.2"/>
    <row r="938" s="438" customFormat="1" x14ac:dyDescent="0.2"/>
    <row r="939" s="438" customFormat="1" x14ac:dyDescent="0.2"/>
    <row r="940" s="438" customFormat="1" x14ac:dyDescent="0.2"/>
    <row r="941" s="438" customFormat="1" x14ac:dyDescent="0.2"/>
    <row r="942" s="438" customFormat="1" x14ac:dyDescent="0.2"/>
    <row r="943" s="438" customFormat="1" x14ac:dyDescent="0.2"/>
    <row r="944" s="438" customFormat="1" x14ac:dyDescent="0.2"/>
    <row r="945" s="438" customFormat="1" x14ac:dyDescent="0.2"/>
    <row r="946" s="438" customFormat="1" x14ac:dyDescent="0.2"/>
    <row r="947" s="438" customFormat="1" x14ac:dyDescent="0.2"/>
    <row r="948" s="438" customFormat="1" x14ac:dyDescent="0.2"/>
    <row r="949" s="438" customFormat="1" x14ac:dyDescent="0.2"/>
    <row r="950" s="438" customFormat="1" x14ac:dyDescent="0.2"/>
    <row r="951" s="438" customFormat="1" x14ac:dyDescent="0.2"/>
    <row r="952" s="438" customFormat="1" x14ac:dyDescent="0.2"/>
    <row r="953" s="438" customFormat="1" x14ac:dyDescent="0.2"/>
    <row r="954" s="438" customFormat="1" x14ac:dyDescent="0.2"/>
    <row r="955" s="438" customFormat="1" x14ac:dyDescent="0.2"/>
    <row r="956" s="438" customFormat="1" x14ac:dyDescent="0.2"/>
    <row r="957" s="438" customFormat="1" x14ac:dyDescent="0.2"/>
    <row r="958" s="438" customFormat="1" x14ac:dyDescent="0.2"/>
    <row r="959" s="438" customFormat="1" x14ac:dyDescent="0.2"/>
    <row r="960" s="438" customFormat="1" x14ac:dyDescent="0.2"/>
    <row r="961" s="438" customFormat="1" x14ac:dyDescent="0.2"/>
    <row r="962" s="438" customFormat="1" x14ac:dyDescent="0.2"/>
    <row r="963" s="438" customFormat="1" x14ac:dyDescent="0.2"/>
    <row r="964" s="438" customFormat="1" x14ac:dyDescent="0.2"/>
    <row r="965" s="438" customFormat="1" x14ac:dyDescent="0.2"/>
    <row r="966" s="438" customFormat="1" x14ac:dyDescent="0.2"/>
    <row r="967" s="438" customFormat="1" x14ac:dyDescent="0.2"/>
    <row r="968" s="438" customFormat="1" x14ac:dyDescent="0.2"/>
    <row r="969" s="438" customFormat="1" x14ac:dyDescent="0.2"/>
    <row r="970" s="438" customFormat="1" x14ac:dyDescent="0.2"/>
    <row r="971" s="438" customFormat="1" x14ac:dyDescent="0.2"/>
    <row r="972" s="438" customFormat="1" x14ac:dyDescent="0.2"/>
    <row r="973" s="438" customFormat="1" x14ac:dyDescent="0.2"/>
    <row r="974" s="438" customFormat="1" x14ac:dyDescent="0.2"/>
    <row r="975" s="438" customFormat="1" x14ac:dyDescent="0.2"/>
    <row r="976" s="438" customFormat="1" x14ac:dyDescent="0.2"/>
    <row r="977" s="438" customFormat="1" x14ac:dyDescent="0.2"/>
    <row r="978" s="438" customFormat="1" x14ac:dyDescent="0.2"/>
    <row r="979" s="438" customFormat="1" x14ac:dyDescent="0.2"/>
    <row r="980" s="438" customFormat="1" x14ac:dyDescent="0.2"/>
    <row r="981" s="438" customFormat="1" x14ac:dyDescent="0.2"/>
    <row r="982" s="438" customFormat="1" x14ac:dyDescent="0.2"/>
    <row r="983" s="438" customFormat="1" x14ac:dyDescent="0.2"/>
    <row r="984" s="438" customFormat="1" x14ac:dyDescent="0.2"/>
    <row r="985" s="438" customFormat="1" x14ac:dyDescent="0.2"/>
    <row r="986" s="438" customFormat="1" x14ac:dyDescent="0.2"/>
    <row r="987" s="438" customFormat="1" x14ac:dyDescent="0.2"/>
    <row r="988" s="438" customFormat="1" x14ac:dyDescent="0.2"/>
    <row r="989" s="438" customFormat="1" x14ac:dyDescent="0.2"/>
    <row r="990" s="438" customFormat="1" x14ac:dyDescent="0.2"/>
    <row r="991" s="438" customFormat="1" x14ac:dyDescent="0.2"/>
    <row r="992" s="438" customFormat="1" x14ac:dyDescent="0.2"/>
    <row r="993" s="438" customFormat="1" x14ac:dyDescent="0.2"/>
    <row r="994" s="438" customFormat="1" x14ac:dyDescent="0.2"/>
    <row r="995" s="438" customFormat="1" x14ac:dyDescent="0.2"/>
    <row r="996" s="438" customFormat="1" x14ac:dyDescent="0.2"/>
    <row r="997" s="438" customFormat="1" x14ac:dyDescent="0.2"/>
    <row r="998" s="438" customFormat="1" x14ac:dyDescent="0.2"/>
    <row r="999" s="438" customFormat="1" x14ac:dyDescent="0.2"/>
    <row r="1000" s="438" customFormat="1" x14ac:dyDescent="0.2"/>
    <row r="1001" s="438" customFormat="1" x14ac:dyDescent="0.2"/>
    <row r="1002" s="438" customFormat="1" x14ac:dyDescent="0.2"/>
    <row r="1003" s="438" customFormat="1" x14ac:dyDescent="0.2"/>
    <row r="1004" s="438" customFormat="1" x14ac:dyDescent="0.2"/>
    <row r="1005" s="438" customFormat="1" x14ac:dyDescent="0.2"/>
    <row r="1006" s="438" customFormat="1" x14ac:dyDescent="0.2"/>
    <row r="1007" s="438" customFormat="1" x14ac:dyDescent="0.2"/>
    <row r="1008" s="438" customFormat="1" x14ac:dyDescent="0.2"/>
    <row r="1009" s="438" customFormat="1" x14ac:dyDescent="0.2"/>
    <row r="1010" s="438" customFormat="1" x14ac:dyDescent="0.2"/>
    <row r="1011" s="438" customFormat="1" x14ac:dyDescent="0.2"/>
    <row r="1012" s="438" customFormat="1" x14ac:dyDescent="0.2"/>
    <row r="1013" s="438" customFormat="1" x14ac:dyDescent="0.2"/>
    <row r="1014" s="438" customFormat="1" x14ac:dyDescent="0.2"/>
    <row r="1015" s="438" customFormat="1" x14ac:dyDescent="0.2"/>
    <row r="1016" s="438" customFormat="1" x14ac:dyDescent="0.2"/>
    <row r="1017" s="438" customFormat="1" x14ac:dyDescent="0.2"/>
    <row r="1018" s="438" customFormat="1" x14ac:dyDescent="0.2"/>
    <row r="1019" s="438" customFormat="1" x14ac:dyDescent="0.2"/>
    <row r="1020" s="438" customFormat="1" x14ac:dyDescent="0.2"/>
    <row r="1021" s="438" customFormat="1" x14ac:dyDescent="0.2"/>
    <row r="1022" s="438" customFormat="1" x14ac:dyDescent="0.2"/>
    <row r="1023" s="438" customFormat="1" x14ac:dyDescent="0.2"/>
    <row r="1024" s="438" customFormat="1" x14ac:dyDescent="0.2"/>
    <row r="1025" s="438" customFormat="1" x14ac:dyDescent="0.2"/>
    <row r="1026" s="438" customFormat="1" x14ac:dyDescent="0.2"/>
    <row r="1027" s="438" customFormat="1" x14ac:dyDescent="0.2"/>
    <row r="1028" s="438" customFormat="1" x14ac:dyDescent="0.2"/>
    <row r="1029" s="438" customFormat="1" x14ac:dyDescent="0.2"/>
    <row r="1030" s="438" customFormat="1" x14ac:dyDescent="0.2"/>
    <row r="1031" s="438" customFormat="1" x14ac:dyDescent="0.2"/>
    <row r="1032" s="438" customFormat="1" x14ac:dyDescent="0.2"/>
    <row r="1033" s="438" customFormat="1" x14ac:dyDescent="0.2"/>
    <row r="1034" s="438" customFormat="1" x14ac:dyDescent="0.2"/>
    <row r="1035" s="438" customFormat="1" x14ac:dyDescent="0.2"/>
    <row r="1036" s="438" customFormat="1" x14ac:dyDescent="0.2"/>
    <row r="1037" s="438" customFormat="1" x14ac:dyDescent="0.2"/>
    <row r="1038" s="438" customFormat="1" x14ac:dyDescent="0.2"/>
    <row r="1039" s="438" customFormat="1" x14ac:dyDescent="0.2"/>
    <row r="1040" s="438" customFormat="1" x14ac:dyDescent="0.2"/>
    <row r="1041" s="438" customFormat="1" x14ac:dyDescent="0.2"/>
    <row r="1042" s="438" customFormat="1" x14ac:dyDescent="0.2"/>
    <row r="1043" s="438" customFormat="1" x14ac:dyDescent="0.2"/>
    <row r="1044" s="438" customFormat="1" x14ac:dyDescent="0.2"/>
    <row r="1045" s="438" customFormat="1" x14ac:dyDescent="0.2"/>
    <row r="1046" s="438" customFormat="1" x14ac:dyDescent="0.2"/>
    <row r="1047" s="438" customFormat="1" x14ac:dyDescent="0.2"/>
    <row r="1048" s="438" customFormat="1" x14ac:dyDescent="0.2"/>
    <row r="1049" s="438" customFormat="1" x14ac:dyDescent="0.2"/>
    <row r="1050" s="438" customFormat="1" x14ac:dyDescent="0.2"/>
    <row r="1051" s="438" customFormat="1" x14ac:dyDescent="0.2"/>
    <row r="1052" s="438" customFormat="1" x14ac:dyDescent="0.2"/>
    <row r="1053" s="438" customFormat="1" x14ac:dyDescent="0.2"/>
    <row r="1054" s="438" customFormat="1" x14ac:dyDescent="0.2"/>
    <row r="1055" s="438" customFormat="1" x14ac:dyDescent="0.2"/>
    <row r="1056" s="438" customFormat="1" x14ac:dyDescent="0.2"/>
    <row r="1057" s="438" customFormat="1" x14ac:dyDescent="0.2"/>
    <row r="1058" s="438" customFormat="1" x14ac:dyDescent="0.2"/>
    <row r="1059" s="438" customFormat="1" x14ac:dyDescent="0.2"/>
    <row r="1060" s="438" customFormat="1" x14ac:dyDescent="0.2"/>
    <row r="1061" s="438" customFormat="1" x14ac:dyDescent="0.2"/>
    <row r="1062" s="438" customFormat="1" x14ac:dyDescent="0.2"/>
    <row r="1063" s="438" customFormat="1" x14ac:dyDescent="0.2"/>
    <row r="1064" s="438" customFormat="1" x14ac:dyDescent="0.2"/>
    <row r="1065" s="438" customFormat="1" x14ac:dyDescent="0.2"/>
    <row r="1066" s="438" customFormat="1" x14ac:dyDescent="0.2"/>
    <row r="1067" s="438" customFormat="1" x14ac:dyDescent="0.2"/>
    <row r="1068" s="438" customFormat="1" x14ac:dyDescent="0.2"/>
    <row r="1069" s="438" customFormat="1" x14ac:dyDescent="0.2"/>
    <row r="1070" s="438" customFormat="1" x14ac:dyDescent="0.2"/>
    <row r="1071" s="438" customFormat="1" x14ac:dyDescent="0.2"/>
    <row r="1072" s="438" customFormat="1" x14ac:dyDescent="0.2"/>
    <row r="1073" s="438" customFormat="1" x14ac:dyDescent="0.2"/>
    <row r="1074" s="438" customFormat="1" x14ac:dyDescent="0.2"/>
    <row r="1075" s="438" customFormat="1" x14ac:dyDescent="0.2"/>
    <row r="1076" s="438" customFormat="1" x14ac:dyDescent="0.2"/>
    <row r="1077" s="438" customFormat="1" x14ac:dyDescent="0.2"/>
    <row r="1078" s="438" customFormat="1" x14ac:dyDescent="0.2"/>
    <row r="1079" s="438" customFormat="1" x14ac:dyDescent="0.2"/>
    <row r="1080" s="438" customFormat="1" x14ac:dyDescent="0.2"/>
    <row r="1081" s="438" customFormat="1" x14ac:dyDescent="0.2"/>
    <row r="1082" s="438" customFormat="1" x14ac:dyDescent="0.2"/>
    <row r="1083" s="438" customFormat="1" x14ac:dyDescent="0.2"/>
    <row r="1084" s="438" customFormat="1" x14ac:dyDescent="0.2"/>
    <row r="1085" s="438" customFormat="1" x14ac:dyDescent="0.2"/>
    <row r="1086" s="438" customFormat="1" x14ac:dyDescent="0.2"/>
    <row r="1087" s="438" customFormat="1" x14ac:dyDescent="0.2"/>
    <row r="1088" s="438" customFormat="1" x14ac:dyDescent="0.2"/>
    <row r="1089" s="438" customFormat="1" x14ac:dyDescent="0.2"/>
    <row r="1090" s="438" customFormat="1" x14ac:dyDescent="0.2"/>
    <row r="1091" s="438" customFormat="1" x14ac:dyDescent="0.2"/>
    <row r="1092" s="438" customFormat="1" x14ac:dyDescent="0.2"/>
    <row r="1093" s="438" customFormat="1" x14ac:dyDescent="0.2"/>
    <row r="1094" s="438" customFormat="1" x14ac:dyDescent="0.2"/>
    <row r="1095" s="438" customFormat="1" x14ac:dyDescent="0.2"/>
    <row r="1096" s="438" customFormat="1" x14ac:dyDescent="0.2"/>
    <row r="1097" s="438" customFormat="1" x14ac:dyDescent="0.2"/>
    <row r="1098" s="438" customFormat="1" x14ac:dyDescent="0.2"/>
    <row r="1099" s="438" customFormat="1" x14ac:dyDescent="0.2"/>
    <row r="1100" s="438" customFormat="1" x14ac:dyDescent="0.2"/>
    <row r="1101" s="438" customFormat="1" x14ac:dyDescent="0.2"/>
    <row r="1102" s="438" customFormat="1" x14ac:dyDescent="0.2"/>
    <row r="1103" s="438" customFormat="1" x14ac:dyDescent="0.2"/>
    <row r="1104" s="438" customFormat="1" x14ac:dyDescent="0.2"/>
    <row r="1105" s="438" customFormat="1" x14ac:dyDescent="0.2"/>
    <row r="1106" s="438" customFormat="1" x14ac:dyDescent="0.2"/>
    <row r="1107" s="438" customFormat="1" x14ac:dyDescent="0.2"/>
    <row r="1108" s="438" customFormat="1" x14ac:dyDescent="0.2"/>
    <row r="1109" s="438" customFormat="1" x14ac:dyDescent="0.2"/>
    <row r="1110" s="438" customFormat="1" x14ac:dyDescent="0.2"/>
    <row r="1111" s="438" customFormat="1" x14ac:dyDescent="0.2"/>
    <row r="1112" s="438" customFormat="1" x14ac:dyDescent="0.2"/>
    <row r="1113" s="438" customFormat="1" x14ac:dyDescent="0.2"/>
    <row r="1114" s="438" customFormat="1" x14ac:dyDescent="0.2"/>
    <row r="1115" s="438" customFormat="1" x14ac:dyDescent="0.2"/>
    <row r="1116" s="438" customFormat="1" x14ac:dyDescent="0.2"/>
    <row r="1117" s="438" customFormat="1" x14ac:dyDescent="0.2"/>
    <row r="1118" s="438" customFormat="1" x14ac:dyDescent="0.2"/>
    <row r="1119" s="438" customFormat="1" x14ac:dyDescent="0.2"/>
    <row r="1120" s="438" customFormat="1" x14ac:dyDescent="0.2"/>
    <row r="1121" s="438" customFormat="1" x14ac:dyDescent="0.2"/>
    <row r="1122" s="438" customFormat="1" x14ac:dyDescent="0.2"/>
    <row r="1123" s="438" customFormat="1" x14ac:dyDescent="0.2"/>
    <row r="1124" s="438" customFormat="1" x14ac:dyDescent="0.2"/>
    <row r="1125" s="438" customFormat="1" x14ac:dyDescent="0.2"/>
    <row r="1126" s="438" customFormat="1" x14ac:dyDescent="0.2"/>
    <row r="1127" s="438" customFormat="1" x14ac:dyDescent="0.2"/>
    <row r="1128" s="438" customFormat="1" x14ac:dyDescent="0.2"/>
    <row r="1129" s="438" customFormat="1" x14ac:dyDescent="0.2"/>
    <row r="1130" s="438" customFormat="1" x14ac:dyDescent="0.2"/>
    <row r="1131" s="438" customFormat="1" x14ac:dyDescent="0.2"/>
    <row r="1132" s="438" customFormat="1" x14ac:dyDescent="0.2"/>
    <row r="1133" s="438" customFormat="1" x14ac:dyDescent="0.2"/>
    <row r="1134" s="438" customFormat="1" x14ac:dyDescent="0.2"/>
    <row r="1135" s="438" customFormat="1" x14ac:dyDescent="0.2"/>
    <row r="1136" s="438" customFormat="1" x14ac:dyDescent="0.2"/>
    <row r="1137" s="438" customFormat="1" x14ac:dyDescent="0.2"/>
    <row r="1138" s="438" customFormat="1" x14ac:dyDescent="0.2"/>
    <row r="1139" s="438" customFormat="1" x14ac:dyDescent="0.2"/>
    <row r="1140" s="438" customFormat="1" x14ac:dyDescent="0.2"/>
    <row r="1141" s="438" customFormat="1" x14ac:dyDescent="0.2"/>
    <row r="1142" s="438" customFormat="1" x14ac:dyDescent="0.2"/>
    <row r="1143" s="438" customFormat="1" x14ac:dyDescent="0.2"/>
    <row r="1144" s="438" customFormat="1" x14ac:dyDescent="0.2"/>
    <row r="1145" s="438" customFormat="1" x14ac:dyDescent="0.2"/>
    <row r="1146" s="438" customFormat="1" x14ac:dyDescent="0.2"/>
    <row r="1147" s="438" customFormat="1" x14ac:dyDescent="0.2"/>
    <row r="1148" s="438" customFormat="1" x14ac:dyDescent="0.2"/>
    <row r="1149" s="438" customFormat="1" x14ac:dyDescent="0.2"/>
    <row r="1150" s="438" customFormat="1" x14ac:dyDescent="0.2"/>
    <row r="1151" s="438" customFormat="1" x14ac:dyDescent="0.2"/>
    <row r="1152" s="438" customFormat="1" x14ac:dyDescent="0.2"/>
    <row r="1153" s="438" customFormat="1" x14ac:dyDescent="0.2"/>
    <row r="1154" s="438" customFormat="1" x14ac:dyDescent="0.2"/>
    <row r="1155" s="438" customFormat="1" x14ac:dyDescent="0.2"/>
    <row r="1156" s="438" customFormat="1" x14ac:dyDescent="0.2"/>
    <row r="1157" s="438" customFormat="1" x14ac:dyDescent="0.2"/>
    <row r="1158" s="438" customFormat="1" x14ac:dyDescent="0.2"/>
    <row r="1159" s="438" customFormat="1" x14ac:dyDescent="0.2"/>
    <row r="1160" s="438" customFormat="1" x14ac:dyDescent="0.2"/>
    <row r="1161" s="438" customFormat="1" x14ac:dyDescent="0.2"/>
    <row r="1162" s="438" customFormat="1" x14ac:dyDescent="0.2"/>
    <row r="1163" s="438" customFormat="1" x14ac:dyDescent="0.2"/>
    <row r="1164" s="438" customFormat="1" x14ac:dyDescent="0.2"/>
    <row r="1165" s="438" customFormat="1" x14ac:dyDescent="0.2"/>
    <row r="1166" s="438" customFormat="1" x14ac:dyDescent="0.2"/>
    <row r="1167" s="438" customFormat="1" x14ac:dyDescent="0.2"/>
    <row r="1168" s="438" customFormat="1" x14ac:dyDescent="0.2"/>
    <row r="1169" s="438" customFormat="1" x14ac:dyDescent="0.2"/>
    <row r="1170" s="438" customFormat="1" x14ac:dyDescent="0.2"/>
    <row r="1171" s="438" customFormat="1" x14ac:dyDescent="0.2"/>
    <row r="1172" s="438" customFormat="1" x14ac:dyDescent="0.2"/>
    <row r="1173" s="438" customFormat="1" x14ac:dyDescent="0.2"/>
    <row r="1174" s="438" customFormat="1" x14ac:dyDescent="0.2"/>
    <row r="1175" s="438" customFormat="1" x14ac:dyDescent="0.2"/>
    <row r="1176" s="438" customFormat="1" x14ac:dyDescent="0.2"/>
    <row r="1177" s="438" customFormat="1" x14ac:dyDescent="0.2"/>
    <row r="1178" s="438" customFormat="1" x14ac:dyDescent="0.2"/>
    <row r="1179" s="438" customFormat="1" x14ac:dyDescent="0.2"/>
    <row r="1180" s="438" customFormat="1" x14ac:dyDescent="0.2"/>
    <row r="1181" s="438" customFormat="1" x14ac:dyDescent="0.2"/>
    <row r="1182" s="438" customFormat="1" x14ac:dyDescent="0.2"/>
    <row r="1183" s="438" customFormat="1" x14ac:dyDescent="0.2"/>
    <row r="1184" s="438" customFormat="1" x14ac:dyDescent="0.2"/>
    <row r="1185" s="438" customFormat="1" x14ac:dyDescent="0.2"/>
    <row r="1186" s="438" customFormat="1" x14ac:dyDescent="0.2"/>
    <row r="1187" s="438" customFormat="1" x14ac:dyDescent="0.2"/>
    <row r="1188" s="438" customFormat="1" x14ac:dyDescent="0.2"/>
    <row r="1189" s="438" customFormat="1" x14ac:dyDescent="0.2"/>
    <row r="1190" s="438" customFormat="1" x14ac:dyDescent="0.2"/>
    <row r="1191" s="438" customFormat="1" x14ac:dyDescent="0.2"/>
    <row r="1192" s="438" customFormat="1" x14ac:dyDescent="0.2"/>
    <row r="1193" s="438" customFormat="1" x14ac:dyDescent="0.2"/>
    <row r="1194" s="438" customFormat="1" x14ac:dyDescent="0.2"/>
    <row r="1195" s="438" customFormat="1" x14ac:dyDescent="0.2"/>
    <row r="1196" s="438" customFormat="1" x14ac:dyDescent="0.2"/>
    <row r="1197" s="438" customFormat="1" x14ac:dyDescent="0.2"/>
    <row r="1198" s="438" customFormat="1" x14ac:dyDescent="0.2"/>
    <row r="1199" s="438" customFormat="1" x14ac:dyDescent="0.2"/>
    <row r="1200" s="438" customFormat="1" x14ac:dyDescent="0.2"/>
    <row r="1201" s="438" customFormat="1" x14ac:dyDescent="0.2"/>
    <row r="1202" s="438" customFormat="1" x14ac:dyDescent="0.2"/>
    <row r="1203" s="438" customFormat="1" x14ac:dyDescent="0.2"/>
    <row r="1204" s="438" customFormat="1" x14ac:dyDescent="0.2"/>
    <row r="1205" s="438" customFormat="1" x14ac:dyDescent="0.2"/>
    <row r="1206" s="438" customFormat="1" x14ac:dyDescent="0.2"/>
    <row r="1207" s="438" customFormat="1" x14ac:dyDescent="0.2"/>
    <row r="1208" s="438" customFormat="1" x14ac:dyDescent="0.2"/>
    <row r="1209" s="438" customFormat="1" x14ac:dyDescent="0.2"/>
    <row r="1210" s="438" customFormat="1" x14ac:dyDescent="0.2"/>
    <row r="1211" s="438" customFormat="1" x14ac:dyDescent="0.2"/>
    <row r="1212" s="438" customFormat="1" x14ac:dyDescent="0.2"/>
    <row r="1213" s="438" customFormat="1" x14ac:dyDescent="0.2"/>
    <row r="1214" s="438" customFormat="1" x14ac:dyDescent="0.2"/>
    <row r="1215" s="438" customFormat="1" x14ac:dyDescent="0.2"/>
    <row r="1216" s="438" customFormat="1" x14ac:dyDescent="0.2"/>
    <row r="1217" s="438" customFormat="1" x14ac:dyDescent="0.2"/>
    <row r="1218" s="438" customFormat="1" x14ac:dyDescent="0.2"/>
    <row r="1219" s="438" customFormat="1" x14ac:dyDescent="0.2"/>
    <row r="1220" s="438" customFormat="1" x14ac:dyDescent="0.2"/>
    <row r="1221" s="438" customFormat="1" x14ac:dyDescent="0.2"/>
    <row r="1222" s="438" customFormat="1" x14ac:dyDescent="0.2"/>
    <row r="1223" s="438" customFormat="1" x14ac:dyDescent="0.2"/>
    <row r="1224" s="438" customFormat="1" x14ac:dyDescent="0.2"/>
    <row r="1225" s="438" customFormat="1" x14ac:dyDescent="0.2"/>
    <row r="1226" s="438" customFormat="1" x14ac:dyDescent="0.2"/>
    <row r="1227" s="438" customFormat="1" x14ac:dyDescent="0.2"/>
    <row r="1228" s="438" customFormat="1" x14ac:dyDescent="0.2"/>
    <row r="1229" s="438" customFormat="1" x14ac:dyDescent="0.2"/>
    <row r="1230" s="438" customFormat="1" x14ac:dyDescent="0.2"/>
    <row r="1231" s="438" customFormat="1" x14ac:dyDescent="0.2"/>
    <row r="1232" s="438" customFormat="1" x14ac:dyDescent="0.2"/>
    <row r="1233" s="438" customFormat="1" x14ac:dyDescent="0.2"/>
    <row r="1234" s="438" customFormat="1" x14ac:dyDescent="0.2"/>
    <row r="1235" s="438" customFormat="1" x14ac:dyDescent="0.2"/>
    <row r="1236" s="438" customFormat="1" x14ac:dyDescent="0.2"/>
    <row r="1237" s="438" customFormat="1" x14ac:dyDescent="0.2"/>
    <row r="1238" s="438" customFormat="1" x14ac:dyDescent="0.2"/>
    <row r="1239" s="438" customFormat="1" x14ac:dyDescent="0.2"/>
    <row r="1240" s="438" customFormat="1" x14ac:dyDescent="0.2"/>
    <row r="1241" s="438" customFormat="1" x14ac:dyDescent="0.2"/>
    <row r="1242" s="438" customFormat="1" x14ac:dyDescent="0.2"/>
    <row r="1243" s="438" customFormat="1" x14ac:dyDescent="0.2"/>
    <row r="1244" s="438" customFormat="1" x14ac:dyDescent="0.2"/>
    <row r="1245" s="438" customFormat="1" x14ac:dyDescent="0.2"/>
    <row r="1246" s="438" customFormat="1" x14ac:dyDescent="0.2"/>
    <row r="1247" s="438" customFormat="1" x14ac:dyDescent="0.2"/>
    <row r="1248" s="438" customFormat="1" x14ac:dyDescent="0.2"/>
    <row r="1249" s="438" customFormat="1" x14ac:dyDescent="0.2"/>
    <row r="1250" s="438" customFormat="1" x14ac:dyDescent="0.2"/>
    <row r="1251" s="438" customFormat="1" x14ac:dyDescent="0.2"/>
    <row r="1252" s="438" customFormat="1" x14ac:dyDescent="0.2"/>
    <row r="1253" s="438" customFormat="1" x14ac:dyDescent="0.2"/>
    <row r="1254" s="438" customFormat="1" x14ac:dyDescent="0.2"/>
    <row r="1255" s="438" customFormat="1" x14ac:dyDescent="0.2"/>
    <row r="1256" s="438" customFormat="1" x14ac:dyDescent="0.2"/>
    <row r="1257" s="438" customFormat="1" x14ac:dyDescent="0.2"/>
    <row r="1258" s="438" customFormat="1" x14ac:dyDescent="0.2"/>
    <row r="1259" s="438" customFormat="1" x14ac:dyDescent="0.2"/>
    <row r="1260" s="438" customFormat="1" x14ac:dyDescent="0.2"/>
    <row r="1261" s="438" customFormat="1" x14ac:dyDescent="0.2"/>
    <row r="1262" s="438" customFormat="1" x14ac:dyDescent="0.2"/>
    <row r="1263" s="438" customFormat="1" x14ac:dyDescent="0.2"/>
    <row r="1264" s="438" customFormat="1" x14ac:dyDescent="0.2"/>
    <row r="1265" s="438" customFormat="1" x14ac:dyDescent="0.2"/>
    <row r="1266" s="438" customFormat="1" x14ac:dyDescent="0.2"/>
    <row r="1267" s="438" customFormat="1" x14ac:dyDescent="0.2"/>
    <row r="1268" s="438" customFormat="1" x14ac:dyDescent="0.2"/>
    <row r="1269" s="438" customFormat="1" x14ac:dyDescent="0.2"/>
    <row r="1270" s="438" customFormat="1" x14ac:dyDescent="0.2"/>
    <row r="1271" s="438" customFormat="1" x14ac:dyDescent="0.2"/>
    <row r="1272" s="438" customFormat="1" x14ac:dyDescent="0.2"/>
    <row r="1273" s="438" customFormat="1" x14ac:dyDescent="0.2"/>
    <row r="1274" s="438" customFormat="1" x14ac:dyDescent="0.2"/>
    <row r="1275" s="438" customFormat="1" x14ac:dyDescent="0.2"/>
    <row r="1276" s="438" customFormat="1" x14ac:dyDescent="0.2"/>
    <row r="1277" s="438" customFormat="1" x14ac:dyDescent="0.2"/>
    <row r="1278" s="438" customFormat="1" x14ac:dyDescent="0.2"/>
    <row r="1279" s="438" customFormat="1" x14ac:dyDescent="0.2"/>
    <row r="1280" s="438" customFormat="1" x14ac:dyDescent="0.2"/>
    <row r="1281" s="438" customFormat="1" x14ac:dyDescent="0.2"/>
    <row r="1282" s="438" customFormat="1" x14ac:dyDescent="0.2"/>
    <row r="1283" s="438" customFormat="1" x14ac:dyDescent="0.2"/>
    <row r="1284" s="438" customFormat="1" x14ac:dyDescent="0.2"/>
    <row r="1285" s="438" customFormat="1" x14ac:dyDescent="0.2"/>
    <row r="1286" s="438" customFormat="1" x14ac:dyDescent="0.2"/>
    <row r="1287" s="438" customFormat="1" x14ac:dyDescent="0.2"/>
    <row r="1288" s="438" customFormat="1" x14ac:dyDescent="0.2"/>
    <row r="1289" s="438" customFormat="1" x14ac:dyDescent="0.2"/>
    <row r="1290" s="438" customFormat="1" x14ac:dyDescent="0.2"/>
    <row r="1291" s="438" customFormat="1" x14ac:dyDescent="0.2"/>
    <row r="1292" s="438" customFormat="1" x14ac:dyDescent="0.2"/>
    <row r="1293" s="438" customFormat="1" x14ac:dyDescent="0.2"/>
    <row r="1294" s="438" customFormat="1" x14ac:dyDescent="0.2"/>
    <row r="1295" s="438" customFormat="1" x14ac:dyDescent="0.2"/>
    <row r="1296" s="438" customFormat="1" x14ac:dyDescent="0.2"/>
    <row r="1297" s="438" customFormat="1" x14ac:dyDescent="0.2"/>
    <row r="1298" s="438" customFormat="1" x14ac:dyDescent="0.2"/>
    <row r="1299" s="438" customFormat="1" x14ac:dyDescent="0.2"/>
    <row r="1300" s="438" customFormat="1" x14ac:dyDescent="0.2"/>
    <row r="1301" s="438" customFormat="1" x14ac:dyDescent="0.2"/>
    <row r="1302" s="438" customFormat="1" x14ac:dyDescent="0.2"/>
    <row r="1303" s="438" customFormat="1" x14ac:dyDescent="0.2"/>
    <row r="1304" s="438" customFormat="1" x14ac:dyDescent="0.2"/>
    <row r="1305" s="438" customFormat="1" x14ac:dyDescent="0.2"/>
    <row r="1306" s="438" customFormat="1" x14ac:dyDescent="0.2"/>
    <row r="1307" s="438" customFormat="1" x14ac:dyDescent="0.2"/>
    <row r="1308" s="438" customFormat="1" x14ac:dyDescent="0.2"/>
    <row r="1309" s="438" customFormat="1" x14ac:dyDescent="0.2"/>
    <row r="1310" s="438" customFormat="1" x14ac:dyDescent="0.2"/>
    <row r="1311" s="438" customFormat="1" x14ac:dyDescent="0.2"/>
    <row r="1312" s="438" customFormat="1" x14ac:dyDescent="0.2"/>
    <row r="1313" s="438" customFormat="1" x14ac:dyDescent="0.2"/>
    <row r="1314" s="438" customFormat="1" x14ac:dyDescent="0.2"/>
    <row r="1315" s="438" customFormat="1" x14ac:dyDescent="0.2"/>
    <row r="1316" s="438" customFormat="1" x14ac:dyDescent="0.2"/>
    <row r="1317" s="438" customFormat="1" x14ac:dyDescent="0.2"/>
    <row r="1318" s="438" customFormat="1" x14ac:dyDescent="0.2"/>
    <row r="1319" s="438" customFormat="1" x14ac:dyDescent="0.2"/>
    <row r="1320" s="438" customFormat="1" x14ac:dyDescent="0.2"/>
    <row r="1321" s="438" customFormat="1" x14ac:dyDescent="0.2"/>
    <row r="1322" s="438" customFormat="1" x14ac:dyDescent="0.2"/>
    <row r="1323" s="438" customFormat="1" x14ac:dyDescent="0.2"/>
    <row r="1324" s="438" customFormat="1" x14ac:dyDescent="0.2"/>
    <row r="1325" s="438" customFormat="1" x14ac:dyDescent="0.2"/>
    <row r="1326" s="438" customFormat="1" x14ac:dyDescent="0.2"/>
    <row r="1327" s="438" customFormat="1" x14ac:dyDescent="0.2"/>
    <row r="1328" s="438" customFormat="1" x14ac:dyDescent="0.2"/>
    <row r="1329" s="438" customFormat="1" x14ac:dyDescent="0.2"/>
    <row r="1330" s="438" customFormat="1" x14ac:dyDescent="0.2"/>
    <row r="1331" s="438" customFormat="1" x14ac:dyDescent="0.2"/>
    <row r="1332" s="438" customFormat="1" x14ac:dyDescent="0.2"/>
    <row r="1333" s="438" customFormat="1" x14ac:dyDescent="0.2"/>
    <row r="1334" s="438" customFormat="1" x14ac:dyDescent="0.2"/>
    <row r="1335" s="438" customFormat="1" x14ac:dyDescent="0.2"/>
    <row r="1336" s="438" customFormat="1" x14ac:dyDescent="0.2"/>
    <row r="1337" s="438" customFormat="1" x14ac:dyDescent="0.2"/>
    <row r="1338" s="438" customFormat="1" x14ac:dyDescent="0.2"/>
    <row r="1339" s="438" customFormat="1" x14ac:dyDescent="0.2"/>
    <row r="1340" s="438" customFormat="1" x14ac:dyDescent="0.2"/>
    <row r="1341" s="438" customFormat="1" x14ac:dyDescent="0.2"/>
    <row r="1342" s="438" customFormat="1" x14ac:dyDescent="0.2"/>
    <row r="1343" s="438" customFormat="1" x14ac:dyDescent="0.2"/>
    <row r="1344" s="438" customFormat="1" x14ac:dyDescent="0.2"/>
    <row r="1345" s="438" customFormat="1" x14ac:dyDescent="0.2"/>
    <row r="1346" s="438" customFormat="1" x14ac:dyDescent="0.2"/>
    <row r="1347" s="438" customFormat="1" x14ac:dyDescent="0.2"/>
    <row r="1348" s="438" customFormat="1" x14ac:dyDescent="0.2"/>
    <row r="1349" s="438" customFormat="1" x14ac:dyDescent="0.2"/>
    <row r="1350" s="438" customFormat="1" x14ac:dyDescent="0.2"/>
    <row r="1351" s="438" customFormat="1" x14ac:dyDescent="0.2"/>
    <row r="1352" s="438" customFormat="1" x14ac:dyDescent="0.2"/>
    <row r="1353" s="438" customFormat="1" x14ac:dyDescent="0.2"/>
    <row r="1354" s="438" customFormat="1" x14ac:dyDescent="0.2"/>
    <row r="1355" s="438" customFormat="1" x14ac:dyDescent="0.2"/>
    <row r="1356" s="438" customFormat="1" x14ac:dyDescent="0.2"/>
    <row r="1357" s="438" customFormat="1" x14ac:dyDescent="0.2"/>
    <row r="1358" s="438" customFormat="1" x14ac:dyDescent="0.2"/>
    <row r="1359" s="438" customFormat="1" x14ac:dyDescent="0.2"/>
    <row r="1360" s="438" customFormat="1" x14ac:dyDescent="0.2"/>
    <row r="1361" s="438" customFormat="1" x14ac:dyDescent="0.2"/>
    <row r="1362" s="438" customFormat="1" x14ac:dyDescent="0.2"/>
    <row r="1363" s="438" customFormat="1" x14ac:dyDescent="0.2"/>
    <row r="1364" s="438" customFormat="1" x14ac:dyDescent="0.2"/>
    <row r="1365" s="438" customFormat="1" x14ac:dyDescent="0.2"/>
    <row r="1366" s="438" customFormat="1" x14ac:dyDescent="0.2"/>
    <row r="1367" s="438" customFormat="1" x14ac:dyDescent="0.2"/>
    <row r="1368" s="438" customFormat="1" x14ac:dyDescent="0.2"/>
    <row r="1369" s="438" customFormat="1" x14ac:dyDescent="0.2"/>
    <row r="1370" s="438" customFormat="1" x14ac:dyDescent="0.2"/>
    <row r="1371" s="438" customFormat="1" x14ac:dyDescent="0.2"/>
    <row r="1372" s="438" customFormat="1" x14ac:dyDescent="0.2"/>
    <row r="1373" s="438" customFormat="1" x14ac:dyDescent="0.2"/>
    <row r="1374" s="438" customFormat="1" x14ac:dyDescent="0.2"/>
    <row r="1375" s="438" customFormat="1" x14ac:dyDescent="0.2"/>
    <row r="1376" s="438" customFormat="1" x14ac:dyDescent="0.2"/>
    <row r="1377" s="438" customFormat="1" x14ac:dyDescent="0.2"/>
    <row r="1378" s="438" customFormat="1" x14ac:dyDescent="0.2"/>
    <row r="1379" s="438" customFormat="1" x14ac:dyDescent="0.2"/>
    <row r="1380" s="438" customFormat="1" x14ac:dyDescent="0.2"/>
    <row r="1381" s="438" customFormat="1" x14ac:dyDescent="0.2"/>
    <row r="1382" s="438" customFormat="1" x14ac:dyDescent="0.2"/>
    <row r="1383" s="438" customFormat="1" x14ac:dyDescent="0.2"/>
    <row r="1384" s="438" customFormat="1" x14ac:dyDescent="0.2"/>
    <row r="1385" s="438" customFormat="1" x14ac:dyDescent="0.2"/>
    <row r="1386" s="438" customFormat="1" x14ac:dyDescent="0.2"/>
    <row r="1387" s="438" customFormat="1" x14ac:dyDescent="0.2"/>
    <row r="1388" s="438" customFormat="1" x14ac:dyDescent="0.2"/>
    <row r="1389" s="438" customFormat="1" x14ac:dyDescent="0.2"/>
    <row r="1390" s="438" customFormat="1" x14ac:dyDescent="0.2"/>
    <row r="1391" s="438" customFormat="1" x14ac:dyDescent="0.2"/>
    <row r="1392" s="438" customFormat="1" x14ac:dyDescent="0.2"/>
    <row r="1393" s="438" customFormat="1" x14ac:dyDescent="0.2"/>
    <row r="1394" s="438" customFormat="1" x14ac:dyDescent="0.2"/>
    <row r="1395" s="438" customFormat="1" x14ac:dyDescent="0.2"/>
    <row r="1396" s="438" customFormat="1" x14ac:dyDescent="0.2"/>
    <row r="1397" s="438" customFormat="1" x14ac:dyDescent="0.2"/>
    <row r="1398" s="438" customFormat="1" x14ac:dyDescent="0.2"/>
    <row r="1399" s="438" customFormat="1" x14ac:dyDescent="0.2"/>
    <row r="1400" s="438" customFormat="1" x14ac:dyDescent="0.2"/>
    <row r="1401" s="438" customFormat="1" x14ac:dyDescent="0.2"/>
    <row r="1402" s="438" customFormat="1" x14ac:dyDescent="0.2"/>
    <row r="1403" s="438" customFormat="1" x14ac:dyDescent="0.2"/>
    <row r="1404" s="438" customFormat="1" x14ac:dyDescent="0.2"/>
    <row r="1405" s="438" customFormat="1" x14ac:dyDescent="0.2"/>
    <row r="1406" s="438" customFormat="1" x14ac:dyDescent="0.2"/>
    <row r="1407" s="438" customFormat="1" x14ac:dyDescent="0.2"/>
    <row r="1408" s="438" customFormat="1" x14ac:dyDescent="0.2"/>
    <row r="1409" s="438" customFormat="1" x14ac:dyDescent="0.2"/>
    <row r="1410" s="438" customFormat="1" x14ac:dyDescent="0.2"/>
    <row r="1411" s="438" customFormat="1" x14ac:dyDescent="0.2"/>
    <row r="1412" s="438" customFormat="1" x14ac:dyDescent="0.2"/>
    <row r="1413" s="438" customFormat="1" x14ac:dyDescent="0.2"/>
    <row r="1414" s="438" customFormat="1" x14ac:dyDescent="0.2"/>
    <row r="1415" s="438" customFormat="1" x14ac:dyDescent="0.2"/>
    <row r="1416" s="438" customFormat="1" x14ac:dyDescent="0.2"/>
    <row r="1417" s="438" customFormat="1" x14ac:dyDescent="0.2"/>
    <row r="1418" s="438" customFormat="1" x14ac:dyDescent="0.2"/>
    <row r="1419" s="438" customFormat="1" x14ac:dyDescent="0.2"/>
    <row r="1420" s="438" customFormat="1" x14ac:dyDescent="0.2"/>
    <row r="1421" s="438" customFormat="1" x14ac:dyDescent="0.2"/>
    <row r="1422" s="438" customFormat="1" x14ac:dyDescent="0.2"/>
    <row r="1423" s="438" customFormat="1" x14ac:dyDescent="0.2"/>
    <row r="1424" s="438" customFormat="1" x14ac:dyDescent="0.2"/>
    <row r="1425" s="438" customFormat="1" x14ac:dyDescent="0.2"/>
    <row r="1426" s="438" customFormat="1" x14ac:dyDescent="0.2"/>
    <row r="1427" s="438" customFormat="1" x14ac:dyDescent="0.2"/>
    <row r="1428" s="438" customFormat="1" x14ac:dyDescent="0.2"/>
    <row r="1429" s="438" customFormat="1" x14ac:dyDescent="0.2"/>
    <row r="1430" s="438" customFormat="1" x14ac:dyDescent="0.2"/>
    <row r="1431" s="438" customFormat="1" x14ac:dyDescent="0.2"/>
    <row r="1432" s="438" customFormat="1" x14ac:dyDescent="0.2"/>
    <row r="1433" s="438" customFormat="1" x14ac:dyDescent="0.2"/>
    <row r="1434" s="438" customFormat="1" x14ac:dyDescent="0.2"/>
    <row r="1435" s="438" customFormat="1" x14ac:dyDescent="0.2"/>
    <row r="1436" s="438" customFormat="1" x14ac:dyDescent="0.2"/>
    <row r="1437" s="438" customFormat="1" x14ac:dyDescent="0.2"/>
    <row r="1438" s="438" customFormat="1" x14ac:dyDescent="0.2"/>
    <row r="1439" s="438" customFormat="1" x14ac:dyDescent="0.2"/>
    <row r="1440" s="438" customFormat="1" x14ac:dyDescent="0.2"/>
    <row r="1441" s="438" customFormat="1" x14ac:dyDescent="0.2"/>
    <row r="1442" s="438" customFormat="1" x14ac:dyDescent="0.2"/>
    <row r="1443" s="438" customFormat="1" x14ac:dyDescent="0.2"/>
    <row r="1444" s="438" customFormat="1" x14ac:dyDescent="0.2"/>
    <row r="1445" s="438" customFormat="1" x14ac:dyDescent="0.2"/>
    <row r="1446" s="438" customFormat="1" x14ac:dyDescent="0.2"/>
    <row r="1447" s="438" customFormat="1" x14ac:dyDescent="0.2"/>
    <row r="1448" s="438" customFormat="1" x14ac:dyDescent="0.2"/>
    <row r="1449" s="438" customFormat="1" x14ac:dyDescent="0.2"/>
    <row r="1450" s="438" customFormat="1" x14ac:dyDescent="0.2"/>
    <row r="1451" s="438" customFormat="1" x14ac:dyDescent="0.2"/>
    <row r="1452" s="438" customFormat="1" x14ac:dyDescent="0.2"/>
    <row r="1453" s="438" customFormat="1" x14ac:dyDescent="0.2"/>
    <row r="1454" s="438" customFormat="1" x14ac:dyDescent="0.2"/>
    <row r="1455" s="438" customFormat="1" x14ac:dyDescent="0.2"/>
    <row r="1456" s="438" customFormat="1" x14ac:dyDescent="0.2"/>
    <row r="1457" s="438" customFormat="1" x14ac:dyDescent="0.2"/>
    <row r="1458" s="438" customFormat="1" x14ac:dyDescent="0.2"/>
    <row r="1459" s="438" customFormat="1" x14ac:dyDescent="0.2"/>
    <row r="1460" s="438" customFormat="1" x14ac:dyDescent="0.2"/>
    <row r="1461" s="438" customFormat="1" x14ac:dyDescent="0.2"/>
    <row r="1462" s="438" customFormat="1" x14ac:dyDescent="0.2"/>
    <row r="1463" s="438" customFormat="1" x14ac:dyDescent="0.2"/>
    <row r="1464" s="438" customFormat="1" x14ac:dyDescent="0.2"/>
    <row r="1465" s="438" customFormat="1" x14ac:dyDescent="0.2"/>
    <row r="1466" s="438" customFormat="1" x14ac:dyDescent="0.2"/>
    <row r="1467" s="438" customFormat="1" x14ac:dyDescent="0.2"/>
    <row r="1468" s="438" customFormat="1" x14ac:dyDescent="0.2"/>
    <row r="1469" s="438" customFormat="1" x14ac:dyDescent="0.2"/>
    <row r="1470" s="438" customFormat="1" x14ac:dyDescent="0.2"/>
    <row r="1471" s="438" customFormat="1" x14ac:dyDescent="0.2"/>
    <row r="1472" s="438" customFormat="1" x14ac:dyDescent="0.2"/>
    <row r="1473" s="438" customFormat="1" x14ac:dyDescent="0.2"/>
    <row r="1474" s="438" customFormat="1" x14ac:dyDescent="0.2"/>
    <row r="1475" s="438" customFormat="1" x14ac:dyDescent="0.2"/>
    <row r="1476" s="438" customFormat="1" x14ac:dyDescent="0.2"/>
    <row r="1477" s="438" customFormat="1" x14ac:dyDescent="0.2"/>
    <row r="1478" s="438" customFormat="1" x14ac:dyDescent="0.2"/>
    <row r="1479" s="438" customFormat="1" x14ac:dyDescent="0.2"/>
    <row r="1480" s="438" customFormat="1" x14ac:dyDescent="0.2"/>
    <row r="1481" s="438" customFormat="1" x14ac:dyDescent="0.2"/>
    <row r="1482" s="438" customFormat="1" x14ac:dyDescent="0.2"/>
    <row r="1483" s="438" customFormat="1" x14ac:dyDescent="0.2"/>
    <row r="1484" s="438" customFormat="1" x14ac:dyDescent="0.2"/>
    <row r="1485" s="438" customFormat="1" x14ac:dyDescent="0.2"/>
    <row r="1486" s="438" customFormat="1" x14ac:dyDescent="0.2"/>
    <row r="1487" s="438" customFormat="1" x14ac:dyDescent="0.2"/>
    <row r="1488" s="438" customFormat="1" x14ac:dyDescent="0.2"/>
    <row r="1489" s="438" customFormat="1" x14ac:dyDescent="0.2"/>
    <row r="1490" s="438" customFormat="1" x14ac:dyDescent="0.2"/>
    <row r="1491" s="438" customFormat="1" x14ac:dyDescent="0.2"/>
    <row r="1492" s="438" customFormat="1" x14ac:dyDescent="0.2"/>
    <row r="1493" s="438" customFormat="1" x14ac:dyDescent="0.2"/>
    <row r="1494" s="438" customFormat="1" x14ac:dyDescent="0.2"/>
    <row r="1495" s="438" customFormat="1" x14ac:dyDescent="0.2"/>
    <row r="1496" s="438" customFormat="1" x14ac:dyDescent="0.2"/>
    <row r="1497" s="438" customFormat="1" x14ac:dyDescent="0.2"/>
    <row r="1498" s="438" customFormat="1" x14ac:dyDescent="0.2"/>
    <row r="1499" s="438" customFormat="1" x14ac:dyDescent="0.2"/>
    <row r="1500" s="438" customFormat="1" x14ac:dyDescent="0.2"/>
    <row r="1501" s="438" customFormat="1" x14ac:dyDescent="0.2"/>
    <row r="1502" s="438" customFormat="1" x14ac:dyDescent="0.2"/>
    <row r="1503" s="438" customFormat="1" x14ac:dyDescent="0.2"/>
    <row r="1504" s="438" customFormat="1" x14ac:dyDescent="0.2"/>
    <row r="1505" s="438" customFormat="1" x14ac:dyDescent="0.2"/>
    <row r="1506" s="438" customFormat="1" x14ac:dyDescent="0.2"/>
    <row r="1507" s="438" customFormat="1" x14ac:dyDescent="0.2"/>
    <row r="1508" s="438" customFormat="1" x14ac:dyDescent="0.2"/>
    <row r="1509" s="438" customFormat="1" x14ac:dyDescent="0.2"/>
    <row r="1510" s="438" customFormat="1" x14ac:dyDescent="0.2"/>
    <row r="1511" s="438" customFormat="1" x14ac:dyDescent="0.2"/>
    <row r="1512" s="438" customFormat="1" x14ac:dyDescent="0.2"/>
    <row r="1513" s="438" customFormat="1" x14ac:dyDescent="0.2"/>
    <row r="1514" s="438" customFormat="1" x14ac:dyDescent="0.2"/>
    <row r="1515" s="438" customFormat="1" x14ac:dyDescent="0.2"/>
    <row r="1516" s="438" customFormat="1" x14ac:dyDescent="0.2"/>
    <row r="1517" s="438" customFormat="1" x14ac:dyDescent="0.2"/>
    <row r="1518" s="438" customFormat="1" x14ac:dyDescent="0.2"/>
    <row r="1519" s="438" customFormat="1" x14ac:dyDescent="0.2"/>
    <row r="1520" s="438" customFormat="1" x14ac:dyDescent="0.2"/>
    <row r="1521" s="438" customFormat="1" x14ac:dyDescent="0.2"/>
    <row r="1522" s="438" customFormat="1" x14ac:dyDescent="0.2"/>
    <row r="1523" s="438" customFormat="1" x14ac:dyDescent="0.2"/>
    <row r="1524" s="438" customFormat="1" x14ac:dyDescent="0.2"/>
    <row r="1525" s="438" customFormat="1" x14ac:dyDescent="0.2"/>
    <row r="1526" s="438" customFormat="1" x14ac:dyDescent="0.2"/>
    <row r="1527" s="438" customFormat="1" x14ac:dyDescent="0.2"/>
    <row r="1528" s="438" customFormat="1" x14ac:dyDescent="0.2"/>
    <row r="1529" s="438" customFormat="1" x14ac:dyDescent="0.2"/>
    <row r="1530" s="438" customFormat="1" x14ac:dyDescent="0.2"/>
    <row r="1531" s="438" customFormat="1" x14ac:dyDescent="0.2"/>
    <row r="1532" s="438" customFormat="1" x14ac:dyDescent="0.2"/>
    <row r="1533" s="438" customFormat="1" x14ac:dyDescent="0.2"/>
    <row r="1534" s="438" customFormat="1" x14ac:dyDescent="0.2"/>
    <row r="1535" s="438" customFormat="1" x14ac:dyDescent="0.2"/>
    <row r="1536" s="438" customFormat="1" x14ac:dyDescent="0.2"/>
    <row r="1537" s="438" customFormat="1" x14ac:dyDescent="0.2"/>
    <row r="1538" s="438" customFormat="1" x14ac:dyDescent="0.2"/>
    <row r="1539" s="438" customFormat="1" x14ac:dyDescent="0.2"/>
    <row r="1540" s="438" customFormat="1" x14ac:dyDescent="0.2"/>
    <row r="1541" s="438" customFormat="1" x14ac:dyDescent="0.2"/>
    <row r="1542" s="438" customFormat="1" x14ac:dyDescent="0.2"/>
    <row r="1543" s="438" customFormat="1" x14ac:dyDescent="0.2"/>
    <row r="1544" s="438" customFormat="1" x14ac:dyDescent="0.2"/>
    <row r="1545" s="438" customFormat="1" x14ac:dyDescent="0.2"/>
    <row r="1546" s="438" customFormat="1" x14ac:dyDescent="0.2"/>
    <row r="1547" s="438" customFormat="1" x14ac:dyDescent="0.2"/>
    <row r="1548" s="438" customFormat="1" x14ac:dyDescent="0.2"/>
    <row r="1549" s="438" customFormat="1" x14ac:dyDescent="0.2"/>
    <row r="1550" s="438" customFormat="1" x14ac:dyDescent="0.2"/>
    <row r="1551" s="438" customFormat="1" x14ac:dyDescent="0.2"/>
    <row r="1552" s="438" customFormat="1" x14ac:dyDescent="0.2"/>
    <row r="1553" s="438" customFormat="1" x14ac:dyDescent="0.2"/>
    <row r="1554" s="438" customFormat="1" x14ac:dyDescent="0.2"/>
    <row r="1555" s="438" customFormat="1" x14ac:dyDescent="0.2"/>
    <row r="1556" s="438" customFormat="1" x14ac:dyDescent="0.2"/>
    <row r="1557" s="438" customFormat="1" x14ac:dyDescent="0.2"/>
    <row r="1558" s="438" customFormat="1" x14ac:dyDescent="0.2"/>
    <row r="1559" s="438" customFormat="1" x14ac:dyDescent="0.2"/>
    <row r="1560" s="438" customFormat="1" x14ac:dyDescent="0.2"/>
    <row r="1561" s="438" customFormat="1" x14ac:dyDescent="0.2"/>
    <row r="1562" s="438" customFormat="1" x14ac:dyDescent="0.2"/>
    <row r="1563" s="438" customFormat="1" x14ac:dyDescent="0.2"/>
    <row r="1564" s="438" customFormat="1" x14ac:dyDescent="0.2"/>
    <row r="1565" s="438" customFormat="1" x14ac:dyDescent="0.2"/>
    <row r="1566" s="438" customFormat="1" x14ac:dyDescent="0.2"/>
    <row r="1567" s="438" customFormat="1" x14ac:dyDescent="0.2"/>
    <row r="1568" s="438" customFormat="1" x14ac:dyDescent="0.2"/>
    <row r="1569" s="438" customFormat="1" x14ac:dyDescent="0.2"/>
    <row r="1570" s="438" customFormat="1" x14ac:dyDescent="0.2"/>
    <row r="1571" s="438" customFormat="1" x14ac:dyDescent="0.2"/>
    <row r="1572" s="438" customFormat="1" x14ac:dyDescent="0.2"/>
    <row r="1573" s="438" customFormat="1" x14ac:dyDescent="0.2"/>
    <row r="1574" s="438" customFormat="1" x14ac:dyDescent="0.2"/>
    <row r="1575" s="438" customFormat="1" x14ac:dyDescent="0.2"/>
    <row r="1576" s="438" customFormat="1" x14ac:dyDescent="0.2"/>
    <row r="1577" s="438" customFormat="1" x14ac:dyDescent="0.2"/>
    <row r="1578" s="438" customFormat="1" x14ac:dyDescent="0.2"/>
    <row r="1579" s="438" customFormat="1" x14ac:dyDescent="0.2"/>
    <row r="1580" s="438" customFormat="1" x14ac:dyDescent="0.2"/>
    <row r="1581" s="438" customFormat="1" x14ac:dyDescent="0.2"/>
    <row r="1582" s="438" customFormat="1" x14ac:dyDescent="0.2"/>
    <row r="1583" s="438" customFormat="1" x14ac:dyDescent="0.2"/>
    <row r="1584" s="438" customFormat="1" x14ac:dyDescent="0.2"/>
    <row r="1585" s="438" customFormat="1" x14ac:dyDescent="0.2"/>
    <row r="1586" s="438" customFormat="1" x14ac:dyDescent="0.2"/>
    <row r="1587" s="438" customFormat="1" x14ac:dyDescent="0.2"/>
    <row r="1588" s="438" customFormat="1" x14ac:dyDescent="0.2"/>
    <row r="1589" s="438" customFormat="1" x14ac:dyDescent="0.2"/>
    <row r="1590" s="438" customFormat="1" x14ac:dyDescent="0.2"/>
    <row r="1591" s="438" customFormat="1" x14ac:dyDescent="0.2"/>
    <row r="1592" s="438" customFormat="1" x14ac:dyDescent="0.2"/>
    <row r="1593" s="438" customFormat="1" x14ac:dyDescent="0.2"/>
    <row r="1594" s="438" customFormat="1" x14ac:dyDescent="0.2"/>
    <row r="1595" s="438" customFormat="1" x14ac:dyDescent="0.2"/>
    <row r="1596" s="438" customFormat="1" x14ac:dyDescent="0.2"/>
    <row r="1597" s="438" customFormat="1" x14ac:dyDescent="0.2"/>
    <row r="1598" s="438" customFormat="1" x14ac:dyDescent="0.2"/>
    <row r="1599" s="438" customFormat="1" x14ac:dyDescent="0.2"/>
    <row r="1600" s="438" customFormat="1" x14ac:dyDescent="0.2"/>
    <row r="1601" s="438" customFormat="1" x14ac:dyDescent="0.2"/>
    <row r="1602" s="438" customFormat="1" x14ac:dyDescent="0.2"/>
    <row r="1603" s="438" customFormat="1" x14ac:dyDescent="0.2"/>
    <row r="1604" s="438" customFormat="1" x14ac:dyDescent="0.2"/>
    <row r="1605" s="438" customFormat="1" x14ac:dyDescent="0.2"/>
    <row r="1606" s="438" customFormat="1" x14ac:dyDescent="0.2"/>
    <row r="1607" s="438" customFormat="1" x14ac:dyDescent="0.2"/>
    <row r="1608" s="438" customFormat="1" x14ac:dyDescent="0.2"/>
    <row r="1609" s="438" customFormat="1" x14ac:dyDescent="0.2"/>
    <row r="1610" s="438" customFormat="1" x14ac:dyDescent="0.2"/>
    <row r="1611" s="438" customFormat="1" x14ac:dyDescent="0.2"/>
    <row r="1612" s="438" customFormat="1" x14ac:dyDescent="0.2"/>
    <row r="1613" s="438" customFormat="1" x14ac:dyDescent="0.2"/>
    <row r="1614" s="438" customFormat="1" x14ac:dyDescent="0.2"/>
    <row r="1615" s="438" customFormat="1" x14ac:dyDescent="0.2"/>
    <row r="1616" s="438" customFormat="1" x14ac:dyDescent="0.2"/>
    <row r="1617" s="438" customFormat="1" x14ac:dyDescent="0.2"/>
    <row r="1618" s="438" customFormat="1" x14ac:dyDescent="0.2"/>
    <row r="1619" s="438" customFormat="1" x14ac:dyDescent="0.2"/>
    <row r="1620" s="438" customFormat="1" x14ac:dyDescent="0.2"/>
    <row r="1621" s="438" customFormat="1" x14ac:dyDescent="0.2"/>
    <row r="1622" s="438" customFormat="1" x14ac:dyDescent="0.2"/>
    <row r="1623" s="438" customFormat="1" x14ac:dyDescent="0.2"/>
    <row r="1624" s="438" customFormat="1" x14ac:dyDescent="0.2"/>
    <row r="1625" s="438" customFormat="1" x14ac:dyDescent="0.2"/>
    <row r="1626" s="438" customFormat="1" x14ac:dyDescent="0.2"/>
    <row r="1627" s="438" customFormat="1" x14ac:dyDescent="0.2"/>
    <row r="1628" s="438" customFormat="1" x14ac:dyDescent="0.2"/>
    <row r="1629" s="438" customFormat="1" x14ac:dyDescent="0.2"/>
    <row r="1630" s="438" customFormat="1" x14ac:dyDescent="0.2"/>
    <row r="1631" s="438" customFormat="1" x14ac:dyDescent="0.2"/>
    <row r="1632" s="438" customFormat="1" x14ac:dyDescent="0.2"/>
    <row r="1633" s="438" customFormat="1" x14ac:dyDescent="0.2"/>
    <row r="1634" s="438" customFormat="1" x14ac:dyDescent="0.2"/>
    <row r="1635" s="438" customFormat="1" x14ac:dyDescent="0.2"/>
    <row r="1636" s="438" customFormat="1" x14ac:dyDescent="0.2"/>
    <row r="1637" s="438" customFormat="1" x14ac:dyDescent="0.2"/>
    <row r="1638" s="438" customFormat="1" x14ac:dyDescent="0.2"/>
    <row r="1639" s="438" customFormat="1" x14ac:dyDescent="0.2"/>
    <row r="1640" s="438" customFormat="1" x14ac:dyDescent="0.2"/>
    <row r="1641" s="438" customFormat="1" x14ac:dyDescent="0.2"/>
    <row r="1642" s="438" customFormat="1" x14ac:dyDescent="0.2"/>
    <row r="1643" s="438" customFormat="1" x14ac:dyDescent="0.2"/>
    <row r="1644" s="438" customFormat="1" x14ac:dyDescent="0.2"/>
    <row r="1645" s="438" customFormat="1" x14ac:dyDescent="0.2"/>
    <row r="1646" s="438" customFormat="1" x14ac:dyDescent="0.2"/>
    <row r="1647" s="438" customFormat="1" x14ac:dyDescent="0.2"/>
    <row r="1648" s="438" customFormat="1" x14ac:dyDescent="0.2"/>
    <row r="1649" s="438" customFormat="1" x14ac:dyDescent="0.2"/>
    <row r="1650" s="438" customFormat="1" x14ac:dyDescent="0.2"/>
    <row r="1651" s="438" customFormat="1" x14ac:dyDescent="0.2"/>
    <row r="1652" s="438" customFormat="1" x14ac:dyDescent="0.2"/>
    <row r="1653" s="438" customFormat="1" x14ac:dyDescent="0.2"/>
    <row r="1654" s="438" customFormat="1" x14ac:dyDescent="0.2"/>
    <row r="1655" s="438" customFormat="1" x14ac:dyDescent="0.2"/>
    <row r="1656" s="438" customFormat="1" x14ac:dyDescent="0.2"/>
    <row r="1657" s="438" customFormat="1" x14ac:dyDescent="0.2"/>
  </sheetData>
  <mergeCells count="24">
    <mergeCell ref="C44:N44"/>
    <mergeCell ref="C40:N40"/>
    <mergeCell ref="C41:N41"/>
    <mergeCell ref="C36:N36"/>
    <mergeCell ref="C39:N39"/>
    <mergeCell ref="C42:N42"/>
    <mergeCell ref="C43:N43"/>
    <mergeCell ref="C27:N27"/>
    <mergeCell ref="C28:N28"/>
    <mergeCell ref="C29:N29"/>
    <mergeCell ref="C34:N34"/>
    <mergeCell ref="C35:N35"/>
    <mergeCell ref="C30:N30"/>
    <mergeCell ref="C31:N31"/>
    <mergeCell ref="C33:N33"/>
    <mergeCell ref="C32:N32"/>
    <mergeCell ref="C25:N25"/>
    <mergeCell ref="C26:N26"/>
    <mergeCell ref="B2:C4"/>
    <mergeCell ref="J3:N3"/>
    <mergeCell ref="P3:T3"/>
    <mergeCell ref="B24:T24"/>
    <mergeCell ref="D3:H3"/>
    <mergeCell ref="D2:T2"/>
  </mergeCells>
  <phoneticPr fontId="1" type="noConversion"/>
  <pageMargins left="0.75" right="0.75" top="1" bottom="1" header="0.5" footer="0.5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30"/>
  <sheetViews>
    <sheetView workbookViewId="0">
      <selection activeCell="B3" sqref="B3:D4"/>
    </sheetView>
  </sheetViews>
  <sheetFormatPr defaultRowHeight="12.75" x14ac:dyDescent="0.2"/>
  <cols>
    <col min="1" max="1" width="3" style="3" customWidth="1"/>
    <col min="2" max="2" width="4" style="104" customWidth="1"/>
    <col min="3" max="3" width="6.42578125" style="3" customWidth="1"/>
    <col min="4" max="4" width="49" style="3" customWidth="1"/>
    <col min="5" max="5" width="16" style="2" customWidth="1"/>
    <col min="6" max="6" width="2.140625" style="2" customWidth="1"/>
    <col min="7" max="7" width="14.5703125" style="2" customWidth="1"/>
    <col min="8" max="8" width="2.28515625" style="2" customWidth="1"/>
    <col min="9" max="9" width="13.28515625" style="2" customWidth="1"/>
    <col min="10" max="11" width="9.140625" style="2"/>
    <col min="12" max="16384" width="9.140625" style="3"/>
  </cols>
  <sheetData>
    <row r="1" spans="2:11" x14ac:dyDescent="0.2">
      <c r="E1" s="438"/>
      <c r="G1" s="438"/>
      <c r="I1" s="438"/>
    </row>
    <row r="2" spans="2:11" ht="54.75" customHeight="1" x14ac:dyDescent="0.35">
      <c r="B2" s="648" t="s">
        <v>1203</v>
      </c>
      <c r="C2" s="648"/>
      <c r="D2" s="648"/>
      <c r="E2" s="648"/>
      <c r="F2" s="648"/>
      <c r="G2" s="648"/>
      <c r="H2" s="648"/>
      <c r="I2" s="648"/>
    </row>
    <row r="3" spans="2:11" ht="15" customHeight="1" x14ac:dyDescent="0.2">
      <c r="B3" s="649" t="s">
        <v>43</v>
      </c>
      <c r="C3" s="650"/>
      <c r="D3" s="650"/>
      <c r="E3" s="655" t="s">
        <v>1132</v>
      </c>
      <c r="G3" s="655" t="s">
        <v>1133</v>
      </c>
      <c r="I3" s="655" t="s">
        <v>1134</v>
      </c>
    </row>
    <row r="4" spans="2:11" x14ac:dyDescent="0.2">
      <c r="B4" s="651"/>
      <c r="C4" s="652"/>
      <c r="D4" s="652"/>
      <c r="E4" s="656"/>
      <c r="G4" s="656"/>
      <c r="I4" s="656"/>
    </row>
    <row r="5" spans="2:11" x14ac:dyDescent="0.2">
      <c r="B5" s="653" t="s">
        <v>118</v>
      </c>
      <c r="C5" s="658" t="s">
        <v>442</v>
      </c>
      <c r="D5" s="662" t="s">
        <v>119</v>
      </c>
      <c r="E5" s="656"/>
      <c r="G5" s="656"/>
      <c r="I5" s="656"/>
    </row>
    <row r="6" spans="2:11" ht="3.75" customHeight="1" x14ac:dyDescent="0.2">
      <c r="B6" s="654"/>
      <c r="C6" s="659"/>
      <c r="D6" s="663"/>
      <c r="E6" s="657"/>
      <c r="G6" s="657"/>
      <c r="I6" s="657"/>
    </row>
    <row r="7" spans="2:11" ht="16.5" thickBot="1" x14ac:dyDescent="0.3">
      <c r="B7" s="4">
        <v>1</v>
      </c>
      <c r="C7" s="5">
        <v>100</v>
      </c>
      <c r="D7" s="5" t="s">
        <v>266</v>
      </c>
      <c r="E7" s="6">
        <f>E8</f>
        <v>43595000</v>
      </c>
      <c r="G7" s="6">
        <f>G8</f>
        <v>45149900</v>
      </c>
      <c r="I7" s="6">
        <f>I8</f>
        <v>48263034</v>
      </c>
    </row>
    <row r="8" spans="2:11" s="13" customFormat="1" ht="15" thickBot="1" x14ac:dyDescent="0.25">
      <c r="B8" s="8">
        <f>B7+1</f>
        <v>2</v>
      </c>
      <c r="C8" s="9"/>
      <c r="D8" s="9" t="s">
        <v>42</v>
      </c>
      <c r="E8" s="10">
        <f>E9+E11+E16</f>
        <v>43595000</v>
      </c>
      <c r="F8" s="12"/>
      <c r="G8" s="10">
        <f>G9+G11+G16</f>
        <v>45149900</v>
      </c>
      <c r="H8" s="12"/>
      <c r="I8" s="10">
        <f>I9+I11+I16</f>
        <v>48263034</v>
      </c>
      <c r="J8" s="12"/>
      <c r="K8" s="12"/>
    </row>
    <row r="9" spans="2:11" x14ac:dyDescent="0.2">
      <c r="B9" s="4">
        <f>B8+1</f>
        <v>3</v>
      </c>
      <c r="C9" s="14">
        <v>110</v>
      </c>
      <c r="D9" s="14" t="s">
        <v>267</v>
      </c>
      <c r="E9" s="15">
        <f>E10</f>
        <v>28100000</v>
      </c>
      <c r="G9" s="15">
        <f>G10</f>
        <v>29431000</v>
      </c>
      <c r="I9" s="15">
        <f>I10</f>
        <v>32180000</v>
      </c>
    </row>
    <row r="10" spans="2:11" x14ac:dyDescent="0.2">
      <c r="B10" s="4">
        <f t="shared" ref="B10:B68" si="0">B9+1</f>
        <v>4</v>
      </c>
      <c r="C10" s="18">
        <v>111003</v>
      </c>
      <c r="D10" s="18" t="s">
        <v>265</v>
      </c>
      <c r="E10" s="19">
        <f>'Príjmy 2024'!E10</f>
        <v>28100000</v>
      </c>
      <c r="G10" s="19">
        <v>29431000</v>
      </c>
      <c r="I10" s="19">
        <v>32180000</v>
      </c>
    </row>
    <row r="11" spans="2:11" x14ac:dyDescent="0.2">
      <c r="B11" s="4">
        <f t="shared" si="0"/>
        <v>5</v>
      </c>
      <c r="C11" s="21">
        <v>120</v>
      </c>
      <c r="D11" s="21" t="s">
        <v>269</v>
      </c>
      <c r="E11" s="22">
        <f>E12</f>
        <v>11600000</v>
      </c>
      <c r="G11" s="22">
        <f>G12</f>
        <v>11800000</v>
      </c>
      <c r="I11" s="22">
        <f>I12</f>
        <v>11980000</v>
      </c>
    </row>
    <row r="12" spans="2:11" x14ac:dyDescent="0.2">
      <c r="B12" s="4">
        <f t="shared" si="0"/>
        <v>6</v>
      </c>
      <c r="C12" s="24"/>
      <c r="D12" s="24" t="s">
        <v>438</v>
      </c>
      <c r="E12" s="25">
        <f>SUM(E13:E15)</f>
        <v>11600000</v>
      </c>
      <c r="G12" s="25">
        <f>SUM(G13:G15)</f>
        <v>11800000</v>
      </c>
      <c r="I12" s="25">
        <f>SUM(I13:I15)</f>
        <v>11980000</v>
      </c>
    </row>
    <row r="13" spans="2:11" x14ac:dyDescent="0.2">
      <c r="B13" s="4">
        <f t="shared" si="0"/>
        <v>7</v>
      </c>
      <c r="C13" s="18">
        <v>121001</v>
      </c>
      <c r="D13" s="18" t="s">
        <v>268</v>
      </c>
      <c r="E13" s="19">
        <f>'Príjmy 2024'!E13</f>
        <v>1225000</v>
      </c>
      <c r="G13" s="19">
        <v>1300000</v>
      </c>
      <c r="I13" s="19">
        <v>1350000</v>
      </c>
    </row>
    <row r="14" spans="2:11" x14ac:dyDescent="0.2">
      <c r="B14" s="4">
        <f t="shared" si="0"/>
        <v>8</v>
      </c>
      <c r="C14" s="18">
        <v>121002</v>
      </c>
      <c r="D14" s="18" t="s">
        <v>270</v>
      </c>
      <c r="E14" s="19">
        <f>'Príjmy 2024'!E14</f>
        <v>9040000</v>
      </c>
      <c r="G14" s="19">
        <v>9100000</v>
      </c>
      <c r="I14" s="19">
        <v>9200000</v>
      </c>
    </row>
    <row r="15" spans="2:11" x14ac:dyDescent="0.2">
      <c r="B15" s="4">
        <f t="shared" si="0"/>
        <v>9</v>
      </c>
      <c r="C15" s="18">
        <v>121003</v>
      </c>
      <c r="D15" s="18" t="s">
        <v>271</v>
      </c>
      <c r="E15" s="19">
        <f>'Príjmy 2024'!E15</f>
        <v>1335000</v>
      </c>
      <c r="G15" s="19">
        <v>1400000</v>
      </c>
      <c r="I15" s="19">
        <v>1430000</v>
      </c>
    </row>
    <row r="16" spans="2:11" x14ac:dyDescent="0.2">
      <c r="B16" s="4">
        <f t="shared" si="0"/>
        <v>10</v>
      </c>
      <c r="C16" s="21">
        <v>130</v>
      </c>
      <c r="D16" s="21" t="s">
        <v>272</v>
      </c>
      <c r="E16" s="22">
        <f>SUM(E17:E20)</f>
        <v>3895000</v>
      </c>
      <c r="G16" s="22">
        <f>SUM(G17:G20)</f>
        <v>3918900</v>
      </c>
      <c r="I16" s="22">
        <f>SUM(I17:I20)</f>
        <v>4103034</v>
      </c>
    </row>
    <row r="17" spans="2:9" x14ac:dyDescent="0.2">
      <c r="B17" s="4">
        <f t="shared" si="0"/>
        <v>11</v>
      </c>
      <c r="C17" s="18">
        <v>133001</v>
      </c>
      <c r="D17" s="18" t="s">
        <v>434</v>
      </c>
      <c r="E17" s="19">
        <f>'Príjmy 2024'!E17</f>
        <v>65000</v>
      </c>
      <c r="G17" s="19">
        <f>E17*1.06</f>
        <v>68900</v>
      </c>
      <c r="I17" s="19">
        <f>G17*1.06</f>
        <v>73034</v>
      </c>
    </row>
    <row r="18" spans="2:9" x14ac:dyDescent="0.2">
      <c r="B18" s="4">
        <f t="shared" si="0"/>
        <v>12</v>
      </c>
      <c r="C18" s="18">
        <v>133006</v>
      </c>
      <c r="D18" s="18" t="s">
        <v>435</v>
      </c>
      <c r="E18" s="19">
        <f>'Príjmy 2024'!E18</f>
        <v>200000</v>
      </c>
      <c r="G18" s="19">
        <v>220000</v>
      </c>
      <c r="I18" s="19">
        <v>300000</v>
      </c>
    </row>
    <row r="19" spans="2:9" x14ac:dyDescent="0.2">
      <c r="B19" s="4">
        <f t="shared" si="0"/>
        <v>13</v>
      </c>
      <c r="C19" s="27">
        <v>133012</v>
      </c>
      <c r="D19" s="27" t="s">
        <v>436</v>
      </c>
      <c r="E19" s="19">
        <f>'Príjmy 2024'!E19</f>
        <v>80000</v>
      </c>
      <c r="G19" s="28">
        <f>E19</f>
        <v>80000</v>
      </c>
      <c r="I19" s="28">
        <f>G19</f>
        <v>80000</v>
      </c>
    </row>
    <row r="20" spans="2:9" x14ac:dyDescent="0.2">
      <c r="B20" s="4">
        <f t="shared" si="0"/>
        <v>14</v>
      </c>
      <c r="C20" s="30">
        <v>133013</v>
      </c>
      <c r="D20" s="30" t="s">
        <v>437</v>
      </c>
      <c r="E20" s="19">
        <f>'Príjmy 2024'!E20</f>
        <v>3550000</v>
      </c>
      <c r="G20" s="31">
        <v>3550000</v>
      </c>
      <c r="I20" s="636">
        <v>3650000</v>
      </c>
    </row>
    <row r="21" spans="2:9" ht="16.5" thickBot="1" x14ac:dyDescent="0.3">
      <c r="B21" s="4">
        <f t="shared" si="0"/>
        <v>15</v>
      </c>
      <c r="C21" s="33">
        <v>200</v>
      </c>
      <c r="D21" s="33" t="s">
        <v>172</v>
      </c>
      <c r="E21" s="34">
        <f>E242+E235+E228+E221+E214+E207+E202+E195+E186+E149+E86+E83+E44+E41+E22</f>
        <v>9423238</v>
      </c>
      <c r="G21" s="34">
        <f>G242+G235+G228+G221+G214+G207+G202+G195+G186+G149+G86+G83+G44+G41+G22</f>
        <v>9897106.2800000012</v>
      </c>
      <c r="I21" s="34">
        <f>I242+I235+I228+I221+I214+I207+I202+I195+I186+I149+I86+I83+I44+I41+I22</f>
        <v>10537061.656800002</v>
      </c>
    </row>
    <row r="22" spans="2:9" ht="15" thickBot="1" x14ac:dyDescent="0.25">
      <c r="B22" s="4">
        <f t="shared" si="0"/>
        <v>16</v>
      </c>
      <c r="C22" s="36"/>
      <c r="D22" s="36" t="s">
        <v>42</v>
      </c>
      <c r="E22" s="37">
        <f>E23+E27+E35+E38</f>
        <v>4287790</v>
      </c>
      <c r="G22" s="37">
        <f>G23+G27+G35+G38</f>
        <v>4481595.4000000004</v>
      </c>
      <c r="I22" s="37">
        <f>I23+I27+I35+I38</f>
        <v>4792389.1239999998</v>
      </c>
    </row>
    <row r="23" spans="2:9" x14ac:dyDescent="0.2">
      <c r="B23" s="4">
        <f t="shared" si="0"/>
        <v>17</v>
      </c>
      <c r="C23" s="39">
        <v>210</v>
      </c>
      <c r="D23" s="39" t="s">
        <v>248</v>
      </c>
      <c r="E23" s="40">
        <f>SUM(E24:E26)</f>
        <v>962090</v>
      </c>
      <c r="G23" s="40">
        <f>SUM(G24:G26)</f>
        <v>1029895.4</v>
      </c>
      <c r="I23" s="40">
        <f>SUM(I24:I26)</f>
        <v>1132689.1240000001</v>
      </c>
    </row>
    <row r="24" spans="2:9" x14ac:dyDescent="0.2">
      <c r="B24" s="4">
        <f t="shared" si="0"/>
        <v>18</v>
      </c>
      <c r="C24" s="30">
        <v>212002</v>
      </c>
      <c r="D24" s="30" t="s">
        <v>273</v>
      </c>
      <c r="E24" s="31">
        <f>'Príjmy 2024'!E24</f>
        <v>156500</v>
      </c>
      <c r="G24" s="31">
        <f>E24*1.06</f>
        <v>165890</v>
      </c>
      <c r="I24" s="636">
        <f>G24*1.06</f>
        <v>175843.40000000002</v>
      </c>
    </row>
    <row r="25" spans="2:9" x14ac:dyDescent="0.2">
      <c r="B25" s="4">
        <f t="shared" si="0"/>
        <v>19</v>
      </c>
      <c r="C25" s="30">
        <v>212003</v>
      </c>
      <c r="D25" s="30" t="s">
        <v>249</v>
      </c>
      <c r="E25" s="31">
        <f>'Príjmy 2024'!E25</f>
        <v>673590</v>
      </c>
      <c r="G25" s="31">
        <f>E25*1.06</f>
        <v>714005.4</v>
      </c>
      <c r="I25" s="636">
        <f>G25*1.06</f>
        <v>756845.72400000005</v>
      </c>
    </row>
    <row r="26" spans="2:9" x14ac:dyDescent="0.2">
      <c r="B26" s="4">
        <f t="shared" si="0"/>
        <v>20</v>
      </c>
      <c r="C26" s="30">
        <v>212003</v>
      </c>
      <c r="D26" s="30" t="s">
        <v>938</v>
      </c>
      <c r="E26" s="31">
        <f>'Príjmy 2024'!E26</f>
        <v>132000</v>
      </c>
      <c r="G26" s="31">
        <v>150000</v>
      </c>
      <c r="I26" s="31">
        <v>200000</v>
      </c>
    </row>
    <row r="27" spans="2:9" x14ac:dyDescent="0.2">
      <c r="B27" s="4">
        <f t="shared" si="0"/>
        <v>21</v>
      </c>
      <c r="C27" s="42">
        <v>220</v>
      </c>
      <c r="D27" s="42" t="s">
        <v>220</v>
      </c>
      <c r="E27" s="43">
        <f>SUM(E28:E34)</f>
        <v>2925700</v>
      </c>
      <c r="G27" s="43">
        <f>SUM(G28:G34)</f>
        <v>3101700</v>
      </c>
      <c r="I27" s="43">
        <f>SUM(I28:I34)</f>
        <v>3423700</v>
      </c>
    </row>
    <row r="28" spans="2:9" x14ac:dyDescent="0.2">
      <c r="B28" s="4">
        <f t="shared" si="0"/>
        <v>22</v>
      </c>
      <c r="C28" s="30">
        <v>221004</v>
      </c>
      <c r="D28" s="30" t="s">
        <v>221</v>
      </c>
      <c r="E28" s="31">
        <f>'Príjmy 2024'!E29</f>
        <v>230000</v>
      </c>
      <c r="G28" s="31">
        <f>250000</f>
        <v>250000</v>
      </c>
      <c r="I28" s="31">
        <v>270000</v>
      </c>
    </row>
    <row r="29" spans="2:9" x14ac:dyDescent="0.2">
      <c r="B29" s="4">
        <f t="shared" si="0"/>
        <v>23</v>
      </c>
      <c r="C29" s="30">
        <v>222003</v>
      </c>
      <c r="D29" s="30" t="s">
        <v>59</v>
      </c>
      <c r="E29" s="31">
        <f>'Príjmy 2024'!E30</f>
        <v>120000</v>
      </c>
      <c r="G29" s="31">
        <v>120000</v>
      </c>
      <c r="I29" s="31">
        <v>120000</v>
      </c>
    </row>
    <row r="30" spans="2:9" x14ac:dyDescent="0.2">
      <c r="B30" s="4">
        <f t="shared" si="0"/>
        <v>24</v>
      </c>
      <c r="C30" s="30">
        <v>223001</v>
      </c>
      <c r="D30" s="30" t="s">
        <v>251</v>
      </c>
      <c r="E30" s="31">
        <f>'Príjmy 2024'!E31</f>
        <v>1200</v>
      </c>
      <c r="G30" s="31">
        <v>1200</v>
      </c>
      <c r="I30" s="31">
        <v>1200</v>
      </c>
    </row>
    <row r="31" spans="2:9" x14ac:dyDescent="0.2">
      <c r="B31" s="4">
        <f t="shared" si="0"/>
        <v>25</v>
      </c>
      <c r="C31" s="30">
        <v>223001</v>
      </c>
      <c r="D31" s="30" t="s">
        <v>439</v>
      </c>
      <c r="E31" s="31">
        <f>'Príjmy 2024'!E32</f>
        <v>2400000</v>
      </c>
      <c r="G31" s="31">
        <v>2500000</v>
      </c>
      <c r="I31" s="31">
        <v>2700000</v>
      </c>
    </row>
    <row r="32" spans="2:9" x14ac:dyDescent="0.2">
      <c r="B32" s="4">
        <f t="shared" si="0"/>
        <v>26</v>
      </c>
      <c r="C32" s="30">
        <v>223001</v>
      </c>
      <c r="D32" s="30" t="s">
        <v>440</v>
      </c>
      <c r="E32" s="31">
        <f>'Príjmy 2024'!E33</f>
        <v>28000</v>
      </c>
      <c r="G32" s="31">
        <v>30000</v>
      </c>
      <c r="I32" s="31">
        <v>32000</v>
      </c>
    </row>
    <row r="33" spans="2:9" x14ac:dyDescent="0.2">
      <c r="B33" s="4">
        <f t="shared" si="0"/>
        <v>27</v>
      </c>
      <c r="C33" s="30">
        <v>223001</v>
      </c>
      <c r="D33" s="30" t="s">
        <v>829</v>
      </c>
      <c r="E33" s="31">
        <f>'Príjmy 2024'!E34</f>
        <v>146000</v>
      </c>
      <c r="G33" s="31">
        <v>200000</v>
      </c>
      <c r="I33" s="31">
        <v>300000</v>
      </c>
    </row>
    <row r="34" spans="2:9" x14ac:dyDescent="0.2">
      <c r="B34" s="4">
        <f t="shared" si="0"/>
        <v>28</v>
      </c>
      <c r="C34" s="30">
        <v>229005</v>
      </c>
      <c r="D34" s="30" t="s">
        <v>263</v>
      </c>
      <c r="E34" s="31">
        <f>'Príjmy 2024'!E36</f>
        <v>500</v>
      </c>
      <c r="G34" s="31">
        <v>500</v>
      </c>
      <c r="I34" s="31">
        <v>500</v>
      </c>
    </row>
    <row r="35" spans="2:9" x14ac:dyDescent="0.2">
      <c r="B35" s="4">
        <f t="shared" si="0"/>
        <v>29</v>
      </c>
      <c r="C35" s="42">
        <v>240</v>
      </c>
      <c r="D35" s="42" t="s">
        <v>176</v>
      </c>
      <c r="E35" s="43">
        <f>E36+E37</f>
        <v>50000</v>
      </c>
      <c r="G35" s="43">
        <f>G36+G37</f>
        <v>50000</v>
      </c>
      <c r="I35" s="43">
        <f>I36+I37</f>
        <v>36000</v>
      </c>
    </row>
    <row r="36" spans="2:9" x14ac:dyDescent="0.2">
      <c r="B36" s="4">
        <f t="shared" si="0"/>
        <v>30</v>
      </c>
      <c r="C36" s="30">
        <v>242</v>
      </c>
      <c r="D36" s="30" t="s">
        <v>175</v>
      </c>
      <c r="E36" s="31">
        <f>'Príjmy 2024'!E38</f>
        <v>1000</v>
      </c>
      <c r="G36" s="31">
        <v>10000</v>
      </c>
      <c r="I36" s="31">
        <v>1000</v>
      </c>
    </row>
    <row r="37" spans="2:9" x14ac:dyDescent="0.2">
      <c r="B37" s="4">
        <f t="shared" si="0"/>
        <v>31</v>
      </c>
      <c r="C37" s="30">
        <v>244</v>
      </c>
      <c r="D37" s="30" t="s">
        <v>971</v>
      </c>
      <c r="E37" s="31">
        <f>'Príjmy 2024'!E39</f>
        <v>49000</v>
      </c>
      <c r="G37" s="31">
        <v>40000</v>
      </c>
      <c r="I37" s="31">
        <v>35000</v>
      </c>
    </row>
    <row r="38" spans="2:9" x14ac:dyDescent="0.2">
      <c r="B38" s="4">
        <f t="shared" si="0"/>
        <v>32</v>
      </c>
      <c r="C38" s="42">
        <v>290</v>
      </c>
      <c r="D38" s="42" t="s">
        <v>178</v>
      </c>
      <c r="E38" s="43">
        <f>SUM(E39:E40)</f>
        <v>350000</v>
      </c>
      <c r="G38" s="43">
        <f>SUM(G39:G40)</f>
        <v>300000</v>
      </c>
      <c r="I38" s="43">
        <f>SUM(I39:I40)</f>
        <v>200000</v>
      </c>
    </row>
    <row r="39" spans="2:9" x14ac:dyDescent="0.2">
      <c r="B39" s="4">
        <f t="shared" si="0"/>
        <v>33</v>
      </c>
      <c r="C39" s="30">
        <v>292008</v>
      </c>
      <c r="D39" s="30" t="s">
        <v>179</v>
      </c>
      <c r="E39" s="31">
        <f>'Príjmy 2024'!E42</f>
        <v>150000</v>
      </c>
      <c r="G39" s="31">
        <v>100000</v>
      </c>
      <c r="I39" s="31">
        <v>0</v>
      </c>
    </row>
    <row r="40" spans="2:9" ht="13.5" thickBot="1" x14ac:dyDescent="0.25">
      <c r="B40" s="4">
        <f t="shared" si="0"/>
        <v>34</v>
      </c>
      <c r="C40" s="46">
        <v>292027</v>
      </c>
      <c r="D40" s="46" t="s">
        <v>441</v>
      </c>
      <c r="E40" s="31">
        <f>'Príjmy 2024'!E45</f>
        <v>200000</v>
      </c>
      <c r="G40" s="47">
        <v>200000</v>
      </c>
      <c r="I40" s="47">
        <v>200000</v>
      </c>
    </row>
    <row r="41" spans="2:9" ht="15" thickBot="1" x14ac:dyDescent="0.25">
      <c r="B41" s="4">
        <f t="shared" si="0"/>
        <v>35</v>
      </c>
      <c r="C41" s="36">
        <v>1</v>
      </c>
      <c r="D41" s="36" t="s">
        <v>53</v>
      </c>
      <c r="E41" s="37">
        <f>E42</f>
        <v>32200</v>
      </c>
      <c r="G41" s="37">
        <f>G42</f>
        <v>34132</v>
      </c>
      <c r="I41" s="37">
        <f>I42</f>
        <v>36179.919999999998</v>
      </c>
    </row>
    <row r="42" spans="2:9" x14ac:dyDescent="0.2">
      <c r="B42" s="4">
        <f t="shared" si="0"/>
        <v>36</v>
      </c>
      <c r="C42" s="39">
        <v>220</v>
      </c>
      <c r="D42" s="39" t="s">
        <v>220</v>
      </c>
      <c r="E42" s="40">
        <f>E43</f>
        <v>32200</v>
      </c>
      <c r="G42" s="40">
        <f>G43</f>
        <v>34132</v>
      </c>
      <c r="I42" s="40">
        <f>I43</f>
        <v>36179.919999999998</v>
      </c>
    </row>
    <row r="43" spans="2:9" ht="13.5" thickBot="1" x14ac:dyDescent="0.25">
      <c r="B43" s="4">
        <f t="shared" si="0"/>
        <v>37</v>
      </c>
      <c r="C43" s="30">
        <v>223002</v>
      </c>
      <c r="D43" s="30" t="s">
        <v>74</v>
      </c>
      <c r="E43" s="31">
        <f>'Príjmy 2024'!E48</f>
        <v>32200</v>
      </c>
      <c r="G43" s="31">
        <f>E43*1.06</f>
        <v>34132</v>
      </c>
      <c r="I43" s="31">
        <f>G43*1.06</f>
        <v>36179.919999999998</v>
      </c>
    </row>
    <row r="44" spans="2:9" ht="15" thickBot="1" x14ac:dyDescent="0.25">
      <c r="B44" s="4">
        <f t="shared" si="0"/>
        <v>38</v>
      </c>
      <c r="C44" s="36">
        <v>2</v>
      </c>
      <c r="D44" s="36" t="s">
        <v>13</v>
      </c>
      <c r="E44" s="37">
        <f>E45+E47+E50+E52+E56+E59+E63+E66+E69+E71+E74+E76+E80</f>
        <v>1228250</v>
      </c>
      <c r="G44" s="37">
        <f>G45+G47+G50+G52+G56+G59+G63+G66+G69+G71+G74+G76+G80</f>
        <v>1275859</v>
      </c>
      <c r="I44" s="37">
        <f>I45+I47+I50+I52+I56+I59+I63+I66+I69+I71+I74+I76+I80</f>
        <v>1358622.54</v>
      </c>
    </row>
    <row r="45" spans="2:9" x14ac:dyDescent="0.2">
      <c r="B45" s="4">
        <f t="shared" si="0"/>
        <v>39</v>
      </c>
      <c r="C45" s="42">
        <v>210</v>
      </c>
      <c r="D45" s="39" t="s">
        <v>248</v>
      </c>
      <c r="E45" s="43">
        <f>E46</f>
        <v>300</v>
      </c>
      <c r="G45" s="43">
        <f>G46</f>
        <v>318</v>
      </c>
      <c r="I45" s="43">
        <f>I46</f>
        <v>337.08000000000004</v>
      </c>
    </row>
    <row r="46" spans="2:9" x14ac:dyDescent="0.2">
      <c r="B46" s="4">
        <f t="shared" ref="B46:B55" si="1">B45+1</f>
        <v>40</v>
      </c>
      <c r="C46" s="30">
        <v>212003</v>
      </c>
      <c r="D46" s="30" t="s">
        <v>249</v>
      </c>
      <c r="E46" s="31">
        <f>'Príjmy 2024'!E51</f>
        <v>300</v>
      </c>
      <c r="G46" s="31">
        <f>E46*1.06</f>
        <v>318</v>
      </c>
      <c r="I46" s="31">
        <f>G46*1.06</f>
        <v>337.08000000000004</v>
      </c>
    </row>
    <row r="47" spans="2:9" x14ac:dyDescent="0.2">
      <c r="B47" s="4">
        <f t="shared" si="1"/>
        <v>41</v>
      </c>
      <c r="C47" s="42">
        <v>220</v>
      </c>
      <c r="D47" s="42" t="s">
        <v>220</v>
      </c>
      <c r="E47" s="43">
        <f>E48+E49</f>
        <v>1300</v>
      </c>
      <c r="G47" s="43">
        <f>G48+G49</f>
        <v>1372</v>
      </c>
      <c r="I47" s="43">
        <f>I48+I49</f>
        <v>1448.3200000000002</v>
      </c>
    </row>
    <row r="48" spans="2:9" x14ac:dyDescent="0.2">
      <c r="B48" s="4">
        <f t="shared" si="1"/>
        <v>42</v>
      </c>
      <c r="C48" s="30">
        <v>222003</v>
      </c>
      <c r="D48" s="30" t="s">
        <v>59</v>
      </c>
      <c r="E48" s="31">
        <f>'Príjmy 2024'!E53</f>
        <v>100</v>
      </c>
      <c r="G48" s="31">
        <v>100</v>
      </c>
      <c r="I48" s="31">
        <f>G48</f>
        <v>100</v>
      </c>
    </row>
    <row r="49" spans="2:9" x14ac:dyDescent="0.2">
      <c r="B49" s="4">
        <f t="shared" si="1"/>
        <v>43</v>
      </c>
      <c r="C49" s="30">
        <v>223001</v>
      </c>
      <c r="D49" s="30" t="s">
        <v>251</v>
      </c>
      <c r="E49" s="31">
        <f>'Príjmy 2024'!E54</f>
        <v>1200</v>
      </c>
      <c r="G49" s="31">
        <f>E49*1.06</f>
        <v>1272</v>
      </c>
      <c r="I49" s="31">
        <f>G49*1.06</f>
        <v>1348.3200000000002</v>
      </c>
    </row>
    <row r="50" spans="2:9" x14ac:dyDescent="0.2">
      <c r="B50" s="4">
        <f t="shared" si="1"/>
        <v>44</v>
      </c>
      <c r="C50" s="42">
        <v>240</v>
      </c>
      <c r="D50" s="42" t="s">
        <v>176</v>
      </c>
      <c r="E50" s="43">
        <f>E51</f>
        <v>50</v>
      </c>
      <c r="G50" s="43">
        <f>G51</f>
        <v>50</v>
      </c>
      <c r="I50" s="43">
        <f>I51</f>
        <v>50</v>
      </c>
    </row>
    <row r="51" spans="2:9" x14ac:dyDescent="0.2">
      <c r="B51" s="4">
        <f t="shared" si="1"/>
        <v>45</v>
      </c>
      <c r="C51" s="30">
        <v>242</v>
      </c>
      <c r="D51" s="30" t="s">
        <v>175</v>
      </c>
      <c r="E51" s="31">
        <f>'Príjmy 2024'!E56</f>
        <v>50</v>
      </c>
      <c r="G51" s="31">
        <v>50</v>
      </c>
      <c r="I51" s="31">
        <f>G51</f>
        <v>50</v>
      </c>
    </row>
    <row r="52" spans="2:9" x14ac:dyDescent="0.2">
      <c r="B52" s="4">
        <f t="shared" si="1"/>
        <v>46</v>
      </c>
      <c r="C52" s="42">
        <v>290</v>
      </c>
      <c r="D52" s="42" t="s">
        <v>178</v>
      </c>
      <c r="E52" s="43">
        <f>SUM(E53:E55)</f>
        <v>4600</v>
      </c>
      <c r="G52" s="43">
        <f>SUM(G53:G55)</f>
        <v>4600</v>
      </c>
      <c r="I52" s="43">
        <f>SUM(I53:I55)</f>
        <v>4600</v>
      </c>
    </row>
    <row r="53" spans="2:9" x14ac:dyDescent="0.2">
      <c r="B53" s="4">
        <f t="shared" si="1"/>
        <v>47</v>
      </c>
      <c r="C53" s="30">
        <v>292012</v>
      </c>
      <c r="D53" s="30" t="s">
        <v>232</v>
      </c>
      <c r="E53" s="31">
        <f>'Príjmy 2024'!E58</f>
        <v>4000</v>
      </c>
      <c r="G53" s="31">
        <f>E53</f>
        <v>4000</v>
      </c>
      <c r="I53" s="31">
        <f>G53</f>
        <v>4000</v>
      </c>
    </row>
    <row r="54" spans="2:9" x14ac:dyDescent="0.2">
      <c r="B54" s="4">
        <f t="shared" si="1"/>
        <v>48</v>
      </c>
      <c r="C54" s="30">
        <v>292017</v>
      </c>
      <c r="D54" s="30" t="s">
        <v>233</v>
      </c>
      <c r="E54" s="31">
        <v>300</v>
      </c>
      <c r="G54" s="31">
        <f>E54</f>
        <v>300</v>
      </c>
      <c r="I54" s="31">
        <f>G54</f>
        <v>300</v>
      </c>
    </row>
    <row r="55" spans="2:9" x14ac:dyDescent="0.2">
      <c r="B55" s="4">
        <f t="shared" si="1"/>
        <v>49</v>
      </c>
      <c r="C55" s="30">
        <v>292027</v>
      </c>
      <c r="D55" s="30" t="s">
        <v>441</v>
      </c>
      <c r="E55" s="31">
        <v>300</v>
      </c>
      <c r="G55" s="31">
        <f>E55</f>
        <v>300</v>
      </c>
      <c r="I55" s="31">
        <f>G55</f>
        <v>300</v>
      </c>
    </row>
    <row r="56" spans="2:9" x14ac:dyDescent="0.2">
      <c r="B56" s="4">
        <f t="shared" si="0"/>
        <v>50</v>
      </c>
      <c r="C56" s="42"/>
      <c r="D56" s="42" t="s">
        <v>51</v>
      </c>
      <c r="E56" s="43">
        <f>E57+E58</f>
        <v>293000</v>
      </c>
      <c r="G56" s="43">
        <f>G57+G58</f>
        <v>306360</v>
      </c>
      <c r="I56" s="43">
        <f>I57+I58</f>
        <v>326741.59999999998</v>
      </c>
    </row>
    <row r="57" spans="2:9" x14ac:dyDescent="0.2">
      <c r="B57" s="4">
        <f t="shared" si="0"/>
        <v>51</v>
      </c>
      <c r="C57" s="30">
        <v>212003</v>
      </c>
      <c r="D57" s="30" t="s">
        <v>249</v>
      </c>
      <c r="E57" s="31">
        <v>6000</v>
      </c>
      <c r="G57" s="31">
        <f>E57*1.06</f>
        <v>6360</v>
      </c>
      <c r="I57" s="31">
        <f>G57*1.06</f>
        <v>6741.6</v>
      </c>
    </row>
    <row r="58" spans="2:9" x14ac:dyDescent="0.2">
      <c r="B58" s="4">
        <f t="shared" si="0"/>
        <v>52</v>
      </c>
      <c r="C58" s="30">
        <v>223001</v>
      </c>
      <c r="D58" s="30" t="s">
        <v>251</v>
      </c>
      <c r="E58" s="31">
        <v>287000</v>
      </c>
      <c r="G58" s="31">
        <v>300000</v>
      </c>
      <c r="I58" s="31">
        <v>320000</v>
      </c>
    </row>
    <row r="59" spans="2:9" x14ac:dyDescent="0.2">
      <c r="B59" s="4">
        <f t="shared" si="0"/>
        <v>53</v>
      </c>
      <c r="C59" s="42"/>
      <c r="D59" s="42" t="s">
        <v>645</v>
      </c>
      <c r="E59" s="43">
        <f>SUM(E60:E62)</f>
        <v>408800</v>
      </c>
      <c r="G59" s="43">
        <f>SUM(G60:G62)</f>
        <v>413250</v>
      </c>
      <c r="I59" s="43">
        <f>SUM(I60:I62)</f>
        <v>444045</v>
      </c>
    </row>
    <row r="60" spans="2:9" x14ac:dyDescent="0.2">
      <c r="B60" s="4">
        <f t="shared" si="0"/>
        <v>54</v>
      </c>
      <c r="C60" s="30">
        <v>212002</v>
      </c>
      <c r="D60" s="30" t="s">
        <v>273</v>
      </c>
      <c r="E60" s="31">
        <v>10000</v>
      </c>
      <c r="G60" s="31">
        <f>E60*1.06</f>
        <v>10600</v>
      </c>
      <c r="I60" s="31">
        <f>G60*1.06</f>
        <v>11236</v>
      </c>
    </row>
    <row r="61" spans="2:9" x14ac:dyDescent="0.2">
      <c r="B61" s="4">
        <f t="shared" si="0"/>
        <v>55</v>
      </c>
      <c r="C61" s="30">
        <v>212003</v>
      </c>
      <c r="D61" s="30" t="s">
        <v>249</v>
      </c>
      <c r="E61" s="31">
        <v>2500</v>
      </c>
      <c r="G61" s="31">
        <f>E61*1.06</f>
        <v>2650</v>
      </c>
      <c r="I61" s="31">
        <f>G61*1.06</f>
        <v>2809</v>
      </c>
    </row>
    <row r="62" spans="2:9" x14ac:dyDescent="0.2">
      <c r="B62" s="4">
        <f t="shared" si="0"/>
        <v>56</v>
      </c>
      <c r="C62" s="30">
        <v>223001</v>
      </c>
      <c r="D62" s="30" t="s">
        <v>251</v>
      </c>
      <c r="E62" s="31">
        <v>396300</v>
      </c>
      <c r="G62" s="31">
        <v>400000</v>
      </c>
      <c r="I62" s="31">
        <v>430000</v>
      </c>
    </row>
    <row r="63" spans="2:9" x14ac:dyDescent="0.2">
      <c r="B63" s="4">
        <f t="shared" si="0"/>
        <v>57</v>
      </c>
      <c r="C63" s="42"/>
      <c r="D63" s="42" t="s">
        <v>210</v>
      </c>
      <c r="E63" s="43">
        <f>SUM(E64:E65)</f>
        <v>129700</v>
      </c>
      <c r="G63" s="43">
        <f>SUM(G64:G65)</f>
        <v>137482</v>
      </c>
      <c r="I63" s="43">
        <f>SUM(I64:I65)</f>
        <v>145730.92000000001</v>
      </c>
    </row>
    <row r="64" spans="2:9" x14ac:dyDescent="0.2">
      <c r="B64" s="4">
        <f>B63+1</f>
        <v>58</v>
      </c>
      <c r="C64" s="30">
        <v>212003</v>
      </c>
      <c r="D64" s="30" t="s">
        <v>249</v>
      </c>
      <c r="E64" s="31">
        <v>39700</v>
      </c>
      <c r="G64" s="31">
        <f>E64*1.06</f>
        <v>42082</v>
      </c>
      <c r="I64" s="31">
        <f>G64*1.06</f>
        <v>44606.920000000006</v>
      </c>
    </row>
    <row r="65" spans="2:9" x14ac:dyDescent="0.2">
      <c r="B65" s="4">
        <f t="shared" si="0"/>
        <v>59</v>
      </c>
      <c r="C65" s="30">
        <v>223001</v>
      </c>
      <c r="D65" s="30" t="s">
        <v>251</v>
      </c>
      <c r="E65" s="31">
        <v>90000</v>
      </c>
      <c r="G65" s="31">
        <f>E65*1.06</f>
        <v>95400</v>
      </c>
      <c r="I65" s="31">
        <f>G65*1.06</f>
        <v>101124</v>
      </c>
    </row>
    <row r="66" spans="2:9" x14ac:dyDescent="0.2">
      <c r="B66" s="4">
        <f t="shared" si="0"/>
        <v>60</v>
      </c>
      <c r="C66" s="42"/>
      <c r="D66" s="42" t="s">
        <v>227</v>
      </c>
      <c r="E66" s="43">
        <f>E67+E68</f>
        <v>167500</v>
      </c>
      <c r="G66" s="43">
        <f>G67+G68</f>
        <v>177550</v>
      </c>
      <c r="I66" s="43">
        <f>I67+I68</f>
        <v>188203</v>
      </c>
    </row>
    <row r="67" spans="2:9" x14ac:dyDescent="0.2">
      <c r="B67" s="4">
        <f t="shared" si="0"/>
        <v>61</v>
      </c>
      <c r="C67" s="30">
        <v>212004</v>
      </c>
      <c r="D67" s="30" t="s">
        <v>250</v>
      </c>
      <c r="E67" s="31">
        <v>4000</v>
      </c>
      <c r="G67" s="31">
        <f>E67*1.06</f>
        <v>4240</v>
      </c>
      <c r="I67" s="31">
        <f>G67*1.06</f>
        <v>4494.4000000000005</v>
      </c>
    </row>
    <row r="68" spans="2:9" x14ac:dyDescent="0.2">
      <c r="B68" s="4">
        <f t="shared" si="0"/>
        <v>62</v>
      </c>
      <c r="C68" s="30">
        <v>223001</v>
      </c>
      <c r="D68" s="30" t="s">
        <v>251</v>
      </c>
      <c r="E68" s="31">
        <v>163500</v>
      </c>
      <c r="G68" s="31">
        <f>E68*1.06</f>
        <v>173310</v>
      </c>
      <c r="I68" s="31">
        <f>G68*1.06</f>
        <v>183708.6</v>
      </c>
    </row>
    <row r="69" spans="2:9" x14ac:dyDescent="0.2">
      <c r="B69" s="4">
        <f t="shared" ref="B69:B74" si="2">B68+1</f>
        <v>63</v>
      </c>
      <c r="C69" s="42"/>
      <c r="D69" s="42" t="s">
        <v>216</v>
      </c>
      <c r="E69" s="43">
        <f>E70</f>
        <v>2500</v>
      </c>
      <c r="G69" s="43">
        <f>G70</f>
        <v>2500</v>
      </c>
      <c r="I69" s="43">
        <f>I70</f>
        <v>2500</v>
      </c>
    </row>
    <row r="70" spans="2:9" x14ac:dyDescent="0.2">
      <c r="B70" s="4">
        <f t="shared" si="2"/>
        <v>64</v>
      </c>
      <c r="C70" s="30">
        <v>292006</v>
      </c>
      <c r="D70" s="30" t="s">
        <v>177</v>
      </c>
      <c r="E70" s="31">
        <v>2500</v>
      </c>
      <c r="G70" s="31">
        <f>E70</f>
        <v>2500</v>
      </c>
      <c r="I70" s="31">
        <f>G70</f>
        <v>2500</v>
      </c>
    </row>
    <row r="71" spans="2:9" x14ac:dyDescent="0.2">
      <c r="B71" s="4">
        <f t="shared" si="2"/>
        <v>65</v>
      </c>
      <c r="C71" s="42"/>
      <c r="D71" s="42" t="s">
        <v>48</v>
      </c>
      <c r="E71" s="43">
        <f>E72+E73</f>
        <v>20050</v>
      </c>
      <c r="G71" s="43">
        <f>G72+G73</f>
        <v>20050</v>
      </c>
      <c r="I71" s="43">
        <f>I72+I73</f>
        <v>20050</v>
      </c>
    </row>
    <row r="72" spans="2:9" x14ac:dyDescent="0.2">
      <c r="B72" s="4">
        <f t="shared" si="2"/>
        <v>66</v>
      </c>
      <c r="C72" s="30">
        <v>212003</v>
      </c>
      <c r="D72" s="30" t="s">
        <v>249</v>
      </c>
      <c r="E72" s="31">
        <v>50</v>
      </c>
      <c r="G72" s="31">
        <f>E72</f>
        <v>50</v>
      </c>
      <c r="I72" s="31">
        <f>G72</f>
        <v>50</v>
      </c>
    </row>
    <row r="73" spans="2:9" x14ac:dyDescent="0.2">
      <c r="B73" s="4">
        <f t="shared" si="2"/>
        <v>67</v>
      </c>
      <c r="C73" s="30">
        <v>223001</v>
      </c>
      <c r="D73" s="30" t="s">
        <v>251</v>
      </c>
      <c r="E73" s="31">
        <v>20000</v>
      </c>
      <c r="G73" s="31">
        <f>E73</f>
        <v>20000</v>
      </c>
      <c r="I73" s="31">
        <f>G73</f>
        <v>20000</v>
      </c>
    </row>
    <row r="74" spans="2:9" x14ac:dyDescent="0.2">
      <c r="B74" s="4">
        <f t="shared" si="2"/>
        <v>68</v>
      </c>
      <c r="C74" s="42"/>
      <c r="D74" s="42" t="s">
        <v>49</v>
      </c>
      <c r="E74" s="43">
        <f>E75</f>
        <v>2500</v>
      </c>
      <c r="G74" s="43">
        <f>G75</f>
        <v>2500</v>
      </c>
      <c r="I74" s="43">
        <f>I75</f>
        <v>2500</v>
      </c>
    </row>
    <row r="75" spans="2:9" x14ac:dyDescent="0.2">
      <c r="B75" s="4">
        <f t="shared" ref="B75:B133" si="3">B74+1</f>
        <v>69</v>
      </c>
      <c r="C75" s="30">
        <v>292006</v>
      </c>
      <c r="D75" s="30" t="s">
        <v>177</v>
      </c>
      <c r="E75" s="31">
        <v>2500</v>
      </c>
      <c r="G75" s="31">
        <f>E75</f>
        <v>2500</v>
      </c>
      <c r="I75" s="31">
        <f>G75</f>
        <v>2500</v>
      </c>
    </row>
    <row r="76" spans="2:9" x14ac:dyDescent="0.2">
      <c r="B76" s="4">
        <f t="shared" si="3"/>
        <v>70</v>
      </c>
      <c r="C76" s="42"/>
      <c r="D76" s="42" t="s">
        <v>50</v>
      </c>
      <c r="E76" s="43">
        <f>SUM(E77:E79)</f>
        <v>172250</v>
      </c>
      <c r="G76" s="43">
        <f>SUM(G77:G79)</f>
        <v>182585</v>
      </c>
      <c r="I76" s="43">
        <f>SUM(I77:I79)</f>
        <v>193540.10000000003</v>
      </c>
    </row>
    <row r="77" spans="2:9" x14ac:dyDescent="0.2">
      <c r="B77" s="4">
        <f t="shared" si="3"/>
        <v>71</v>
      </c>
      <c r="C77" s="30">
        <v>212002</v>
      </c>
      <c r="D77" s="30" t="s">
        <v>273</v>
      </c>
      <c r="E77" s="31">
        <v>250</v>
      </c>
      <c r="G77" s="31">
        <f>E77*1.06</f>
        <v>265</v>
      </c>
      <c r="I77" s="31">
        <f>G77*1.06</f>
        <v>280.90000000000003</v>
      </c>
    </row>
    <row r="78" spans="2:9" x14ac:dyDescent="0.2">
      <c r="B78" s="4">
        <f t="shared" si="3"/>
        <v>72</v>
      </c>
      <c r="C78" s="30">
        <v>212003</v>
      </c>
      <c r="D78" s="30" t="s">
        <v>249</v>
      </c>
      <c r="E78" s="31">
        <v>500</v>
      </c>
      <c r="G78" s="31">
        <f>E78*1.06</f>
        <v>530</v>
      </c>
      <c r="I78" s="31">
        <f>G78*1.06</f>
        <v>561.80000000000007</v>
      </c>
    </row>
    <row r="79" spans="2:9" x14ac:dyDescent="0.2">
      <c r="B79" s="4">
        <f t="shared" si="3"/>
        <v>73</v>
      </c>
      <c r="C79" s="30">
        <v>223001</v>
      </c>
      <c r="D79" s="30" t="s">
        <v>251</v>
      </c>
      <c r="E79" s="31">
        <v>171500</v>
      </c>
      <c r="G79" s="31">
        <f>E79*1.06</f>
        <v>181790</v>
      </c>
      <c r="I79" s="31">
        <f>G79*1.06</f>
        <v>192697.40000000002</v>
      </c>
    </row>
    <row r="80" spans="2:9" x14ac:dyDescent="0.2">
      <c r="B80" s="4">
        <f t="shared" si="3"/>
        <v>74</v>
      </c>
      <c r="C80" s="42"/>
      <c r="D80" s="42" t="s">
        <v>52</v>
      </c>
      <c r="E80" s="43">
        <f>E81+E82</f>
        <v>25700</v>
      </c>
      <c r="G80" s="43">
        <f>G81+G82</f>
        <v>27242</v>
      </c>
      <c r="I80" s="43">
        <f>I81+I82</f>
        <v>28876.52</v>
      </c>
    </row>
    <row r="81" spans="2:9" x14ac:dyDescent="0.2">
      <c r="B81" s="4">
        <f t="shared" si="3"/>
        <v>75</v>
      </c>
      <c r="C81" s="30">
        <v>212002</v>
      </c>
      <c r="D81" s="30" t="s">
        <v>273</v>
      </c>
      <c r="E81" s="31">
        <v>700</v>
      </c>
      <c r="G81" s="31">
        <f>E81*1.06</f>
        <v>742</v>
      </c>
      <c r="I81" s="31">
        <f>G81*1.06</f>
        <v>786.5200000000001</v>
      </c>
    </row>
    <row r="82" spans="2:9" ht="13.5" thickBot="1" x14ac:dyDescent="0.25">
      <c r="B82" s="4">
        <f t="shared" si="3"/>
        <v>76</v>
      </c>
      <c r="C82" s="46">
        <v>223001</v>
      </c>
      <c r="D82" s="46" t="s">
        <v>251</v>
      </c>
      <c r="E82" s="47">
        <v>25000</v>
      </c>
      <c r="G82" s="637">
        <f>E82*1.06</f>
        <v>26500</v>
      </c>
      <c r="I82" s="637">
        <f>G82*1.06</f>
        <v>28090</v>
      </c>
    </row>
    <row r="83" spans="2:9" ht="15" thickBot="1" x14ac:dyDescent="0.25">
      <c r="B83" s="4">
        <f t="shared" si="3"/>
        <v>77</v>
      </c>
      <c r="C83" s="36">
        <v>3</v>
      </c>
      <c r="D83" s="36" t="s">
        <v>10</v>
      </c>
      <c r="E83" s="37">
        <f>E84</f>
        <v>38955</v>
      </c>
      <c r="G83" s="37">
        <f>G84</f>
        <v>41292.300000000003</v>
      </c>
      <c r="I83" s="37">
        <f>I84</f>
        <v>43769.838000000003</v>
      </c>
    </row>
    <row r="84" spans="2:9" x14ac:dyDescent="0.2">
      <c r="B84" s="4">
        <f t="shared" si="3"/>
        <v>78</v>
      </c>
      <c r="C84" s="39">
        <v>220</v>
      </c>
      <c r="D84" s="39" t="s">
        <v>220</v>
      </c>
      <c r="E84" s="40">
        <f>E85</f>
        <v>38955</v>
      </c>
      <c r="G84" s="40">
        <f>G85</f>
        <v>41292.300000000003</v>
      </c>
      <c r="I84" s="40">
        <f>I85</f>
        <v>43769.838000000003</v>
      </c>
    </row>
    <row r="85" spans="2:9" ht="13.5" thickBot="1" x14ac:dyDescent="0.25">
      <c r="B85" s="4">
        <f t="shared" si="3"/>
        <v>79</v>
      </c>
      <c r="C85" s="30">
        <v>223002</v>
      </c>
      <c r="D85" s="30" t="s">
        <v>74</v>
      </c>
      <c r="E85" s="31">
        <v>38955</v>
      </c>
      <c r="G85" s="31">
        <f>E85*1.06</f>
        <v>41292.300000000003</v>
      </c>
      <c r="I85" s="31">
        <f>G85*1.06</f>
        <v>43769.838000000003</v>
      </c>
    </row>
    <row r="86" spans="2:9" ht="15" thickBot="1" x14ac:dyDescent="0.25">
      <c r="B86" s="4">
        <f t="shared" si="3"/>
        <v>80</v>
      </c>
      <c r="C86" s="36">
        <v>4</v>
      </c>
      <c r="D86" s="36" t="s">
        <v>89</v>
      </c>
      <c r="E86" s="37">
        <f>E87+E91+E95+E99+E103+E107+E111+E115+E119+E123+E127+E131+E135+E139+E141+E143+E146</f>
        <v>1037989</v>
      </c>
      <c r="G86" s="37">
        <f>G87+G91+G95+G99+G103+G107+G111+G115+G119+G123+G127+G131+G135+G139+G141+G143+G146</f>
        <v>1100148.3400000001</v>
      </c>
      <c r="I86" s="37">
        <f>I87+I91+I95+I99+I103+I107+I111+I115+I119+I123+I127+I131+I135+I139+I141+I143+I146</f>
        <v>1166037.2404000002</v>
      </c>
    </row>
    <row r="87" spans="2:9" x14ac:dyDescent="0.2">
      <c r="B87" s="4">
        <f t="shared" si="3"/>
        <v>81</v>
      </c>
      <c r="C87" s="39"/>
      <c r="D87" s="39" t="s">
        <v>70</v>
      </c>
      <c r="E87" s="40">
        <f>SUM(E88:E90)</f>
        <v>49742</v>
      </c>
      <c r="G87" s="40">
        <f>SUM(G88:G90)</f>
        <v>52726.520000000004</v>
      </c>
      <c r="I87" s="40">
        <f>SUM(I88:I90)</f>
        <v>55890.111200000007</v>
      </c>
    </row>
    <row r="88" spans="2:9" x14ac:dyDescent="0.2">
      <c r="B88" s="4">
        <f t="shared" si="3"/>
        <v>82</v>
      </c>
      <c r="C88" s="30">
        <v>223001</v>
      </c>
      <c r="D88" s="30" t="s">
        <v>251</v>
      </c>
      <c r="E88" s="31">
        <f>4032+2+256</f>
        <v>4290</v>
      </c>
      <c r="G88" s="31">
        <f>E88*1.06</f>
        <v>4547.4000000000005</v>
      </c>
      <c r="I88" s="31">
        <f>G88*1.06</f>
        <v>4820.2440000000006</v>
      </c>
    </row>
    <row r="89" spans="2:9" x14ac:dyDescent="0.2">
      <c r="B89" s="4">
        <f t="shared" si="3"/>
        <v>83</v>
      </c>
      <c r="C89" s="30">
        <v>223002</v>
      </c>
      <c r="D89" s="30" t="s">
        <v>74</v>
      </c>
      <c r="E89" s="31">
        <v>16170</v>
      </c>
      <c r="G89" s="31">
        <f>E89*1.06</f>
        <v>17140.2</v>
      </c>
      <c r="I89" s="31">
        <f>G89*1.06</f>
        <v>18168.612000000001</v>
      </c>
    </row>
    <row r="90" spans="2:9" x14ac:dyDescent="0.2">
      <c r="B90" s="4">
        <f t="shared" si="3"/>
        <v>84</v>
      </c>
      <c r="C90" s="30">
        <v>223003</v>
      </c>
      <c r="D90" s="30" t="s">
        <v>75</v>
      </c>
      <c r="E90" s="31">
        <v>29282</v>
      </c>
      <c r="G90" s="31">
        <f>E90*1.06</f>
        <v>31038.920000000002</v>
      </c>
      <c r="I90" s="31">
        <f>G90*1.06</f>
        <v>32901.255200000007</v>
      </c>
    </row>
    <row r="91" spans="2:9" x14ac:dyDescent="0.2">
      <c r="B91" s="4">
        <f t="shared" si="3"/>
        <v>85</v>
      </c>
      <c r="C91" s="42"/>
      <c r="D91" s="42" t="s">
        <v>238</v>
      </c>
      <c r="E91" s="43">
        <f>SUM(E92:E94)</f>
        <v>110852</v>
      </c>
      <c r="G91" s="43">
        <f>SUM(G92:G94)</f>
        <v>117503.12</v>
      </c>
      <c r="I91" s="43">
        <f>SUM(I92:I94)</f>
        <v>124553.30720000001</v>
      </c>
    </row>
    <row r="92" spans="2:9" x14ac:dyDescent="0.2">
      <c r="B92" s="4">
        <f t="shared" si="3"/>
        <v>86</v>
      </c>
      <c r="C92" s="30">
        <v>223001</v>
      </c>
      <c r="D92" s="30" t="s">
        <v>251</v>
      </c>
      <c r="E92" s="31">
        <f>8631+548</f>
        <v>9179</v>
      </c>
      <c r="G92" s="31">
        <f>E92*1.06</f>
        <v>9729.74</v>
      </c>
      <c r="I92" s="31">
        <f>G92*1.06</f>
        <v>10313.5244</v>
      </c>
    </row>
    <row r="93" spans="2:9" x14ac:dyDescent="0.2">
      <c r="B93" s="4">
        <f t="shared" si="3"/>
        <v>87</v>
      </c>
      <c r="C93" s="30">
        <v>223002</v>
      </c>
      <c r="D93" s="30" t="s">
        <v>74</v>
      </c>
      <c r="E93" s="31">
        <v>38588</v>
      </c>
      <c r="G93" s="31">
        <f>E93*1.06</f>
        <v>40903.279999999999</v>
      </c>
      <c r="I93" s="31">
        <f>G93*1.06</f>
        <v>43357.476800000004</v>
      </c>
    </row>
    <row r="94" spans="2:9" x14ac:dyDescent="0.2">
      <c r="B94" s="4">
        <f t="shared" si="3"/>
        <v>88</v>
      </c>
      <c r="C94" s="30">
        <v>223003</v>
      </c>
      <c r="D94" s="30" t="s">
        <v>75</v>
      </c>
      <c r="E94" s="31">
        <v>63085</v>
      </c>
      <c r="G94" s="31">
        <f>E94*1.06</f>
        <v>66870.100000000006</v>
      </c>
      <c r="I94" s="31">
        <f>G94*1.06</f>
        <v>70882.306000000011</v>
      </c>
    </row>
    <row r="95" spans="2:9" x14ac:dyDescent="0.2">
      <c r="B95" s="4">
        <f t="shared" si="3"/>
        <v>89</v>
      </c>
      <c r="C95" s="42"/>
      <c r="D95" s="42" t="s">
        <v>69</v>
      </c>
      <c r="E95" s="43">
        <f>SUM(E96:E98)</f>
        <v>48954</v>
      </c>
      <c r="G95" s="43">
        <f>SUM(G96:G98)</f>
        <v>51891.240000000005</v>
      </c>
      <c r="I95" s="43">
        <f>SUM(I96:I98)</f>
        <v>55004.714400000004</v>
      </c>
    </row>
    <row r="96" spans="2:9" x14ac:dyDescent="0.2">
      <c r="B96" s="4">
        <f t="shared" si="3"/>
        <v>90</v>
      </c>
      <c r="C96" s="30">
        <v>223001</v>
      </c>
      <c r="D96" s="30" t="s">
        <v>251</v>
      </c>
      <c r="E96" s="31">
        <f>8631-3807</f>
        <v>4824</v>
      </c>
      <c r="G96" s="31">
        <f>E96*1.06</f>
        <v>5113.4400000000005</v>
      </c>
      <c r="I96" s="31">
        <f>G96*1.06</f>
        <v>5420.2464000000009</v>
      </c>
    </row>
    <row r="97" spans="2:9" x14ac:dyDescent="0.2">
      <c r="B97" s="4">
        <f t="shared" si="3"/>
        <v>91</v>
      </c>
      <c r="C97" s="30">
        <v>223002</v>
      </c>
      <c r="D97" s="30" t="s">
        <v>74</v>
      </c>
      <c r="E97" s="31">
        <v>15068</v>
      </c>
      <c r="G97" s="31">
        <f>E97*1.06</f>
        <v>15972.08</v>
      </c>
      <c r="I97" s="31">
        <f>G97*1.06</f>
        <v>16930.4048</v>
      </c>
    </row>
    <row r="98" spans="2:9" x14ac:dyDescent="0.2">
      <c r="B98" s="4">
        <f t="shared" si="3"/>
        <v>92</v>
      </c>
      <c r="C98" s="30">
        <v>223003</v>
      </c>
      <c r="D98" s="30" t="s">
        <v>75</v>
      </c>
      <c r="E98" s="31">
        <v>29062</v>
      </c>
      <c r="G98" s="31">
        <f>E98*1.06</f>
        <v>30805.72</v>
      </c>
      <c r="I98" s="31">
        <f>G98*1.06</f>
        <v>32654.063200000004</v>
      </c>
    </row>
    <row r="99" spans="2:9" x14ac:dyDescent="0.2">
      <c r="B99" s="4">
        <f t="shared" si="3"/>
        <v>93</v>
      </c>
      <c r="C99" s="42"/>
      <c r="D99" s="42" t="s">
        <v>103</v>
      </c>
      <c r="E99" s="43">
        <f>SUM(E100:E102)</f>
        <v>67670</v>
      </c>
      <c r="G99" s="43">
        <f>SUM(G100:G102)</f>
        <v>71730.200000000012</v>
      </c>
      <c r="I99" s="43">
        <f>SUM(I100:I102)</f>
        <v>76034.012000000002</v>
      </c>
    </row>
    <row r="100" spans="2:9" x14ac:dyDescent="0.2">
      <c r="B100" s="4">
        <f t="shared" si="3"/>
        <v>94</v>
      </c>
      <c r="C100" s="30">
        <v>223001</v>
      </c>
      <c r="D100" s="30" t="s">
        <v>251</v>
      </c>
      <c r="E100" s="31">
        <f>5796+368</f>
        <v>6164</v>
      </c>
      <c r="G100" s="31">
        <f>E100*1.06</f>
        <v>6533.84</v>
      </c>
      <c r="I100" s="31">
        <f>G100*1.06</f>
        <v>6925.8704000000007</v>
      </c>
    </row>
    <row r="101" spans="2:9" x14ac:dyDescent="0.2">
      <c r="B101" s="4">
        <f t="shared" si="3"/>
        <v>95</v>
      </c>
      <c r="C101" s="30">
        <v>223002</v>
      </c>
      <c r="D101" s="30" t="s">
        <v>74</v>
      </c>
      <c r="E101" s="31">
        <v>21683</v>
      </c>
      <c r="G101" s="31">
        <f>E101*1.06</f>
        <v>22983.98</v>
      </c>
      <c r="I101" s="31">
        <f>G101*1.06</f>
        <v>24363.018800000002</v>
      </c>
    </row>
    <row r="102" spans="2:9" x14ac:dyDescent="0.2">
      <c r="B102" s="4">
        <f t="shared" si="3"/>
        <v>96</v>
      </c>
      <c r="C102" s="30">
        <v>223003</v>
      </c>
      <c r="D102" s="30" t="s">
        <v>75</v>
      </c>
      <c r="E102" s="31">
        <v>39823</v>
      </c>
      <c r="G102" s="31">
        <f>E102*1.06</f>
        <v>42212.380000000005</v>
      </c>
      <c r="I102" s="31">
        <f>G102*1.06</f>
        <v>44745.122800000005</v>
      </c>
    </row>
    <row r="103" spans="2:9" x14ac:dyDescent="0.2">
      <c r="B103" s="4">
        <f t="shared" si="3"/>
        <v>97</v>
      </c>
      <c r="C103" s="42"/>
      <c r="D103" s="42" t="s">
        <v>106</v>
      </c>
      <c r="E103" s="43">
        <f>SUM(E104:E106)</f>
        <v>63353</v>
      </c>
      <c r="G103" s="43">
        <f>SUM(G104:G106)</f>
        <v>67154.179999999993</v>
      </c>
      <c r="I103" s="43">
        <f>SUM(I104:I106)</f>
        <v>71183.430800000002</v>
      </c>
    </row>
    <row r="104" spans="2:9" x14ac:dyDescent="0.2">
      <c r="B104" s="4">
        <f t="shared" si="3"/>
        <v>98</v>
      </c>
      <c r="C104" s="30">
        <v>223001</v>
      </c>
      <c r="D104" s="30" t="s">
        <v>251</v>
      </c>
      <c r="E104" s="31">
        <f>5103+324</f>
        <v>5427</v>
      </c>
      <c r="G104" s="31">
        <f>E104*1.06</f>
        <v>5752.62</v>
      </c>
      <c r="I104" s="31">
        <f>G104*1.06</f>
        <v>6097.7772000000004</v>
      </c>
    </row>
    <row r="105" spans="2:9" x14ac:dyDescent="0.2">
      <c r="B105" s="4">
        <f t="shared" si="3"/>
        <v>99</v>
      </c>
      <c r="C105" s="30">
        <v>223002</v>
      </c>
      <c r="D105" s="30" t="s">
        <v>74</v>
      </c>
      <c r="E105" s="31">
        <v>20948</v>
      </c>
      <c r="G105" s="31">
        <f>E105*1.06</f>
        <v>22204.880000000001</v>
      </c>
      <c r="I105" s="31">
        <f>G105*1.06</f>
        <v>23537.172800000004</v>
      </c>
    </row>
    <row r="106" spans="2:9" x14ac:dyDescent="0.2">
      <c r="B106" s="4">
        <f t="shared" si="3"/>
        <v>100</v>
      </c>
      <c r="C106" s="30">
        <v>223003</v>
      </c>
      <c r="D106" s="30" t="s">
        <v>75</v>
      </c>
      <c r="E106" s="31">
        <v>36978</v>
      </c>
      <c r="G106" s="31">
        <f>E106*1.06</f>
        <v>39196.68</v>
      </c>
      <c r="I106" s="31">
        <f>G106*1.06</f>
        <v>41548.480800000005</v>
      </c>
    </row>
    <row r="107" spans="2:9" x14ac:dyDescent="0.2">
      <c r="B107" s="4">
        <f t="shared" si="3"/>
        <v>101</v>
      </c>
      <c r="C107" s="42"/>
      <c r="D107" s="42" t="s">
        <v>91</v>
      </c>
      <c r="E107" s="43">
        <f>SUM(E108:E110)</f>
        <v>95140</v>
      </c>
      <c r="G107" s="43">
        <f>SUM(G108:G110)</f>
        <v>100848.40000000001</v>
      </c>
      <c r="I107" s="43">
        <f>SUM(I108:I110)</f>
        <v>106899.304</v>
      </c>
    </row>
    <row r="108" spans="2:9" x14ac:dyDescent="0.2">
      <c r="B108" s="4">
        <f t="shared" si="3"/>
        <v>102</v>
      </c>
      <c r="C108" s="30">
        <v>223001</v>
      </c>
      <c r="D108" s="30" t="s">
        <v>251</v>
      </c>
      <c r="E108" s="31">
        <f>7749+492</f>
        <v>8241</v>
      </c>
      <c r="G108" s="31">
        <f>E108*1.06</f>
        <v>8735.4600000000009</v>
      </c>
      <c r="I108" s="31">
        <f>G108*1.06</f>
        <v>9259.5876000000007</v>
      </c>
    </row>
    <row r="109" spans="2:9" x14ac:dyDescent="0.2">
      <c r="B109" s="4">
        <f t="shared" si="3"/>
        <v>103</v>
      </c>
      <c r="C109" s="30">
        <v>223002</v>
      </c>
      <c r="D109" s="30" t="s">
        <v>74</v>
      </c>
      <c r="E109" s="31">
        <v>30870</v>
      </c>
      <c r="G109" s="31">
        <f>E109*1.06</f>
        <v>32722.2</v>
      </c>
      <c r="I109" s="31">
        <f>G109*1.06</f>
        <v>34685.531999999999</v>
      </c>
    </row>
    <row r="110" spans="2:9" x14ac:dyDescent="0.2">
      <c r="B110" s="4">
        <f t="shared" si="3"/>
        <v>104</v>
      </c>
      <c r="C110" s="30">
        <v>223003</v>
      </c>
      <c r="D110" s="30" t="s">
        <v>75</v>
      </c>
      <c r="E110" s="31">
        <v>56029</v>
      </c>
      <c r="G110" s="31">
        <f>E110*1.06</f>
        <v>59390.740000000005</v>
      </c>
      <c r="I110" s="31">
        <f>G110*1.06</f>
        <v>62954.184400000006</v>
      </c>
    </row>
    <row r="111" spans="2:9" x14ac:dyDescent="0.2">
      <c r="B111" s="4">
        <f t="shared" si="3"/>
        <v>105</v>
      </c>
      <c r="C111" s="42"/>
      <c r="D111" s="42" t="s">
        <v>88</v>
      </c>
      <c r="E111" s="43">
        <f>SUM(E112:E114)</f>
        <v>102468</v>
      </c>
      <c r="G111" s="43">
        <f>SUM(G112:G114)</f>
        <v>108616.08000000002</v>
      </c>
      <c r="I111" s="43">
        <f>SUM(I112:I114)</f>
        <v>115133.0448</v>
      </c>
    </row>
    <row r="112" spans="2:9" x14ac:dyDescent="0.2">
      <c r="B112" s="4">
        <f t="shared" si="3"/>
        <v>106</v>
      </c>
      <c r="C112" s="30">
        <v>223001</v>
      </c>
      <c r="D112" s="30" t="s">
        <v>251</v>
      </c>
      <c r="E112" s="31">
        <f>8253+524</f>
        <v>8777</v>
      </c>
      <c r="G112" s="31">
        <f>E112*1.06</f>
        <v>9303.6200000000008</v>
      </c>
      <c r="I112" s="31">
        <f>G112*1.06</f>
        <v>9861.8372000000018</v>
      </c>
    </row>
    <row r="113" spans="2:9" x14ac:dyDescent="0.2">
      <c r="B113" s="4">
        <f t="shared" si="3"/>
        <v>107</v>
      </c>
      <c r="C113" s="30">
        <v>223002</v>
      </c>
      <c r="D113" s="30" t="s">
        <v>74</v>
      </c>
      <c r="E113" s="31">
        <v>34178</v>
      </c>
      <c r="G113" s="31">
        <f>E113*1.06</f>
        <v>36228.68</v>
      </c>
      <c r="I113" s="31">
        <f>G113*1.06</f>
        <v>38402.400800000003</v>
      </c>
    </row>
    <row r="114" spans="2:9" x14ac:dyDescent="0.2">
      <c r="B114" s="4">
        <f t="shared" si="3"/>
        <v>108</v>
      </c>
      <c r="C114" s="30">
        <v>223003</v>
      </c>
      <c r="D114" s="30" t="s">
        <v>75</v>
      </c>
      <c r="E114" s="31">
        <v>59513</v>
      </c>
      <c r="G114" s="31">
        <f>E114*1.06</f>
        <v>63083.780000000006</v>
      </c>
      <c r="I114" s="31">
        <f>G114*1.06</f>
        <v>66868.806800000006</v>
      </c>
    </row>
    <row r="115" spans="2:9" x14ac:dyDescent="0.2">
      <c r="B115" s="4">
        <f t="shared" si="3"/>
        <v>109</v>
      </c>
      <c r="C115" s="42"/>
      <c r="D115" s="42" t="s">
        <v>110</v>
      </c>
      <c r="E115" s="43">
        <f>SUM(E116:E118)</f>
        <v>59554</v>
      </c>
      <c r="G115" s="43">
        <f>SUM(G116:G118)</f>
        <v>63127.240000000005</v>
      </c>
      <c r="I115" s="43">
        <f>SUM(I116:I118)</f>
        <v>66914.874400000001</v>
      </c>
    </row>
    <row r="116" spans="2:9" x14ac:dyDescent="0.2">
      <c r="B116" s="4">
        <f t="shared" si="3"/>
        <v>110</v>
      </c>
      <c r="C116" s="30">
        <v>223001</v>
      </c>
      <c r="D116" s="30" t="s">
        <v>251</v>
      </c>
      <c r="E116" s="31">
        <f>4599+292</f>
        <v>4891</v>
      </c>
      <c r="G116" s="31">
        <f>E116*1.06</f>
        <v>5184.46</v>
      </c>
      <c r="I116" s="31">
        <f>G116*1.06</f>
        <v>5495.5276000000003</v>
      </c>
    </row>
    <row r="117" spans="2:9" x14ac:dyDescent="0.2">
      <c r="B117" s="4">
        <f t="shared" si="3"/>
        <v>111</v>
      </c>
      <c r="C117" s="30">
        <v>223002</v>
      </c>
      <c r="D117" s="30" t="s">
        <v>74</v>
      </c>
      <c r="E117" s="31">
        <v>19845</v>
      </c>
      <c r="G117" s="31">
        <f>E117*1.06</f>
        <v>21035.7</v>
      </c>
      <c r="I117" s="31">
        <f>G117*1.06</f>
        <v>22297.842000000001</v>
      </c>
    </row>
    <row r="118" spans="2:9" x14ac:dyDescent="0.2">
      <c r="B118" s="4">
        <f t="shared" si="3"/>
        <v>112</v>
      </c>
      <c r="C118" s="30">
        <v>223003</v>
      </c>
      <c r="D118" s="30" t="s">
        <v>75</v>
      </c>
      <c r="E118" s="31">
        <v>34818</v>
      </c>
      <c r="G118" s="31">
        <f>E118*1.06</f>
        <v>36907.08</v>
      </c>
      <c r="I118" s="31">
        <f>G118*1.06</f>
        <v>39121.504800000002</v>
      </c>
    </row>
    <row r="119" spans="2:9" x14ac:dyDescent="0.2">
      <c r="B119" s="4">
        <f t="shared" si="3"/>
        <v>113</v>
      </c>
      <c r="C119" s="42"/>
      <c r="D119" s="42" t="s">
        <v>65</v>
      </c>
      <c r="E119" s="43">
        <f>SUM(E120:E122)</f>
        <v>93565</v>
      </c>
      <c r="G119" s="43">
        <f>SUM(G120:G122)</f>
        <v>99178.9</v>
      </c>
      <c r="I119" s="43">
        <f>SUM(I120:I122)</f>
        <v>105129.63399999999</v>
      </c>
    </row>
    <row r="120" spans="2:9" x14ac:dyDescent="0.2">
      <c r="B120" s="4">
        <f t="shared" si="3"/>
        <v>114</v>
      </c>
      <c r="C120" s="30">
        <v>223001</v>
      </c>
      <c r="D120" s="30" t="s">
        <v>251</v>
      </c>
      <c r="E120" s="31">
        <f>7560+480</f>
        <v>8040</v>
      </c>
      <c r="G120" s="31">
        <f>E120*1.06</f>
        <v>8522.4</v>
      </c>
      <c r="I120" s="31">
        <f>G120*1.06</f>
        <v>9033.7440000000006</v>
      </c>
    </row>
    <row r="121" spans="2:9" x14ac:dyDescent="0.2">
      <c r="B121" s="4">
        <f t="shared" si="3"/>
        <v>115</v>
      </c>
      <c r="C121" s="30">
        <v>223002</v>
      </c>
      <c r="D121" s="30" t="s">
        <v>74</v>
      </c>
      <c r="E121" s="31">
        <v>31238</v>
      </c>
      <c r="G121" s="31">
        <f>E121*1.06</f>
        <v>33112.28</v>
      </c>
      <c r="I121" s="31">
        <f>G121*1.06</f>
        <v>35099.016799999998</v>
      </c>
    </row>
    <row r="122" spans="2:9" x14ac:dyDescent="0.2">
      <c r="B122" s="4">
        <f t="shared" si="3"/>
        <v>116</v>
      </c>
      <c r="C122" s="30">
        <v>223003</v>
      </c>
      <c r="D122" s="30" t="s">
        <v>75</v>
      </c>
      <c r="E122" s="31">
        <v>54287</v>
      </c>
      <c r="G122" s="31">
        <f>E122*1.06</f>
        <v>57544.22</v>
      </c>
      <c r="I122" s="31">
        <f>G122*1.06</f>
        <v>60996.873200000002</v>
      </c>
    </row>
    <row r="123" spans="2:9" x14ac:dyDescent="0.2">
      <c r="B123" s="4">
        <f t="shared" si="3"/>
        <v>117</v>
      </c>
      <c r="C123" s="42"/>
      <c r="D123" s="42" t="s">
        <v>71</v>
      </c>
      <c r="E123" s="43">
        <f>SUM(E124:E126)</f>
        <v>91099</v>
      </c>
      <c r="G123" s="43">
        <f>SUM(G124:G126)</f>
        <v>96564.94</v>
      </c>
      <c r="I123" s="43">
        <f>SUM(I124:I126)</f>
        <v>102358.83640000001</v>
      </c>
    </row>
    <row r="124" spans="2:9" x14ac:dyDescent="0.2">
      <c r="B124" s="4">
        <f t="shared" si="3"/>
        <v>118</v>
      </c>
      <c r="C124" s="30">
        <v>223001</v>
      </c>
      <c r="D124" s="30" t="s">
        <v>251</v>
      </c>
      <c r="E124" s="31">
        <f>7812+496</f>
        <v>8308</v>
      </c>
      <c r="G124" s="31">
        <f>E124*1.06</f>
        <v>8806.48</v>
      </c>
      <c r="I124" s="31">
        <f>G124*1.06</f>
        <v>9334.8688000000002</v>
      </c>
    </row>
    <row r="125" spans="2:9" x14ac:dyDescent="0.2">
      <c r="B125" s="4">
        <f t="shared" si="3"/>
        <v>119</v>
      </c>
      <c r="C125" s="30">
        <v>223002</v>
      </c>
      <c r="D125" s="30" t="s">
        <v>74</v>
      </c>
      <c r="E125" s="31">
        <v>29298</v>
      </c>
      <c r="G125" s="31">
        <f>E125*1.06</f>
        <v>31055.88</v>
      </c>
      <c r="I125" s="31">
        <f>G125*1.06</f>
        <v>32919.232800000005</v>
      </c>
    </row>
    <row r="126" spans="2:9" x14ac:dyDescent="0.2">
      <c r="B126" s="4">
        <f t="shared" si="3"/>
        <v>120</v>
      </c>
      <c r="C126" s="30">
        <v>223003</v>
      </c>
      <c r="D126" s="30" t="s">
        <v>75</v>
      </c>
      <c r="E126" s="31">
        <v>53493</v>
      </c>
      <c r="G126" s="31">
        <f>E126*1.06</f>
        <v>56702.58</v>
      </c>
      <c r="I126" s="31">
        <f>G126*1.06</f>
        <v>60104.734800000006</v>
      </c>
    </row>
    <row r="127" spans="2:9" x14ac:dyDescent="0.2">
      <c r="B127" s="4">
        <f t="shared" si="3"/>
        <v>121</v>
      </c>
      <c r="C127" s="42"/>
      <c r="D127" s="42" t="s">
        <v>72</v>
      </c>
      <c r="E127" s="43">
        <f>SUM(E128:E130)</f>
        <v>70942</v>
      </c>
      <c r="G127" s="43">
        <f>SUM(G128:G130)</f>
        <v>75198.52</v>
      </c>
      <c r="I127" s="43">
        <f>SUM(I128:I130)</f>
        <v>79710.431200000006</v>
      </c>
    </row>
    <row r="128" spans="2:9" x14ac:dyDescent="0.2">
      <c r="B128" s="4">
        <f t="shared" si="3"/>
        <v>122</v>
      </c>
      <c r="C128" s="30">
        <v>223001</v>
      </c>
      <c r="D128" s="30" t="s">
        <v>251</v>
      </c>
      <c r="E128" s="31">
        <f>5355+340</f>
        <v>5695</v>
      </c>
      <c r="G128" s="31">
        <f>E128*1.06</f>
        <v>6036.7000000000007</v>
      </c>
      <c r="I128" s="31">
        <f>G128*1.06</f>
        <v>6398.902000000001</v>
      </c>
    </row>
    <row r="129" spans="2:9" x14ac:dyDescent="0.2">
      <c r="B129" s="4">
        <f t="shared" si="3"/>
        <v>123</v>
      </c>
      <c r="C129" s="30">
        <v>223002</v>
      </c>
      <c r="D129" s="30" t="s">
        <v>74</v>
      </c>
      <c r="E129" s="31">
        <v>23153</v>
      </c>
      <c r="G129" s="31">
        <f>E129*1.06</f>
        <v>24542.18</v>
      </c>
      <c r="I129" s="31">
        <f>G129*1.06</f>
        <v>26014.710800000001</v>
      </c>
    </row>
    <row r="130" spans="2:9" x14ac:dyDescent="0.2">
      <c r="B130" s="4">
        <f t="shared" si="3"/>
        <v>124</v>
      </c>
      <c r="C130" s="30">
        <v>223003</v>
      </c>
      <c r="D130" s="30" t="s">
        <v>75</v>
      </c>
      <c r="E130" s="31">
        <v>42094</v>
      </c>
      <c r="G130" s="31">
        <f>E130*1.06</f>
        <v>44619.64</v>
      </c>
      <c r="I130" s="31">
        <f>G130*1.06</f>
        <v>47296.818400000004</v>
      </c>
    </row>
    <row r="131" spans="2:9" x14ac:dyDescent="0.2">
      <c r="B131" s="4">
        <f t="shared" si="3"/>
        <v>125</v>
      </c>
      <c r="C131" s="42"/>
      <c r="D131" s="42" t="s">
        <v>101</v>
      </c>
      <c r="E131" s="43">
        <f>SUM(E132:E134)</f>
        <v>27680</v>
      </c>
      <c r="G131" s="43">
        <f>SUM(G132:G134)</f>
        <v>29340.800000000003</v>
      </c>
      <c r="I131" s="43">
        <f>SUM(I132:I134)</f>
        <v>31101.248000000003</v>
      </c>
    </row>
    <row r="132" spans="2:9" x14ac:dyDescent="0.2">
      <c r="B132" s="4">
        <f t="shared" si="3"/>
        <v>126</v>
      </c>
      <c r="C132" s="30">
        <v>223001</v>
      </c>
      <c r="D132" s="30" t="s">
        <v>251</v>
      </c>
      <c r="E132" s="31">
        <f>2205+140</f>
        <v>2345</v>
      </c>
      <c r="G132" s="31">
        <f>E132*1.06</f>
        <v>2485.7000000000003</v>
      </c>
      <c r="I132" s="31">
        <f>G132*1.06</f>
        <v>2634.8420000000006</v>
      </c>
    </row>
    <row r="133" spans="2:9" x14ac:dyDescent="0.2">
      <c r="B133" s="4">
        <f t="shared" si="3"/>
        <v>127</v>
      </c>
      <c r="C133" s="30">
        <v>223002</v>
      </c>
      <c r="D133" s="30" t="s">
        <v>74</v>
      </c>
      <c r="E133" s="31">
        <v>8820</v>
      </c>
      <c r="G133" s="31">
        <f>E133*1.06</f>
        <v>9349.2000000000007</v>
      </c>
      <c r="I133" s="31">
        <f>G133*1.06</f>
        <v>9910.1520000000019</v>
      </c>
    </row>
    <row r="134" spans="2:9" x14ac:dyDescent="0.2">
      <c r="B134" s="4">
        <f t="shared" ref="B134:B197" si="4">B133+1</f>
        <v>128</v>
      </c>
      <c r="C134" s="30">
        <v>223003</v>
      </c>
      <c r="D134" s="30" t="s">
        <v>75</v>
      </c>
      <c r="E134" s="31">
        <v>16515</v>
      </c>
      <c r="G134" s="31">
        <f>E134*1.06</f>
        <v>17505.900000000001</v>
      </c>
      <c r="I134" s="31">
        <f>G134*1.06</f>
        <v>18556.254000000001</v>
      </c>
    </row>
    <row r="135" spans="2:9" x14ac:dyDescent="0.2">
      <c r="B135" s="4">
        <f t="shared" si="4"/>
        <v>129</v>
      </c>
      <c r="C135" s="42"/>
      <c r="D135" s="42" t="s">
        <v>206</v>
      </c>
      <c r="E135" s="43">
        <f>SUM(E136:E138)</f>
        <v>26465</v>
      </c>
      <c r="G135" s="43">
        <f>SUM(G136:G138)</f>
        <v>28052.9</v>
      </c>
      <c r="I135" s="43">
        <f>SUM(I136:I138)</f>
        <v>29736.074000000008</v>
      </c>
    </row>
    <row r="136" spans="2:9" x14ac:dyDescent="0.2">
      <c r="B136" s="4">
        <f t="shared" si="4"/>
        <v>130</v>
      </c>
      <c r="C136" s="30">
        <v>223001</v>
      </c>
      <c r="D136" s="30" t="s">
        <v>251</v>
      </c>
      <c r="E136" s="31">
        <f>2520+160</f>
        <v>2680</v>
      </c>
      <c r="G136" s="31">
        <f>E136*1.06</f>
        <v>2840.8</v>
      </c>
      <c r="I136" s="31">
        <f>G136*1.06</f>
        <v>3011.2480000000005</v>
      </c>
    </row>
    <row r="137" spans="2:9" x14ac:dyDescent="0.2">
      <c r="B137" s="4">
        <f t="shared" si="4"/>
        <v>131</v>
      </c>
      <c r="C137" s="30">
        <v>223002</v>
      </c>
      <c r="D137" s="30" t="s">
        <v>74</v>
      </c>
      <c r="E137" s="31">
        <v>6983</v>
      </c>
      <c r="G137" s="31">
        <f>E137*1.06</f>
        <v>7401.9800000000005</v>
      </c>
      <c r="I137" s="31">
        <f>G137*1.06</f>
        <v>7846.0988000000007</v>
      </c>
    </row>
    <row r="138" spans="2:9" x14ac:dyDescent="0.2">
      <c r="B138" s="4">
        <f t="shared" si="4"/>
        <v>132</v>
      </c>
      <c r="C138" s="30">
        <v>223003</v>
      </c>
      <c r="D138" s="30" t="s">
        <v>75</v>
      </c>
      <c r="E138" s="31">
        <v>16802</v>
      </c>
      <c r="G138" s="31">
        <f>E138*1.06</f>
        <v>17810.120000000003</v>
      </c>
      <c r="I138" s="31">
        <f>G138*1.06</f>
        <v>18878.727200000005</v>
      </c>
    </row>
    <row r="139" spans="2:9" x14ac:dyDescent="0.2">
      <c r="B139" s="4">
        <f t="shared" si="4"/>
        <v>133</v>
      </c>
      <c r="C139" s="42"/>
      <c r="D139" s="42" t="s">
        <v>73</v>
      </c>
      <c r="E139" s="43">
        <f>E140</f>
        <v>10290</v>
      </c>
      <c r="G139" s="43">
        <f>G140</f>
        <v>10907.400000000001</v>
      </c>
      <c r="I139" s="43">
        <f>I140</f>
        <v>11561.844000000003</v>
      </c>
    </row>
    <row r="140" spans="2:9" x14ac:dyDescent="0.2">
      <c r="B140" s="4">
        <f t="shared" si="4"/>
        <v>134</v>
      </c>
      <c r="C140" s="30">
        <v>223002</v>
      </c>
      <c r="D140" s="30" t="s">
        <v>74</v>
      </c>
      <c r="E140" s="31">
        <v>10290</v>
      </c>
      <c r="G140" s="31">
        <f>E140*1.06</f>
        <v>10907.400000000001</v>
      </c>
      <c r="I140" s="31">
        <f>G140*1.06</f>
        <v>11561.844000000003</v>
      </c>
    </row>
    <row r="141" spans="2:9" x14ac:dyDescent="0.2">
      <c r="B141" s="4">
        <f t="shared" si="4"/>
        <v>135</v>
      </c>
      <c r="C141" s="42"/>
      <c r="D141" s="42" t="s">
        <v>113</v>
      </c>
      <c r="E141" s="43">
        <f>E142</f>
        <v>36016</v>
      </c>
      <c r="G141" s="43">
        <f>G142</f>
        <v>38176.959999999999</v>
      </c>
      <c r="I141" s="43">
        <f>I142</f>
        <v>40467.577600000004</v>
      </c>
    </row>
    <row r="142" spans="2:9" x14ac:dyDescent="0.2">
      <c r="B142" s="4">
        <f t="shared" si="4"/>
        <v>136</v>
      </c>
      <c r="C142" s="30">
        <v>223002</v>
      </c>
      <c r="D142" s="30" t="s">
        <v>74</v>
      </c>
      <c r="E142" s="31">
        <v>36016</v>
      </c>
      <c r="G142" s="31">
        <f>E142*1.06</f>
        <v>38176.959999999999</v>
      </c>
      <c r="I142" s="31">
        <f>G142*1.06</f>
        <v>40467.577600000004</v>
      </c>
    </row>
    <row r="143" spans="2:9" x14ac:dyDescent="0.2">
      <c r="B143" s="4">
        <f t="shared" si="4"/>
        <v>137</v>
      </c>
      <c r="C143" s="42"/>
      <c r="D143" s="42" t="s">
        <v>95</v>
      </c>
      <c r="E143" s="43">
        <f>SUM(E144:E145)</f>
        <v>71199</v>
      </c>
      <c r="G143" s="43">
        <f>SUM(G144:G145)</f>
        <v>75470.94</v>
      </c>
      <c r="I143" s="43">
        <f>SUM(I144:I145)</f>
        <v>79999.196400000001</v>
      </c>
    </row>
    <row r="144" spans="2:9" x14ac:dyDescent="0.2">
      <c r="B144" s="4">
        <f t="shared" si="4"/>
        <v>138</v>
      </c>
      <c r="C144" s="30">
        <v>223001</v>
      </c>
      <c r="D144" s="30" t="s">
        <v>251</v>
      </c>
      <c r="E144" s="31">
        <f>8127+516</f>
        <v>8643</v>
      </c>
      <c r="G144" s="31">
        <f>E144*1.06</f>
        <v>9161.58</v>
      </c>
      <c r="I144" s="31">
        <f>G144*1.06</f>
        <v>9711.2748000000011</v>
      </c>
    </row>
    <row r="145" spans="2:9" x14ac:dyDescent="0.2">
      <c r="B145" s="4">
        <f t="shared" si="4"/>
        <v>139</v>
      </c>
      <c r="C145" s="30">
        <v>223003</v>
      </c>
      <c r="D145" s="30" t="s">
        <v>75</v>
      </c>
      <c r="E145" s="31">
        <v>62556</v>
      </c>
      <c r="G145" s="31">
        <f>E145*1.06</f>
        <v>66309.36</v>
      </c>
      <c r="I145" s="31">
        <f>G145*1.06</f>
        <v>70287.921600000001</v>
      </c>
    </row>
    <row r="146" spans="2:9" x14ac:dyDescent="0.2">
      <c r="B146" s="4">
        <f t="shared" si="4"/>
        <v>140</v>
      </c>
      <c r="C146" s="42"/>
      <c r="D146" s="42" t="s">
        <v>443</v>
      </c>
      <c r="E146" s="43">
        <f>SUM(E147:E148)</f>
        <v>13000</v>
      </c>
      <c r="G146" s="43">
        <f>SUM(G147:G148)</f>
        <v>13660</v>
      </c>
      <c r="I146" s="43">
        <f>SUM(I147:I148)</f>
        <v>14359.6</v>
      </c>
    </row>
    <row r="147" spans="2:9" x14ac:dyDescent="0.2">
      <c r="B147" s="4">
        <f t="shared" si="4"/>
        <v>141</v>
      </c>
      <c r="C147" s="30">
        <v>212003</v>
      </c>
      <c r="D147" s="30" t="s">
        <v>249</v>
      </c>
      <c r="E147" s="31">
        <f>4000+3600+3400</f>
        <v>11000</v>
      </c>
      <c r="G147" s="31">
        <f>E147*1.06</f>
        <v>11660</v>
      </c>
      <c r="I147" s="31">
        <f>G147*1.06</f>
        <v>12359.6</v>
      </c>
    </row>
    <row r="148" spans="2:9" ht="13.5" thickBot="1" x14ac:dyDescent="0.25">
      <c r="B148" s="4">
        <f t="shared" si="4"/>
        <v>142</v>
      </c>
      <c r="C148" s="30">
        <v>292019</v>
      </c>
      <c r="D148" s="30" t="s">
        <v>234</v>
      </c>
      <c r="E148" s="31">
        <v>2000</v>
      </c>
      <c r="G148" s="31">
        <f>E148</f>
        <v>2000</v>
      </c>
      <c r="I148" s="31">
        <f>G148</f>
        <v>2000</v>
      </c>
    </row>
    <row r="149" spans="2:9" ht="15" thickBot="1" x14ac:dyDescent="0.25">
      <c r="B149" s="4">
        <f t="shared" si="4"/>
        <v>143</v>
      </c>
      <c r="C149" s="36">
        <v>5</v>
      </c>
      <c r="D149" s="36" t="s">
        <v>114</v>
      </c>
      <c r="E149" s="37">
        <f>E150+E153+E158+E160+E162+E164+E170+E176+E181+E184</f>
        <v>1514500</v>
      </c>
      <c r="G149" s="37">
        <f>G150+G153+G158+G160+G162+G164+G170+G176+G181+G184</f>
        <v>1603536</v>
      </c>
      <c r="I149" s="37">
        <f>I150+I153+I158+I160+I162+I164+I170+I176+I181+I184</f>
        <v>1697911.1600000001</v>
      </c>
    </row>
    <row r="150" spans="2:9" x14ac:dyDescent="0.2">
      <c r="B150" s="4">
        <f t="shared" si="4"/>
        <v>144</v>
      </c>
      <c r="C150" s="42">
        <v>290</v>
      </c>
      <c r="D150" s="42" t="s">
        <v>178</v>
      </c>
      <c r="E150" s="43">
        <f>SUM(E151:E152)</f>
        <v>21300</v>
      </c>
      <c r="G150" s="43">
        <f>SUM(G151:G152)</f>
        <v>21300</v>
      </c>
      <c r="I150" s="43">
        <f>SUM(I151:I152)</f>
        <v>21300</v>
      </c>
    </row>
    <row r="151" spans="2:9" x14ac:dyDescent="0.2">
      <c r="B151" s="4">
        <f t="shared" si="4"/>
        <v>145</v>
      </c>
      <c r="C151" s="30">
        <v>292012</v>
      </c>
      <c r="D151" s="30" t="s">
        <v>232</v>
      </c>
      <c r="E151" s="31">
        <v>2000</v>
      </c>
      <c r="G151" s="31">
        <f>E151</f>
        <v>2000</v>
      </c>
      <c r="I151" s="31">
        <f>E151</f>
        <v>2000</v>
      </c>
    </row>
    <row r="152" spans="2:9" x14ac:dyDescent="0.2">
      <c r="B152" s="4">
        <f t="shared" si="4"/>
        <v>146</v>
      </c>
      <c r="C152" s="30">
        <v>292019</v>
      </c>
      <c r="D152" s="30" t="s">
        <v>234</v>
      </c>
      <c r="E152" s="31">
        <v>19300</v>
      </c>
      <c r="G152" s="31">
        <f>E152</f>
        <v>19300</v>
      </c>
      <c r="I152" s="31">
        <f>G152</f>
        <v>19300</v>
      </c>
    </row>
    <row r="153" spans="2:9" x14ac:dyDescent="0.2">
      <c r="B153" s="4">
        <f t="shared" si="4"/>
        <v>147</v>
      </c>
      <c r="C153" s="42"/>
      <c r="D153" s="42" t="s">
        <v>76</v>
      </c>
      <c r="E153" s="43">
        <f>SUM(E154:E157)</f>
        <v>119100</v>
      </c>
      <c r="G153" s="43">
        <f>SUM(G154:G157)</f>
        <v>125690</v>
      </c>
      <c r="I153" s="43">
        <f>SUM(I154:I157)</f>
        <v>132672.4</v>
      </c>
    </row>
    <row r="154" spans="2:9" x14ac:dyDescent="0.2">
      <c r="B154" s="4">
        <f t="shared" si="4"/>
        <v>148</v>
      </c>
      <c r="C154" s="30">
        <v>223001</v>
      </c>
      <c r="D154" s="30" t="s">
        <v>646</v>
      </c>
      <c r="E154" s="31">
        <v>32000</v>
      </c>
      <c r="G154" s="31">
        <f>E154*1.06</f>
        <v>33920</v>
      </c>
      <c r="I154" s="31">
        <f>G154*1.06</f>
        <v>35955.200000000004</v>
      </c>
    </row>
    <row r="155" spans="2:9" x14ac:dyDescent="0.2">
      <c r="B155" s="4">
        <f t="shared" si="4"/>
        <v>149</v>
      </c>
      <c r="C155" s="30">
        <v>223002</v>
      </c>
      <c r="D155" s="30" t="s">
        <v>74</v>
      </c>
      <c r="E155" s="31">
        <v>77000</v>
      </c>
      <c r="G155" s="31">
        <f>E155*1.06</f>
        <v>81620</v>
      </c>
      <c r="I155" s="31">
        <f>G155*1.06</f>
        <v>86517.2</v>
      </c>
    </row>
    <row r="156" spans="2:9" x14ac:dyDescent="0.2">
      <c r="B156" s="4">
        <f t="shared" si="4"/>
        <v>150</v>
      </c>
      <c r="C156" s="30">
        <v>223003</v>
      </c>
      <c r="D156" s="30" t="s">
        <v>444</v>
      </c>
      <c r="E156" s="31">
        <v>8900</v>
      </c>
      <c r="G156" s="31">
        <f>E156</f>
        <v>8900</v>
      </c>
      <c r="I156" s="31">
        <f>G156</f>
        <v>8900</v>
      </c>
    </row>
    <row r="157" spans="2:9" x14ac:dyDescent="0.2">
      <c r="B157" s="4">
        <f t="shared" si="4"/>
        <v>151</v>
      </c>
      <c r="C157" s="30">
        <v>223003</v>
      </c>
      <c r="D157" s="30" t="s">
        <v>446</v>
      </c>
      <c r="E157" s="31">
        <v>1200</v>
      </c>
      <c r="G157" s="31">
        <v>1250</v>
      </c>
      <c r="I157" s="31">
        <v>1300</v>
      </c>
    </row>
    <row r="158" spans="2:9" x14ac:dyDescent="0.2">
      <c r="B158" s="4">
        <f t="shared" si="4"/>
        <v>152</v>
      </c>
      <c r="C158" s="42"/>
      <c r="D158" s="42" t="s">
        <v>447</v>
      </c>
      <c r="E158" s="43">
        <f>E159</f>
        <v>5200</v>
      </c>
      <c r="G158" s="43">
        <f>G159</f>
        <v>5512</v>
      </c>
      <c r="I158" s="43">
        <f>I159</f>
        <v>5842.72</v>
      </c>
    </row>
    <row r="159" spans="2:9" x14ac:dyDescent="0.2">
      <c r="B159" s="4">
        <f t="shared" si="4"/>
        <v>153</v>
      </c>
      <c r="C159" s="30">
        <v>223001</v>
      </c>
      <c r="D159" s="30" t="s">
        <v>251</v>
      </c>
      <c r="E159" s="31">
        <v>5200</v>
      </c>
      <c r="G159" s="31">
        <f>E159*1.06</f>
        <v>5512</v>
      </c>
      <c r="I159" s="31">
        <f>G159*1.06</f>
        <v>5842.72</v>
      </c>
    </row>
    <row r="160" spans="2:9" x14ac:dyDescent="0.2">
      <c r="B160" s="4">
        <f t="shared" si="4"/>
        <v>154</v>
      </c>
      <c r="C160" s="42"/>
      <c r="D160" s="42" t="s">
        <v>115</v>
      </c>
      <c r="E160" s="43">
        <f>E161</f>
        <v>5000</v>
      </c>
      <c r="G160" s="43">
        <f>G161</f>
        <v>5300</v>
      </c>
      <c r="I160" s="43">
        <f>I161</f>
        <v>5618</v>
      </c>
    </row>
    <row r="161" spans="2:11" x14ac:dyDescent="0.2">
      <c r="B161" s="4">
        <f t="shared" si="4"/>
        <v>155</v>
      </c>
      <c r="C161" s="30">
        <v>223001</v>
      </c>
      <c r="D161" s="30" t="s">
        <v>251</v>
      </c>
      <c r="E161" s="31">
        <v>5000</v>
      </c>
      <c r="G161" s="31">
        <f>E161*1.06</f>
        <v>5300</v>
      </c>
      <c r="I161" s="31">
        <f>G161*1.06</f>
        <v>5618</v>
      </c>
    </row>
    <row r="162" spans="2:11" x14ac:dyDescent="0.2">
      <c r="B162" s="4">
        <f t="shared" si="4"/>
        <v>156</v>
      </c>
      <c r="C162" s="42"/>
      <c r="D162" s="42" t="s">
        <v>450</v>
      </c>
      <c r="E162" s="43">
        <f>E163</f>
        <v>6500</v>
      </c>
      <c r="G162" s="43">
        <f>G163</f>
        <v>6890</v>
      </c>
      <c r="I162" s="43">
        <f>I163</f>
        <v>7303.4000000000005</v>
      </c>
    </row>
    <row r="163" spans="2:11" x14ac:dyDescent="0.2">
      <c r="B163" s="4">
        <f t="shared" si="4"/>
        <v>157</v>
      </c>
      <c r="C163" s="30">
        <v>223001</v>
      </c>
      <c r="D163" s="30" t="s">
        <v>448</v>
      </c>
      <c r="E163" s="31">
        <v>6500</v>
      </c>
      <c r="G163" s="31">
        <f>E163*1.06</f>
        <v>6890</v>
      </c>
      <c r="I163" s="31">
        <f>G163*1.06</f>
        <v>7303.4000000000005</v>
      </c>
    </row>
    <row r="164" spans="2:11" x14ac:dyDescent="0.2">
      <c r="B164" s="4">
        <f t="shared" si="4"/>
        <v>158</v>
      </c>
      <c r="C164" s="42"/>
      <c r="D164" s="42" t="s">
        <v>63</v>
      </c>
      <c r="E164" s="43">
        <f>SUM(E165:E169)</f>
        <v>376600</v>
      </c>
      <c r="G164" s="43">
        <f>SUM(G165:G169)</f>
        <v>399196</v>
      </c>
      <c r="I164" s="43">
        <f>SUM(I165:I169)</f>
        <v>423147.76</v>
      </c>
    </row>
    <row r="165" spans="2:11" x14ac:dyDescent="0.2">
      <c r="B165" s="4">
        <f t="shared" si="4"/>
        <v>159</v>
      </c>
      <c r="C165" s="30">
        <v>212003</v>
      </c>
      <c r="D165" s="30" t="s">
        <v>249</v>
      </c>
      <c r="E165" s="31">
        <v>70</v>
      </c>
      <c r="G165" s="31">
        <f>E165*1.06</f>
        <v>74.2</v>
      </c>
      <c r="I165" s="31">
        <f>G165*1.06</f>
        <v>78.652000000000001</v>
      </c>
    </row>
    <row r="166" spans="2:11" s="13" customFormat="1" x14ac:dyDescent="0.2">
      <c r="B166" s="4">
        <f t="shared" si="4"/>
        <v>160</v>
      </c>
      <c r="C166" s="49">
        <v>223001</v>
      </c>
      <c r="D166" s="50" t="s">
        <v>451</v>
      </c>
      <c r="E166" s="31">
        <v>58500</v>
      </c>
      <c r="F166" s="12"/>
      <c r="G166" s="31">
        <f>E166*1.06</f>
        <v>62010</v>
      </c>
      <c r="H166" s="12"/>
      <c r="I166" s="31">
        <f>G166*1.06</f>
        <v>65730.600000000006</v>
      </c>
      <c r="J166" s="12"/>
      <c r="K166" s="12"/>
    </row>
    <row r="167" spans="2:11" x14ac:dyDescent="0.2">
      <c r="B167" s="4">
        <f t="shared" si="4"/>
        <v>161</v>
      </c>
      <c r="C167" s="30">
        <v>223001</v>
      </c>
      <c r="D167" s="30" t="s">
        <v>448</v>
      </c>
      <c r="E167" s="31">
        <v>179000</v>
      </c>
      <c r="G167" s="31">
        <f>E167*1.06</f>
        <v>189740</v>
      </c>
      <c r="I167" s="31">
        <f>G167*1.06</f>
        <v>201124.40000000002</v>
      </c>
    </row>
    <row r="168" spans="2:11" x14ac:dyDescent="0.2">
      <c r="B168" s="4">
        <f t="shared" si="4"/>
        <v>162</v>
      </c>
      <c r="C168" s="30">
        <v>223001</v>
      </c>
      <c r="D168" s="30" t="s">
        <v>453</v>
      </c>
      <c r="E168" s="31">
        <v>125000</v>
      </c>
      <c r="G168" s="31">
        <f>E168*1.06</f>
        <v>132500</v>
      </c>
      <c r="I168" s="31">
        <f>G168*1.06</f>
        <v>140450</v>
      </c>
    </row>
    <row r="169" spans="2:11" x14ac:dyDescent="0.2">
      <c r="B169" s="4">
        <f t="shared" si="4"/>
        <v>163</v>
      </c>
      <c r="C169" s="30">
        <v>223001</v>
      </c>
      <c r="D169" s="30" t="s">
        <v>939</v>
      </c>
      <c r="E169" s="31">
        <v>14030</v>
      </c>
      <c r="G169" s="31">
        <f>E169*1.06</f>
        <v>14871.800000000001</v>
      </c>
      <c r="I169" s="31">
        <f>G169*1.06</f>
        <v>15764.108000000002</v>
      </c>
    </row>
    <row r="170" spans="2:11" x14ac:dyDescent="0.2">
      <c r="B170" s="4">
        <f t="shared" si="4"/>
        <v>164</v>
      </c>
      <c r="C170" s="42"/>
      <c r="D170" s="53" t="s">
        <v>455</v>
      </c>
      <c r="E170" s="54">
        <f>SUM(E171:E175)</f>
        <v>402600</v>
      </c>
      <c r="G170" s="54">
        <f>SUM(G171:G175)</f>
        <v>426756</v>
      </c>
      <c r="I170" s="638">
        <f>SUM(I171:I175)</f>
        <v>452361.36000000004</v>
      </c>
    </row>
    <row r="171" spans="2:11" x14ac:dyDescent="0.2">
      <c r="B171" s="4">
        <f t="shared" si="4"/>
        <v>165</v>
      </c>
      <c r="C171" s="30">
        <v>212003</v>
      </c>
      <c r="D171" s="30" t="s">
        <v>249</v>
      </c>
      <c r="E171" s="31">
        <v>400</v>
      </c>
      <c r="G171" s="31">
        <f>E171*1.06</f>
        <v>424</v>
      </c>
      <c r="I171" s="31">
        <f>G171*1.06</f>
        <v>449.44</v>
      </c>
    </row>
    <row r="172" spans="2:11" x14ac:dyDescent="0.2">
      <c r="B172" s="4">
        <f t="shared" si="4"/>
        <v>166</v>
      </c>
      <c r="C172" s="30">
        <v>223001</v>
      </c>
      <c r="D172" s="30" t="s">
        <v>448</v>
      </c>
      <c r="E172" s="31">
        <v>117000</v>
      </c>
      <c r="G172" s="31">
        <f>E172*1.06</f>
        <v>124020</v>
      </c>
      <c r="I172" s="31">
        <f>G172*1.06</f>
        <v>131461.20000000001</v>
      </c>
    </row>
    <row r="173" spans="2:11" x14ac:dyDescent="0.2">
      <c r="B173" s="4">
        <f t="shared" si="4"/>
        <v>167</v>
      </c>
      <c r="C173" s="30">
        <v>223001</v>
      </c>
      <c r="D173" s="30" t="s">
        <v>453</v>
      </c>
      <c r="E173" s="31">
        <v>156200</v>
      </c>
      <c r="G173" s="31">
        <f>E173*1.06</f>
        <v>165572</v>
      </c>
      <c r="I173" s="31">
        <f>G173*1.06</f>
        <v>175506.32</v>
      </c>
    </row>
    <row r="174" spans="2:11" x14ac:dyDescent="0.2">
      <c r="B174" s="4">
        <f t="shared" si="4"/>
        <v>168</v>
      </c>
      <c r="C174" s="30">
        <v>223001</v>
      </c>
      <c r="D174" s="30" t="s">
        <v>451</v>
      </c>
      <c r="E174" s="31">
        <v>117000</v>
      </c>
      <c r="G174" s="31">
        <f>E174*1.06</f>
        <v>124020</v>
      </c>
      <c r="I174" s="31">
        <f>G174*1.06</f>
        <v>131461.20000000001</v>
      </c>
    </row>
    <row r="175" spans="2:11" x14ac:dyDescent="0.2">
      <c r="B175" s="4">
        <f t="shared" si="4"/>
        <v>169</v>
      </c>
      <c r="C175" s="30">
        <v>223001</v>
      </c>
      <c r="D175" s="30" t="s">
        <v>939</v>
      </c>
      <c r="E175" s="31">
        <v>12000</v>
      </c>
      <c r="G175" s="31">
        <f>E175*1.06</f>
        <v>12720</v>
      </c>
      <c r="I175" s="31">
        <f>G175*1.06</f>
        <v>13483.2</v>
      </c>
    </row>
    <row r="176" spans="2:11" x14ac:dyDescent="0.2">
      <c r="B176" s="4">
        <f t="shared" si="4"/>
        <v>170</v>
      </c>
      <c r="C176" s="42"/>
      <c r="D176" s="42" t="s">
        <v>456</v>
      </c>
      <c r="E176" s="43">
        <f>SUM(E177:E180)</f>
        <v>268200</v>
      </c>
      <c r="G176" s="43">
        <f>SUM(G177:G180)</f>
        <v>284292</v>
      </c>
      <c r="I176" s="43">
        <f>SUM(I177:I180)</f>
        <v>301349.52</v>
      </c>
    </row>
    <row r="177" spans="2:9" x14ac:dyDescent="0.2">
      <c r="B177" s="4">
        <f t="shared" si="4"/>
        <v>171</v>
      </c>
      <c r="C177" s="30">
        <v>223001</v>
      </c>
      <c r="D177" s="30" t="s">
        <v>448</v>
      </c>
      <c r="E177" s="31">
        <v>175000</v>
      </c>
      <c r="G177" s="31">
        <f>E177*1.06</f>
        <v>185500</v>
      </c>
      <c r="I177" s="31">
        <f>G177*1.06</f>
        <v>196630</v>
      </c>
    </row>
    <row r="178" spans="2:9" x14ac:dyDescent="0.2">
      <c r="B178" s="4">
        <f t="shared" si="4"/>
        <v>172</v>
      </c>
      <c r="C178" s="30">
        <v>223001</v>
      </c>
      <c r="D178" s="30" t="s">
        <v>454</v>
      </c>
      <c r="E178" s="31">
        <v>19000</v>
      </c>
      <c r="G178" s="31">
        <f>E178*1.06</f>
        <v>20140</v>
      </c>
      <c r="I178" s="31">
        <f>G178*1.06</f>
        <v>21348.400000000001</v>
      </c>
    </row>
    <row r="179" spans="2:9" x14ac:dyDescent="0.2">
      <c r="B179" s="4">
        <f t="shared" si="4"/>
        <v>173</v>
      </c>
      <c r="C179" s="30">
        <v>223001</v>
      </c>
      <c r="D179" s="30" t="s">
        <v>453</v>
      </c>
      <c r="E179" s="31">
        <v>64400</v>
      </c>
      <c r="G179" s="31">
        <f>E179*1.06</f>
        <v>68264</v>
      </c>
      <c r="I179" s="31">
        <f>G179*1.06</f>
        <v>72359.839999999997</v>
      </c>
    </row>
    <row r="180" spans="2:9" x14ac:dyDescent="0.2">
      <c r="B180" s="4">
        <f t="shared" si="4"/>
        <v>174</v>
      </c>
      <c r="C180" s="30">
        <v>223001</v>
      </c>
      <c r="D180" s="30" t="s">
        <v>939</v>
      </c>
      <c r="E180" s="31">
        <v>9800</v>
      </c>
      <c r="G180" s="31">
        <f>E180*1.06</f>
        <v>10388</v>
      </c>
      <c r="I180" s="31">
        <f>G180*1.06</f>
        <v>11011.28</v>
      </c>
    </row>
    <row r="181" spans="2:9" x14ac:dyDescent="0.2">
      <c r="B181" s="4">
        <f t="shared" si="4"/>
        <v>175</v>
      </c>
      <c r="C181" s="42"/>
      <c r="D181" s="42" t="s">
        <v>460</v>
      </c>
      <c r="E181" s="43">
        <f>E182+E183</f>
        <v>292500</v>
      </c>
      <c r="G181" s="43">
        <f>G182+G183</f>
        <v>310050</v>
      </c>
      <c r="I181" s="43">
        <f>I182+I183</f>
        <v>328653</v>
      </c>
    </row>
    <row r="182" spans="2:9" x14ac:dyDescent="0.2">
      <c r="B182" s="4">
        <f t="shared" si="4"/>
        <v>176</v>
      </c>
      <c r="C182" s="30">
        <v>223001</v>
      </c>
      <c r="D182" s="30" t="s">
        <v>457</v>
      </c>
      <c r="E182" s="31">
        <v>290000</v>
      </c>
      <c r="G182" s="31">
        <f>E182*1.06</f>
        <v>307400</v>
      </c>
      <c r="I182" s="31">
        <f>G182*1.06</f>
        <v>325844</v>
      </c>
    </row>
    <row r="183" spans="2:9" x14ac:dyDescent="0.2">
      <c r="B183" s="4">
        <f t="shared" si="4"/>
        <v>177</v>
      </c>
      <c r="C183" s="30">
        <v>223001</v>
      </c>
      <c r="D183" s="30" t="s">
        <v>458</v>
      </c>
      <c r="E183" s="31">
        <v>2500</v>
      </c>
      <c r="G183" s="31">
        <f>E183*1.06</f>
        <v>2650</v>
      </c>
      <c r="I183" s="31">
        <f>G183*1.06</f>
        <v>2809</v>
      </c>
    </row>
    <row r="184" spans="2:9" x14ac:dyDescent="0.2">
      <c r="B184" s="4">
        <f t="shared" si="4"/>
        <v>178</v>
      </c>
      <c r="C184" s="42"/>
      <c r="D184" s="42" t="s">
        <v>459</v>
      </c>
      <c r="E184" s="43">
        <f>E185</f>
        <v>17500</v>
      </c>
      <c r="G184" s="43">
        <f>G185</f>
        <v>18550</v>
      </c>
      <c r="I184" s="43">
        <f>I185</f>
        <v>19663</v>
      </c>
    </row>
    <row r="185" spans="2:9" ht="13.5" thickBot="1" x14ac:dyDescent="0.25">
      <c r="B185" s="4">
        <f t="shared" si="4"/>
        <v>179</v>
      </c>
      <c r="C185" s="46">
        <v>223001</v>
      </c>
      <c r="D185" s="46" t="s">
        <v>251</v>
      </c>
      <c r="E185" s="47">
        <v>17500</v>
      </c>
      <c r="G185" s="637">
        <f>E185*1.06</f>
        <v>18550</v>
      </c>
      <c r="I185" s="637">
        <f>G185*1.06</f>
        <v>19663</v>
      </c>
    </row>
    <row r="186" spans="2:9" ht="15" thickBot="1" x14ac:dyDescent="0.25">
      <c r="B186" s="4">
        <f t="shared" si="4"/>
        <v>180</v>
      </c>
      <c r="C186" s="36">
        <v>6</v>
      </c>
      <c r="D186" s="36" t="s">
        <v>339</v>
      </c>
      <c r="E186" s="37">
        <f>E187+E189+E193</f>
        <v>83667</v>
      </c>
      <c r="G186" s="37">
        <f>G187+G189+G193</f>
        <v>88663.02</v>
      </c>
      <c r="I186" s="37">
        <f>I187+I189+I193</f>
        <v>93958.801200000016</v>
      </c>
    </row>
    <row r="187" spans="2:9" x14ac:dyDescent="0.2">
      <c r="B187" s="4">
        <f t="shared" si="4"/>
        <v>181</v>
      </c>
      <c r="C187" s="39">
        <v>210</v>
      </c>
      <c r="D187" s="39" t="s">
        <v>248</v>
      </c>
      <c r="E187" s="40">
        <f>E188</f>
        <v>1350</v>
      </c>
      <c r="G187" s="40">
        <f>G188</f>
        <v>1431</v>
      </c>
      <c r="I187" s="40">
        <f>I188</f>
        <v>1516.8600000000001</v>
      </c>
    </row>
    <row r="188" spans="2:9" x14ac:dyDescent="0.2">
      <c r="B188" s="4">
        <f t="shared" si="4"/>
        <v>182</v>
      </c>
      <c r="C188" s="30">
        <v>212003</v>
      </c>
      <c r="D188" s="30" t="s">
        <v>249</v>
      </c>
      <c r="E188" s="31">
        <v>1350</v>
      </c>
      <c r="G188" s="31">
        <f>E188*1.06</f>
        <v>1431</v>
      </c>
      <c r="I188" s="31">
        <f>G188*1.06</f>
        <v>1516.8600000000001</v>
      </c>
    </row>
    <row r="189" spans="2:9" x14ac:dyDescent="0.2">
      <c r="B189" s="4">
        <f t="shared" si="4"/>
        <v>183</v>
      </c>
      <c r="C189" s="42">
        <v>220</v>
      </c>
      <c r="D189" s="42" t="s">
        <v>220</v>
      </c>
      <c r="E189" s="43">
        <f>SUM(E190:E192)</f>
        <v>81917</v>
      </c>
      <c r="G189" s="43">
        <f>SUM(G190:G192)</f>
        <v>86832.02</v>
      </c>
      <c r="I189" s="43">
        <f>SUM(I190:I192)</f>
        <v>92041.941200000016</v>
      </c>
    </row>
    <row r="190" spans="2:9" x14ac:dyDescent="0.2">
      <c r="B190" s="4">
        <f t="shared" si="4"/>
        <v>184</v>
      </c>
      <c r="C190" s="30">
        <v>223001</v>
      </c>
      <c r="D190" s="30" t="s">
        <v>251</v>
      </c>
      <c r="E190" s="31">
        <v>38560</v>
      </c>
      <c r="G190" s="31">
        <f>E190*1.06</f>
        <v>40873.599999999999</v>
      </c>
      <c r="I190" s="31">
        <f>G190*1.06</f>
        <v>43326.016000000003</v>
      </c>
    </row>
    <row r="191" spans="2:9" x14ac:dyDescent="0.2">
      <c r="B191" s="4">
        <f t="shared" si="4"/>
        <v>185</v>
      </c>
      <c r="C191" s="30">
        <v>223002</v>
      </c>
      <c r="D191" s="30" t="s">
        <v>74</v>
      </c>
      <c r="E191" s="31">
        <f>25080+1464</f>
        <v>26544</v>
      </c>
      <c r="G191" s="31">
        <f>E191*1.06</f>
        <v>28136.640000000003</v>
      </c>
      <c r="I191" s="31">
        <f>G191*1.06</f>
        <v>29824.838400000004</v>
      </c>
    </row>
    <row r="192" spans="2:9" x14ac:dyDescent="0.2">
      <c r="B192" s="4">
        <f t="shared" si="4"/>
        <v>186</v>
      </c>
      <c r="C192" s="30">
        <v>223003</v>
      </c>
      <c r="D192" s="30" t="s">
        <v>75</v>
      </c>
      <c r="E192" s="31">
        <f>15000+1813</f>
        <v>16813</v>
      </c>
      <c r="G192" s="31">
        <f>E192*1.06</f>
        <v>17821.780000000002</v>
      </c>
      <c r="I192" s="31">
        <f>G192*1.06</f>
        <v>18891.086800000005</v>
      </c>
    </row>
    <row r="193" spans="2:9" x14ac:dyDescent="0.2">
      <c r="B193" s="4">
        <f t="shared" si="4"/>
        <v>187</v>
      </c>
      <c r="C193" s="42">
        <v>290</v>
      </c>
      <c r="D193" s="42" t="s">
        <v>178</v>
      </c>
      <c r="E193" s="43">
        <f>SUM(E194:E194)</f>
        <v>400</v>
      </c>
      <c r="G193" s="43">
        <f>SUM(G194:G194)</f>
        <v>400</v>
      </c>
      <c r="I193" s="43">
        <f>SUM(I194:I194)</f>
        <v>400</v>
      </c>
    </row>
    <row r="194" spans="2:9" ht="13.5" thickBot="1" x14ac:dyDescent="0.25">
      <c r="B194" s="4">
        <f t="shared" si="4"/>
        <v>188</v>
      </c>
      <c r="C194" s="30">
        <v>292012</v>
      </c>
      <c r="D194" s="30" t="s">
        <v>232</v>
      </c>
      <c r="E194" s="31">
        <v>400</v>
      </c>
      <c r="G194" s="31">
        <f>E194</f>
        <v>400</v>
      </c>
      <c r="I194" s="31">
        <f>G194</f>
        <v>400</v>
      </c>
    </row>
    <row r="195" spans="2:9" ht="15" thickBot="1" x14ac:dyDescent="0.25">
      <c r="B195" s="4">
        <f t="shared" si="4"/>
        <v>189</v>
      </c>
      <c r="C195" s="36">
        <v>7</v>
      </c>
      <c r="D195" s="36" t="s">
        <v>341</v>
      </c>
      <c r="E195" s="37">
        <f>E198+E196</f>
        <v>124643</v>
      </c>
      <c r="G195" s="37">
        <f>G198+G196</f>
        <v>132121.57999999999</v>
      </c>
      <c r="I195" s="37">
        <f>I198+I196</f>
        <v>140048.87479999999</v>
      </c>
    </row>
    <row r="196" spans="2:9" x14ac:dyDescent="0.2">
      <c r="B196" s="4">
        <f t="shared" si="4"/>
        <v>190</v>
      </c>
      <c r="C196" s="39">
        <v>210</v>
      </c>
      <c r="D196" s="39" t="s">
        <v>248</v>
      </c>
      <c r="E196" s="40">
        <f>E197</f>
        <v>830</v>
      </c>
      <c r="G196" s="40">
        <f>G197</f>
        <v>879.80000000000007</v>
      </c>
      <c r="I196" s="40">
        <f>I197</f>
        <v>932.58800000000008</v>
      </c>
    </row>
    <row r="197" spans="2:9" x14ac:dyDescent="0.2">
      <c r="B197" s="4">
        <f t="shared" si="4"/>
        <v>191</v>
      </c>
      <c r="C197" s="30">
        <v>212003</v>
      </c>
      <c r="D197" s="30" t="s">
        <v>249</v>
      </c>
      <c r="E197" s="31">
        <v>830</v>
      </c>
      <c r="G197" s="31">
        <f>E197*1.06</f>
        <v>879.80000000000007</v>
      </c>
      <c r="I197" s="31">
        <f>G197*1.06</f>
        <v>932.58800000000008</v>
      </c>
    </row>
    <row r="198" spans="2:9" x14ac:dyDescent="0.2">
      <c r="B198" s="4">
        <f t="shared" ref="B198:B261" si="5">B197+1</f>
        <v>192</v>
      </c>
      <c r="C198" s="42">
        <v>220</v>
      </c>
      <c r="D198" s="42" t="s">
        <v>220</v>
      </c>
      <c r="E198" s="43">
        <f>SUM(E199:E201)</f>
        <v>123813</v>
      </c>
      <c r="G198" s="43">
        <f>SUM(G199:G201)</f>
        <v>131241.78</v>
      </c>
      <c r="I198" s="43">
        <f>SUM(I199:I201)</f>
        <v>139116.2868</v>
      </c>
    </row>
    <row r="199" spans="2:9" x14ac:dyDescent="0.2">
      <c r="B199" s="4">
        <f t="shared" si="5"/>
        <v>193</v>
      </c>
      <c r="C199" s="30">
        <v>223001</v>
      </c>
      <c r="D199" s="30" t="s">
        <v>251</v>
      </c>
      <c r="E199" s="31">
        <v>41200</v>
      </c>
      <c r="G199" s="31">
        <f>E199*1.06</f>
        <v>43672</v>
      </c>
      <c r="I199" s="31">
        <f>G199*1.06</f>
        <v>46292.32</v>
      </c>
    </row>
    <row r="200" spans="2:9" x14ac:dyDescent="0.2">
      <c r="B200" s="4">
        <f t="shared" si="5"/>
        <v>194</v>
      </c>
      <c r="C200" s="30">
        <v>223002</v>
      </c>
      <c r="D200" s="30" t="s">
        <v>74</v>
      </c>
      <c r="E200" s="31">
        <f>38250+2048</f>
        <v>40298</v>
      </c>
      <c r="G200" s="31">
        <f>E200*1.06</f>
        <v>42715.880000000005</v>
      </c>
      <c r="I200" s="31">
        <f>G200*1.06</f>
        <v>45278.832800000004</v>
      </c>
    </row>
    <row r="201" spans="2:9" ht="13.5" thickBot="1" x14ac:dyDescent="0.25">
      <c r="B201" s="4">
        <f t="shared" si="5"/>
        <v>195</v>
      </c>
      <c r="C201" s="30">
        <v>223003</v>
      </c>
      <c r="D201" s="30" t="s">
        <v>75</v>
      </c>
      <c r="E201" s="45">
        <f>39700+2615</f>
        <v>42315</v>
      </c>
      <c r="G201" s="637">
        <f>E201*1.06</f>
        <v>44853.9</v>
      </c>
      <c r="I201" s="637">
        <f>G201*1.06</f>
        <v>47545.134000000005</v>
      </c>
    </row>
    <row r="202" spans="2:9" ht="15" thickBot="1" x14ac:dyDescent="0.25">
      <c r="B202" s="4">
        <f t="shared" si="5"/>
        <v>196</v>
      </c>
      <c r="C202" s="56">
        <v>8</v>
      </c>
      <c r="D202" s="56" t="s">
        <v>7</v>
      </c>
      <c r="E202" s="57">
        <f>E203+E205</f>
        <v>80755</v>
      </c>
      <c r="G202" s="57">
        <f>G203+G205</f>
        <v>85600.3</v>
      </c>
      <c r="I202" s="57">
        <f>I203+I205</f>
        <v>90736.317999999999</v>
      </c>
    </row>
    <row r="203" spans="2:9" x14ac:dyDescent="0.2">
      <c r="B203" s="4">
        <f t="shared" si="5"/>
        <v>197</v>
      </c>
      <c r="C203" s="39">
        <v>210</v>
      </c>
      <c r="D203" s="39" t="s">
        <v>248</v>
      </c>
      <c r="E203" s="40">
        <f>E204</f>
        <v>31755</v>
      </c>
      <c r="G203" s="40">
        <f>G204</f>
        <v>33660.300000000003</v>
      </c>
      <c r="I203" s="40">
        <f>I204</f>
        <v>35679.918000000005</v>
      </c>
    </row>
    <row r="204" spans="2:9" x14ac:dyDescent="0.2">
      <c r="B204" s="4">
        <f t="shared" si="5"/>
        <v>198</v>
      </c>
      <c r="C204" s="30">
        <v>212003</v>
      </c>
      <c r="D204" s="30" t="s">
        <v>249</v>
      </c>
      <c r="E204" s="31">
        <f>2240+4120+251+4035+1273+11634+8200+2</f>
        <v>31755</v>
      </c>
      <c r="G204" s="31">
        <f>E204*1.06</f>
        <v>33660.300000000003</v>
      </c>
      <c r="I204" s="31">
        <f>G204*1.06</f>
        <v>35679.918000000005</v>
      </c>
    </row>
    <row r="205" spans="2:9" x14ac:dyDescent="0.2">
      <c r="B205" s="4">
        <f t="shared" si="5"/>
        <v>199</v>
      </c>
      <c r="C205" s="42">
        <v>220</v>
      </c>
      <c r="D205" s="42" t="s">
        <v>220</v>
      </c>
      <c r="E205" s="43">
        <f>E206</f>
        <v>49000</v>
      </c>
      <c r="G205" s="43">
        <f>G206</f>
        <v>51940</v>
      </c>
      <c r="I205" s="43">
        <f>I206</f>
        <v>55056.4</v>
      </c>
    </row>
    <row r="206" spans="2:9" ht="13.5" thickBot="1" x14ac:dyDescent="0.25">
      <c r="B206" s="4">
        <f t="shared" si="5"/>
        <v>200</v>
      </c>
      <c r="C206" s="30">
        <v>223002</v>
      </c>
      <c r="D206" s="30" t="s">
        <v>74</v>
      </c>
      <c r="E206" s="31">
        <f>46400+2600</f>
        <v>49000</v>
      </c>
      <c r="G206" s="31">
        <f>E206*1.06</f>
        <v>51940</v>
      </c>
      <c r="I206" s="31">
        <f>G206*1.06</f>
        <v>55056.4</v>
      </c>
    </row>
    <row r="207" spans="2:9" ht="15" thickBot="1" x14ac:dyDescent="0.25">
      <c r="B207" s="4">
        <f t="shared" si="5"/>
        <v>201</v>
      </c>
      <c r="C207" s="36">
        <v>9</v>
      </c>
      <c r="D207" s="36" t="s">
        <v>5</v>
      </c>
      <c r="E207" s="37">
        <f>E210+E208</f>
        <v>130282</v>
      </c>
      <c r="G207" s="37">
        <f>G210+G208</f>
        <v>138098.92000000001</v>
      </c>
      <c r="I207" s="37">
        <f>I210+I208</f>
        <v>146384.85520000002</v>
      </c>
    </row>
    <row r="208" spans="2:9" x14ac:dyDescent="0.2">
      <c r="B208" s="4">
        <f t="shared" si="5"/>
        <v>202</v>
      </c>
      <c r="C208" s="39">
        <v>210</v>
      </c>
      <c r="D208" s="39" t="s">
        <v>248</v>
      </c>
      <c r="E208" s="40">
        <f>E209</f>
        <v>7800</v>
      </c>
      <c r="G208" s="40">
        <f>G209</f>
        <v>8268</v>
      </c>
      <c r="I208" s="40">
        <f>I209</f>
        <v>8764.08</v>
      </c>
    </row>
    <row r="209" spans="2:9" x14ac:dyDescent="0.2">
      <c r="B209" s="4">
        <f t="shared" si="5"/>
        <v>203</v>
      </c>
      <c r="C209" s="30">
        <v>212003</v>
      </c>
      <c r="D209" s="30" t="s">
        <v>249</v>
      </c>
      <c r="E209" s="31">
        <v>7800</v>
      </c>
      <c r="G209" s="31">
        <f>E209*1.06</f>
        <v>8268</v>
      </c>
      <c r="I209" s="31">
        <f>G209*1.06</f>
        <v>8764.08</v>
      </c>
    </row>
    <row r="210" spans="2:9" x14ac:dyDescent="0.2">
      <c r="B210" s="4">
        <f t="shared" si="5"/>
        <v>204</v>
      </c>
      <c r="C210" s="42">
        <v>220</v>
      </c>
      <c r="D210" s="42" t="s">
        <v>220</v>
      </c>
      <c r="E210" s="43">
        <f>SUM(E211:E213)</f>
        <v>122482</v>
      </c>
      <c r="G210" s="43">
        <f>SUM(G211:G213)</f>
        <v>129830.92000000001</v>
      </c>
      <c r="I210" s="43">
        <f>SUM(I211:I213)</f>
        <v>137620.77520000003</v>
      </c>
    </row>
    <row r="211" spans="2:9" x14ac:dyDescent="0.2">
      <c r="B211" s="4">
        <f t="shared" si="5"/>
        <v>205</v>
      </c>
      <c r="C211" s="30">
        <v>223001</v>
      </c>
      <c r="D211" s="30" t="s">
        <v>251</v>
      </c>
      <c r="E211" s="31">
        <f>41256+4</f>
        <v>41260</v>
      </c>
      <c r="G211" s="31">
        <f>E211*1.06</f>
        <v>43735.600000000006</v>
      </c>
      <c r="I211" s="31">
        <f>G211*1.06</f>
        <v>46359.736000000012</v>
      </c>
    </row>
    <row r="212" spans="2:9" x14ac:dyDescent="0.2">
      <c r="B212" s="4">
        <f t="shared" si="5"/>
        <v>206</v>
      </c>
      <c r="C212" s="30">
        <v>223002</v>
      </c>
      <c r="D212" s="30" t="s">
        <v>74</v>
      </c>
      <c r="E212" s="31">
        <f>42750+2464</f>
        <v>45214</v>
      </c>
      <c r="G212" s="31">
        <f>E212*1.06</f>
        <v>47926.840000000004</v>
      </c>
      <c r="I212" s="31">
        <f>G212*1.06</f>
        <v>50802.450400000009</v>
      </c>
    </row>
    <row r="213" spans="2:9" ht="13.5" thickBot="1" x14ac:dyDescent="0.25">
      <c r="B213" s="4">
        <f t="shared" si="5"/>
        <v>207</v>
      </c>
      <c r="C213" s="30">
        <v>223003</v>
      </c>
      <c r="D213" s="30" t="s">
        <v>75</v>
      </c>
      <c r="E213" s="31">
        <f>34380+1628</f>
        <v>36008</v>
      </c>
      <c r="G213" s="31">
        <f>E213*1.06</f>
        <v>38168.480000000003</v>
      </c>
      <c r="I213" s="31">
        <f>G213*1.06</f>
        <v>40458.588800000005</v>
      </c>
    </row>
    <row r="214" spans="2:9" ht="15" thickBot="1" x14ac:dyDescent="0.25">
      <c r="B214" s="4">
        <f t="shared" si="5"/>
        <v>208</v>
      </c>
      <c r="C214" s="36">
        <v>10</v>
      </c>
      <c r="D214" s="36" t="s">
        <v>0</v>
      </c>
      <c r="E214" s="37">
        <f>E215+E217</f>
        <v>213034</v>
      </c>
      <c r="G214" s="37">
        <f>G215+G217</f>
        <v>225816.04</v>
      </c>
      <c r="I214" s="37">
        <f>I215+I217</f>
        <v>239365.00240000003</v>
      </c>
    </row>
    <row r="215" spans="2:9" x14ac:dyDescent="0.2">
      <c r="B215" s="4">
        <f t="shared" si="5"/>
        <v>209</v>
      </c>
      <c r="C215" s="39">
        <v>210</v>
      </c>
      <c r="D215" s="39" t="s">
        <v>248</v>
      </c>
      <c r="E215" s="40">
        <f>E216</f>
        <v>9000</v>
      </c>
      <c r="G215" s="40">
        <f>G216</f>
        <v>9540</v>
      </c>
      <c r="I215" s="40">
        <f>I216</f>
        <v>10112.4</v>
      </c>
    </row>
    <row r="216" spans="2:9" x14ac:dyDescent="0.2">
      <c r="B216" s="4">
        <f t="shared" si="5"/>
        <v>210</v>
      </c>
      <c r="C216" s="30">
        <v>212003</v>
      </c>
      <c r="D216" s="30" t="s">
        <v>249</v>
      </c>
      <c r="E216" s="31">
        <v>9000</v>
      </c>
      <c r="G216" s="31">
        <f>E216*1.06</f>
        <v>9540</v>
      </c>
      <c r="I216" s="31">
        <f>G216*1.06</f>
        <v>10112.4</v>
      </c>
    </row>
    <row r="217" spans="2:9" x14ac:dyDescent="0.2">
      <c r="B217" s="4">
        <f t="shared" si="5"/>
        <v>211</v>
      </c>
      <c r="C217" s="42">
        <v>220</v>
      </c>
      <c r="D217" s="42" t="s">
        <v>220</v>
      </c>
      <c r="E217" s="43">
        <f>SUM(E218:E220)</f>
        <v>204034</v>
      </c>
      <c r="G217" s="43">
        <f>SUM(G218:G220)</f>
        <v>216276.04</v>
      </c>
      <c r="I217" s="43">
        <f>SUM(I218:I220)</f>
        <v>229252.60240000003</v>
      </c>
    </row>
    <row r="218" spans="2:9" x14ac:dyDescent="0.2">
      <c r="B218" s="4">
        <f t="shared" si="5"/>
        <v>212</v>
      </c>
      <c r="C218" s="30">
        <v>223001</v>
      </c>
      <c r="D218" s="30" t="s">
        <v>251</v>
      </c>
      <c r="E218" s="31">
        <v>68810</v>
      </c>
      <c r="G218" s="31">
        <f>E218*1.06</f>
        <v>72938.600000000006</v>
      </c>
      <c r="I218" s="31">
        <f>G218*1.06</f>
        <v>77314.916000000012</v>
      </c>
    </row>
    <row r="219" spans="2:9" x14ac:dyDescent="0.2">
      <c r="B219" s="4">
        <f t="shared" si="5"/>
        <v>213</v>
      </c>
      <c r="C219" s="30">
        <v>223002</v>
      </c>
      <c r="D219" s="30" t="s">
        <v>74</v>
      </c>
      <c r="E219" s="31">
        <f>21000+1208</f>
        <v>22208</v>
      </c>
      <c r="G219" s="31">
        <f>E219*1.06</f>
        <v>23540.48</v>
      </c>
      <c r="I219" s="31">
        <f>G219*1.06</f>
        <v>24952.908800000001</v>
      </c>
    </row>
    <row r="220" spans="2:9" ht="13.5" thickBot="1" x14ac:dyDescent="0.25">
      <c r="B220" s="4">
        <f t="shared" si="5"/>
        <v>214</v>
      </c>
      <c r="C220" s="30">
        <v>223003</v>
      </c>
      <c r="D220" s="30" t="s">
        <v>75</v>
      </c>
      <c r="E220" s="31">
        <f>111646+4+1366</f>
        <v>113016</v>
      </c>
      <c r="G220" s="31">
        <f>E220*1.06</f>
        <v>119796.96</v>
      </c>
      <c r="I220" s="31">
        <f>G220*1.06</f>
        <v>126984.77760000002</v>
      </c>
    </row>
    <row r="221" spans="2:9" ht="15" thickBot="1" x14ac:dyDescent="0.25">
      <c r="B221" s="4">
        <f t="shared" si="5"/>
        <v>215</v>
      </c>
      <c r="C221" s="36">
        <v>11</v>
      </c>
      <c r="D221" s="36" t="s">
        <v>8</v>
      </c>
      <c r="E221" s="37">
        <f>E222+E224</f>
        <v>250922</v>
      </c>
      <c r="G221" s="37">
        <f>G222+G224</f>
        <v>265977.32</v>
      </c>
      <c r="I221" s="37">
        <f>I222+I224</f>
        <v>281935.95920000004</v>
      </c>
    </row>
    <row r="222" spans="2:9" x14ac:dyDescent="0.2">
      <c r="B222" s="4">
        <f t="shared" si="5"/>
        <v>216</v>
      </c>
      <c r="C222" s="39">
        <v>210</v>
      </c>
      <c r="D222" s="39" t="s">
        <v>248</v>
      </c>
      <c r="E222" s="40">
        <f>E223</f>
        <v>60045</v>
      </c>
      <c r="G222" s="40">
        <f>G223</f>
        <v>63647.700000000004</v>
      </c>
      <c r="I222" s="40">
        <f>I223</f>
        <v>67466.562000000005</v>
      </c>
    </row>
    <row r="223" spans="2:9" x14ac:dyDescent="0.2">
      <c r="B223" s="4">
        <f t="shared" si="5"/>
        <v>217</v>
      </c>
      <c r="C223" s="30">
        <v>212003</v>
      </c>
      <c r="D223" s="30" t="s">
        <v>249</v>
      </c>
      <c r="E223" s="31">
        <f>60042+3</f>
        <v>60045</v>
      </c>
      <c r="G223" s="31">
        <f>E223*1.06</f>
        <v>63647.700000000004</v>
      </c>
      <c r="I223" s="31">
        <f>G223*1.06</f>
        <v>67466.562000000005</v>
      </c>
    </row>
    <row r="224" spans="2:9" x14ac:dyDescent="0.2">
      <c r="B224" s="4">
        <f t="shared" si="5"/>
        <v>218</v>
      </c>
      <c r="C224" s="42">
        <v>220</v>
      </c>
      <c r="D224" s="42" t="s">
        <v>220</v>
      </c>
      <c r="E224" s="43">
        <f>SUM(E225:E227)</f>
        <v>190877</v>
      </c>
      <c r="G224" s="43">
        <f>SUM(G225:G227)</f>
        <v>202329.62</v>
      </c>
      <c r="I224" s="43">
        <f>SUM(I225:I227)</f>
        <v>214469.39720000001</v>
      </c>
    </row>
    <row r="225" spans="2:9" x14ac:dyDescent="0.2">
      <c r="B225" s="4">
        <f t="shared" si="5"/>
        <v>219</v>
      </c>
      <c r="C225" s="30">
        <v>223001</v>
      </c>
      <c r="D225" s="30" t="s">
        <v>251</v>
      </c>
      <c r="E225" s="31">
        <v>87890</v>
      </c>
      <c r="G225" s="31">
        <f>E225*1.06</f>
        <v>93163.400000000009</v>
      </c>
      <c r="I225" s="31">
        <f>G225*1.06</f>
        <v>98753.204000000012</v>
      </c>
    </row>
    <row r="226" spans="2:9" x14ac:dyDescent="0.2">
      <c r="B226" s="4">
        <f t="shared" si="5"/>
        <v>220</v>
      </c>
      <c r="C226" s="30">
        <v>223002</v>
      </c>
      <c r="D226" s="30" t="s">
        <v>74</v>
      </c>
      <c r="E226" s="31">
        <f>44000+2360</f>
        <v>46360</v>
      </c>
      <c r="G226" s="31">
        <f>E226*1.06</f>
        <v>49141.600000000006</v>
      </c>
      <c r="I226" s="31">
        <f>G226*1.06</f>
        <v>52090.096000000012</v>
      </c>
    </row>
    <row r="227" spans="2:9" ht="13.5" thickBot="1" x14ac:dyDescent="0.25">
      <c r="B227" s="4">
        <f t="shared" si="5"/>
        <v>221</v>
      </c>
      <c r="C227" s="30">
        <v>223003</v>
      </c>
      <c r="D227" s="30" t="s">
        <v>75</v>
      </c>
      <c r="E227" s="31">
        <f>53800+2827</f>
        <v>56627</v>
      </c>
      <c r="G227" s="31">
        <f>E227*1.06</f>
        <v>60024.62</v>
      </c>
      <c r="I227" s="31">
        <f>G227*1.06</f>
        <v>63626.097200000004</v>
      </c>
    </row>
    <row r="228" spans="2:9" ht="15" thickBot="1" x14ac:dyDescent="0.25">
      <c r="B228" s="4">
        <f t="shared" si="5"/>
        <v>222</v>
      </c>
      <c r="C228" s="36">
        <v>12</v>
      </c>
      <c r="D228" s="36" t="s">
        <v>6</v>
      </c>
      <c r="E228" s="37">
        <f>E229+E231</f>
        <v>160603</v>
      </c>
      <c r="G228" s="37">
        <f>G229+G231</f>
        <v>170239.18</v>
      </c>
      <c r="I228" s="37">
        <f>I229+I231</f>
        <v>180453.53080000001</v>
      </c>
    </row>
    <row r="229" spans="2:9" x14ac:dyDescent="0.2">
      <c r="B229" s="4">
        <f t="shared" si="5"/>
        <v>223</v>
      </c>
      <c r="C229" s="39">
        <v>210</v>
      </c>
      <c r="D229" s="39" t="s">
        <v>248</v>
      </c>
      <c r="E229" s="40">
        <f>E230</f>
        <v>10000</v>
      </c>
      <c r="G229" s="40">
        <f>G230</f>
        <v>10600</v>
      </c>
      <c r="I229" s="40">
        <f>I230</f>
        <v>11236</v>
      </c>
    </row>
    <row r="230" spans="2:9" x14ac:dyDescent="0.2">
      <c r="B230" s="4">
        <f t="shared" si="5"/>
        <v>224</v>
      </c>
      <c r="C230" s="30">
        <v>212003</v>
      </c>
      <c r="D230" s="30" t="s">
        <v>249</v>
      </c>
      <c r="E230" s="31">
        <v>10000</v>
      </c>
      <c r="G230" s="31">
        <f>E230*1.06</f>
        <v>10600</v>
      </c>
      <c r="I230" s="31">
        <f>G230*1.06</f>
        <v>11236</v>
      </c>
    </row>
    <row r="231" spans="2:9" x14ac:dyDescent="0.2">
      <c r="B231" s="4">
        <f t="shared" si="5"/>
        <v>225</v>
      </c>
      <c r="C231" s="42">
        <v>220</v>
      </c>
      <c r="D231" s="42" t="s">
        <v>220</v>
      </c>
      <c r="E231" s="43">
        <f>SUM(E232:E234)</f>
        <v>150603</v>
      </c>
      <c r="G231" s="43">
        <f>SUM(G232:G234)</f>
        <v>159639.18</v>
      </c>
      <c r="I231" s="43">
        <f>SUM(I232:I234)</f>
        <v>169217.53080000001</v>
      </c>
    </row>
    <row r="232" spans="2:9" x14ac:dyDescent="0.2">
      <c r="B232" s="4">
        <f t="shared" si="5"/>
        <v>226</v>
      </c>
      <c r="C232" s="30">
        <v>223001</v>
      </c>
      <c r="D232" s="30" t="s">
        <v>251</v>
      </c>
      <c r="E232" s="31">
        <v>53000</v>
      </c>
      <c r="G232" s="31">
        <f>E232*1.06</f>
        <v>56180</v>
      </c>
      <c r="I232" s="31">
        <f>G232*1.06</f>
        <v>59550.8</v>
      </c>
    </row>
    <row r="233" spans="2:9" x14ac:dyDescent="0.2">
      <c r="B233" s="4">
        <f t="shared" si="5"/>
        <v>227</v>
      </c>
      <c r="C233" s="30">
        <v>223002</v>
      </c>
      <c r="D233" s="30" t="s">
        <v>74</v>
      </c>
      <c r="E233" s="31">
        <f>46000+2464</f>
        <v>48464</v>
      </c>
      <c r="G233" s="31">
        <f>E233*1.06</f>
        <v>51371.840000000004</v>
      </c>
      <c r="I233" s="31">
        <f>G233*1.06</f>
        <v>54454.150400000006</v>
      </c>
    </row>
    <row r="234" spans="2:9" ht="13.5" thickBot="1" x14ac:dyDescent="0.25">
      <c r="B234" s="4">
        <f t="shared" si="5"/>
        <v>228</v>
      </c>
      <c r="C234" s="46">
        <v>223003</v>
      </c>
      <c r="D234" s="46" t="s">
        <v>75</v>
      </c>
      <c r="E234" s="47">
        <f>46000+3139</f>
        <v>49139</v>
      </c>
      <c r="G234" s="637">
        <f>E234*1.06</f>
        <v>52087.340000000004</v>
      </c>
      <c r="I234" s="637">
        <f>G234*1.06</f>
        <v>55212.580400000006</v>
      </c>
    </row>
    <row r="235" spans="2:9" ht="15" thickBot="1" x14ac:dyDescent="0.25">
      <c r="B235" s="4">
        <f t="shared" si="5"/>
        <v>229</v>
      </c>
      <c r="C235" s="36">
        <v>13</v>
      </c>
      <c r="D235" s="36" t="s">
        <v>14</v>
      </c>
      <c r="E235" s="37">
        <f>E236+E238</f>
        <v>85788</v>
      </c>
      <c r="G235" s="37">
        <f>G236+G238</f>
        <v>90935.28</v>
      </c>
      <c r="I235" s="37">
        <f>I236+I238</f>
        <v>96391.396800000017</v>
      </c>
    </row>
    <row r="236" spans="2:9" x14ac:dyDescent="0.2">
      <c r="B236" s="4">
        <f t="shared" si="5"/>
        <v>230</v>
      </c>
      <c r="C236" s="39">
        <v>210</v>
      </c>
      <c r="D236" s="39" t="s">
        <v>248</v>
      </c>
      <c r="E236" s="40">
        <f>E237</f>
        <v>3000</v>
      </c>
      <c r="G236" s="40">
        <f>G237</f>
        <v>3180</v>
      </c>
      <c r="I236" s="40">
        <f>I237</f>
        <v>3370.8</v>
      </c>
    </row>
    <row r="237" spans="2:9" x14ac:dyDescent="0.2">
      <c r="B237" s="4">
        <f t="shared" si="5"/>
        <v>231</v>
      </c>
      <c r="C237" s="30">
        <v>212003</v>
      </c>
      <c r="D237" s="30" t="s">
        <v>249</v>
      </c>
      <c r="E237" s="31">
        <v>3000</v>
      </c>
      <c r="G237" s="31">
        <f>E237*1.06</f>
        <v>3180</v>
      </c>
      <c r="I237" s="31">
        <f>G237*1.06</f>
        <v>3370.8</v>
      </c>
    </row>
    <row r="238" spans="2:9" x14ac:dyDescent="0.2">
      <c r="B238" s="4">
        <f t="shared" si="5"/>
        <v>232</v>
      </c>
      <c r="C238" s="42">
        <v>220</v>
      </c>
      <c r="D238" s="42" t="s">
        <v>220</v>
      </c>
      <c r="E238" s="43">
        <f>SUM(E239:E241)</f>
        <v>82788</v>
      </c>
      <c r="G238" s="43">
        <f>SUM(G239:G241)</f>
        <v>87755.28</v>
      </c>
      <c r="I238" s="43">
        <f>SUM(I239:I241)</f>
        <v>93020.596800000014</v>
      </c>
    </row>
    <row r="239" spans="2:9" x14ac:dyDescent="0.2">
      <c r="B239" s="4">
        <f t="shared" si="5"/>
        <v>233</v>
      </c>
      <c r="C239" s="30">
        <v>223001</v>
      </c>
      <c r="D239" s="30" t="s">
        <v>251</v>
      </c>
      <c r="E239" s="31">
        <v>30000</v>
      </c>
      <c r="G239" s="31">
        <f>E239*1.06</f>
        <v>31800</v>
      </c>
      <c r="I239" s="31">
        <f>G239*1.06</f>
        <v>33708</v>
      </c>
    </row>
    <row r="240" spans="2:9" x14ac:dyDescent="0.2">
      <c r="B240" s="4">
        <f t="shared" si="5"/>
        <v>234</v>
      </c>
      <c r="C240" s="30">
        <v>223002</v>
      </c>
      <c r="D240" s="30" t="s">
        <v>74</v>
      </c>
      <c r="E240" s="31">
        <f>12000+856</f>
        <v>12856</v>
      </c>
      <c r="G240" s="31">
        <f>E240*1.06</f>
        <v>13627.36</v>
      </c>
      <c r="I240" s="31">
        <f>G240*1.06</f>
        <v>14445.001600000001</v>
      </c>
    </row>
    <row r="241" spans="2:11" ht="13.5" thickBot="1" x14ac:dyDescent="0.25">
      <c r="B241" s="4">
        <f t="shared" si="5"/>
        <v>235</v>
      </c>
      <c r="C241" s="30">
        <v>223003</v>
      </c>
      <c r="D241" s="30" t="s">
        <v>75</v>
      </c>
      <c r="E241" s="31">
        <f>39120+812</f>
        <v>39932</v>
      </c>
      <c r="G241" s="31">
        <f>E241*1.06</f>
        <v>42327.920000000006</v>
      </c>
      <c r="I241" s="31">
        <f>G241*1.06</f>
        <v>44867.595200000011</v>
      </c>
    </row>
    <row r="242" spans="2:11" ht="15" thickBot="1" x14ac:dyDescent="0.25">
      <c r="B242" s="4">
        <f t="shared" si="5"/>
        <v>236</v>
      </c>
      <c r="C242" s="36">
        <v>14</v>
      </c>
      <c r="D242" s="36" t="s">
        <v>1</v>
      </c>
      <c r="E242" s="37">
        <f>E243+E245</f>
        <v>153860</v>
      </c>
      <c r="G242" s="37">
        <f>G243+G245</f>
        <v>163091.6</v>
      </c>
      <c r="I242" s="37">
        <f>I243+I245</f>
        <v>172877.09599999999</v>
      </c>
    </row>
    <row r="243" spans="2:11" x14ac:dyDescent="0.2">
      <c r="B243" s="4">
        <f t="shared" si="5"/>
        <v>237</v>
      </c>
      <c r="C243" s="39">
        <v>210</v>
      </c>
      <c r="D243" s="39" t="s">
        <v>248</v>
      </c>
      <c r="E243" s="40">
        <f>E244</f>
        <v>300</v>
      </c>
      <c r="G243" s="40">
        <f>G244</f>
        <v>318</v>
      </c>
      <c r="I243" s="40">
        <f>I244</f>
        <v>337.08000000000004</v>
      </c>
    </row>
    <row r="244" spans="2:11" x14ac:dyDescent="0.2">
      <c r="B244" s="4">
        <f t="shared" si="5"/>
        <v>238</v>
      </c>
      <c r="C244" s="30">
        <v>212003</v>
      </c>
      <c r="D244" s="30" t="s">
        <v>249</v>
      </c>
      <c r="E244" s="31">
        <v>300</v>
      </c>
      <c r="G244" s="31">
        <f>E244*1.06</f>
        <v>318</v>
      </c>
      <c r="I244" s="31">
        <f>G244*1.06</f>
        <v>337.08000000000004</v>
      </c>
    </row>
    <row r="245" spans="2:11" x14ac:dyDescent="0.2">
      <c r="B245" s="4">
        <f t="shared" si="5"/>
        <v>239</v>
      </c>
      <c r="C245" s="42">
        <v>220</v>
      </c>
      <c r="D245" s="42" t="s">
        <v>220</v>
      </c>
      <c r="E245" s="43">
        <f>E246</f>
        <v>153560</v>
      </c>
      <c r="G245" s="43">
        <f>G246</f>
        <v>162773.6</v>
      </c>
      <c r="I245" s="43">
        <f>I246</f>
        <v>172540.016</v>
      </c>
    </row>
    <row r="246" spans="2:11" x14ac:dyDescent="0.2">
      <c r="B246" s="4">
        <f t="shared" si="5"/>
        <v>240</v>
      </c>
      <c r="C246" s="30">
        <v>223002</v>
      </c>
      <c r="D246" s="30" t="s">
        <v>74</v>
      </c>
      <c r="E246" s="31">
        <f>114300+39260</f>
        <v>153560</v>
      </c>
      <c r="G246" s="31">
        <f>E246*1.06</f>
        <v>162773.6</v>
      </c>
      <c r="I246" s="31">
        <f>G246*1.06</f>
        <v>172540.016</v>
      </c>
    </row>
    <row r="247" spans="2:11" ht="16.5" thickBot="1" x14ac:dyDescent="0.3">
      <c r="B247" s="4">
        <f t="shared" si="5"/>
        <v>241</v>
      </c>
      <c r="C247" s="33">
        <v>300</v>
      </c>
      <c r="D247" s="33" t="s">
        <v>223</v>
      </c>
      <c r="E247" s="34">
        <f>E248+E267+E270+E273</f>
        <v>18317360</v>
      </c>
      <c r="G247" s="34">
        <f>G248+G267+G270+G273</f>
        <v>18771300</v>
      </c>
      <c r="I247" s="34">
        <f>I248+I267+I270+I273</f>
        <v>19351300</v>
      </c>
    </row>
    <row r="248" spans="2:11" ht="15" thickBot="1" x14ac:dyDescent="0.25">
      <c r="B248" s="4">
        <f t="shared" si="5"/>
        <v>242</v>
      </c>
      <c r="C248" s="36"/>
      <c r="D248" s="36" t="s">
        <v>42</v>
      </c>
      <c r="E248" s="37">
        <f>E249</f>
        <v>17653360</v>
      </c>
      <c r="G248" s="37">
        <f>G249</f>
        <v>18113300</v>
      </c>
      <c r="I248" s="37">
        <f>I249</f>
        <v>18693300</v>
      </c>
    </row>
    <row r="249" spans="2:11" x14ac:dyDescent="0.2">
      <c r="B249" s="4">
        <f t="shared" si="5"/>
        <v>243</v>
      </c>
      <c r="C249" s="39">
        <v>310</v>
      </c>
      <c r="D249" s="39" t="s">
        <v>224</v>
      </c>
      <c r="E249" s="40">
        <f>E250+E258</f>
        <v>17653360</v>
      </c>
      <c r="G249" s="40">
        <f>G250+G258</f>
        <v>18113300</v>
      </c>
      <c r="I249" s="40">
        <f>I250+I258</f>
        <v>18693300</v>
      </c>
    </row>
    <row r="250" spans="2:11" s="13" customFormat="1" ht="24" x14ac:dyDescent="0.2">
      <c r="B250" s="4">
        <f t="shared" si="5"/>
        <v>244</v>
      </c>
      <c r="C250" s="65">
        <v>312001</v>
      </c>
      <c r="D250" s="66" t="s">
        <v>235</v>
      </c>
      <c r="E250" s="67">
        <f>SUM(E251:E257)</f>
        <v>3769595</v>
      </c>
      <c r="F250" s="12"/>
      <c r="G250" s="67">
        <f>SUM(G251:G257)</f>
        <v>3667000</v>
      </c>
      <c r="H250" s="12"/>
      <c r="I250" s="67">
        <f>SUM(I251:I257)</f>
        <v>3737000</v>
      </c>
      <c r="J250" s="12"/>
      <c r="K250" s="12"/>
    </row>
    <row r="251" spans="2:11" x14ac:dyDescent="0.2">
      <c r="B251" s="4">
        <f t="shared" si="5"/>
        <v>245</v>
      </c>
      <c r="C251" s="69"/>
      <c r="D251" s="50" t="s">
        <v>461</v>
      </c>
      <c r="E251" s="70">
        <v>1552320</v>
      </c>
      <c r="G251" s="70">
        <v>1600000</v>
      </c>
      <c r="I251" s="70">
        <v>1650000</v>
      </c>
    </row>
    <row r="252" spans="2:11" x14ac:dyDescent="0.2">
      <c r="B252" s="4">
        <f t="shared" si="5"/>
        <v>246</v>
      </c>
      <c r="C252" s="69"/>
      <c r="D252" s="50" t="s">
        <v>276</v>
      </c>
      <c r="E252" s="51">
        <v>16000</v>
      </c>
      <c r="G252" s="51">
        <f>E252</f>
        <v>16000</v>
      </c>
      <c r="I252" s="51">
        <f>G252</f>
        <v>16000</v>
      </c>
    </row>
    <row r="253" spans="2:11" x14ac:dyDescent="0.2">
      <c r="B253" s="4">
        <f t="shared" si="5"/>
        <v>247</v>
      </c>
      <c r="C253" s="69"/>
      <c r="D253" s="50" t="s">
        <v>1126</v>
      </c>
      <c r="E253" s="51">
        <f>1253705+120000</f>
        <v>1373705</v>
      </c>
      <c r="G253" s="51">
        <f>1400000</f>
        <v>1400000</v>
      </c>
      <c r="I253" s="51">
        <f>G253</f>
        <v>1400000</v>
      </c>
    </row>
    <row r="254" spans="2:11" x14ac:dyDescent="0.2">
      <c r="B254" s="4">
        <f t="shared" si="5"/>
        <v>248</v>
      </c>
      <c r="C254" s="69"/>
      <c r="D254" s="50" t="s">
        <v>182</v>
      </c>
      <c r="E254" s="51">
        <v>16000</v>
      </c>
      <c r="G254" s="51">
        <f>E254</f>
        <v>16000</v>
      </c>
      <c r="I254" s="51">
        <f>G254</f>
        <v>16000</v>
      </c>
    </row>
    <row r="255" spans="2:11" x14ac:dyDescent="0.2">
      <c r="B255" s="4">
        <f t="shared" si="5"/>
        <v>249</v>
      </c>
      <c r="C255" s="69"/>
      <c r="D255" s="50" t="s">
        <v>312</v>
      </c>
      <c r="E255" s="51">
        <v>5000</v>
      </c>
      <c r="G255" s="51">
        <f>E255</f>
        <v>5000</v>
      </c>
      <c r="I255" s="51">
        <f>G255</f>
        <v>5000</v>
      </c>
    </row>
    <row r="256" spans="2:11" x14ac:dyDescent="0.2">
      <c r="B256" s="4">
        <f t="shared" si="5"/>
        <v>250</v>
      </c>
      <c r="C256" s="69"/>
      <c r="D256" s="50" t="s">
        <v>952</v>
      </c>
      <c r="E256" s="51">
        <v>612770</v>
      </c>
      <c r="G256" s="51">
        <v>630000</v>
      </c>
      <c r="I256" s="51">
        <v>650000</v>
      </c>
    </row>
    <row r="257" spans="2:11" x14ac:dyDescent="0.2">
      <c r="B257" s="4">
        <f t="shared" si="5"/>
        <v>251</v>
      </c>
      <c r="C257" s="69"/>
      <c r="D257" s="50" t="s">
        <v>1044</v>
      </c>
      <c r="E257" s="51">
        <v>193800</v>
      </c>
      <c r="G257" s="51"/>
      <c r="I257" s="51"/>
    </row>
    <row r="258" spans="2:11" ht="24" x14ac:dyDescent="0.2">
      <c r="B258" s="4">
        <f t="shared" si="5"/>
        <v>252</v>
      </c>
      <c r="C258" s="65">
        <v>312012</v>
      </c>
      <c r="D258" s="66" t="s">
        <v>236</v>
      </c>
      <c r="E258" s="67">
        <f>SUM(E259:E266)</f>
        <v>13883765</v>
      </c>
      <c r="G258" s="67">
        <f>SUM(G259:G266)</f>
        <v>14446300</v>
      </c>
      <c r="I258" s="67">
        <f>SUM(I259:I266)</f>
        <v>14956300</v>
      </c>
    </row>
    <row r="259" spans="2:11" x14ac:dyDescent="0.2">
      <c r="B259" s="4">
        <f t="shared" si="5"/>
        <v>253</v>
      </c>
      <c r="C259" s="69"/>
      <c r="D259" s="30" t="s">
        <v>336</v>
      </c>
      <c r="E259" s="31">
        <v>13097210</v>
      </c>
      <c r="G259" s="31">
        <v>13700000</v>
      </c>
      <c r="I259" s="31">
        <v>14200000</v>
      </c>
    </row>
    <row r="260" spans="2:11" x14ac:dyDescent="0.2">
      <c r="B260" s="4">
        <f t="shared" si="5"/>
        <v>254</v>
      </c>
      <c r="C260" s="69"/>
      <c r="D260" s="30" t="s">
        <v>335</v>
      </c>
      <c r="E260" s="31">
        <v>442855</v>
      </c>
      <c r="G260" s="31">
        <v>460000</v>
      </c>
      <c r="I260" s="31">
        <v>480000</v>
      </c>
    </row>
    <row r="261" spans="2:11" x14ac:dyDescent="0.2">
      <c r="B261" s="4">
        <f t="shared" si="5"/>
        <v>255</v>
      </c>
      <c r="C261" s="69"/>
      <c r="D261" s="30" t="s">
        <v>334</v>
      </c>
      <c r="E261" s="31">
        <v>173000</v>
      </c>
      <c r="G261" s="31">
        <f>175000</f>
        <v>175000</v>
      </c>
      <c r="I261" s="31">
        <v>180000</v>
      </c>
    </row>
    <row r="262" spans="2:11" x14ac:dyDescent="0.2">
      <c r="B262" s="4">
        <f t="shared" ref="B262:B277" si="6">B261+1</f>
        <v>256</v>
      </c>
      <c r="C262" s="69"/>
      <c r="D262" s="30" t="s">
        <v>275</v>
      </c>
      <c r="E262" s="31">
        <v>83000</v>
      </c>
      <c r="G262" s="31">
        <v>20000</v>
      </c>
      <c r="I262" s="31"/>
    </row>
    <row r="263" spans="2:11" x14ac:dyDescent="0.2">
      <c r="B263" s="4">
        <f t="shared" si="6"/>
        <v>257</v>
      </c>
      <c r="C263" s="69"/>
      <c r="D263" s="30" t="s">
        <v>133</v>
      </c>
      <c r="E263" s="31">
        <v>40000</v>
      </c>
      <c r="G263" s="31">
        <v>42000</v>
      </c>
      <c r="I263" s="31">
        <v>45000</v>
      </c>
    </row>
    <row r="264" spans="2:11" x14ac:dyDescent="0.2">
      <c r="B264" s="4">
        <f t="shared" si="6"/>
        <v>258</v>
      </c>
      <c r="C264" s="69"/>
      <c r="D264" s="30" t="s">
        <v>333</v>
      </c>
      <c r="E264" s="31">
        <v>18300</v>
      </c>
      <c r="G264" s="31">
        <f>E264</f>
        <v>18300</v>
      </c>
      <c r="I264" s="31">
        <f>G264</f>
        <v>18300</v>
      </c>
    </row>
    <row r="265" spans="2:11" x14ac:dyDescent="0.2">
      <c r="B265" s="4">
        <f t="shared" si="6"/>
        <v>259</v>
      </c>
      <c r="C265" s="69"/>
      <c r="D265" s="30" t="s">
        <v>462</v>
      </c>
      <c r="E265" s="31">
        <v>24400</v>
      </c>
      <c r="G265" s="31">
        <f>26000</f>
        <v>26000</v>
      </c>
      <c r="I265" s="31">
        <v>28000</v>
      </c>
    </row>
    <row r="266" spans="2:11" ht="13.5" thickBot="1" x14ac:dyDescent="0.25">
      <c r="B266" s="4">
        <f t="shared" si="6"/>
        <v>260</v>
      </c>
      <c r="C266" s="69"/>
      <c r="D266" s="30" t="s">
        <v>64</v>
      </c>
      <c r="E266" s="31">
        <v>5000</v>
      </c>
      <c r="G266" s="31">
        <f>E266</f>
        <v>5000</v>
      </c>
      <c r="I266" s="31">
        <f>G266</f>
        <v>5000</v>
      </c>
    </row>
    <row r="267" spans="2:11" ht="15" thickBot="1" x14ac:dyDescent="0.25">
      <c r="B267" s="4">
        <f t="shared" si="6"/>
        <v>261</v>
      </c>
      <c r="C267" s="36">
        <v>1</v>
      </c>
      <c r="D267" s="36" t="s">
        <v>53</v>
      </c>
      <c r="E267" s="37">
        <f>E268</f>
        <v>6000</v>
      </c>
      <c r="G267" s="37">
        <f>G268</f>
        <v>6000</v>
      </c>
      <c r="I267" s="37">
        <f>I268</f>
        <v>6000</v>
      </c>
    </row>
    <row r="268" spans="2:11" s="13" customFormat="1" ht="24" x14ac:dyDescent="0.2">
      <c r="B268" s="4">
        <f t="shared" si="6"/>
        <v>262</v>
      </c>
      <c r="C268" s="65">
        <v>312001</v>
      </c>
      <c r="D268" s="66" t="s">
        <v>235</v>
      </c>
      <c r="E268" s="67">
        <f>E269</f>
        <v>6000</v>
      </c>
      <c r="F268" s="12"/>
      <c r="G268" s="67">
        <f>G269</f>
        <v>6000</v>
      </c>
      <c r="H268" s="12"/>
      <c r="I268" s="67">
        <f>I269</f>
        <v>6000</v>
      </c>
      <c r="J268" s="12"/>
      <c r="K268" s="12"/>
    </row>
    <row r="269" spans="2:11" s="13" customFormat="1" ht="13.5" thickBot="1" x14ac:dyDescent="0.25">
      <c r="B269" s="4">
        <f t="shared" si="6"/>
        <v>263</v>
      </c>
      <c r="C269" s="72"/>
      <c r="D269" s="73" t="s">
        <v>467</v>
      </c>
      <c r="E269" s="74">
        <v>6000</v>
      </c>
      <c r="F269" s="12"/>
      <c r="G269" s="74">
        <f>E269</f>
        <v>6000</v>
      </c>
      <c r="H269" s="12"/>
      <c r="I269" s="74">
        <f>G269</f>
        <v>6000</v>
      </c>
      <c r="J269" s="12"/>
      <c r="K269" s="12"/>
    </row>
    <row r="270" spans="2:11" s="13" customFormat="1" ht="15" thickBot="1" x14ac:dyDescent="0.25">
      <c r="B270" s="4">
        <f t="shared" si="6"/>
        <v>264</v>
      </c>
      <c r="C270" s="36">
        <v>4</v>
      </c>
      <c r="D270" s="36" t="s">
        <v>89</v>
      </c>
      <c r="E270" s="37">
        <f>E271</f>
        <v>106000</v>
      </c>
      <c r="F270" s="12"/>
      <c r="G270" s="37">
        <f>G271</f>
        <v>100000</v>
      </c>
      <c r="H270" s="12"/>
      <c r="I270" s="37">
        <f>I271</f>
        <v>100000</v>
      </c>
      <c r="J270" s="12"/>
      <c r="K270" s="12"/>
    </row>
    <row r="271" spans="2:11" s="13" customFormat="1" x14ac:dyDescent="0.2">
      <c r="B271" s="4">
        <f t="shared" si="6"/>
        <v>265</v>
      </c>
      <c r="C271" s="62">
        <v>311</v>
      </c>
      <c r="D271" s="62" t="s">
        <v>222</v>
      </c>
      <c r="E271" s="63">
        <f>SUM(E272:E272)</f>
        <v>106000</v>
      </c>
      <c r="F271" s="12"/>
      <c r="G271" s="63">
        <f>SUM(G272:G272)</f>
        <v>100000</v>
      </c>
      <c r="H271" s="12"/>
      <c r="I271" s="63">
        <f>SUM(I272:I272)</f>
        <v>100000</v>
      </c>
      <c r="J271" s="12"/>
      <c r="K271" s="12"/>
    </row>
    <row r="272" spans="2:11" s="13" customFormat="1" ht="13.5" thickBot="1" x14ac:dyDescent="0.25">
      <c r="B272" s="4">
        <f t="shared" si="6"/>
        <v>266</v>
      </c>
      <c r="C272" s="439"/>
      <c r="D272" s="30" t="s">
        <v>1043</v>
      </c>
      <c r="E272" s="31">
        <v>106000</v>
      </c>
      <c r="F272" s="12"/>
      <c r="G272" s="31">
        <v>100000</v>
      </c>
      <c r="H272" s="12"/>
      <c r="I272" s="31">
        <v>100000</v>
      </c>
      <c r="J272" s="12"/>
      <c r="K272" s="12"/>
    </row>
    <row r="273" spans="2:11" ht="15" thickBot="1" x14ac:dyDescent="0.25">
      <c r="B273" s="4">
        <f t="shared" si="6"/>
        <v>267</v>
      </c>
      <c r="C273" s="36">
        <v>5</v>
      </c>
      <c r="D273" s="36" t="s">
        <v>114</v>
      </c>
      <c r="E273" s="37">
        <f>E274</f>
        <v>552000</v>
      </c>
      <c r="G273" s="37">
        <f>G274</f>
        <v>552000</v>
      </c>
      <c r="I273" s="37">
        <f>I274</f>
        <v>552000</v>
      </c>
    </row>
    <row r="274" spans="2:11" s="13" customFormat="1" ht="24" x14ac:dyDescent="0.2">
      <c r="B274" s="4">
        <f t="shared" si="6"/>
        <v>268</v>
      </c>
      <c r="C274" s="65">
        <v>312001</v>
      </c>
      <c r="D274" s="66" t="s">
        <v>235</v>
      </c>
      <c r="E274" s="67">
        <f>SUM(E275:E276)</f>
        <v>552000</v>
      </c>
      <c r="F274" s="12"/>
      <c r="G274" s="67">
        <f>SUM(G275:G276)</f>
        <v>552000</v>
      </c>
      <c r="H274" s="12"/>
      <c r="I274" s="67">
        <f>SUM(I275:I276)</f>
        <v>552000</v>
      </c>
      <c r="J274" s="12"/>
      <c r="K274" s="12"/>
    </row>
    <row r="275" spans="2:11" x14ac:dyDescent="0.2">
      <c r="B275" s="4">
        <f t="shared" si="6"/>
        <v>269</v>
      </c>
      <c r="C275" s="30"/>
      <c r="D275" s="30" t="s">
        <v>343</v>
      </c>
      <c r="E275" s="45">
        <v>500000</v>
      </c>
      <c r="G275" s="45">
        <v>500000</v>
      </c>
      <c r="I275" s="45">
        <v>500000</v>
      </c>
    </row>
    <row r="276" spans="2:11" s="13" customFormat="1" ht="24" x14ac:dyDescent="0.2">
      <c r="B276" s="4">
        <f t="shared" si="6"/>
        <v>270</v>
      </c>
      <c r="C276" s="77"/>
      <c r="D276" s="78" t="s">
        <v>473</v>
      </c>
      <c r="E276" s="449">
        <v>52000</v>
      </c>
      <c r="F276" s="12"/>
      <c r="G276" s="449">
        <f>E276</f>
        <v>52000</v>
      </c>
      <c r="H276" s="12"/>
      <c r="I276" s="449">
        <f>G276</f>
        <v>52000</v>
      </c>
      <c r="J276" s="12"/>
      <c r="K276" s="12"/>
    </row>
    <row r="277" spans="2:11" ht="15.75" x14ac:dyDescent="0.2">
      <c r="B277" s="100">
        <f t="shared" si="6"/>
        <v>271</v>
      </c>
      <c r="C277" s="101"/>
      <c r="D277" s="101" t="s">
        <v>121</v>
      </c>
      <c r="E277" s="102">
        <f>E247+E21+E7</f>
        <v>71335598</v>
      </c>
      <c r="G277" s="102">
        <f>G247+G21+G7</f>
        <v>73818306.280000001</v>
      </c>
      <c r="I277" s="102">
        <f>I247+I21+I7</f>
        <v>78151395.656800002</v>
      </c>
      <c r="K277" s="639"/>
    </row>
    <row r="278" spans="2:11" ht="12.75" customHeight="1" x14ac:dyDescent="0.2"/>
    <row r="279" spans="2:11" ht="24.75" customHeight="1" x14ac:dyDescent="0.2">
      <c r="B279" s="666" t="s">
        <v>173</v>
      </c>
      <c r="C279" s="667"/>
      <c r="D279" s="667"/>
      <c r="E279" s="655" t="s">
        <v>833</v>
      </c>
      <c r="G279" s="655" t="s">
        <v>1133</v>
      </c>
      <c r="I279" s="655" t="s">
        <v>1134</v>
      </c>
    </row>
    <row r="280" spans="2:11" ht="13.5" hidden="1" customHeight="1" x14ac:dyDescent="0.2">
      <c r="B280" s="668"/>
      <c r="C280" s="669"/>
      <c r="D280" s="669"/>
      <c r="E280" s="656"/>
      <c r="G280" s="656"/>
      <c r="I280" s="656"/>
    </row>
    <row r="281" spans="2:11" x14ac:dyDescent="0.2">
      <c r="B281" s="670" t="s">
        <v>118</v>
      </c>
      <c r="C281" s="660" t="s">
        <v>120</v>
      </c>
      <c r="D281" s="664" t="s">
        <v>119</v>
      </c>
      <c r="E281" s="656"/>
      <c r="G281" s="656"/>
      <c r="I281" s="656"/>
    </row>
    <row r="282" spans="2:11" ht="1.5" customHeight="1" x14ac:dyDescent="0.2">
      <c r="B282" s="670"/>
      <c r="C282" s="661"/>
      <c r="D282" s="665"/>
      <c r="E282" s="738"/>
      <c r="G282" s="738"/>
      <c r="I282" s="738"/>
    </row>
    <row r="283" spans="2:11" ht="16.5" thickBot="1" x14ac:dyDescent="0.3">
      <c r="B283" s="106">
        <v>1</v>
      </c>
      <c r="C283" s="413">
        <v>200</v>
      </c>
      <c r="D283" s="413" t="s">
        <v>172</v>
      </c>
      <c r="E283" s="414">
        <f>E284</f>
        <v>650000</v>
      </c>
      <c r="G283" s="414">
        <f>G284</f>
        <v>1000000</v>
      </c>
      <c r="I283" s="414">
        <f>I284</f>
        <v>1000000</v>
      </c>
    </row>
    <row r="284" spans="2:11" ht="15" thickBot="1" x14ac:dyDescent="0.25">
      <c r="B284" s="110">
        <f>B283+1</f>
        <v>2</v>
      </c>
      <c r="C284" s="111"/>
      <c r="D284" s="111" t="s">
        <v>42</v>
      </c>
      <c r="E284" s="112">
        <f>E285</f>
        <v>650000</v>
      </c>
      <c r="G284" s="112">
        <f>G285</f>
        <v>1000000</v>
      </c>
      <c r="I284" s="112">
        <f>I285</f>
        <v>1000000</v>
      </c>
    </row>
    <row r="285" spans="2:11" x14ac:dyDescent="0.2">
      <c r="B285" s="110">
        <f t="shared" ref="B285:B320" si="7">B284+1</f>
        <v>3</v>
      </c>
      <c r="C285" s="14">
        <v>230</v>
      </c>
      <c r="D285" s="14" t="s">
        <v>173</v>
      </c>
      <c r="E285" s="15">
        <f>E286+E287+E289</f>
        <v>650000</v>
      </c>
      <c r="G285" s="15">
        <f>G286+G287+G289+G288</f>
        <v>1000000</v>
      </c>
      <c r="I285" s="15">
        <f>I286+I287+I289+I288</f>
        <v>1000000</v>
      </c>
    </row>
    <row r="286" spans="2:11" x14ac:dyDescent="0.2">
      <c r="B286" s="110">
        <f t="shared" si="7"/>
        <v>4</v>
      </c>
      <c r="C286" s="18">
        <v>231</v>
      </c>
      <c r="D286" s="18" t="s">
        <v>463</v>
      </c>
      <c r="E286" s="19">
        <v>100000</v>
      </c>
      <c r="G286" s="19">
        <f>E286</f>
        <v>100000</v>
      </c>
      <c r="I286" s="19">
        <f>G286</f>
        <v>100000</v>
      </c>
    </row>
    <row r="287" spans="2:11" x14ac:dyDescent="0.2">
      <c r="B287" s="110">
        <f t="shared" si="7"/>
        <v>5</v>
      </c>
      <c r="C287" s="114">
        <v>231</v>
      </c>
      <c r="D287" s="114" t="s">
        <v>1066</v>
      </c>
      <c r="E287" s="19">
        <v>250000</v>
      </c>
      <c r="G287" s="19"/>
      <c r="I287" s="19"/>
    </row>
    <row r="288" spans="2:11" x14ac:dyDescent="0.2">
      <c r="B288" s="110">
        <f t="shared" si="7"/>
        <v>6</v>
      </c>
      <c r="C288" s="114"/>
      <c r="D288" s="114" t="s">
        <v>1151</v>
      </c>
      <c r="E288" s="115"/>
      <c r="G288" s="115">
        <v>700000</v>
      </c>
      <c r="I288" s="115">
        <v>700000</v>
      </c>
    </row>
    <row r="289" spans="2:9" x14ac:dyDescent="0.2">
      <c r="B289" s="110">
        <f t="shared" si="7"/>
        <v>7</v>
      </c>
      <c r="C289" s="114">
        <v>233001</v>
      </c>
      <c r="D289" s="114" t="s">
        <v>174</v>
      </c>
      <c r="E289" s="115">
        <v>300000</v>
      </c>
      <c r="G289" s="115">
        <v>200000</v>
      </c>
      <c r="I289" s="115">
        <f>G289</f>
        <v>200000</v>
      </c>
    </row>
    <row r="290" spans="2:9" ht="16.5" thickBot="1" x14ac:dyDescent="0.3">
      <c r="B290" s="110">
        <f t="shared" si="7"/>
        <v>8</v>
      </c>
      <c r="C290" s="107">
        <v>300</v>
      </c>
      <c r="D290" s="107" t="s">
        <v>223</v>
      </c>
      <c r="E290" s="108">
        <f>E291</f>
        <v>55452374</v>
      </c>
      <c r="G290" s="108">
        <f t="shared" ref="G290:I291" si="8">G291</f>
        <v>29311000</v>
      </c>
      <c r="I290" s="108">
        <f t="shared" si="8"/>
        <v>14380000</v>
      </c>
    </row>
    <row r="291" spans="2:9" ht="15" thickBot="1" x14ac:dyDescent="0.25">
      <c r="B291" s="110">
        <f t="shared" si="7"/>
        <v>9</v>
      </c>
      <c r="C291" s="111"/>
      <c r="D291" s="111" t="s">
        <v>42</v>
      </c>
      <c r="E291" s="112">
        <f>E292</f>
        <v>55452374</v>
      </c>
      <c r="G291" s="112">
        <f t="shared" si="8"/>
        <v>29311000</v>
      </c>
      <c r="H291" s="112"/>
      <c r="I291" s="112">
        <f t="shared" si="8"/>
        <v>14380000</v>
      </c>
    </row>
    <row r="292" spans="2:9" x14ac:dyDescent="0.2">
      <c r="B292" s="110">
        <f t="shared" si="7"/>
        <v>10</v>
      </c>
      <c r="C292" s="14">
        <v>320</v>
      </c>
      <c r="D292" s="14" t="s">
        <v>277</v>
      </c>
      <c r="E292" s="15">
        <f>E293</f>
        <v>55452374</v>
      </c>
      <c r="G292" s="15">
        <f>G293</f>
        <v>29311000</v>
      </c>
      <c r="I292" s="15">
        <f>I293</f>
        <v>14380000</v>
      </c>
    </row>
    <row r="293" spans="2:9" x14ac:dyDescent="0.2">
      <c r="B293" s="110">
        <f t="shared" si="7"/>
        <v>11</v>
      </c>
      <c r="C293" s="117">
        <v>322001</v>
      </c>
      <c r="D293" s="117" t="s">
        <v>278</v>
      </c>
      <c r="E293" s="118">
        <f>SUM(E294:E319)</f>
        <v>55452374</v>
      </c>
      <c r="G293" s="118">
        <f>SUM(G294:G319)</f>
        <v>29311000</v>
      </c>
      <c r="I293" s="118">
        <f>SUM(I294:I319)</f>
        <v>14380000</v>
      </c>
    </row>
    <row r="294" spans="2:9" ht="24" x14ac:dyDescent="0.2">
      <c r="B294" s="110">
        <f t="shared" si="7"/>
        <v>12</v>
      </c>
      <c r="C294" s="120"/>
      <c r="D294" s="121" t="s">
        <v>875</v>
      </c>
      <c r="E294" s="122">
        <v>3312000</v>
      </c>
      <c r="G294" s="122">
        <v>2000000</v>
      </c>
      <c r="I294" s="122">
        <v>500000</v>
      </c>
    </row>
    <row r="295" spans="2:9" x14ac:dyDescent="0.2">
      <c r="B295" s="110">
        <f t="shared" si="7"/>
        <v>13</v>
      </c>
      <c r="C295" s="120"/>
      <c r="D295" s="121" t="s">
        <v>290</v>
      </c>
      <c r="E295" s="122">
        <v>10840870</v>
      </c>
      <c r="G295" s="122">
        <v>4000000</v>
      </c>
      <c r="I295" s="122"/>
    </row>
    <row r="296" spans="2:9" x14ac:dyDescent="0.2">
      <c r="B296" s="110">
        <f t="shared" si="7"/>
        <v>14</v>
      </c>
      <c r="C296" s="120"/>
      <c r="D296" s="121" t="s">
        <v>1069</v>
      </c>
      <c r="E296" s="122">
        <v>27600</v>
      </c>
      <c r="G296" s="122"/>
      <c r="I296" s="122"/>
    </row>
    <row r="297" spans="2:9" x14ac:dyDescent="0.2">
      <c r="B297" s="110">
        <f t="shared" si="7"/>
        <v>15</v>
      </c>
      <c r="C297" s="120"/>
      <c r="D297" s="121" t="s">
        <v>1070</v>
      </c>
      <c r="E297" s="122">
        <v>3726000</v>
      </c>
      <c r="G297" s="122">
        <v>2000000</v>
      </c>
      <c r="I297" s="122">
        <v>500000</v>
      </c>
    </row>
    <row r="298" spans="2:9" x14ac:dyDescent="0.2">
      <c r="B298" s="110">
        <f t="shared" si="7"/>
        <v>16</v>
      </c>
      <c r="C298" s="120"/>
      <c r="D298" s="121" t="s">
        <v>1071</v>
      </c>
      <c r="E298" s="122">
        <v>4600</v>
      </c>
      <c r="G298" s="122"/>
      <c r="I298" s="122"/>
    </row>
    <row r="299" spans="2:9" x14ac:dyDescent="0.2">
      <c r="B299" s="110">
        <f t="shared" si="7"/>
        <v>17</v>
      </c>
      <c r="C299" s="120"/>
      <c r="D299" s="121" t="s">
        <v>1072</v>
      </c>
      <c r="E299" s="122">
        <v>276000</v>
      </c>
      <c r="G299" s="122"/>
      <c r="I299" s="122"/>
    </row>
    <row r="300" spans="2:9" x14ac:dyDescent="0.2">
      <c r="B300" s="110">
        <f t="shared" si="7"/>
        <v>18</v>
      </c>
      <c r="C300" s="120"/>
      <c r="D300" s="121" t="s">
        <v>1046</v>
      </c>
      <c r="E300" s="122">
        <v>36800</v>
      </c>
      <c r="G300" s="122"/>
      <c r="I300" s="122"/>
    </row>
    <row r="301" spans="2:9" x14ac:dyDescent="0.2">
      <c r="B301" s="110">
        <f t="shared" si="7"/>
        <v>19</v>
      </c>
      <c r="C301" s="120"/>
      <c r="D301" s="121" t="s">
        <v>1067</v>
      </c>
      <c r="E301" s="122">
        <v>662400</v>
      </c>
      <c r="G301" s="122"/>
      <c r="I301" s="122"/>
    </row>
    <row r="302" spans="2:9" x14ac:dyDescent="0.2">
      <c r="B302" s="110">
        <f t="shared" si="7"/>
        <v>20</v>
      </c>
      <c r="C302" s="120"/>
      <c r="D302" s="121" t="s">
        <v>980</v>
      </c>
      <c r="E302" s="122">
        <v>300000</v>
      </c>
      <c r="G302" s="122"/>
      <c r="I302" s="122"/>
    </row>
    <row r="303" spans="2:9" x14ac:dyDescent="0.2">
      <c r="B303" s="110">
        <f t="shared" si="7"/>
        <v>21</v>
      </c>
      <c r="C303" s="120"/>
      <c r="D303" s="121" t="s">
        <v>1075</v>
      </c>
      <c r="E303" s="122">
        <v>8924000</v>
      </c>
      <c r="G303" s="122">
        <v>5000000</v>
      </c>
      <c r="I303" s="122">
        <v>500000</v>
      </c>
    </row>
    <row r="304" spans="2:9" ht="24" x14ac:dyDescent="0.2">
      <c r="B304" s="110">
        <f t="shared" si="7"/>
        <v>22</v>
      </c>
      <c r="C304" s="120"/>
      <c r="D304" s="121" t="s">
        <v>872</v>
      </c>
      <c r="E304" s="122">
        <v>1564000</v>
      </c>
      <c r="G304" s="122">
        <v>900000</v>
      </c>
      <c r="I304" s="122"/>
    </row>
    <row r="305" spans="2:9" x14ac:dyDescent="0.2">
      <c r="B305" s="110">
        <f t="shared" si="7"/>
        <v>23</v>
      </c>
      <c r="C305" s="120"/>
      <c r="D305" s="121" t="s">
        <v>876</v>
      </c>
      <c r="E305" s="122">
        <v>782000</v>
      </c>
      <c r="G305" s="122">
        <v>500000</v>
      </c>
      <c r="I305" s="122"/>
    </row>
    <row r="306" spans="2:9" x14ac:dyDescent="0.2">
      <c r="B306" s="110">
        <f t="shared" si="7"/>
        <v>24</v>
      </c>
      <c r="C306" s="120"/>
      <c r="D306" s="121" t="s">
        <v>1079</v>
      </c>
      <c r="E306" s="122">
        <v>1840000</v>
      </c>
      <c r="G306" s="122">
        <v>900000</v>
      </c>
      <c r="I306" s="122"/>
    </row>
    <row r="307" spans="2:9" x14ac:dyDescent="0.2">
      <c r="B307" s="110">
        <f t="shared" si="7"/>
        <v>25</v>
      </c>
      <c r="C307" s="120"/>
      <c r="D307" s="121" t="s">
        <v>1068</v>
      </c>
      <c r="E307" s="122">
        <v>2649600</v>
      </c>
      <c r="G307" s="122">
        <v>1500000</v>
      </c>
      <c r="I307" s="122"/>
    </row>
    <row r="308" spans="2:9" x14ac:dyDescent="0.2">
      <c r="B308" s="110">
        <f t="shared" si="7"/>
        <v>26</v>
      </c>
      <c r="C308" s="120"/>
      <c r="D308" s="121" t="s">
        <v>429</v>
      </c>
      <c r="E308" s="122">
        <v>1656000</v>
      </c>
      <c r="G308" s="122"/>
      <c r="I308" s="122"/>
    </row>
    <row r="309" spans="2:9" x14ac:dyDescent="0.2">
      <c r="B309" s="110">
        <f t="shared" si="7"/>
        <v>27</v>
      </c>
      <c r="C309" s="120"/>
      <c r="D309" s="121" t="s">
        <v>1015</v>
      </c>
      <c r="E309" s="122">
        <v>920000</v>
      </c>
      <c r="G309" s="122">
        <v>300000</v>
      </c>
      <c r="I309" s="122"/>
    </row>
    <row r="310" spans="2:9" x14ac:dyDescent="0.2">
      <c r="B310" s="110">
        <f t="shared" si="7"/>
        <v>28</v>
      </c>
      <c r="C310" s="120"/>
      <c r="D310" s="121" t="s">
        <v>1073</v>
      </c>
      <c r="E310" s="122">
        <v>13800000</v>
      </c>
      <c r="G310" s="122">
        <v>6000000</v>
      </c>
      <c r="I310" s="122">
        <v>920000</v>
      </c>
    </row>
    <row r="311" spans="2:9" ht="24" x14ac:dyDescent="0.2">
      <c r="B311" s="110">
        <f t="shared" si="7"/>
        <v>29</v>
      </c>
      <c r="C311" s="120"/>
      <c r="D311" s="121" t="s">
        <v>1078</v>
      </c>
      <c r="E311" s="122">
        <v>950800</v>
      </c>
      <c r="G311" s="122"/>
      <c r="I311" s="122"/>
    </row>
    <row r="312" spans="2:9" x14ac:dyDescent="0.2">
      <c r="B312" s="110">
        <f t="shared" si="7"/>
        <v>30</v>
      </c>
      <c r="C312" s="120"/>
      <c r="D312" s="121" t="s">
        <v>1060</v>
      </c>
      <c r="E312" s="122">
        <v>1316704</v>
      </c>
      <c r="G312" s="122"/>
      <c r="I312" s="122"/>
    </row>
    <row r="313" spans="2:9" x14ac:dyDescent="0.2">
      <c r="B313" s="110">
        <f t="shared" si="7"/>
        <v>31</v>
      </c>
      <c r="C313" s="364"/>
      <c r="D313" s="365" t="s">
        <v>1059</v>
      </c>
      <c r="E313" s="366">
        <v>1748000</v>
      </c>
      <c r="G313" s="366">
        <v>300000</v>
      </c>
      <c r="I313" s="366"/>
    </row>
    <row r="314" spans="2:9" x14ac:dyDescent="0.2">
      <c r="B314" s="110">
        <f t="shared" si="7"/>
        <v>32</v>
      </c>
      <c r="C314" s="364"/>
      <c r="D314" s="365" t="s">
        <v>1141</v>
      </c>
      <c r="E314" s="366"/>
      <c r="G314" s="366">
        <v>3197000</v>
      </c>
      <c r="I314" s="366">
        <v>920000</v>
      </c>
    </row>
    <row r="315" spans="2:9" x14ac:dyDescent="0.2">
      <c r="B315" s="110">
        <f t="shared" si="7"/>
        <v>33</v>
      </c>
      <c r="C315" s="364"/>
      <c r="D315" s="365" t="s">
        <v>1142</v>
      </c>
      <c r="E315" s="366"/>
      <c r="G315" s="366">
        <v>1196000</v>
      </c>
      <c r="I315" s="366"/>
    </row>
    <row r="316" spans="2:9" x14ac:dyDescent="0.2">
      <c r="B316" s="110">
        <f t="shared" si="7"/>
        <v>34</v>
      </c>
      <c r="C316" s="364"/>
      <c r="D316" s="365" t="s">
        <v>399</v>
      </c>
      <c r="E316" s="366"/>
      <c r="G316" s="366">
        <v>368000</v>
      </c>
      <c r="I316" s="366"/>
    </row>
    <row r="317" spans="2:9" x14ac:dyDescent="0.2">
      <c r="B317" s="110">
        <f t="shared" si="7"/>
        <v>35</v>
      </c>
      <c r="C317" s="364"/>
      <c r="D317" s="365" t="s">
        <v>1143</v>
      </c>
      <c r="E317" s="366"/>
      <c r="G317" s="366">
        <v>1150000</v>
      </c>
      <c r="I317" s="366"/>
    </row>
    <row r="318" spans="2:9" x14ac:dyDescent="0.2">
      <c r="B318" s="110">
        <f t="shared" si="7"/>
        <v>36</v>
      </c>
      <c r="C318" s="364"/>
      <c r="D318" s="365" t="s">
        <v>1144</v>
      </c>
      <c r="E318" s="366"/>
      <c r="G318" s="366"/>
      <c r="I318" s="366">
        <v>11040000</v>
      </c>
    </row>
    <row r="319" spans="2:9" x14ac:dyDescent="0.2">
      <c r="B319" s="110">
        <f t="shared" si="7"/>
        <v>37</v>
      </c>
      <c r="C319" s="364"/>
      <c r="D319" s="365" t="s">
        <v>1050</v>
      </c>
      <c r="E319" s="366">
        <v>115000</v>
      </c>
      <c r="G319" s="366"/>
      <c r="I319" s="366"/>
    </row>
    <row r="320" spans="2:9" ht="15.75" x14ac:dyDescent="0.2">
      <c r="B320" s="110">
        <f t="shared" si="7"/>
        <v>38</v>
      </c>
      <c r="C320" s="124"/>
      <c r="D320" s="124" t="s">
        <v>44</v>
      </c>
      <c r="E320" s="125">
        <f>E290+E283</f>
        <v>56102374</v>
      </c>
      <c r="G320" s="125">
        <f>G290+G283</f>
        <v>30311000</v>
      </c>
      <c r="I320" s="125">
        <f>I290+I283</f>
        <v>15380000</v>
      </c>
    </row>
    <row r="322" spans="2:9" ht="6.75" customHeight="1" x14ac:dyDescent="0.2">
      <c r="B322" s="666" t="s">
        <v>433</v>
      </c>
      <c r="C322" s="667"/>
      <c r="D322" s="667"/>
      <c r="E322" s="655" t="s">
        <v>1132</v>
      </c>
      <c r="G322" s="655" t="s">
        <v>1133</v>
      </c>
      <c r="I322" s="655" t="s">
        <v>1134</v>
      </c>
    </row>
    <row r="323" spans="2:9" ht="12.75" customHeight="1" x14ac:dyDescent="0.2">
      <c r="B323" s="668"/>
      <c r="C323" s="669"/>
      <c r="D323" s="669"/>
      <c r="E323" s="656"/>
      <c r="G323" s="656"/>
      <c r="I323" s="656"/>
    </row>
    <row r="324" spans="2:9" ht="13.5" customHeight="1" x14ac:dyDescent="0.2">
      <c r="B324" s="671" t="s">
        <v>118</v>
      </c>
      <c r="C324" s="660" t="s">
        <v>120</v>
      </c>
      <c r="D324" s="664" t="s">
        <v>119</v>
      </c>
      <c r="E324" s="656"/>
      <c r="G324" s="656"/>
      <c r="I324" s="656"/>
    </row>
    <row r="325" spans="2:9" ht="6" customHeight="1" x14ac:dyDescent="0.2">
      <c r="B325" s="671"/>
      <c r="C325" s="660"/>
      <c r="D325" s="664"/>
      <c r="E325" s="657"/>
      <c r="G325" s="657"/>
      <c r="I325" s="657"/>
    </row>
    <row r="326" spans="2:9" ht="15.75" x14ac:dyDescent="0.2">
      <c r="B326" s="127">
        <v>1</v>
      </c>
      <c r="C326" s="128"/>
      <c r="D326" s="128" t="s">
        <v>121</v>
      </c>
      <c r="E326" s="129">
        <f>E277</f>
        <v>71335598</v>
      </c>
      <c r="G326" s="129">
        <f>G277</f>
        <v>73818306.280000001</v>
      </c>
      <c r="I326" s="129">
        <f>I277</f>
        <v>78151395.656800002</v>
      </c>
    </row>
    <row r="327" spans="2:9" ht="15.75" x14ac:dyDescent="0.2">
      <c r="B327" s="127">
        <v>2</v>
      </c>
      <c r="C327" s="128"/>
      <c r="D327" s="128" t="s">
        <v>44</v>
      </c>
      <c r="E327" s="129">
        <f>E320</f>
        <v>56102374</v>
      </c>
      <c r="G327" s="129">
        <f>G320</f>
        <v>30311000</v>
      </c>
      <c r="I327" s="129">
        <f>I320</f>
        <v>15380000</v>
      </c>
    </row>
    <row r="328" spans="2:9" ht="15.75" x14ac:dyDescent="0.25">
      <c r="B328" s="131">
        <v>3</v>
      </c>
      <c r="C328" s="132"/>
      <c r="D328" s="132" t="s">
        <v>45</v>
      </c>
      <c r="E328" s="133">
        <f>E326+E327</f>
        <v>127437972</v>
      </c>
      <c r="G328" s="133">
        <f>G326+G327</f>
        <v>104129306.28</v>
      </c>
      <c r="I328" s="133">
        <f>I326+I327</f>
        <v>93531395.656800002</v>
      </c>
    </row>
    <row r="330" spans="2:9" s="2" customFormat="1" x14ac:dyDescent="0.2">
      <c r="B330" s="135"/>
    </row>
  </sheetData>
  <mergeCells count="22">
    <mergeCell ref="B2:I2"/>
    <mergeCell ref="B3:D4"/>
    <mergeCell ref="E3:E6"/>
    <mergeCell ref="B5:B6"/>
    <mergeCell ref="C5:C6"/>
    <mergeCell ref="D5:D6"/>
    <mergeCell ref="G3:G6"/>
    <mergeCell ref="B279:D280"/>
    <mergeCell ref="E279:E282"/>
    <mergeCell ref="B281:B282"/>
    <mergeCell ref="C281:C282"/>
    <mergeCell ref="D281:D282"/>
    <mergeCell ref="B322:D323"/>
    <mergeCell ref="E322:E325"/>
    <mergeCell ref="B324:B325"/>
    <mergeCell ref="C324:C325"/>
    <mergeCell ref="D324:D325"/>
    <mergeCell ref="G279:G282"/>
    <mergeCell ref="G322:G325"/>
    <mergeCell ref="I3:I6"/>
    <mergeCell ref="I279:I282"/>
    <mergeCell ref="I322:I325"/>
  </mergeCells>
  <pageMargins left="0.39370078740157483" right="0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656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.140625" style="3" customWidth="1"/>
    <col min="2" max="2" width="4" style="136" customWidth="1"/>
    <col min="3" max="3" width="5.5703125" style="3" customWidth="1"/>
    <col min="4" max="4" width="3.42578125" style="3" customWidth="1"/>
    <col min="5" max="5" width="4.42578125" style="3" customWidth="1"/>
    <col min="6" max="6" width="5.5703125" style="137" customWidth="1"/>
    <col min="7" max="7" width="5" style="137" customWidth="1"/>
    <col min="8" max="8" width="39.7109375" style="3" customWidth="1"/>
    <col min="9" max="11" width="12.5703125" style="2" customWidth="1"/>
    <col min="12" max="12" width="2.42578125" style="2" customWidth="1"/>
    <col min="13" max="13" width="12.7109375" style="2" customWidth="1"/>
    <col min="14" max="14" width="13.28515625" style="2" customWidth="1"/>
    <col min="15" max="15" width="12" style="2" customWidth="1"/>
    <col min="16" max="16" width="13.140625" style="3" customWidth="1"/>
    <col min="17" max="17" width="11.7109375" style="3" customWidth="1"/>
    <col min="18" max="16384" width="9.140625" style="3"/>
  </cols>
  <sheetData>
    <row r="1" spans="2:18" ht="10.5" customHeight="1" x14ac:dyDescent="0.35">
      <c r="B1" s="679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3"/>
      <c r="O1" s="3"/>
    </row>
    <row r="2" spans="2:18" ht="19.5" customHeight="1" x14ac:dyDescent="0.2">
      <c r="B2" s="739"/>
      <c r="C2" s="739" t="s">
        <v>122</v>
      </c>
      <c r="D2" s="739" t="s">
        <v>123</v>
      </c>
      <c r="E2" s="739"/>
      <c r="F2" s="739" t="s">
        <v>124</v>
      </c>
      <c r="G2" s="740" t="s">
        <v>125</v>
      </c>
      <c r="H2" s="741" t="s">
        <v>126</v>
      </c>
      <c r="I2" s="742" t="s">
        <v>1135</v>
      </c>
      <c r="J2" s="742" t="s">
        <v>1136</v>
      </c>
      <c r="K2" s="742" t="s">
        <v>1137</v>
      </c>
      <c r="L2" s="633"/>
      <c r="M2" s="742" t="s">
        <v>1138</v>
      </c>
      <c r="N2" s="742" t="s">
        <v>1139</v>
      </c>
      <c r="O2" s="742" t="s">
        <v>1140</v>
      </c>
    </row>
    <row r="3" spans="2:18" ht="14.25" customHeight="1" x14ac:dyDescent="0.2">
      <c r="B3" s="681"/>
      <c r="C3" s="681"/>
      <c r="D3" s="681"/>
      <c r="E3" s="681"/>
      <c r="F3" s="681"/>
      <c r="G3" s="689"/>
      <c r="H3" s="686"/>
      <c r="I3" s="673"/>
      <c r="J3" s="673"/>
      <c r="K3" s="673"/>
      <c r="L3" s="616"/>
      <c r="M3" s="673"/>
      <c r="N3" s="673"/>
      <c r="O3" s="673"/>
    </row>
    <row r="4" spans="2:18" ht="11.25" customHeight="1" x14ac:dyDescent="0.2">
      <c r="B4" s="681"/>
      <c r="C4" s="681"/>
      <c r="D4" s="681"/>
      <c r="E4" s="681"/>
      <c r="F4" s="681"/>
      <c r="G4" s="689"/>
      <c r="H4" s="686"/>
      <c r="I4" s="673"/>
      <c r="J4" s="673"/>
      <c r="K4" s="673"/>
      <c r="L4" s="616"/>
      <c r="M4" s="673"/>
      <c r="N4" s="673"/>
      <c r="O4" s="673"/>
    </row>
    <row r="5" spans="2:18" ht="4.5" customHeight="1" x14ac:dyDescent="0.2">
      <c r="B5" s="681"/>
      <c r="C5" s="681"/>
      <c r="D5" s="681"/>
      <c r="E5" s="681"/>
      <c r="F5" s="681"/>
      <c r="G5" s="689"/>
      <c r="H5" s="686"/>
      <c r="I5" s="673"/>
      <c r="J5" s="673"/>
      <c r="K5" s="673"/>
      <c r="L5" s="616"/>
      <c r="M5" s="673"/>
      <c r="N5" s="673"/>
      <c r="O5" s="673"/>
    </row>
    <row r="6" spans="2:18" ht="23.25" customHeight="1" x14ac:dyDescent="0.35">
      <c r="B6" s="679" t="s">
        <v>1096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3"/>
      <c r="O6" s="3"/>
    </row>
    <row r="7" spans="2:18" ht="21.75" customHeight="1" x14ac:dyDescent="0.2">
      <c r="B7" s="8">
        <v>1</v>
      </c>
      <c r="C7" s="710" t="s">
        <v>41</v>
      </c>
      <c r="D7" s="711"/>
      <c r="E7" s="711"/>
      <c r="F7" s="711"/>
      <c r="G7" s="711"/>
      <c r="H7" s="711"/>
      <c r="I7" s="138">
        <f>I67+I64+I56+I42+I29+I8</f>
        <v>977385</v>
      </c>
      <c r="J7" s="138">
        <f>J67+J64+J56+J42+J29+J8</f>
        <v>729100</v>
      </c>
      <c r="K7" s="138">
        <f>K67+K64+K56+K42+K29+K8</f>
        <v>742100</v>
      </c>
      <c r="L7" s="617"/>
      <c r="M7" s="138">
        <f>M67+M64+M56+M42+M29+M8</f>
        <v>1113500</v>
      </c>
      <c r="N7" s="138">
        <f>N67+N64+N56+N42+N29+N8</f>
        <v>1160000</v>
      </c>
      <c r="O7" s="138">
        <f>O67+O64+O56+O42+O29+O8</f>
        <v>921492</v>
      </c>
      <c r="Q7" s="2"/>
      <c r="R7" s="2"/>
    </row>
    <row r="8" spans="2:18" ht="15.75" x14ac:dyDescent="0.25">
      <c r="B8" s="8">
        <f>B7+1</f>
        <v>2</v>
      </c>
      <c r="C8" s="141">
        <v>1</v>
      </c>
      <c r="D8" s="677" t="s">
        <v>200</v>
      </c>
      <c r="E8" s="678"/>
      <c r="F8" s="678"/>
      <c r="G8" s="678"/>
      <c r="H8" s="678"/>
      <c r="I8" s="142">
        <f>I22+I19+I16+I9</f>
        <v>211200</v>
      </c>
      <c r="J8" s="142">
        <f>J22+J19+J16+J9</f>
        <v>211200</v>
      </c>
      <c r="K8" s="142">
        <f>K22+K19+K16+K9</f>
        <v>224200</v>
      </c>
      <c r="L8" s="618"/>
      <c r="M8" s="142"/>
      <c r="N8" s="142"/>
      <c r="O8" s="142"/>
    </row>
    <row r="9" spans="2:18" ht="14.25" x14ac:dyDescent="0.2">
      <c r="B9" s="8">
        <f>B8+1</f>
        <v>3</v>
      </c>
      <c r="C9" s="145"/>
      <c r="D9" s="145">
        <v>1</v>
      </c>
      <c r="E9" s="708" t="s">
        <v>214</v>
      </c>
      <c r="F9" s="709"/>
      <c r="G9" s="709"/>
      <c r="H9" s="709"/>
      <c r="I9" s="146">
        <f>I10</f>
        <v>36700</v>
      </c>
      <c r="J9" s="146">
        <f>J10</f>
        <v>36700</v>
      </c>
      <c r="K9" s="146">
        <f>K10</f>
        <v>48700</v>
      </c>
      <c r="L9" s="619"/>
      <c r="M9" s="146"/>
      <c r="N9" s="146"/>
      <c r="O9" s="146"/>
    </row>
    <row r="10" spans="2:18" x14ac:dyDescent="0.2">
      <c r="B10" s="8">
        <f t="shared" ref="B10:B60" si="0">B9+1</f>
        <v>4</v>
      </c>
      <c r="C10" s="24"/>
      <c r="D10" s="24"/>
      <c r="E10" s="24"/>
      <c r="F10" s="149" t="s">
        <v>79</v>
      </c>
      <c r="G10" s="150">
        <v>630</v>
      </c>
      <c r="H10" s="24" t="s">
        <v>131</v>
      </c>
      <c r="I10" s="25">
        <f>I15+I14+I13+I12+I11</f>
        <v>36700</v>
      </c>
      <c r="J10" s="25">
        <f>J15+J14+J13+J12+J11</f>
        <v>36700</v>
      </c>
      <c r="K10" s="25">
        <f>K15+K14+K13+K12+K11</f>
        <v>48700</v>
      </c>
      <c r="L10" s="620"/>
      <c r="M10" s="25"/>
      <c r="N10" s="25"/>
      <c r="O10" s="25"/>
    </row>
    <row r="11" spans="2:18" x14ac:dyDescent="0.2">
      <c r="B11" s="8">
        <f t="shared" si="0"/>
        <v>5</v>
      </c>
      <c r="C11" s="18"/>
      <c r="D11" s="18"/>
      <c r="E11" s="18"/>
      <c r="F11" s="152"/>
      <c r="G11" s="153">
        <v>631</v>
      </c>
      <c r="H11" s="18" t="s">
        <v>137</v>
      </c>
      <c r="I11" s="19">
        <v>8000</v>
      </c>
      <c r="J11" s="19">
        <f>I11</f>
        <v>8000</v>
      </c>
      <c r="K11" s="19">
        <v>10000</v>
      </c>
      <c r="L11" s="621"/>
      <c r="M11" s="19"/>
      <c r="N11" s="19"/>
      <c r="O11" s="19"/>
    </row>
    <row r="12" spans="2:18" x14ac:dyDescent="0.2">
      <c r="B12" s="8">
        <f t="shared" si="0"/>
        <v>6</v>
      </c>
      <c r="C12" s="18"/>
      <c r="D12" s="18"/>
      <c r="E12" s="18"/>
      <c r="F12" s="152"/>
      <c r="G12" s="153">
        <v>633</v>
      </c>
      <c r="H12" s="18" t="s">
        <v>135</v>
      </c>
      <c r="I12" s="19">
        <v>15000</v>
      </c>
      <c r="J12" s="19">
        <v>15000</v>
      </c>
      <c r="K12" s="19">
        <v>20000</v>
      </c>
      <c r="L12" s="621"/>
      <c r="M12" s="19"/>
      <c r="N12" s="19"/>
      <c r="O12" s="19"/>
    </row>
    <row r="13" spans="2:18" x14ac:dyDescent="0.2">
      <c r="B13" s="8">
        <f t="shared" si="0"/>
        <v>7</v>
      </c>
      <c r="C13" s="18"/>
      <c r="D13" s="18"/>
      <c r="E13" s="18"/>
      <c r="F13" s="152"/>
      <c r="G13" s="153">
        <v>634</v>
      </c>
      <c r="H13" s="18" t="s">
        <v>142</v>
      </c>
      <c r="I13" s="19">
        <v>2000</v>
      </c>
      <c r="J13" s="19">
        <f>I13</f>
        <v>2000</v>
      </c>
      <c r="K13" s="19">
        <f>J13</f>
        <v>2000</v>
      </c>
      <c r="L13" s="621"/>
      <c r="M13" s="19"/>
      <c r="N13" s="19"/>
      <c r="O13" s="19"/>
    </row>
    <row r="14" spans="2:18" x14ac:dyDescent="0.2">
      <c r="B14" s="8">
        <f t="shared" si="0"/>
        <v>8</v>
      </c>
      <c r="C14" s="18"/>
      <c r="D14" s="18"/>
      <c r="E14" s="18"/>
      <c r="F14" s="152"/>
      <c r="G14" s="153">
        <v>636</v>
      </c>
      <c r="H14" s="18" t="s">
        <v>136</v>
      </c>
      <c r="I14" s="19">
        <v>1700</v>
      </c>
      <c r="J14" s="19">
        <f>I14</f>
        <v>1700</v>
      </c>
      <c r="K14" s="19">
        <f>J14</f>
        <v>1700</v>
      </c>
      <c r="L14" s="621"/>
      <c r="M14" s="19"/>
      <c r="N14" s="19"/>
      <c r="O14" s="19"/>
    </row>
    <row r="15" spans="2:18" x14ac:dyDescent="0.2">
      <c r="B15" s="8">
        <f t="shared" si="0"/>
        <v>9</v>
      </c>
      <c r="C15" s="18"/>
      <c r="D15" s="18"/>
      <c r="E15" s="18"/>
      <c r="F15" s="152"/>
      <c r="G15" s="153">
        <v>637</v>
      </c>
      <c r="H15" s="18" t="s">
        <v>132</v>
      </c>
      <c r="I15" s="19">
        <v>10000</v>
      </c>
      <c r="J15" s="19">
        <v>10000</v>
      </c>
      <c r="K15" s="19">
        <v>15000</v>
      </c>
      <c r="L15" s="621"/>
      <c r="M15" s="19"/>
      <c r="N15" s="19"/>
      <c r="O15" s="19"/>
    </row>
    <row r="16" spans="2:18" ht="14.25" x14ac:dyDescent="0.2">
      <c r="B16" s="8">
        <f t="shared" si="0"/>
        <v>10</v>
      </c>
      <c r="C16" s="160"/>
      <c r="D16" s="160">
        <v>2</v>
      </c>
      <c r="E16" s="675" t="s">
        <v>244</v>
      </c>
      <c r="F16" s="676"/>
      <c r="G16" s="676"/>
      <c r="H16" s="676"/>
      <c r="I16" s="161">
        <f t="shared" ref="I16:K17" si="1">I17</f>
        <v>3000</v>
      </c>
      <c r="J16" s="161">
        <f t="shared" si="1"/>
        <v>3000</v>
      </c>
      <c r="K16" s="161">
        <f t="shared" si="1"/>
        <v>3500</v>
      </c>
      <c r="L16" s="619"/>
      <c r="M16" s="161"/>
      <c r="N16" s="161"/>
      <c r="O16" s="161"/>
    </row>
    <row r="17" spans="2:15" x14ac:dyDescent="0.2">
      <c r="B17" s="8">
        <f t="shared" si="0"/>
        <v>11</v>
      </c>
      <c r="C17" s="24"/>
      <c r="D17" s="24"/>
      <c r="E17" s="24"/>
      <c r="F17" s="149" t="s">
        <v>79</v>
      </c>
      <c r="G17" s="150">
        <v>630</v>
      </c>
      <c r="H17" s="24" t="s">
        <v>131</v>
      </c>
      <c r="I17" s="25">
        <f t="shared" si="1"/>
        <v>3000</v>
      </c>
      <c r="J17" s="25">
        <f t="shared" si="1"/>
        <v>3000</v>
      </c>
      <c r="K17" s="25">
        <f t="shared" si="1"/>
        <v>3500</v>
      </c>
      <c r="L17" s="620"/>
      <c r="M17" s="25"/>
      <c r="N17" s="25"/>
      <c r="O17" s="25"/>
    </row>
    <row r="18" spans="2:15" x14ac:dyDescent="0.2">
      <c r="B18" s="8">
        <f t="shared" si="0"/>
        <v>12</v>
      </c>
      <c r="C18" s="18"/>
      <c r="D18" s="18"/>
      <c r="E18" s="18"/>
      <c r="F18" s="152"/>
      <c r="G18" s="153">
        <v>633</v>
      </c>
      <c r="H18" s="18" t="s">
        <v>135</v>
      </c>
      <c r="I18" s="19">
        <v>3000</v>
      </c>
      <c r="J18" s="19">
        <f>I18</f>
        <v>3000</v>
      </c>
      <c r="K18" s="19">
        <v>3500</v>
      </c>
      <c r="L18" s="621"/>
      <c r="M18" s="19"/>
      <c r="N18" s="19"/>
      <c r="O18" s="19"/>
    </row>
    <row r="19" spans="2:15" ht="14.25" x14ac:dyDescent="0.2">
      <c r="B19" s="8">
        <f t="shared" si="0"/>
        <v>13</v>
      </c>
      <c r="C19" s="160"/>
      <c r="D19" s="160">
        <v>3</v>
      </c>
      <c r="E19" s="675" t="s">
        <v>245</v>
      </c>
      <c r="F19" s="676"/>
      <c r="G19" s="676"/>
      <c r="H19" s="676"/>
      <c r="I19" s="161">
        <f t="shared" ref="I19:K20" si="2">I20</f>
        <v>2500</v>
      </c>
      <c r="J19" s="161">
        <f t="shared" si="2"/>
        <v>2500</v>
      </c>
      <c r="K19" s="161">
        <f t="shared" si="2"/>
        <v>3000</v>
      </c>
      <c r="L19" s="619"/>
      <c r="M19" s="161"/>
      <c r="N19" s="161"/>
      <c r="O19" s="161"/>
    </row>
    <row r="20" spans="2:15" x14ac:dyDescent="0.2">
      <c r="B20" s="8">
        <f t="shared" si="0"/>
        <v>14</v>
      </c>
      <c r="C20" s="24"/>
      <c r="D20" s="24"/>
      <c r="E20" s="24"/>
      <c r="F20" s="149" t="s">
        <v>79</v>
      </c>
      <c r="G20" s="150">
        <v>630</v>
      </c>
      <c r="H20" s="24" t="s">
        <v>131</v>
      </c>
      <c r="I20" s="25">
        <f t="shared" si="2"/>
        <v>2500</v>
      </c>
      <c r="J20" s="25">
        <f t="shared" si="2"/>
        <v>2500</v>
      </c>
      <c r="K20" s="25">
        <f t="shared" si="2"/>
        <v>3000</v>
      </c>
      <c r="L20" s="620"/>
      <c r="M20" s="25"/>
      <c r="N20" s="25"/>
      <c r="O20" s="25"/>
    </row>
    <row r="21" spans="2:15" x14ac:dyDescent="0.2">
      <c r="B21" s="8">
        <f t="shared" si="0"/>
        <v>15</v>
      </c>
      <c r="C21" s="18"/>
      <c r="D21" s="18"/>
      <c r="E21" s="18"/>
      <c r="F21" s="152"/>
      <c r="G21" s="153">
        <v>633</v>
      </c>
      <c r="H21" s="18" t="s">
        <v>135</v>
      </c>
      <c r="I21" s="19">
        <v>2500</v>
      </c>
      <c r="J21" s="19">
        <f>I21</f>
        <v>2500</v>
      </c>
      <c r="K21" s="19">
        <v>3000</v>
      </c>
      <c r="L21" s="621"/>
      <c r="M21" s="19"/>
      <c r="N21" s="19"/>
      <c r="O21" s="19"/>
    </row>
    <row r="22" spans="2:15" ht="14.25" x14ac:dyDescent="0.2">
      <c r="B22" s="8">
        <f t="shared" si="0"/>
        <v>16</v>
      </c>
      <c r="C22" s="160"/>
      <c r="D22" s="160">
        <v>4</v>
      </c>
      <c r="E22" s="675" t="s">
        <v>199</v>
      </c>
      <c r="F22" s="676"/>
      <c r="G22" s="676"/>
      <c r="H22" s="676"/>
      <c r="I22" s="161">
        <f>I23+I24+I28</f>
        <v>169000</v>
      </c>
      <c r="J22" s="161">
        <f>J23+J24+J28</f>
        <v>169000</v>
      </c>
      <c r="K22" s="161">
        <f>K23+K24+K28</f>
        <v>169000</v>
      </c>
      <c r="L22" s="619"/>
      <c r="M22" s="161"/>
      <c r="N22" s="161"/>
      <c r="O22" s="161"/>
    </row>
    <row r="23" spans="2:15" x14ac:dyDescent="0.2">
      <c r="B23" s="8">
        <f t="shared" si="0"/>
        <v>17</v>
      </c>
      <c r="C23" s="24"/>
      <c r="D23" s="24"/>
      <c r="E23" s="24"/>
      <c r="F23" s="149" t="s">
        <v>79</v>
      </c>
      <c r="G23" s="150">
        <v>620</v>
      </c>
      <c r="H23" s="24" t="s">
        <v>134</v>
      </c>
      <c r="I23" s="25">
        <v>35000</v>
      </c>
      <c r="J23" s="25">
        <f>I23</f>
        <v>35000</v>
      </c>
      <c r="K23" s="25">
        <f>J23</f>
        <v>35000</v>
      </c>
      <c r="L23" s="620"/>
      <c r="M23" s="25"/>
      <c r="N23" s="25"/>
      <c r="O23" s="25"/>
    </row>
    <row r="24" spans="2:15" x14ac:dyDescent="0.2">
      <c r="B24" s="8">
        <f t="shared" si="0"/>
        <v>18</v>
      </c>
      <c r="C24" s="24"/>
      <c r="D24" s="24"/>
      <c r="E24" s="24"/>
      <c r="F24" s="149" t="s">
        <v>79</v>
      </c>
      <c r="G24" s="150">
        <v>630</v>
      </c>
      <c r="H24" s="24" t="s">
        <v>131</v>
      </c>
      <c r="I24" s="25">
        <f>I27+I26+I25</f>
        <v>133500</v>
      </c>
      <c r="J24" s="25">
        <f>J27+J26+J25</f>
        <v>133500</v>
      </c>
      <c r="K24" s="25">
        <f>K27+K26+K25</f>
        <v>133500</v>
      </c>
      <c r="L24" s="620"/>
      <c r="M24" s="25"/>
      <c r="N24" s="25"/>
      <c r="O24" s="25"/>
    </row>
    <row r="25" spans="2:15" x14ac:dyDescent="0.2">
      <c r="B25" s="8">
        <f t="shared" si="0"/>
        <v>19</v>
      </c>
      <c r="C25" s="18"/>
      <c r="D25" s="18"/>
      <c r="E25" s="18"/>
      <c r="F25" s="152"/>
      <c r="G25" s="153">
        <v>632</v>
      </c>
      <c r="H25" s="18" t="s">
        <v>144</v>
      </c>
      <c r="I25" s="19">
        <v>11000</v>
      </c>
      <c r="J25" s="19">
        <f>I25</f>
        <v>11000</v>
      </c>
      <c r="K25" s="19">
        <f>J25</f>
        <v>11000</v>
      </c>
      <c r="L25" s="621"/>
      <c r="M25" s="19"/>
      <c r="N25" s="19"/>
      <c r="O25" s="19"/>
    </row>
    <row r="26" spans="2:15" x14ac:dyDescent="0.2">
      <c r="B26" s="8">
        <f t="shared" si="0"/>
        <v>20</v>
      </c>
      <c r="C26" s="18"/>
      <c r="D26" s="18"/>
      <c r="E26" s="18"/>
      <c r="F26" s="152"/>
      <c r="G26" s="153">
        <v>633</v>
      </c>
      <c r="H26" s="18" t="s">
        <v>135</v>
      </c>
      <c r="I26" s="19">
        <v>2500</v>
      </c>
      <c r="J26" s="19">
        <v>2500</v>
      </c>
      <c r="K26" s="19">
        <v>2500</v>
      </c>
      <c r="L26" s="621"/>
      <c r="M26" s="19"/>
      <c r="N26" s="19"/>
      <c r="O26" s="19"/>
    </row>
    <row r="27" spans="2:15" x14ac:dyDescent="0.2">
      <c r="B27" s="8">
        <f t="shared" si="0"/>
        <v>21</v>
      </c>
      <c r="C27" s="18"/>
      <c r="D27" s="18"/>
      <c r="E27" s="18"/>
      <c r="F27" s="152"/>
      <c r="G27" s="153">
        <v>637</v>
      </c>
      <c r="H27" s="18" t="s">
        <v>132</v>
      </c>
      <c r="I27" s="19">
        <v>120000</v>
      </c>
      <c r="J27" s="19">
        <f>I27</f>
        <v>120000</v>
      </c>
      <c r="K27" s="19">
        <f>J27</f>
        <v>120000</v>
      </c>
      <c r="L27" s="621"/>
      <c r="M27" s="19"/>
      <c r="N27" s="19"/>
      <c r="O27" s="19"/>
    </row>
    <row r="28" spans="2:15" x14ac:dyDescent="0.2">
      <c r="B28" s="8">
        <f t="shared" si="0"/>
        <v>22</v>
      </c>
      <c r="C28" s="24"/>
      <c r="D28" s="24"/>
      <c r="E28" s="24"/>
      <c r="F28" s="149" t="s">
        <v>79</v>
      </c>
      <c r="G28" s="150">
        <v>640</v>
      </c>
      <c r="H28" s="24" t="s">
        <v>139</v>
      </c>
      <c r="I28" s="25">
        <v>500</v>
      </c>
      <c r="J28" s="25">
        <v>500</v>
      </c>
      <c r="K28" s="25">
        <v>500</v>
      </c>
      <c r="L28" s="620"/>
      <c r="M28" s="25"/>
      <c r="N28" s="25"/>
      <c r="O28" s="25"/>
    </row>
    <row r="29" spans="2:15" ht="15.75" x14ac:dyDescent="0.25">
      <c r="B29" s="8">
        <f t="shared" si="0"/>
        <v>23</v>
      </c>
      <c r="C29" s="141">
        <v>2</v>
      </c>
      <c r="D29" s="677" t="s">
        <v>213</v>
      </c>
      <c r="E29" s="678"/>
      <c r="F29" s="678"/>
      <c r="G29" s="678"/>
      <c r="H29" s="678"/>
      <c r="I29" s="142">
        <f>I30</f>
        <v>300000</v>
      </c>
      <c r="J29" s="142">
        <f>J30</f>
        <v>231000</v>
      </c>
      <c r="K29" s="142">
        <f>K30</f>
        <v>231000</v>
      </c>
      <c r="L29" s="618"/>
      <c r="M29" s="142">
        <f>M35</f>
        <v>184000</v>
      </c>
      <c r="N29" s="142"/>
      <c r="O29" s="142"/>
    </row>
    <row r="30" spans="2:15" x14ac:dyDescent="0.2">
      <c r="B30" s="8">
        <f t="shared" si="0"/>
        <v>24</v>
      </c>
      <c r="C30" s="24"/>
      <c r="D30" s="24"/>
      <c r="E30" s="24"/>
      <c r="F30" s="149" t="s">
        <v>212</v>
      </c>
      <c r="G30" s="150">
        <v>630</v>
      </c>
      <c r="H30" s="24" t="s">
        <v>131</v>
      </c>
      <c r="I30" s="25">
        <f>SUM(I31:I34)</f>
        <v>300000</v>
      </c>
      <c r="J30" s="25">
        <f>SUM(J31:J34)</f>
        <v>231000</v>
      </c>
      <c r="K30" s="25">
        <f>SUM(K31:K34)</f>
        <v>231000</v>
      </c>
      <c r="L30" s="620"/>
      <c r="M30" s="25"/>
      <c r="N30" s="25"/>
      <c r="O30" s="25"/>
    </row>
    <row r="31" spans="2:15" x14ac:dyDescent="0.2">
      <c r="B31" s="8">
        <f t="shared" si="0"/>
        <v>25</v>
      </c>
      <c r="C31" s="18"/>
      <c r="D31" s="18"/>
      <c r="E31" s="18"/>
      <c r="F31" s="152"/>
      <c r="G31" s="153">
        <v>631</v>
      </c>
      <c r="H31" s="18" t="s">
        <v>137</v>
      </c>
      <c r="I31" s="19">
        <v>1000</v>
      </c>
      <c r="J31" s="19">
        <f>I31</f>
        <v>1000</v>
      </c>
      <c r="K31" s="19">
        <f>J31</f>
        <v>1000</v>
      </c>
      <c r="L31" s="621"/>
      <c r="M31" s="19"/>
      <c r="N31" s="19"/>
      <c r="O31" s="19"/>
    </row>
    <row r="32" spans="2:15" x14ac:dyDescent="0.2">
      <c r="B32" s="8">
        <f t="shared" si="0"/>
        <v>26</v>
      </c>
      <c r="C32" s="18"/>
      <c r="D32" s="18"/>
      <c r="E32" s="18"/>
      <c r="F32" s="152"/>
      <c r="G32" s="153">
        <v>633</v>
      </c>
      <c r="H32" s="18" t="s">
        <v>135</v>
      </c>
      <c r="I32" s="19">
        <v>11000</v>
      </c>
      <c r="J32" s="19">
        <f>I32</f>
        <v>11000</v>
      </c>
      <c r="K32" s="19">
        <f>J32</f>
        <v>11000</v>
      </c>
      <c r="L32" s="621"/>
      <c r="M32" s="19"/>
      <c r="N32" s="19"/>
      <c r="O32" s="19"/>
    </row>
    <row r="33" spans="2:17" x14ac:dyDescent="0.2">
      <c r="B33" s="8">
        <f t="shared" si="0"/>
        <v>27</v>
      </c>
      <c r="C33" s="18"/>
      <c r="D33" s="18"/>
      <c r="E33" s="18"/>
      <c r="F33" s="152"/>
      <c r="G33" s="153">
        <v>635</v>
      </c>
      <c r="H33" s="18" t="s">
        <v>143</v>
      </c>
      <c r="I33" s="19">
        <v>17000</v>
      </c>
      <c r="J33" s="19">
        <v>19000</v>
      </c>
      <c r="K33" s="19">
        <v>19000</v>
      </c>
      <c r="L33" s="621"/>
      <c r="M33" s="19"/>
      <c r="N33" s="19"/>
      <c r="O33" s="19"/>
    </row>
    <row r="34" spans="2:17" x14ac:dyDescent="0.2">
      <c r="B34" s="8">
        <f t="shared" si="0"/>
        <v>28</v>
      </c>
      <c r="C34" s="18"/>
      <c r="D34" s="18"/>
      <c r="E34" s="18"/>
      <c r="F34" s="152"/>
      <c r="G34" s="153">
        <v>637</v>
      </c>
      <c r="H34" s="18" t="s">
        <v>132</v>
      </c>
      <c r="I34" s="19">
        <f>391500-120500</f>
        <v>271000</v>
      </c>
      <c r="J34" s="19">
        <v>200000</v>
      </c>
      <c r="K34" s="19">
        <v>200000</v>
      </c>
      <c r="L34" s="621"/>
      <c r="M34" s="19"/>
      <c r="N34" s="19"/>
      <c r="O34" s="19"/>
    </row>
    <row r="35" spans="2:17" x14ac:dyDescent="0.2">
      <c r="B35" s="8">
        <f t="shared" si="0"/>
        <v>29</v>
      </c>
      <c r="C35" s="24"/>
      <c r="D35" s="24"/>
      <c r="E35" s="24"/>
      <c r="F35" s="149" t="s">
        <v>212</v>
      </c>
      <c r="G35" s="150">
        <v>710</v>
      </c>
      <c r="H35" s="24" t="s">
        <v>185</v>
      </c>
      <c r="I35" s="25"/>
      <c r="J35" s="25"/>
      <c r="K35" s="25"/>
      <c r="L35" s="620"/>
      <c r="M35" s="25">
        <f>M36+M39</f>
        <v>184000</v>
      </c>
      <c r="N35" s="25"/>
      <c r="O35" s="25"/>
    </row>
    <row r="36" spans="2:17" x14ac:dyDescent="0.2">
      <c r="B36" s="8">
        <f t="shared" si="0"/>
        <v>30</v>
      </c>
      <c r="C36" s="18"/>
      <c r="D36" s="18"/>
      <c r="E36" s="18"/>
      <c r="F36" s="152"/>
      <c r="G36" s="153">
        <v>711</v>
      </c>
      <c r="H36" s="18" t="s">
        <v>219</v>
      </c>
      <c r="I36" s="19"/>
      <c r="J36" s="19"/>
      <c r="K36" s="19"/>
      <c r="L36" s="621"/>
      <c r="M36" s="19">
        <f>SUM(M37:M38)</f>
        <v>129000</v>
      </c>
      <c r="N36" s="19"/>
      <c r="O36" s="19"/>
    </row>
    <row r="37" spans="2:17" s="13" customFormat="1" ht="24" x14ac:dyDescent="0.2">
      <c r="B37" s="8">
        <f t="shared" si="0"/>
        <v>31</v>
      </c>
      <c r="C37" s="166"/>
      <c r="D37" s="166"/>
      <c r="E37" s="166"/>
      <c r="F37" s="167"/>
      <c r="G37" s="167"/>
      <c r="H37" s="168" t="s">
        <v>482</v>
      </c>
      <c r="I37" s="169"/>
      <c r="J37" s="169"/>
      <c r="K37" s="169"/>
      <c r="L37" s="615"/>
      <c r="M37" s="169">
        <v>45000</v>
      </c>
      <c r="N37" s="169"/>
      <c r="O37" s="169"/>
    </row>
    <row r="38" spans="2:17" s="13" customFormat="1" x14ac:dyDescent="0.2">
      <c r="B38" s="8">
        <f t="shared" si="0"/>
        <v>32</v>
      </c>
      <c r="C38" s="166"/>
      <c r="D38" s="166"/>
      <c r="E38" s="166"/>
      <c r="F38" s="167"/>
      <c r="G38" s="167"/>
      <c r="H38" s="168" t="s">
        <v>1054</v>
      </c>
      <c r="I38" s="169"/>
      <c r="J38" s="169"/>
      <c r="K38" s="169"/>
      <c r="L38" s="615"/>
      <c r="M38" s="169">
        <v>84000</v>
      </c>
      <c r="N38" s="169"/>
      <c r="O38" s="169"/>
    </row>
    <row r="39" spans="2:17" x14ac:dyDescent="0.2">
      <c r="B39" s="8">
        <f t="shared" si="0"/>
        <v>33</v>
      </c>
      <c r="C39" s="18"/>
      <c r="D39" s="18"/>
      <c r="E39" s="18"/>
      <c r="F39" s="152"/>
      <c r="G39" s="153">
        <v>716</v>
      </c>
      <c r="H39" s="18" t="s">
        <v>226</v>
      </c>
      <c r="I39" s="19"/>
      <c r="J39" s="19"/>
      <c r="K39" s="19"/>
      <c r="L39" s="621"/>
      <c r="M39" s="19">
        <f>M40+M41</f>
        <v>55000</v>
      </c>
      <c r="N39" s="19"/>
      <c r="O39" s="19"/>
    </row>
    <row r="40" spans="2:17" ht="12" customHeight="1" x14ac:dyDescent="0.2">
      <c r="B40" s="8">
        <f t="shared" si="0"/>
        <v>34</v>
      </c>
      <c r="C40" s="120"/>
      <c r="D40" s="120"/>
      <c r="E40" s="120"/>
      <c r="F40" s="155"/>
      <c r="G40" s="155"/>
      <c r="H40" s="156" t="s">
        <v>430</v>
      </c>
      <c r="I40" s="157"/>
      <c r="J40" s="157"/>
      <c r="K40" s="157"/>
      <c r="L40" s="614"/>
      <c r="M40" s="157">
        <v>50000</v>
      </c>
      <c r="N40" s="157"/>
      <c r="O40" s="157"/>
    </row>
    <row r="41" spans="2:17" ht="12" customHeight="1" x14ac:dyDescent="0.2">
      <c r="B41" s="8">
        <f t="shared" si="0"/>
        <v>35</v>
      </c>
      <c r="C41" s="120"/>
      <c r="D41" s="120"/>
      <c r="E41" s="120"/>
      <c r="F41" s="155"/>
      <c r="G41" s="155"/>
      <c r="H41" s="168" t="s">
        <v>1154</v>
      </c>
      <c r="I41" s="157"/>
      <c r="J41" s="157"/>
      <c r="K41" s="157"/>
      <c r="L41" s="614"/>
      <c r="M41" s="157">
        <v>5000</v>
      </c>
      <c r="N41" s="157"/>
      <c r="O41" s="157"/>
    </row>
    <row r="42" spans="2:17" ht="15.75" x14ac:dyDescent="0.25">
      <c r="B42" s="8">
        <f t="shared" si="0"/>
        <v>36</v>
      </c>
      <c r="C42" s="141">
        <v>3</v>
      </c>
      <c r="D42" s="677" t="s">
        <v>146</v>
      </c>
      <c r="E42" s="678"/>
      <c r="F42" s="678"/>
      <c r="G42" s="678"/>
      <c r="H42" s="678"/>
      <c r="I42" s="142">
        <f>I43+I46</f>
        <v>275500</v>
      </c>
      <c r="J42" s="142">
        <f>J43+J46</f>
        <v>100000</v>
      </c>
      <c r="K42" s="142">
        <f>K43+K46</f>
        <v>100000</v>
      </c>
      <c r="L42" s="618"/>
      <c r="M42" s="142">
        <f>M47</f>
        <v>929500</v>
      </c>
      <c r="N42" s="142">
        <f>N47</f>
        <v>1160000</v>
      </c>
      <c r="O42" s="142">
        <f>O47</f>
        <v>921492</v>
      </c>
      <c r="Q42" s="2"/>
    </row>
    <row r="43" spans="2:17" x14ac:dyDescent="0.2">
      <c r="B43" s="8">
        <f t="shared" si="0"/>
        <v>37</v>
      </c>
      <c r="C43" s="24"/>
      <c r="D43" s="24"/>
      <c r="E43" s="24"/>
      <c r="F43" s="149" t="s">
        <v>79</v>
      </c>
      <c r="G43" s="150">
        <v>630</v>
      </c>
      <c r="H43" s="24" t="s">
        <v>131</v>
      </c>
      <c r="I43" s="25">
        <f>SUM(I44:I45)</f>
        <v>275500</v>
      </c>
      <c r="J43" s="25">
        <f>SUM(J44:J45)</f>
        <v>100000</v>
      </c>
      <c r="K43" s="25">
        <f>SUM(K44:K45)</f>
        <v>100000</v>
      </c>
      <c r="L43" s="620"/>
      <c r="M43" s="25"/>
      <c r="N43" s="25"/>
      <c r="O43" s="25"/>
    </row>
    <row r="44" spans="2:17" x14ac:dyDescent="0.2">
      <c r="B44" s="8">
        <f t="shared" si="0"/>
        <v>38</v>
      </c>
      <c r="C44" s="18"/>
      <c r="D44" s="18"/>
      <c r="E44" s="18"/>
      <c r="F44" s="152"/>
      <c r="G44" s="153">
        <v>637</v>
      </c>
      <c r="H44" s="18" t="s">
        <v>132</v>
      </c>
      <c r="I44" s="19">
        <f>86000-4300</f>
        <v>81700</v>
      </c>
      <c r="J44" s="19">
        <v>100000</v>
      </c>
      <c r="K44" s="19">
        <v>100000</v>
      </c>
      <c r="L44" s="621"/>
      <c r="M44" s="19"/>
      <c r="N44" s="19"/>
      <c r="O44" s="19"/>
    </row>
    <row r="45" spans="2:17" ht="12" customHeight="1" x14ac:dyDescent="0.2">
      <c r="B45" s="8">
        <f t="shared" si="0"/>
        <v>39</v>
      </c>
      <c r="C45" s="18"/>
      <c r="D45" s="18"/>
      <c r="E45" s="18"/>
      <c r="F45" s="152"/>
      <c r="G45" s="153">
        <v>630</v>
      </c>
      <c r="H45" s="18" t="s">
        <v>1044</v>
      </c>
      <c r="I45" s="19">
        <v>193800</v>
      </c>
      <c r="J45" s="19"/>
      <c r="K45" s="19"/>
      <c r="L45" s="621"/>
      <c r="M45" s="19"/>
      <c r="N45" s="19"/>
      <c r="O45" s="19"/>
    </row>
    <row r="46" spans="2:17" x14ac:dyDescent="0.2">
      <c r="B46" s="8">
        <f t="shared" si="0"/>
        <v>40</v>
      </c>
      <c r="C46" s="18"/>
      <c r="D46" s="18"/>
      <c r="E46" s="18"/>
      <c r="F46" s="152"/>
      <c r="G46" s="153">
        <v>600</v>
      </c>
      <c r="H46" s="18" t="s">
        <v>683</v>
      </c>
      <c r="I46" s="19"/>
      <c r="J46" s="19"/>
      <c r="K46" s="19"/>
      <c r="L46" s="621"/>
      <c r="M46" s="19"/>
      <c r="N46" s="19"/>
      <c r="O46" s="19"/>
    </row>
    <row r="47" spans="2:17" x14ac:dyDescent="0.2">
      <c r="B47" s="8">
        <f t="shared" si="0"/>
        <v>41</v>
      </c>
      <c r="C47" s="24"/>
      <c r="D47" s="24"/>
      <c r="E47" s="24"/>
      <c r="F47" s="149" t="s">
        <v>79</v>
      </c>
      <c r="G47" s="150">
        <v>710</v>
      </c>
      <c r="H47" s="24" t="s">
        <v>185</v>
      </c>
      <c r="I47" s="25"/>
      <c r="J47" s="25"/>
      <c r="K47" s="25"/>
      <c r="L47" s="620"/>
      <c r="M47" s="25">
        <f>M50+M48</f>
        <v>929500</v>
      </c>
      <c r="N47" s="25">
        <f>N50+N48</f>
        <v>1160000</v>
      </c>
      <c r="O47" s="25">
        <f>O50+O48</f>
        <v>921492</v>
      </c>
    </row>
    <row r="48" spans="2:17" x14ac:dyDescent="0.2">
      <c r="B48" s="8">
        <f t="shared" si="0"/>
        <v>42</v>
      </c>
      <c r="C48" s="18"/>
      <c r="D48" s="18"/>
      <c r="E48" s="18"/>
      <c r="F48" s="152"/>
      <c r="G48" s="153">
        <v>716</v>
      </c>
      <c r="H48" s="18" t="s">
        <v>226</v>
      </c>
      <c r="I48" s="19"/>
      <c r="J48" s="19"/>
      <c r="K48" s="19"/>
      <c r="L48" s="621"/>
      <c r="M48" s="19">
        <f>SUM(M49:M49)</f>
        <v>429500</v>
      </c>
      <c r="N48" s="19"/>
      <c r="O48" s="19"/>
    </row>
    <row r="49" spans="2:15 16384:16384" ht="13.5" customHeight="1" x14ac:dyDescent="0.2">
      <c r="B49" s="8">
        <f t="shared" si="0"/>
        <v>43</v>
      </c>
      <c r="C49" s="120"/>
      <c r="D49" s="120"/>
      <c r="E49" s="120"/>
      <c r="F49" s="155"/>
      <c r="G49" s="155"/>
      <c r="H49" s="156" t="s">
        <v>684</v>
      </c>
      <c r="I49" s="157"/>
      <c r="J49" s="157"/>
      <c r="K49" s="157"/>
      <c r="L49" s="614"/>
      <c r="M49" s="157">
        <f>300000+129500</f>
        <v>429500</v>
      </c>
      <c r="N49" s="157"/>
      <c r="O49" s="157"/>
    </row>
    <row r="50" spans="2:15 16384:16384" x14ac:dyDescent="0.2">
      <c r="B50" s="8">
        <f t="shared" si="0"/>
        <v>44</v>
      </c>
      <c r="C50" s="18"/>
      <c r="D50" s="18"/>
      <c r="E50" s="18"/>
      <c r="F50" s="152"/>
      <c r="G50" s="153">
        <v>717</v>
      </c>
      <c r="H50" s="18" t="s">
        <v>192</v>
      </c>
      <c r="I50" s="19"/>
      <c r="J50" s="19"/>
      <c r="K50" s="19"/>
      <c r="L50" s="621"/>
      <c r="M50" s="19">
        <f>SUM(M51:M52)</f>
        <v>500000</v>
      </c>
      <c r="N50" s="19">
        <f>SUM(N51:N52)</f>
        <v>1160000</v>
      </c>
      <c r="O50" s="19">
        <f>SUM(O51:O52)</f>
        <v>921492</v>
      </c>
      <c r="XFD50" s="19"/>
    </row>
    <row r="51" spans="2:15 16384:16384" x14ac:dyDescent="0.2">
      <c r="B51" s="8">
        <f t="shared" si="0"/>
        <v>45</v>
      </c>
      <c r="C51" s="375"/>
      <c r="D51" s="375"/>
      <c r="E51" s="375"/>
      <c r="F51" s="388"/>
      <c r="G51" s="388"/>
      <c r="H51" s="389" t="s">
        <v>84</v>
      </c>
      <c r="I51" s="406"/>
      <c r="J51" s="406"/>
      <c r="K51" s="406"/>
      <c r="L51" s="614"/>
      <c r="M51" s="406">
        <f>484200+15800</f>
        <v>500000</v>
      </c>
      <c r="N51" s="406"/>
      <c r="O51" s="406"/>
    </row>
    <row r="52" spans="2:15 16384:16384" x14ac:dyDescent="0.2">
      <c r="B52" s="8">
        <f t="shared" si="0"/>
        <v>46</v>
      </c>
      <c r="C52" s="467"/>
      <c r="D52" s="468"/>
      <c r="E52" s="468"/>
      <c r="F52" s="469"/>
      <c r="G52" s="469"/>
      <c r="H52" s="470" t="s">
        <v>1129</v>
      </c>
      <c r="I52" s="390"/>
      <c r="J52" s="390"/>
      <c r="K52" s="390"/>
      <c r="L52" s="614"/>
      <c r="M52" s="390">
        <v>0</v>
      </c>
      <c r="N52" s="390">
        <f>200000+960000</f>
        <v>1160000</v>
      </c>
      <c r="O52" s="390">
        <f>1185840-264348</f>
        <v>921492</v>
      </c>
    </row>
    <row r="53" spans="2:15 16384:16384" ht="15.75" x14ac:dyDescent="0.25">
      <c r="B53" s="8">
        <f t="shared" si="0"/>
        <v>47</v>
      </c>
      <c r="C53" s="462">
        <v>4</v>
      </c>
      <c r="D53" s="702" t="s">
        <v>750</v>
      </c>
      <c r="E53" s="703"/>
      <c r="F53" s="703"/>
      <c r="G53" s="703"/>
      <c r="H53" s="704"/>
      <c r="I53" s="463"/>
      <c r="J53" s="463"/>
      <c r="K53" s="463"/>
      <c r="L53" s="618"/>
      <c r="M53" s="463"/>
      <c r="N53" s="463"/>
      <c r="O53" s="463"/>
    </row>
    <row r="54" spans="2:15 16384:16384" ht="15.75" x14ac:dyDescent="0.25">
      <c r="B54" s="8">
        <f t="shared" si="0"/>
        <v>48</v>
      </c>
      <c r="C54" s="174">
        <v>5</v>
      </c>
      <c r="D54" s="705" t="s">
        <v>751</v>
      </c>
      <c r="E54" s="706"/>
      <c r="F54" s="706"/>
      <c r="G54" s="706"/>
      <c r="H54" s="707"/>
      <c r="I54" s="142"/>
      <c r="J54" s="142"/>
      <c r="K54" s="142"/>
      <c r="L54" s="618"/>
      <c r="M54" s="142"/>
      <c r="N54" s="142"/>
      <c r="O54" s="142"/>
    </row>
    <row r="55" spans="2:15 16384:16384" ht="15.75" x14ac:dyDescent="0.25">
      <c r="B55" s="8">
        <f t="shared" si="0"/>
        <v>49</v>
      </c>
      <c r="C55" s="174">
        <v>6</v>
      </c>
      <c r="D55" s="705" t="s">
        <v>752</v>
      </c>
      <c r="E55" s="706"/>
      <c r="F55" s="706"/>
      <c r="G55" s="706"/>
      <c r="H55" s="707"/>
      <c r="I55" s="142"/>
      <c r="J55" s="142"/>
      <c r="K55" s="142"/>
      <c r="L55" s="618"/>
      <c r="M55" s="142"/>
      <c r="N55" s="142"/>
      <c r="O55" s="142"/>
    </row>
    <row r="56" spans="2:15 16384:16384" ht="15.75" x14ac:dyDescent="0.25">
      <c r="B56" s="8">
        <f t="shared" si="0"/>
        <v>50</v>
      </c>
      <c r="C56" s="141">
        <v>7</v>
      </c>
      <c r="D56" s="700" t="s">
        <v>259</v>
      </c>
      <c r="E56" s="701"/>
      <c r="F56" s="701"/>
      <c r="G56" s="701"/>
      <c r="H56" s="701"/>
      <c r="I56" s="142">
        <f>I57+I58+I62</f>
        <v>180785</v>
      </c>
      <c r="J56" s="142">
        <f>J57+J58+J62</f>
        <v>177000</v>
      </c>
      <c r="K56" s="142">
        <f>K57+K58+K62</f>
        <v>177000</v>
      </c>
      <c r="L56" s="618"/>
      <c r="M56" s="142"/>
      <c r="N56" s="142"/>
      <c r="O56" s="142"/>
    </row>
    <row r="57" spans="2:15 16384:16384" x14ac:dyDescent="0.2">
      <c r="B57" s="8">
        <f t="shared" si="0"/>
        <v>51</v>
      </c>
      <c r="C57" s="24"/>
      <c r="D57" s="24"/>
      <c r="E57" s="24"/>
      <c r="F57" s="149" t="s">
        <v>79</v>
      </c>
      <c r="G57" s="150">
        <v>620</v>
      </c>
      <c r="H57" s="24" t="s">
        <v>134</v>
      </c>
      <c r="I57" s="25">
        <v>2000</v>
      </c>
      <c r="J57" s="25">
        <f>I57</f>
        <v>2000</v>
      </c>
      <c r="K57" s="25">
        <f>J57</f>
        <v>2000</v>
      </c>
      <c r="L57" s="620"/>
      <c r="M57" s="25"/>
      <c r="N57" s="25"/>
      <c r="O57" s="25"/>
    </row>
    <row r="58" spans="2:15 16384:16384" x14ac:dyDescent="0.2">
      <c r="B58" s="8">
        <f t="shared" si="0"/>
        <v>52</v>
      </c>
      <c r="C58" s="24"/>
      <c r="D58" s="24"/>
      <c r="E58" s="24"/>
      <c r="F58" s="149" t="s">
        <v>79</v>
      </c>
      <c r="G58" s="150">
        <v>630</v>
      </c>
      <c r="H58" s="24" t="s">
        <v>131</v>
      </c>
      <c r="I58" s="25">
        <f>I61+I60+I59</f>
        <v>158785</v>
      </c>
      <c r="J58" s="25">
        <f>J61+J60+J59</f>
        <v>155000</v>
      </c>
      <c r="K58" s="25">
        <f>K61+K60+K59</f>
        <v>155000</v>
      </c>
      <c r="L58" s="620"/>
      <c r="M58" s="25"/>
      <c r="N58" s="25"/>
      <c r="O58" s="25"/>
    </row>
    <row r="59" spans="2:15 16384:16384" x14ac:dyDescent="0.2">
      <c r="B59" s="8">
        <f t="shared" si="0"/>
        <v>53</v>
      </c>
      <c r="C59" s="18"/>
      <c r="D59" s="18"/>
      <c r="E59" s="18"/>
      <c r="F59" s="152"/>
      <c r="G59" s="153">
        <v>632</v>
      </c>
      <c r="H59" s="18" t="s">
        <v>144</v>
      </c>
      <c r="I59" s="19">
        <f>150000-9016+2500+2000+1</f>
        <v>145485</v>
      </c>
      <c r="J59" s="19">
        <v>140000</v>
      </c>
      <c r="K59" s="19">
        <v>140000</v>
      </c>
      <c r="L59" s="621"/>
      <c r="M59" s="19"/>
      <c r="N59" s="19"/>
      <c r="O59" s="19"/>
    </row>
    <row r="60" spans="2:15 16384:16384" x14ac:dyDescent="0.2">
      <c r="B60" s="8">
        <f t="shared" si="0"/>
        <v>54</v>
      </c>
      <c r="C60" s="18"/>
      <c r="D60" s="18"/>
      <c r="E60" s="18"/>
      <c r="F60" s="152"/>
      <c r="G60" s="153">
        <v>633</v>
      </c>
      <c r="H60" s="18" t="s">
        <v>135</v>
      </c>
      <c r="I60" s="19">
        <v>5000</v>
      </c>
      <c r="J60" s="19">
        <f>I60</f>
        <v>5000</v>
      </c>
      <c r="K60" s="19">
        <f>J60</f>
        <v>5000</v>
      </c>
      <c r="L60" s="621"/>
      <c r="M60" s="19"/>
      <c r="N60" s="19"/>
      <c r="O60" s="19"/>
    </row>
    <row r="61" spans="2:15 16384:16384" x14ac:dyDescent="0.2">
      <c r="B61" s="8">
        <f t="shared" ref="B61:B63" si="3">B60+1</f>
        <v>55</v>
      </c>
      <c r="C61" s="18"/>
      <c r="D61" s="18"/>
      <c r="E61" s="18"/>
      <c r="F61" s="152"/>
      <c r="G61" s="153">
        <v>637</v>
      </c>
      <c r="H61" s="18" t="s">
        <v>132</v>
      </c>
      <c r="I61" s="19">
        <v>8300</v>
      </c>
      <c r="J61" s="19">
        <v>10000</v>
      </c>
      <c r="K61" s="19">
        <v>10000</v>
      </c>
      <c r="L61" s="621"/>
      <c r="M61" s="19"/>
      <c r="N61" s="19"/>
      <c r="O61" s="19"/>
    </row>
    <row r="62" spans="2:15 16384:16384" x14ac:dyDescent="0.2">
      <c r="B62" s="8">
        <f t="shared" si="3"/>
        <v>56</v>
      </c>
      <c r="C62" s="24"/>
      <c r="D62" s="24"/>
      <c r="E62" s="24"/>
      <c r="F62" s="149" t="s">
        <v>258</v>
      </c>
      <c r="G62" s="150">
        <v>630</v>
      </c>
      <c r="H62" s="24" t="s">
        <v>131</v>
      </c>
      <c r="I62" s="25">
        <f>I63</f>
        <v>20000</v>
      </c>
      <c r="J62" s="25">
        <f>J63</f>
        <v>20000</v>
      </c>
      <c r="K62" s="25">
        <f>K63</f>
        <v>20000</v>
      </c>
      <c r="L62" s="620"/>
      <c r="M62" s="25"/>
      <c r="N62" s="25"/>
      <c r="O62" s="25"/>
    </row>
    <row r="63" spans="2:15 16384:16384" x14ac:dyDescent="0.2">
      <c r="B63" s="8">
        <f t="shared" si="3"/>
        <v>57</v>
      </c>
      <c r="C63" s="18"/>
      <c r="D63" s="18"/>
      <c r="E63" s="18"/>
      <c r="F63" s="152"/>
      <c r="G63" s="153">
        <v>637</v>
      </c>
      <c r="H63" s="18" t="s">
        <v>132</v>
      </c>
      <c r="I63" s="19">
        <v>20000</v>
      </c>
      <c r="J63" s="19">
        <v>20000</v>
      </c>
      <c r="K63" s="19">
        <v>20000</v>
      </c>
      <c r="L63" s="621"/>
      <c r="M63" s="19"/>
      <c r="N63" s="19"/>
      <c r="O63" s="19"/>
    </row>
    <row r="64" spans="2:15 16384:16384" ht="15.75" x14ac:dyDescent="0.25">
      <c r="B64" s="8">
        <f>B63+1</f>
        <v>58</v>
      </c>
      <c r="C64" s="141">
        <v>8</v>
      </c>
      <c r="D64" s="677" t="s">
        <v>279</v>
      </c>
      <c r="E64" s="678"/>
      <c r="F64" s="678"/>
      <c r="G64" s="678"/>
      <c r="H64" s="678"/>
      <c r="I64" s="142">
        <f t="shared" ref="I64:K65" si="4">I65</f>
        <v>9900</v>
      </c>
      <c r="J64" s="142">
        <f t="shared" si="4"/>
        <v>9900</v>
      </c>
      <c r="K64" s="142">
        <f t="shared" si="4"/>
        <v>9900</v>
      </c>
      <c r="L64" s="618"/>
      <c r="M64" s="142"/>
      <c r="N64" s="142"/>
      <c r="O64" s="142"/>
    </row>
    <row r="65" spans="2:15" x14ac:dyDescent="0.2">
      <c r="B65" s="8">
        <f>B64+1</f>
        <v>59</v>
      </c>
      <c r="C65" s="24"/>
      <c r="D65" s="24"/>
      <c r="E65" s="24"/>
      <c r="F65" s="149" t="s">
        <v>79</v>
      </c>
      <c r="G65" s="150">
        <v>640</v>
      </c>
      <c r="H65" s="24" t="s">
        <v>139</v>
      </c>
      <c r="I65" s="25">
        <f t="shared" si="4"/>
        <v>9900</v>
      </c>
      <c r="J65" s="25">
        <f t="shared" si="4"/>
        <v>9900</v>
      </c>
      <c r="K65" s="25">
        <f t="shared" si="4"/>
        <v>9900</v>
      </c>
      <c r="L65" s="620"/>
      <c r="M65" s="25"/>
      <c r="N65" s="25"/>
      <c r="O65" s="25"/>
    </row>
    <row r="66" spans="2:15" x14ac:dyDescent="0.2">
      <c r="B66" s="8">
        <f>B65+1</f>
        <v>60</v>
      </c>
      <c r="C66" s="18"/>
      <c r="D66" s="18"/>
      <c r="E66" s="18"/>
      <c r="F66" s="152"/>
      <c r="G66" s="153">
        <v>642</v>
      </c>
      <c r="H66" s="18" t="s">
        <v>140</v>
      </c>
      <c r="I66" s="19">
        <v>9900</v>
      </c>
      <c r="J66" s="19">
        <f>I66</f>
        <v>9900</v>
      </c>
      <c r="K66" s="19">
        <f>J66</f>
        <v>9900</v>
      </c>
      <c r="L66" s="621"/>
      <c r="M66" s="19"/>
      <c r="N66" s="19"/>
      <c r="O66" s="19"/>
    </row>
    <row r="67" spans="2:15" ht="15.75" x14ac:dyDescent="0.25">
      <c r="B67" s="175">
        <f>B66+1</f>
        <v>61</v>
      </c>
      <c r="C67" s="176">
        <v>9</v>
      </c>
      <c r="D67" s="698" t="s">
        <v>188</v>
      </c>
      <c r="E67" s="699"/>
      <c r="F67" s="699"/>
      <c r="G67" s="699"/>
      <c r="H67" s="699"/>
      <c r="I67" s="177"/>
      <c r="J67" s="177"/>
      <c r="K67" s="177"/>
      <c r="L67" s="618"/>
      <c r="M67" s="177"/>
      <c r="N67" s="177"/>
      <c r="O67" s="177"/>
    </row>
    <row r="72" spans="2:15" ht="27" x14ac:dyDescent="0.35">
      <c r="B72" s="679" t="s">
        <v>18</v>
      </c>
      <c r="C72" s="680"/>
      <c r="D72" s="680"/>
      <c r="E72" s="680"/>
      <c r="F72" s="680"/>
      <c r="G72" s="680"/>
      <c r="H72" s="680"/>
      <c r="I72" s="680"/>
      <c r="J72" s="680"/>
      <c r="K72" s="680"/>
      <c r="L72" s="680"/>
      <c r="M72" s="680"/>
      <c r="N72" s="3"/>
      <c r="O72" s="3"/>
    </row>
    <row r="73" spans="2:15" s="634" customFormat="1" ht="13.5" customHeight="1" x14ac:dyDescent="0.2">
      <c r="B73" s="744"/>
      <c r="C73" s="744" t="s">
        <v>122</v>
      </c>
      <c r="D73" s="744" t="s">
        <v>123</v>
      </c>
      <c r="E73" s="744"/>
      <c r="F73" s="744" t="s">
        <v>124</v>
      </c>
      <c r="G73" s="743" t="s">
        <v>125</v>
      </c>
      <c r="H73" s="746" t="s">
        <v>126</v>
      </c>
      <c r="I73" s="745" t="s">
        <v>1135</v>
      </c>
      <c r="J73" s="745" t="s">
        <v>1136</v>
      </c>
      <c r="K73" s="745" t="s">
        <v>1137</v>
      </c>
      <c r="L73" s="635"/>
      <c r="M73" s="745" t="s">
        <v>1138</v>
      </c>
      <c r="N73" s="745" t="s">
        <v>1139</v>
      </c>
      <c r="O73" s="745" t="s">
        <v>1140</v>
      </c>
    </row>
    <row r="74" spans="2:15" x14ac:dyDescent="0.2">
      <c r="B74" s="681"/>
      <c r="C74" s="681"/>
      <c r="D74" s="681"/>
      <c r="E74" s="681"/>
      <c r="F74" s="681"/>
      <c r="G74" s="689"/>
      <c r="H74" s="686"/>
      <c r="I74" s="673"/>
      <c r="J74" s="673"/>
      <c r="K74" s="673"/>
      <c r="L74" s="616"/>
      <c r="M74" s="673"/>
      <c r="N74" s="673"/>
      <c r="O74" s="673"/>
    </row>
    <row r="75" spans="2:15" x14ac:dyDescent="0.2">
      <c r="B75" s="681"/>
      <c r="C75" s="681"/>
      <c r="D75" s="681"/>
      <c r="E75" s="681"/>
      <c r="F75" s="681"/>
      <c r="G75" s="689"/>
      <c r="H75" s="686"/>
      <c r="I75" s="673"/>
      <c r="J75" s="673"/>
      <c r="K75" s="673"/>
      <c r="L75" s="616"/>
      <c r="M75" s="673"/>
      <c r="N75" s="673"/>
      <c r="O75" s="673"/>
    </row>
    <row r="76" spans="2:15" ht="18" customHeight="1" x14ac:dyDescent="0.2">
      <c r="B76" s="681"/>
      <c r="C76" s="681"/>
      <c r="D76" s="681"/>
      <c r="E76" s="681"/>
      <c r="F76" s="681"/>
      <c r="G76" s="689"/>
      <c r="H76" s="686"/>
      <c r="I76" s="673"/>
      <c r="J76" s="673"/>
      <c r="K76" s="673"/>
      <c r="L76" s="616"/>
      <c r="M76" s="673"/>
      <c r="N76" s="673"/>
      <c r="O76" s="673"/>
    </row>
    <row r="77" spans="2:15" ht="15.75" x14ac:dyDescent="0.2">
      <c r="B77" s="8">
        <v>1</v>
      </c>
      <c r="C77" s="687" t="s">
        <v>18</v>
      </c>
      <c r="D77" s="688"/>
      <c r="E77" s="688"/>
      <c r="F77" s="688"/>
      <c r="G77" s="688"/>
      <c r="H77" s="688"/>
      <c r="I77" s="138">
        <f>I78+I86</f>
        <v>128440</v>
      </c>
      <c r="J77" s="138">
        <f>J78+J86</f>
        <v>134000</v>
      </c>
      <c r="K77" s="138">
        <f>K78+K86</f>
        <v>153000</v>
      </c>
      <c r="L77" s="617"/>
      <c r="M77" s="138"/>
      <c r="N77" s="138"/>
      <c r="O77" s="138"/>
    </row>
    <row r="78" spans="2:15" ht="15.75" x14ac:dyDescent="0.25">
      <c r="B78" s="8">
        <f>B77+1</f>
        <v>2</v>
      </c>
      <c r="C78" s="141">
        <v>1</v>
      </c>
      <c r="D78" s="677" t="s">
        <v>205</v>
      </c>
      <c r="E78" s="678"/>
      <c r="F78" s="678"/>
      <c r="G78" s="678"/>
      <c r="H78" s="678"/>
      <c r="I78" s="142">
        <f>I79+I81+I83+I84</f>
        <v>99940</v>
      </c>
      <c r="J78" s="142">
        <f t="shared" ref="J78:K78" si="5">J79+J81+J83+J84</f>
        <v>105000</v>
      </c>
      <c r="K78" s="142">
        <f t="shared" si="5"/>
        <v>121000</v>
      </c>
      <c r="L78" s="618"/>
      <c r="M78" s="142"/>
      <c r="N78" s="142"/>
      <c r="O78" s="142"/>
    </row>
    <row r="79" spans="2:15" x14ac:dyDescent="0.2">
      <c r="B79" s="8">
        <f>B78+1</f>
        <v>3</v>
      </c>
      <c r="C79" s="24"/>
      <c r="D79" s="24"/>
      <c r="E79" s="24"/>
      <c r="F79" s="149" t="s">
        <v>79</v>
      </c>
      <c r="G79" s="150">
        <v>630</v>
      </c>
      <c r="H79" s="24" t="s">
        <v>575</v>
      </c>
      <c r="I79" s="25">
        <f>I80</f>
        <v>19940</v>
      </c>
      <c r="J79" s="25">
        <f>J80</f>
        <v>22000</v>
      </c>
      <c r="K79" s="25">
        <f>K80</f>
        <v>30000</v>
      </c>
      <c r="L79" s="620"/>
      <c r="M79" s="25"/>
      <c r="N79" s="25"/>
      <c r="O79" s="25"/>
    </row>
    <row r="80" spans="2:15" x14ac:dyDescent="0.2">
      <c r="B80" s="8">
        <f t="shared" ref="B80:B89" si="6">B79+1</f>
        <v>4</v>
      </c>
      <c r="C80" s="18"/>
      <c r="D80" s="18"/>
      <c r="E80" s="18"/>
      <c r="F80" s="152"/>
      <c r="G80" s="153">
        <v>637</v>
      </c>
      <c r="H80" s="18" t="s">
        <v>132</v>
      </c>
      <c r="I80" s="19">
        <v>19940</v>
      </c>
      <c r="J80" s="19">
        <v>22000</v>
      </c>
      <c r="K80" s="19">
        <v>30000</v>
      </c>
      <c r="L80" s="621"/>
      <c r="M80" s="19"/>
      <c r="N80" s="19"/>
      <c r="O80" s="19"/>
    </row>
    <row r="81" spans="2:15" x14ac:dyDescent="0.2">
      <c r="B81" s="8">
        <f t="shared" si="6"/>
        <v>5</v>
      </c>
      <c r="C81" s="18"/>
      <c r="D81" s="18"/>
      <c r="E81" s="18"/>
      <c r="F81" s="149" t="s">
        <v>255</v>
      </c>
      <c r="G81" s="150">
        <v>630</v>
      </c>
      <c r="H81" s="24" t="s">
        <v>131</v>
      </c>
      <c r="I81" s="25">
        <f>I82</f>
        <v>19000</v>
      </c>
      <c r="J81" s="25">
        <f>J82</f>
        <v>20000</v>
      </c>
      <c r="K81" s="25">
        <f>K82</f>
        <v>23000</v>
      </c>
      <c r="L81" s="620"/>
      <c r="M81" s="25"/>
      <c r="N81" s="25"/>
      <c r="O81" s="25"/>
    </row>
    <row r="82" spans="2:15" x14ac:dyDescent="0.2">
      <c r="B82" s="8">
        <f t="shared" si="6"/>
        <v>6</v>
      </c>
      <c r="C82" s="18"/>
      <c r="D82" s="18"/>
      <c r="E82" s="18"/>
      <c r="F82" s="152"/>
      <c r="G82" s="153">
        <v>637</v>
      </c>
      <c r="H82" s="18" t="s">
        <v>522</v>
      </c>
      <c r="I82" s="19">
        <f>20000*0.95</f>
        <v>19000</v>
      </c>
      <c r="J82" s="19">
        <v>20000</v>
      </c>
      <c r="K82" s="19">
        <v>23000</v>
      </c>
      <c r="L82" s="621"/>
      <c r="M82" s="19"/>
      <c r="N82" s="19"/>
      <c r="O82" s="19"/>
    </row>
    <row r="83" spans="2:15" s="180" customFormat="1" x14ac:dyDescent="0.2">
      <c r="B83" s="8">
        <f t="shared" si="6"/>
        <v>7</v>
      </c>
      <c r="C83" s="24"/>
      <c r="D83" s="24"/>
      <c r="E83" s="24"/>
      <c r="F83" s="149" t="s">
        <v>80</v>
      </c>
      <c r="G83" s="150">
        <v>600</v>
      </c>
      <c r="H83" s="24" t="s">
        <v>523</v>
      </c>
      <c r="I83" s="25">
        <v>28000</v>
      </c>
      <c r="J83" s="25">
        <v>30000</v>
      </c>
      <c r="K83" s="25">
        <v>33000</v>
      </c>
      <c r="L83" s="620"/>
      <c r="M83" s="25"/>
      <c r="N83" s="25"/>
      <c r="O83" s="25"/>
    </row>
    <row r="84" spans="2:15" s="180" customFormat="1" x14ac:dyDescent="0.2">
      <c r="B84" s="8">
        <f t="shared" si="6"/>
        <v>8</v>
      </c>
      <c r="C84" s="24"/>
      <c r="D84" s="24"/>
      <c r="E84" s="24"/>
      <c r="F84" s="149" t="s">
        <v>229</v>
      </c>
      <c r="G84" s="150">
        <v>630</v>
      </c>
      <c r="H84" s="24" t="s">
        <v>576</v>
      </c>
      <c r="I84" s="25">
        <f>I85</f>
        <v>33000</v>
      </c>
      <c r="J84" s="25">
        <f>J85</f>
        <v>33000</v>
      </c>
      <c r="K84" s="25">
        <f>K85</f>
        <v>35000</v>
      </c>
      <c r="L84" s="620"/>
      <c r="M84" s="25"/>
      <c r="N84" s="25"/>
      <c r="O84" s="25"/>
    </row>
    <row r="85" spans="2:15" s="180" customFormat="1" x14ac:dyDescent="0.2">
      <c r="B85" s="8">
        <f t="shared" si="6"/>
        <v>9</v>
      </c>
      <c r="C85" s="24"/>
      <c r="D85" s="24"/>
      <c r="E85" s="24"/>
      <c r="F85" s="152"/>
      <c r="G85" s="153">
        <v>637</v>
      </c>
      <c r="H85" s="18" t="s">
        <v>132</v>
      </c>
      <c r="I85" s="19">
        <v>33000</v>
      </c>
      <c r="J85" s="19">
        <v>33000</v>
      </c>
      <c r="K85" s="19">
        <v>35000</v>
      </c>
      <c r="L85" s="621"/>
      <c r="M85" s="25"/>
      <c r="N85" s="25"/>
      <c r="O85" s="25"/>
    </row>
    <row r="86" spans="2:15" ht="15.75" x14ac:dyDescent="0.25">
      <c r="B86" s="8">
        <f t="shared" si="6"/>
        <v>10</v>
      </c>
      <c r="C86" s="141">
        <v>2</v>
      </c>
      <c r="D86" s="677" t="s">
        <v>256</v>
      </c>
      <c r="E86" s="678"/>
      <c r="F86" s="678"/>
      <c r="G86" s="678"/>
      <c r="H86" s="678"/>
      <c r="I86" s="142">
        <f>+I87+I89</f>
        <v>28500</v>
      </c>
      <c r="J86" s="142">
        <f>+J87+J89</f>
        <v>29000</v>
      </c>
      <c r="K86" s="142">
        <f>+K87+K89</f>
        <v>32000</v>
      </c>
      <c r="L86" s="618"/>
      <c r="M86" s="142"/>
      <c r="N86" s="142"/>
      <c r="O86" s="142"/>
    </row>
    <row r="87" spans="2:15" x14ac:dyDescent="0.2">
      <c r="B87" s="8">
        <f t="shared" si="6"/>
        <v>11</v>
      </c>
      <c r="C87" s="24"/>
      <c r="D87" s="24"/>
      <c r="E87" s="24"/>
      <c r="F87" s="149" t="s">
        <v>255</v>
      </c>
      <c r="G87" s="150">
        <v>630</v>
      </c>
      <c r="H87" s="24" t="s">
        <v>131</v>
      </c>
      <c r="I87" s="25">
        <f>I88</f>
        <v>4500</v>
      </c>
      <c r="J87" s="25">
        <f>J88</f>
        <v>5000</v>
      </c>
      <c r="K87" s="25">
        <f>K88</f>
        <v>8000</v>
      </c>
      <c r="L87" s="620"/>
      <c r="M87" s="25"/>
      <c r="N87" s="25"/>
      <c r="O87" s="25"/>
    </row>
    <row r="88" spans="2:15" x14ac:dyDescent="0.2">
      <c r="B88" s="8">
        <f t="shared" si="6"/>
        <v>12</v>
      </c>
      <c r="C88" s="18"/>
      <c r="D88" s="18"/>
      <c r="E88" s="18"/>
      <c r="F88" s="152"/>
      <c r="G88" s="153">
        <v>637</v>
      </c>
      <c r="H88" s="18" t="s">
        <v>132</v>
      </c>
      <c r="I88" s="19">
        <v>4500</v>
      </c>
      <c r="J88" s="19">
        <v>5000</v>
      </c>
      <c r="K88" s="19">
        <v>8000</v>
      </c>
      <c r="L88" s="621"/>
      <c r="M88" s="19"/>
      <c r="N88" s="19"/>
      <c r="O88" s="19"/>
    </row>
    <row r="89" spans="2:15" x14ac:dyDescent="0.2">
      <c r="B89" s="8">
        <f t="shared" si="6"/>
        <v>13</v>
      </c>
      <c r="C89" s="24"/>
      <c r="D89" s="24"/>
      <c r="E89" s="24"/>
      <c r="F89" s="149" t="s">
        <v>255</v>
      </c>
      <c r="G89" s="150">
        <v>640</v>
      </c>
      <c r="H89" s="24" t="s">
        <v>139</v>
      </c>
      <c r="I89" s="25">
        <f>I90</f>
        <v>24000</v>
      </c>
      <c r="J89" s="25">
        <f>J90</f>
        <v>24000</v>
      </c>
      <c r="K89" s="25">
        <f>K90</f>
        <v>24000</v>
      </c>
      <c r="L89" s="620"/>
      <c r="M89" s="25"/>
      <c r="N89" s="25"/>
      <c r="O89" s="25"/>
    </row>
    <row r="90" spans="2:15" x14ac:dyDescent="0.2">
      <c r="B90" s="8">
        <f>B89+1</f>
        <v>14</v>
      </c>
      <c r="C90" s="182"/>
      <c r="D90" s="182"/>
      <c r="E90" s="182"/>
      <c r="F90" s="183"/>
      <c r="G90" s="183"/>
      <c r="H90" s="182" t="s">
        <v>485</v>
      </c>
      <c r="I90" s="184">
        <v>24000</v>
      </c>
      <c r="J90" s="184">
        <f>I90</f>
        <v>24000</v>
      </c>
      <c r="K90" s="184">
        <f>J90</f>
        <v>24000</v>
      </c>
      <c r="L90" s="622"/>
      <c r="M90" s="184"/>
      <c r="N90" s="184"/>
      <c r="O90" s="184"/>
    </row>
    <row r="95" spans="2:15" ht="27" x14ac:dyDescent="0.35">
      <c r="B95" s="679" t="s">
        <v>19</v>
      </c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3"/>
      <c r="O95" s="3"/>
    </row>
    <row r="96" spans="2:15" ht="12.75" customHeight="1" x14ac:dyDescent="0.2">
      <c r="B96" s="739"/>
      <c r="C96" s="739" t="s">
        <v>122</v>
      </c>
      <c r="D96" s="739" t="s">
        <v>123</v>
      </c>
      <c r="E96" s="739"/>
      <c r="F96" s="739" t="s">
        <v>124</v>
      </c>
      <c r="G96" s="740" t="s">
        <v>125</v>
      </c>
      <c r="H96" s="741" t="s">
        <v>126</v>
      </c>
      <c r="I96" s="742" t="s">
        <v>1135</v>
      </c>
      <c r="J96" s="742" t="s">
        <v>1136</v>
      </c>
      <c r="K96" s="742" t="s">
        <v>1137</v>
      </c>
      <c r="L96" s="633"/>
      <c r="M96" s="742" t="s">
        <v>1138</v>
      </c>
      <c r="N96" s="742" t="s">
        <v>1139</v>
      </c>
      <c r="O96" s="742" t="s">
        <v>1140</v>
      </c>
    </row>
    <row r="97" spans="2:16" x14ac:dyDescent="0.2">
      <c r="B97" s="681"/>
      <c r="C97" s="681"/>
      <c r="D97" s="681"/>
      <c r="E97" s="681"/>
      <c r="F97" s="681"/>
      <c r="G97" s="689"/>
      <c r="H97" s="686"/>
      <c r="I97" s="673"/>
      <c r="J97" s="673"/>
      <c r="K97" s="673"/>
      <c r="L97" s="616"/>
      <c r="M97" s="673"/>
      <c r="N97" s="673"/>
      <c r="O97" s="673"/>
    </row>
    <row r="98" spans="2:16" ht="21" customHeight="1" x14ac:dyDescent="0.2">
      <c r="B98" s="681"/>
      <c r="C98" s="681"/>
      <c r="D98" s="681"/>
      <c r="E98" s="681"/>
      <c r="F98" s="681"/>
      <c r="G98" s="689"/>
      <c r="H98" s="686"/>
      <c r="I98" s="673"/>
      <c r="J98" s="673"/>
      <c r="K98" s="673"/>
      <c r="L98" s="616"/>
      <c r="M98" s="673"/>
      <c r="N98" s="673"/>
      <c r="O98" s="673"/>
    </row>
    <row r="99" spans="2:16" x14ac:dyDescent="0.2">
      <c r="B99" s="681"/>
      <c r="C99" s="681"/>
      <c r="D99" s="681"/>
      <c r="E99" s="681"/>
      <c r="F99" s="681"/>
      <c r="G99" s="689"/>
      <c r="H99" s="686"/>
      <c r="I99" s="673"/>
      <c r="J99" s="673"/>
      <c r="K99" s="673"/>
      <c r="L99" s="616"/>
      <c r="M99" s="673"/>
      <c r="N99" s="673"/>
      <c r="O99" s="673"/>
    </row>
    <row r="100" spans="2:16" ht="15.75" x14ac:dyDescent="0.2">
      <c r="B100" s="8">
        <v>1</v>
      </c>
      <c r="C100" s="687" t="s">
        <v>19</v>
      </c>
      <c r="D100" s="688"/>
      <c r="E100" s="688"/>
      <c r="F100" s="688"/>
      <c r="G100" s="688"/>
      <c r="H100" s="688"/>
      <c r="I100" s="138">
        <f>I176+I164+I159+I143+I127+I123+I104+I101</f>
        <v>7263625</v>
      </c>
      <c r="J100" s="138">
        <f>J176+J164+J159+J143+J127+J123+J104+J101</f>
        <v>7475878</v>
      </c>
      <c r="K100" s="138">
        <f>K176+K164+K159+K143+K127+K123+K104+K101</f>
        <v>7594825</v>
      </c>
      <c r="L100" s="617"/>
      <c r="M100" s="138">
        <f>M176+M164+M159+M143+M127+M123+M104+M101</f>
        <v>3299081</v>
      </c>
      <c r="N100" s="138">
        <f t="shared" ref="N100:O100" si="7">N176+N164+N159+N143+N127+N123+N104+N101</f>
        <v>3801087</v>
      </c>
      <c r="O100" s="138">
        <f t="shared" si="7"/>
        <v>1000000</v>
      </c>
      <c r="P100" s="2"/>
    </row>
    <row r="101" spans="2:16" ht="15.75" x14ac:dyDescent="0.25">
      <c r="B101" s="8">
        <f>B100+1</f>
        <v>2</v>
      </c>
      <c r="C101" s="141">
        <v>1</v>
      </c>
      <c r="D101" s="677" t="s">
        <v>153</v>
      </c>
      <c r="E101" s="678"/>
      <c r="F101" s="678"/>
      <c r="G101" s="678"/>
      <c r="H101" s="678"/>
      <c r="I101" s="142">
        <f t="shared" ref="I101:K102" si="8">I102</f>
        <v>110000</v>
      </c>
      <c r="J101" s="142">
        <f t="shared" si="8"/>
        <v>110000</v>
      </c>
      <c r="K101" s="142">
        <f t="shared" si="8"/>
        <v>110000</v>
      </c>
      <c r="L101" s="618"/>
      <c r="M101" s="142"/>
      <c r="N101" s="142"/>
      <c r="O101" s="142"/>
    </row>
    <row r="102" spans="2:16" x14ac:dyDescent="0.2">
      <c r="B102" s="8">
        <f>B101+1</f>
        <v>3</v>
      </c>
      <c r="C102" s="24"/>
      <c r="D102" s="24"/>
      <c r="E102" s="24"/>
      <c r="F102" s="149" t="s">
        <v>79</v>
      </c>
      <c r="G102" s="150">
        <v>630</v>
      </c>
      <c r="H102" s="24" t="s">
        <v>131</v>
      </c>
      <c r="I102" s="25">
        <f t="shared" si="8"/>
        <v>110000</v>
      </c>
      <c r="J102" s="25">
        <f t="shared" si="8"/>
        <v>110000</v>
      </c>
      <c r="K102" s="25">
        <f t="shared" si="8"/>
        <v>110000</v>
      </c>
      <c r="L102" s="620"/>
      <c r="M102" s="25"/>
      <c r="N102" s="25"/>
      <c r="O102" s="25"/>
    </row>
    <row r="103" spans="2:16" x14ac:dyDescent="0.2">
      <c r="B103" s="8">
        <f t="shared" ref="B103:B152" si="9">B102+1</f>
        <v>4</v>
      </c>
      <c r="C103" s="18"/>
      <c r="D103" s="18"/>
      <c r="E103" s="18"/>
      <c r="F103" s="152"/>
      <c r="G103" s="153">
        <v>637</v>
      </c>
      <c r="H103" s="18" t="s">
        <v>132</v>
      </c>
      <c r="I103" s="19">
        <v>110000</v>
      </c>
      <c r="J103" s="19">
        <v>110000</v>
      </c>
      <c r="K103" s="19">
        <v>110000</v>
      </c>
      <c r="L103" s="621"/>
      <c r="M103" s="19"/>
      <c r="N103" s="19"/>
      <c r="O103" s="19"/>
    </row>
    <row r="104" spans="2:16" ht="15.75" x14ac:dyDescent="0.25">
      <c r="B104" s="8">
        <f t="shared" si="9"/>
        <v>5</v>
      </c>
      <c r="C104" s="141">
        <v>2</v>
      </c>
      <c r="D104" s="677" t="s">
        <v>152</v>
      </c>
      <c r="E104" s="678"/>
      <c r="F104" s="678"/>
      <c r="G104" s="678"/>
      <c r="H104" s="678"/>
      <c r="I104" s="142">
        <f>I115+I108+I105</f>
        <v>116470</v>
      </c>
      <c r="J104" s="142">
        <f>J115+J108+J105</f>
        <v>116470</v>
      </c>
      <c r="K104" s="142">
        <f>K115+K108+K105</f>
        <v>116470</v>
      </c>
      <c r="L104" s="618"/>
      <c r="M104" s="142">
        <f>M115+M108+M105</f>
        <v>793391</v>
      </c>
      <c r="N104" s="142"/>
      <c r="O104" s="142"/>
    </row>
    <row r="105" spans="2:16" ht="14.25" x14ac:dyDescent="0.2">
      <c r="B105" s="8">
        <f t="shared" si="9"/>
        <v>6</v>
      </c>
      <c r="C105" s="160"/>
      <c r="D105" s="160">
        <v>1</v>
      </c>
      <c r="E105" s="675" t="s">
        <v>158</v>
      </c>
      <c r="F105" s="676"/>
      <c r="G105" s="676"/>
      <c r="H105" s="676"/>
      <c r="I105" s="161">
        <f t="shared" ref="I105:K106" si="10">I106</f>
        <v>13060</v>
      </c>
      <c r="J105" s="161">
        <f t="shared" si="10"/>
        <v>13060</v>
      </c>
      <c r="K105" s="161">
        <f t="shared" si="10"/>
        <v>13060</v>
      </c>
      <c r="L105" s="619"/>
      <c r="M105" s="161">
        <v>0</v>
      </c>
      <c r="N105" s="161"/>
      <c r="O105" s="161"/>
    </row>
    <row r="106" spans="2:16" x14ac:dyDescent="0.2">
      <c r="B106" s="8">
        <f t="shared" si="9"/>
        <v>7</v>
      </c>
      <c r="C106" s="24"/>
      <c r="D106" s="24"/>
      <c r="E106" s="24"/>
      <c r="F106" s="149" t="s">
        <v>79</v>
      </c>
      <c r="G106" s="150">
        <v>630</v>
      </c>
      <c r="H106" s="24" t="s">
        <v>131</v>
      </c>
      <c r="I106" s="25">
        <f t="shared" si="10"/>
        <v>13060</v>
      </c>
      <c r="J106" s="25">
        <f t="shared" si="10"/>
        <v>13060</v>
      </c>
      <c r="K106" s="25">
        <f t="shared" si="10"/>
        <v>13060</v>
      </c>
      <c r="L106" s="620"/>
      <c r="M106" s="25"/>
      <c r="N106" s="25"/>
      <c r="O106" s="25"/>
    </row>
    <row r="107" spans="2:16" x14ac:dyDescent="0.2">
      <c r="B107" s="8">
        <f t="shared" si="9"/>
        <v>8</v>
      </c>
      <c r="C107" s="18"/>
      <c r="D107" s="18"/>
      <c r="E107" s="18"/>
      <c r="F107" s="152"/>
      <c r="G107" s="153">
        <v>637</v>
      </c>
      <c r="H107" s="18" t="s">
        <v>132</v>
      </c>
      <c r="I107" s="19">
        <v>13060</v>
      </c>
      <c r="J107" s="19">
        <f>I107</f>
        <v>13060</v>
      </c>
      <c r="K107" s="19">
        <f>J107</f>
        <v>13060</v>
      </c>
      <c r="L107" s="621"/>
      <c r="M107" s="19"/>
      <c r="N107" s="19"/>
      <c r="O107" s="19"/>
    </row>
    <row r="108" spans="2:16" ht="14.25" x14ac:dyDescent="0.2">
      <c r="B108" s="8">
        <f t="shared" si="9"/>
        <v>9</v>
      </c>
      <c r="C108" s="160"/>
      <c r="D108" s="160">
        <v>2</v>
      </c>
      <c r="E108" s="675" t="s">
        <v>151</v>
      </c>
      <c r="F108" s="676"/>
      <c r="G108" s="676"/>
      <c r="H108" s="676"/>
      <c r="I108" s="161">
        <f>I109</f>
        <v>29410</v>
      </c>
      <c r="J108" s="161">
        <f>J109</f>
        <v>29410</v>
      </c>
      <c r="K108" s="161">
        <f>K109</f>
        <v>29410</v>
      </c>
      <c r="L108" s="619"/>
      <c r="M108" s="161">
        <f>M112</f>
        <v>150100</v>
      </c>
      <c r="N108" s="161"/>
      <c r="O108" s="161"/>
    </row>
    <row r="109" spans="2:16" x14ac:dyDescent="0.2">
      <c r="B109" s="8">
        <f t="shared" si="9"/>
        <v>10</v>
      </c>
      <c r="C109" s="24"/>
      <c r="D109" s="24"/>
      <c r="E109" s="24"/>
      <c r="F109" s="149" t="s">
        <v>79</v>
      </c>
      <c r="G109" s="150">
        <v>630</v>
      </c>
      <c r="H109" s="24" t="s">
        <v>131</v>
      </c>
      <c r="I109" s="25">
        <f>I111+I110</f>
        <v>29410</v>
      </c>
      <c r="J109" s="25">
        <f>J111+J110</f>
        <v>29410</v>
      </c>
      <c r="K109" s="25">
        <f>K111+K110</f>
        <v>29410</v>
      </c>
      <c r="L109" s="620"/>
      <c r="M109" s="25"/>
      <c r="N109" s="25"/>
      <c r="O109" s="25"/>
    </row>
    <row r="110" spans="2:16" x14ac:dyDescent="0.2">
      <c r="B110" s="8">
        <f t="shared" si="9"/>
        <v>11</v>
      </c>
      <c r="C110" s="18"/>
      <c r="D110" s="18"/>
      <c r="E110" s="18"/>
      <c r="F110" s="152"/>
      <c r="G110" s="153">
        <v>636</v>
      </c>
      <c r="H110" s="18" t="s">
        <v>136</v>
      </c>
      <c r="I110" s="19">
        <v>9410</v>
      </c>
      <c r="J110" s="19">
        <f>I110</f>
        <v>9410</v>
      </c>
      <c r="K110" s="19">
        <f>J110</f>
        <v>9410</v>
      </c>
      <c r="L110" s="621"/>
      <c r="M110" s="19"/>
      <c r="N110" s="19"/>
      <c r="O110" s="19"/>
    </row>
    <row r="111" spans="2:16" x14ac:dyDescent="0.2">
      <c r="B111" s="8">
        <f t="shared" si="9"/>
        <v>12</v>
      </c>
      <c r="C111" s="18"/>
      <c r="D111" s="18"/>
      <c r="E111" s="18"/>
      <c r="F111" s="152"/>
      <c r="G111" s="153">
        <v>637</v>
      </c>
      <c r="H111" s="18" t="s">
        <v>132</v>
      </c>
      <c r="I111" s="19">
        <v>20000</v>
      </c>
      <c r="J111" s="19">
        <f>I111</f>
        <v>20000</v>
      </c>
      <c r="K111" s="19">
        <f>J111</f>
        <v>20000</v>
      </c>
      <c r="L111" s="621"/>
      <c r="M111" s="19"/>
      <c r="N111" s="19"/>
      <c r="O111" s="19"/>
    </row>
    <row r="112" spans="2:16" x14ac:dyDescent="0.2">
      <c r="B112" s="8">
        <f t="shared" si="9"/>
        <v>13</v>
      </c>
      <c r="C112" s="24"/>
      <c r="D112" s="24"/>
      <c r="E112" s="24"/>
      <c r="F112" s="149" t="s">
        <v>79</v>
      </c>
      <c r="G112" s="150">
        <v>710</v>
      </c>
      <c r="H112" s="24" t="s">
        <v>185</v>
      </c>
      <c r="I112" s="25"/>
      <c r="J112" s="25"/>
      <c r="K112" s="25"/>
      <c r="L112" s="620"/>
      <c r="M112" s="25">
        <f t="shared" ref="M112:M113" si="11">M113</f>
        <v>150100</v>
      </c>
      <c r="N112" s="25"/>
      <c r="O112" s="25"/>
    </row>
    <row r="113" spans="2:15" x14ac:dyDescent="0.2">
      <c r="B113" s="8">
        <f t="shared" si="9"/>
        <v>14</v>
      </c>
      <c r="C113" s="18"/>
      <c r="D113" s="18"/>
      <c r="E113" s="18"/>
      <c r="F113" s="152"/>
      <c r="G113" s="153">
        <v>712</v>
      </c>
      <c r="H113" s="18" t="s">
        <v>62</v>
      </c>
      <c r="I113" s="19"/>
      <c r="J113" s="19"/>
      <c r="K113" s="19"/>
      <c r="L113" s="621"/>
      <c r="M113" s="19">
        <f t="shared" si="11"/>
        <v>150100</v>
      </c>
      <c r="N113" s="19"/>
      <c r="O113" s="19"/>
    </row>
    <row r="114" spans="2:15" x14ac:dyDescent="0.2">
      <c r="B114" s="8">
        <f t="shared" si="9"/>
        <v>15</v>
      </c>
      <c r="C114" s="120"/>
      <c r="D114" s="120"/>
      <c r="E114" s="156"/>
      <c r="F114" s="155"/>
      <c r="G114" s="155"/>
      <c r="H114" s="156" t="s">
        <v>486</v>
      </c>
      <c r="I114" s="157"/>
      <c r="J114" s="157"/>
      <c r="K114" s="157"/>
      <c r="L114" s="614"/>
      <c r="M114" s="157">
        <v>150100</v>
      </c>
      <c r="N114" s="157"/>
      <c r="O114" s="157"/>
    </row>
    <row r="115" spans="2:15" ht="15" x14ac:dyDescent="0.25">
      <c r="B115" s="8">
        <f t="shared" si="9"/>
        <v>16</v>
      </c>
      <c r="C115" s="160"/>
      <c r="D115" s="160">
        <v>3</v>
      </c>
      <c r="E115" s="675" t="s">
        <v>217</v>
      </c>
      <c r="F115" s="715"/>
      <c r="G115" s="715"/>
      <c r="H115" s="715"/>
      <c r="I115" s="161">
        <f>I116</f>
        <v>74000</v>
      </c>
      <c r="J115" s="161">
        <f>J116</f>
        <v>74000</v>
      </c>
      <c r="K115" s="161">
        <f>K116</f>
        <v>74000</v>
      </c>
      <c r="L115" s="619"/>
      <c r="M115" s="161">
        <f>M119</f>
        <v>643291</v>
      </c>
      <c r="N115" s="161"/>
      <c r="O115" s="161"/>
    </row>
    <row r="116" spans="2:15" x14ac:dyDescent="0.2">
      <c r="B116" s="8">
        <f t="shared" si="9"/>
        <v>17</v>
      </c>
      <c r="C116" s="24"/>
      <c r="D116" s="24"/>
      <c r="E116" s="24"/>
      <c r="F116" s="149" t="s">
        <v>79</v>
      </c>
      <c r="G116" s="150">
        <v>630</v>
      </c>
      <c r="H116" s="24" t="s">
        <v>131</v>
      </c>
      <c r="I116" s="25">
        <f>I118+I117</f>
        <v>74000</v>
      </c>
      <c r="J116" s="25">
        <f>J118+J117</f>
        <v>74000</v>
      </c>
      <c r="K116" s="25">
        <f>K118+K117</f>
        <v>74000</v>
      </c>
      <c r="L116" s="620"/>
      <c r="M116" s="25"/>
      <c r="N116" s="25"/>
      <c r="O116" s="25"/>
    </row>
    <row r="117" spans="2:15" x14ac:dyDescent="0.2">
      <c r="B117" s="8">
        <f t="shared" si="9"/>
        <v>18</v>
      </c>
      <c r="C117" s="18"/>
      <c r="D117" s="18"/>
      <c r="E117" s="18"/>
      <c r="F117" s="152"/>
      <c r="G117" s="153">
        <v>636</v>
      </c>
      <c r="H117" s="18" t="s">
        <v>136</v>
      </c>
      <c r="I117" s="19">
        <f>54700+800</f>
        <v>55500</v>
      </c>
      <c r="J117" s="19">
        <f>54700+800</f>
        <v>55500</v>
      </c>
      <c r="K117" s="19">
        <f>54700+800</f>
        <v>55500</v>
      </c>
      <c r="L117" s="621"/>
      <c r="M117" s="19"/>
      <c r="N117" s="19"/>
      <c r="O117" s="19"/>
    </row>
    <row r="118" spans="2:15" x14ac:dyDescent="0.2">
      <c r="B118" s="8">
        <f t="shared" si="9"/>
        <v>19</v>
      </c>
      <c r="C118" s="18"/>
      <c r="D118" s="18"/>
      <c r="E118" s="18"/>
      <c r="F118" s="152"/>
      <c r="G118" s="153">
        <v>637</v>
      </c>
      <c r="H118" s="18" t="s">
        <v>132</v>
      </c>
      <c r="I118" s="19">
        <v>18500</v>
      </c>
      <c r="J118" s="19">
        <v>18500</v>
      </c>
      <c r="K118" s="19">
        <v>18500</v>
      </c>
      <c r="L118" s="621"/>
      <c r="M118" s="19"/>
      <c r="N118" s="19"/>
      <c r="O118" s="19"/>
    </row>
    <row r="119" spans="2:15" x14ac:dyDescent="0.2">
      <c r="B119" s="8">
        <f t="shared" si="9"/>
        <v>20</v>
      </c>
      <c r="C119" s="24"/>
      <c r="D119" s="24"/>
      <c r="E119" s="24"/>
      <c r="F119" s="149" t="s">
        <v>79</v>
      </c>
      <c r="G119" s="150">
        <v>710</v>
      </c>
      <c r="H119" s="24" t="s">
        <v>185</v>
      </c>
      <c r="I119" s="25"/>
      <c r="J119" s="25"/>
      <c r="K119" s="25"/>
      <c r="L119" s="620"/>
      <c r="M119" s="25">
        <f>M120</f>
        <v>643291</v>
      </c>
      <c r="N119" s="25"/>
      <c r="O119" s="25"/>
    </row>
    <row r="120" spans="2:15" x14ac:dyDescent="0.2">
      <c r="B120" s="8">
        <f t="shared" si="9"/>
        <v>21</v>
      </c>
      <c r="C120" s="18"/>
      <c r="D120" s="18"/>
      <c r="E120" s="18"/>
      <c r="F120" s="152"/>
      <c r="G120" s="153">
        <v>711</v>
      </c>
      <c r="H120" s="18" t="s">
        <v>219</v>
      </c>
      <c r="I120" s="19"/>
      <c r="J120" s="19"/>
      <c r="K120" s="19"/>
      <c r="L120" s="621"/>
      <c r="M120" s="19">
        <f>M121+M122</f>
        <v>643291</v>
      </c>
      <c r="N120" s="19"/>
      <c r="O120" s="19"/>
    </row>
    <row r="121" spans="2:15" x14ac:dyDescent="0.2">
      <c r="B121" s="8">
        <f t="shared" si="9"/>
        <v>22</v>
      </c>
      <c r="C121" s="120"/>
      <c r="D121" s="120"/>
      <c r="E121" s="156"/>
      <c r="F121" s="155"/>
      <c r="G121" s="155"/>
      <c r="H121" s="156" t="s">
        <v>487</v>
      </c>
      <c r="I121" s="157"/>
      <c r="J121" s="157"/>
      <c r="K121" s="157"/>
      <c r="L121" s="614"/>
      <c r="M121" s="157">
        <v>623291</v>
      </c>
      <c r="N121" s="157"/>
      <c r="O121" s="157"/>
    </row>
    <row r="122" spans="2:15" x14ac:dyDescent="0.2">
      <c r="B122" s="8">
        <f t="shared" si="9"/>
        <v>23</v>
      </c>
      <c r="C122" s="120"/>
      <c r="D122" s="120"/>
      <c r="E122" s="156"/>
      <c r="F122" s="155"/>
      <c r="G122" s="155"/>
      <c r="H122" s="156" t="s">
        <v>1183</v>
      </c>
      <c r="I122" s="157"/>
      <c r="J122" s="157"/>
      <c r="K122" s="157"/>
      <c r="L122" s="614"/>
      <c r="M122" s="157">
        <v>20000</v>
      </c>
      <c r="N122" s="157"/>
      <c r="O122" s="157"/>
    </row>
    <row r="123" spans="2:15" ht="15.75" x14ac:dyDescent="0.25">
      <c r="B123" s="8">
        <f t="shared" si="9"/>
        <v>24</v>
      </c>
      <c r="C123" s="141">
        <v>3</v>
      </c>
      <c r="D123" s="677" t="s">
        <v>159</v>
      </c>
      <c r="E123" s="678"/>
      <c r="F123" s="678"/>
      <c r="G123" s="678"/>
      <c r="H123" s="678"/>
      <c r="I123" s="142">
        <f>I124</f>
        <v>8000</v>
      </c>
      <c r="J123" s="142">
        <f>J124</f>
        <v>8000</v>
      </c>
      <c r="K123" s="142">
        <f>K124</f>
        <v>8000</v>
      </c>
      <c r="L123" s="618"/>
      <c r="M123" s="142"/>
      <c r="N123" s="142"/>
      <c r="O123" s="142"/>
    </row>
    <row r="124" spans="2:15" x14ac:dyDescent="0.2">
      <c r="B124" s="8">
        <f t="shared" si="9"/>
        <v>25</v>
      </c>
      <c r="C124" s="24"/>
      <c r="D124" s="24"/>
      <c r="E124" s="24"/>
      <c r="F124" s="149"/>
      <c r="G124" s="150">
        <v>630</v>
      </c>
      <c r="H124" s="24" t="s">
        <v>131</v>
      </c>
      <c r="I124" s="25">
        <f>I126+I125</f>
        <v>8000</v>
      </c>
      <c r="J124" s="25">
        <f>J126+J125</f>
        <v>8000</v>
      </c>
      <c r="K124" s="25">
        <f>K126+K125</f>
        <v>8000</v>
      </c>
      <c r="L124" s="620"/>
      <c r="M124" s="25"/>
      <c r="N124" s="25"/>
      <c r="O124" s="25"/>
    </row>
    <row r="125" spans="2:15" x14ac:dyDescent="0.2">
      <c r="B125" s="8">
        <f t="shared" si="9"/>
        <v>26</v>
      </c>
      <c r="C125" s="18"/>
      <c r="D125" s="18"/>
      <c r="E125" s="18"/>
      <c r="F125" s="149" t="s">
        <v>79</v>
      </c>
      <c r="G125" s="153">
        <v>633</v>
      </c>
      <c r="H125" s="18" t="s">
        <v>135</v>
      </c>
      <c r="I125" s="19">
        <v>1000</v>
      </c>
      <c r="J125" s="19">
        <v>1000</v>
      </c>
      <c r="K125" s="19">
        <v>1000</v>
      </c>
      <c r="L125" s="621"/>
      <c r="M125" s="19"/>
      <c r="N125" s="19"/>
      <c r="O125" s="19"/>
    </row>
    <row r="126" spans="2:15" x14ac:dyDescent="0.2">
      <c r="B126" s="8">
        <f t="shared" si="9"/>
        <v>27</v>
      </c>
      <c r="C126" s="18"/>
      <c r="D126" s="18"/>
      <c r="E126" s="18"/>
      <c r="F126" s="149" t="s">
        <v>832</v>
      </c>
      <c r="G126" s="153">
        <v>637</v>
      </c>
      <c r="H126" s="18" t="s">
        <v>132</v>
      </c>
      <c r="I126" s="19">
        <v>7000</v>
      </c>
      <c r="J126" s="19">
        <v>7000</v>
      </c>
      <c r="K126" s="19">
        <v>7000</v>
      </c>
      <c r="L126" s="621"/>
      <c r="M126" s="19"/>
      <c r="N126" s="19"/>
      <c r="O126" s="19"/>
    </row>
    <row r="127" spans="2:15" ht="15.75" x14ac:dyDescent="0.25">
      <c r="B127" s="8">
        <f t="shared" si="9"/>
        <v>28</v>
      </c>
      <c r="C127" s="141">
        <v>4</v>
      </c>
      <c r="D127" s="677" t="s">
        <v>201</v>
      </c>
      <c r="E127" s="678"/>
      <c r="F127" s="678"/>
      <c r="G127" s="678"/>
      <c r="H127" s="678"/>
      <c r="I127" s="142">
        <f>I128</f>
        <v>269000</v>
      </c>
      <c r="J127" s="142">
        <f>J128</f>
        <v>275000</v>
      </c>
      <c r="K127" s="142">
        <f>K128</f>
        <v>275000</v>
      </c>
      <c r="L127" s="618"/>
      <c r="M127" s="142">
        <f>M133</f>
        <v>2375690</v>
      </c>
      <c r="N127" s="142">
        <f>N133</f>
        <v>3801087</v>
      </c>
      <c r="O127" s="142">
        <f>O133</f>
        <v>1000000</v>
      </c>
    </row>
    <row r="128" spans="2:15" x14ac:dyDescent="0.2">
      <c r="B128" s="8">
        <f t="shared" si="9"/>
        <v>29</v>
      </c>
      <c r="C128" s="24"/>
      <c r="D128" s="24"/>
      <c r="E128" s="24"/>
      <c r="F128" s="149" t="s">
        <v>163</v>
      </c>
      <c r="G128" s="150">
        <v>630</v>
      </c>
      <c r="H128" s="24" t="s">
        <v>131</v>
      </c>
      <c r="I128" s="25">
        <f>I132+I131+I130+I129</f>
        <v>269000</v>
      </c>
      <c r="J128" s="25">
        <f t="shared" ref="J128:K128" si="12">J132+J131+J130+J129</f>
        <v>275000</v>
      </c>
      <c r="K128" s="25">
        <f t="shared" si="12"/>
        <v>275000</v>
      </c>
      <c r="L128" s="620"/>
      <c r="M128" s="25"/>
      <c r="N128" s="25"/>
      <c r="O128" s="25"/>
    </row>
    <row r="129" spans="2:15" x14ac:dyDescent="0.2">
      <c r="B129" s="8">
        <f t="shared" si="9"/>
        <v>30</v>
      </c>
      <c r="C129" s="18"/>
      <c r="D129" s="18"/>
      <c r="E129" s="18"/>
      <c r="F129" s="152"/>
      <c r="G129" s="153">
        <v>632</v>
      </c>
      <c r="H129" s="18" t="s">
        <v>144</v>
      </c>
      <c r="I129" s="19">
        <v>98000</v>
      </c>
      <c r="J129" s="19">
        <v>100000</v>
      </c>
      <c r="K129" s="19">
        <v>100000</v>
      </c>
      <c r="L129" s="621"/>
      <c r="M129" s="19"/>
      <c r="N129" s="19"/>
      <c r="O129" s="19"/>
    </row>
    <row r="130" spans="2:15" x14ac:dyDescent="0.2">
      <c r="B130" s="8">
        <f t="shared" si="9"/>
        <v>31</v>
      </c>
      <c r="C130" s="18"/>
      <c r="D130" s="18"/>
      <c r="E130" s="18"/>
      <c r="F130" s="152"/>
      <c r="G130" s="153">
        <v>633</v>
      </c>
      <c r="H130" s="18" t="s">
        <v>135</v>
      </c>
      <c r="I130" s="19">
        <v>13000</v>
      </c>
      <c r="J130" s="19">
        <v>15000</v>
      </c>
      <c r="K130" s="19">
        <v>15000</v>
      </c>
      <c r="L130" s="621"/>
      <c r="M130" s="19"/>
      <c r="N130" s="19"/>
      <c r="O130" s="19"/>
    </row>
    <row r="131" spans="2:15" x14ac:dyDescent="0.2">
      <c r="B131" s="8">
        <f t="shared" si="9"/>
        <v>32</v>
      </c>
      <c r="C131" s="18"/>
      <c r="D131" s="18"/>
      <c r="E131" s="18"/>
      <c r="F131" s="152"/>
      <c r="G131" s="153">
        <v>635</v>
      </c>
      <c r="H131" s="18" t="s">
        <v>143</v>
      </c>
      <c r="I131" s="19">
        <v>95000</v>
      </c>
      <c r="J131" s="19">
        <v>95000</v>
      </c>
      <c r="K131" s="19">
        <v>95000</v>
      </c>
      <c r="L131" s="621"/>
      <c r="M131" s="19"/>
      <c r="N131" s="19"/>
      <c r="O131" s="19"/>
    </row>
    <row r="132" spans="2:15" x14ac:dyDescent="0.2">
      <c r="B132" s="8">
        <f t="shared" si="9"/>
        <v>33</v>
      </c>
      <c r="C132" s="18"/>
      <c r="D132" s="18"/>
      <c r="E132" s="18"/>
      <c r="F132" s="152"/>
      <c r="G132" s="153">
        <v>637</v>
      </c>
      <c r="H132" s="18" t="s">
        <v>132</v>
      </c>
      <c r="I132" s="19">
        <v>63000</v>
      </c>
      <c r="J132" s="19">
        <v>65000</v>
      </c>
      <c r="K132" s="19">
        <v>65000</v>
      </c>
      <c r="L132" s="621"/>
      <c r="M132" s="19"/>
      <c r="N132" s="19"/>
      <c r="O132" s="19"/>
    </row>
    <row r="133" spans="2:15" x14ac:dyDescent="0.2">
      <c r="B133" s="8">
        <f t="shared" si="9"/>
        <v>34</v>
      </c>
      <c r="C133" s="24"/>
      <c r="D133" s="24"/>
      <c r="E133" s="24"/>
      <c r="F133" s="149" t="s">
        <v>202</v>
      </c>
      <c r="G133" s="150">
        <v>710</v>
      </c>
      <c r="H133" s="24" t="s">
        <v>185</v>
      </c>
      <c r="I133" s="157"/>
      <c r="J133" s="157"/>
      <c r="K133" s="157"/>
      <c r="L133" s="620"/>
      <c r="M133" s="25">
        <f>M137+M134</f>
        <v>2375690</v>
      </c>
      <c r="N133" s="25">
        <f>N137+N134</f>
        <v>3801087</v>
      </c>
      <c r="O133" s="25">
        <f>O137+O134</f>
        <v>1000000</v>
      </c>
    </row>
    <row r="134" spans="2:15" x14ac:dyDescent="0.2">
      <c r="B134" s="8">
        <f t="shared" si="9"/>
        <v>35</v>
      </c>
      <c r="C134" s="18"/>
      <c r="D134" s="18"/>
      <c r="E134" s="18"/>
      <c r="F134" s="152"/>
      <c r="G134" s="153">
        <v>716</v>
      </c>
      <c r="H134" s="18" t="s">
        <v>192</v>
      </c>
      <c r="I134" s="157"/>
      <c r="J134" s="157"/>
      <c r="K134" s="157"/>
      <c r="L134" s="621"/>
      <c r="M134" s="19">
        <f>M135+M136</f>
        <v>39120</v>
      </c>
      <c r="N134" s="19"/>
      <c r="O134" s="19"/>
    </row>
    <row r="135" spans="2:15" x14ac:dyDescent="0.2">
      <c r="B135" s="8">
        <f t="shared" si="9"/>
        <v>36</v>
      </c>
      <c r="C135" s="120"/>
      <c r="D135" s="120"/>
      <c r="E135" s="156"/>
      <c r="F135" s="155"/>
      <c r="G135" s="155"/>
      <c r="H135" s="156" t="s">
        <v>1145</v>
      </c>
      <c r="I135" s="157"/>
      <c r="J135" s="157"/>
      <c r="K135" s="157"/>
      <c r="L135" s="614"/>
      <c r="M135" s="157">
        <v>11640</v>
      </c>
      <c r="N135" s="157"/>
      <c r="O135" s="157"/>
    </row>
    <row r="136" spans="2:15" x14ac:dyDescent="0.2">
      <c r="B136" s="8">
        <f t="shared" si="9"/>
        <v>37</v>
      </c>
      <c r="C136" s="120"/>
      <c r="D136" s="120"/>
      <c r="E136" s="156"/>
      <c r="F136" s="155"/>
      <c r="G136" s="155"/>
      <c r="H136" s="156" t="s">
        <v>1146</v>
      </c>
      <c r="I136" s="157"/>
      <c r="J136" s="157"/>
      <c r="K136" s="157"/>
      <c r="L136" s="614"/>
      <c r="M136" s="157">
        <v>27480</v>
      </c>
      <c r="N136" s="157"/>
      <c r="O136" s="157"/>
    </row>
    <row r="137" spans="2:15" x14ac:dyDescent="0.2">
      <c r="B137" s="8">
        <f t="shared" si="9"/>
        <v>38</v>
      </c>
      <c r="C137" s="18"/>
      <c r="D137" s="18"/>
      <c r="E137" s="18"/>
      <c r="F137" s="152"/>
      <c r="G137" s="153">
        <v>717</v>
      </c>
      <c r="H137" s="18" t="s">
        <v>192</v>
      </c>
      <c r="I137" s="157"/>
      <c r="J137" s="157"/>
      <c r="K137" s="157"/>
      <c r="L137" s="621"/>
      <c r="M137" s="19">
        <f>SUM(M138:M142)</f>
        <v>2336570</v>
      </c>
      <c r="N137" s="19">
        <f>SUM(N138:N142)</f>
        <v>3801087</v>
      </c>
      <c r="O137" s="19">
        <f>SUM(O138:O142)</f>
        <v>1000000</v>
      </c>
    </row>
    <row r="138" spans="2:15" x14ac:dyDescent="0.2">
      <c r="B138" s="8">
        <f t="shared" si="9"/>
        <v>39</v>
      </c>
      <c r="C138" s="120"/>
      <c r="D138" s="120"/>
      <c r="E138" s="156"/>
      <c r="F138" s="155"/>
      <c r="G138" s="155"/>
      <c r="H138" s="156" t="s">
        <v>887</v>
      </c>
      <c r="I138" s="157"/>
      <c r="J138" s="157"/>
      <c r="K138" s="157"/>
      <c r="L138" s="614"/>
      <c r="M138" s="157">
        <f>237945+20000</f>
        <v>257945</v>
      </c>
      <c r="N138" s="157"/>
      <c r="O138" s="157"/>
    </row>
    <row r="139" spans="2:15" x14ac:dyDescent="0.2">
      <c r="B139" s="8">
        <f t="shared" si="9"/>
        <v>40</v>
      </c>
      <c r="C139" s="120"/>
      <c r="D139" s="120"/>
      <c r="E139" s="156"/>
      <c r="F139" s="155"/>
      <c r="G139" s="155"/>
      <c r="H139" s="156" t="s">
        <v>883</v>
      </c>
      <c r="I139" s="157"/>
      <c r="J139" s="157"/>
      <c r="K139" s="157"/>
      <c r="L139" s="614"/>
      <c r="M139" s="157">
        <v>53625</v>
      </c>
      <c r="N139" s="157"/>
      <c r="O139" s="157"/>
    </row>
    <row r="140" spans="2:15" x14ac:dyDescent="0.2">
      <c r="B140" s="8">
        <f t="shared" si="9"/>
        <v>41</v>
      </c>
      <c r="C140" s="120"/>
      <c r="D140" s="120"/>
      <c r="E140" s="156"/>
      <c r="F140" s="155"/>
      <c r="G140" s="155"/>
      <c r="H140" s="156" t="s">
        <v>1059</v>
      </c>
      <c r="I140" s="157"/>
      <c r="J140" s="157"/>
      <c r="K140" s="157"/>
      <c r="L140" s="614"/>
      <c r="M140" s="157">
        <v>1900000</v>
      </c>
      <c r="N140" s="157">
        <v>326087</v>
      </c>
      <c r="O140" s="157"/>
    </row>
    <row r="141" spans="2:15" x14ac:dyDescent="0.2">
      <c r="B141" s="8"/>
      <c r="C141" s="120"/>
      <c r="D141" s="120"/>
      <c r="E141" s="156"/>
      <c r="F141" s="155"/>
      <c r="G141" s="155"/>
      <c r="H141" s="156" t="s">
        <v>1149</v>
      </c>
      <c r="I141" s="157"/>
      <c r="J141" s="157"/>
      <c r="K141" s="157"/>
      <c r="L141" s="614"/>
      <c r="M141" s="157"/>
      <c r="N141" s="157">
        <v>3475000</v>
      </c>
      <c r="O141" s="157">
        <v>1000000</v>
      </c>
    </row>
    <row r="142" spans="2:15" x14ac:dyDescent="0.2">
      <c r="B142" s="8">
        <f>B140+1</f>
        <v>42</v>
      </c>
      <c r="C142" s="120"/>
      <c r="D142" s="120"/>
      <c r="E142" s="156"/>
      <c r="F142" s="155"/>
      <c r="G142" s="155"/>
      <c r="H142" s="156" t="s">
        <v>1063</v>
      </c>
      <c r="I142" s="157"/>
      <c r="J142" s="157"/>
      <c r="K142" s="157"/>
      <c r="L142" s="614"/>
      <c r="M142" s="157">
        <v>125000</v>
      </c>
      <c r="N142" s="157"/>
      <c r="O142" s="157"/>
    </row>
    <row r="143" spans="2:15" ht="15.75" x14ac:dyDescent="0.25">
      <c r="B143" s="8">
        <f t="shared" si="9"/>
        <v>43</v>
      </c>
      <c r="C143" s="141">
        <v>5</v>
      </c>
      <c r="D143" s="677" t="s">
        <v>162</v>
      </c>
      <c r="E143" s="678"/>
      <c r="F143" s="678"/>
      <c r="G143" s="678"/>
      <c r="H143" s="678"/>
      <c r="I143" s="142">
        <f>I144+I145+I146+I151+I153+I154</f>
        <v>6277830</v>
      </c>
      <c r="J143" s="142">
        <f>J144+J145+J146+J151+J153+J154</f>
        <v>6476753</v>
      </c>
      <c r="K143" s="142">
        <f>K144+K145+K146+K151+K153+K154</f>
        <v>6590000</v>
      </c>
      <c r="L143" s="618"/>
      <c r="M143" s="142"/>
      <c r="N143" s="142"/>
      <c r="O143" s="142"/>
    </row>
    <row r="144" spans="2:15" x14ac:dyDescent="0.2">
      <c r="B144" s="8">
        <f t="shared" si="9"/>
        <v>44</v>
      </c>
      <c r="C144" s="24"/>
      <c r="D144" s="24"/>
      <c r="E144" s="24"/>
      <c r="F144" s="149" t="s">
        <v>79</v>
      </c>
      <c r="G144" s="150">
        <v>610</v>
      </c>
      <c r="H144" s="24" t="s">
        <v>141</v>
      </c>
      <c r="I144" s="25">
        <v>3400000</v>
      </c>
      <c r="J144" s="25">
        <v>3480000</v>
      </c>
      <c r="K144" s="25">
        <v>3560000</v>
      </c>
      <c r="L144" s="620"/>
      <c r="M144" s="25"/>
      <c r="N144" s="25"/>
      <c r="O144" s="25"/>
    </row>
    <row r="145" spans="2:15" x14ac:dyDescent="0.2">
      <c r="B145" s="8">
        <f t="shared" si="9"/>
        <v>45</v>
      </c>
      <c r="C145" s="24"/>
      <c r="D145" s="24"/>
      <c r="E145" s="24"/>
      <c r="F145" s="149" t="s">
        <v>79</v>
      </c>
      <c r="G145" s="150">
        <v>620</v>
      </c>
      <c r="H145" s="24" t="s">
        <v>134</v>
      </c>
      <c r="I145" s="25">
        <v>1325000</v>
      </c>
      <c r="J145" s="25">
        <v>1360000</v>
      </c>
      <c r="K145" s="25">
        <v>1390000</v>
      </c>
      <c r="L145" s="620"/>
      <c r="M145" s="25"/>
      <c r="N145" s="25"/>
      <c r="O145" s="25"/>
    </row>
    <row r="146" spans="2:15" x14ac:dyDescent="0.2">
      <c r="B146" s="8">
        <f t="shared" si="9"/>
        <v>46</v>
      </c>
      <c r="C146" s="24"/>
      <c r="D146" s="24"/>
      <c r="E146" s="24"/>
      <c r="F146" s="149" t="s">
        <v>79</v>
      </c>
      <c r="G146" s="150">
        <v>630</v>
      </c>
      <c r="H146" s="24" t="s">
        <v>131</v>
      </c>
      <c r="I146" s="25">
        <f>I147+I148+I149+I150</f>
        <v>934830</v>
      </c>
      <c r="J146" s="25">
        <f>J147+J148+J149+J150</f>
        <v>940000</v>
      </c>
      <c r="K146" s="25">
        <f>K147+K148+K149+K150</f>
        <v>940000</v>
      </c>
      <c r="L146" s="620"/>
      <c r="M146" s="25"/>
      <c r="N146" s="25"/>
      <c r="O146" s="25"/>
    </row>
    <row r="147" spans="2:15" x14ac:dyDescent="0.2">
      <c r="B147" s="8">
        <f t="shared" si="9"/>
        <v>47</v>
      </c>
      <c r="C147" s="18"/>
      <c r="D147" s="18"/>
      <c r="E147" s="18"/>
      <c r="F147" s="152"/>
      <c r="G147" s="153">
        <v>632</v>
      </c>
      <c r="H147" s="18" t="s">
        <v>144</v>
      </c>
      <c r="I147" s="19">
        <v>525000</v>
      </c>
      <c r="J147" s="19">
        <f>I147</f>
        <v>525000</v>
      </c>
      <c r="K147" s="19">
        <f>J147</f>
        <v>525000</v>
      </c>
      <c r="L147" s="621"/>
      <c r="M147" s="19"/>
      <c r="N147" s="19"/>
      <c r="O147" s="19"/>
    </row>
    <row r="148" spans="2:15" x14ac:dyDescent="0.2">
      <c r="B148" s="8">
        <f t="shared" si="9"/>
        <v>48</v>
      </c>
      <c r="C148" s="18"/>
      <c r="D148" s="18"/>
      <c r="E148" s="18"/>
      <c r="F148" s="152"/>
      <c r="G148" s="153">
        <v>633</v>
      </c>
      <c r="H148" s="18" t="s">
        <v>135</v>
      </c>
      <c r="I148" s="19">
        <v>40000</v>
      </c>
      <c r="J148" s="19">
        <v>40000</v>
      </c>
      <c r="K148" s="19">
        <v>40000</v>
      </c>
      <c r="L148" s="621"/>
      <c r="M148" s="19"/>
      <c r="N148" s="19"/>
      <c r="O148" s="19"/>
    </row>
    <row r="149" spans="2:15" x14ac:dyDescent="0.2">
      <c r="B149" s="8">
        <f t="shared" si="9"/>
        <v>49</v>
      </c>
      <c r="C149" s="18"/>
      <c r="D149" s="18"/>
      <c r="E149" s="18"/>
      <c r="F149" s="152"/>
      <c r="G149" s="153">
        <v>635</v>
      </c>
      <c r="H149" s="18" t="s">
        <v>143</v>
      </c>
      <c r="I149" s="19">
        <v>65000</v>
      </c>
      <c r="J149" s="19">
        <v>65000</v>
      </c>
      <c r="K149" s="19">
        <v>65000</v>
      </c>
      <c r="L149" s="621"/>
      <c r="M149" s="19"/>
      <c r="N149" s="19"/>
      <c r="O149" s="19"/>
    </row>
    <row r="150" spans="2:15" x14ac:dyDescent="0.2">
      <c r="B150" s="8">
        <f t="shared" si="9"/>
        <v>50</v>
      </c>
      <c r="C150" s="18"/>
      <c r="D150" s="18"/>
      <c r="E150" s="18"/>
      <c r="F150" s="152"/>
      <c r="G150" s="153">
        <v>637</v>
      </c>
      <c r="H150" s="18" t="s">
        <v>132</v>
      </c>
      <c r="I150" s="19">
        <v>304830</v>
      </c>
      <c r="J150" s="19">
        <v>310000</v>
      </c>
      <c r="K150" s="19">
        <v>310000</v>
      </c>
      <c r="L150" s="621"/>
      <c r="M150" s="19"/>
      <c r="N150" s="19"/>
      <c r="O150" s="19"/>
    </row>
    <row r="151" spans="2:15" x14ac:dyDescent="0.2">
      <c r="B151" s="8">
        <f t="shared" si="9"/>
        <v>51</v>
      </c>
      <c r="C151" s="24"/>
      <c r="D151" s="24"/>
      <c r="E151" s="24"/>
      <c r="F151" s="149" t="s">
        <v>258</v>
      </c>
      <c r="G151" s="150">
        <v>630</v>
      </c>
      <c r="H151" s="24" t="s">
        <v>131</v>
      </c>
      <c r="I151" s="25">
        <f>I152</f>
        <v>25000</v>
      </c>
      <c r="J151" s="25">
        <f>J152</f>
        <v>25000</v>
      </c>
      <c r="K151" s="25">
        <f>K152</f>
        <v>25000</v>
      </c>
      <c r="L151" s="620"/>
      <c r="M151" s="25"/>
      <c r="N151" s="25"/>
      <c r="O151" s="25"/>
    </row>
    <row r="152" spans="2:15" x14ac:dyDescent="0.2">
      <c r="B152" s="8">
        <f t="shared" si="9"/>
        <v>52</v>
      </c>
      <c r="C152" s="18"/>
      <c r="D152" s="18"/>
      <c r="E152" s="18"/>
      <c r="F152" s="152"/>
      <c r="G152" s="153">
        <v>637</v>
      </c>
      <c r="H152" s="18" t="s">
        <v>132</v>
      </c>
      <c r="I152" s="19">
        <v>25000</v>
      </c>
      <c r="J152" s="19">
        <v>25000</v>
      </c>
      <c r="K152" s="19">
        <v>25000</v>
      </c>
      <c r="L152" s="621"/>
      <c r="M152" s="19"/>
      <c r="N152" s="19"/>
      <c r="O152" s="19"/>
    </row>
    <row r="153" spans="2:15" x14ac:dyDescent="0.2">
      <c r="B153" s="8">
        <f t="shared" ref="B153:B179" si="13">B152+1</f>
        <v>53</v>
      </c>
      <c r="C153" s="24"/>
      <c r="D153" s="24"/>
      <c r="E153" s="24"/>
      <c r="F153" s="149" t="s">
        <v>218</v>
      </c>
      <c r="G153" s="150">
        <v>650</v>
      </c>
      <c r="H153" s="24" t="s">
        <v>961</v>
      </c>
      <c r="I153" s="25">
        <v>418000</v>
      </c>
      <c r="J153" s="25">
        <f>500000-3247</f>
        <v>496753</v>
      </c>
      <c r="K153" s="25">
        <v>500000</v>
      </c>
      <c r="L153" s="620"/>
      <c r="M153" s="25"/>
      <c r="N153" s="25"/>
      <c r="O153" s="25"/>
    </row>
    <row r="154" spans="2:15" x14ac:dyDescent="0.2">
      <c r="B154" s="8">
        <f t="shared" si="13"/>
        <v>54</v>
      </c>
      <c r="C154" s="24"/>
      <c r="D154" s="24"/>
      <c r="E154" s="24"/>
      <c r="F154" s="149" t="s">
        <v>79</v>
      </c>
      <c r="G154" s="150">
        <v>640</v>
      </c>
      <c r="H154" s="24" t="s">
        <v>139</v>
      </c>
      <c r="I154" s="25">
        <v>175000</v>
      </c>
      <c r="J154" s="25">
        <f>I154</f>
        <v>175000</v>
      </c>
      <c r="K154" s="25">
        <f>J154</f>
        <v>175000</v>
      </c>
      <c r="L154" s="620"/>
      <c r="M154" s="25"/>
      <c r="N154" s="25"/>
      <c r="O154" s="25"/>
    </row>
    <row r="155" spans="2:15" x14ac:dyDescent="0.2">
      <c r="B155" s="8">
        <f t="shared" si="13"/>
        <v>55</v>
      </c>
      <c r="C155" s="24"/>
      <c r="D155" s="24"/>
      <c r="E155" s="24"/>
      <c r="F155" s="149" t="s">
        <v>79</v>
      </c>
      <c r="G155" s="150">
        <v>710</v>
      </c>
      <c r="H155" s="24" t="s">
        <v>185</v>
      </c>
      <c r="I155" s="25"/>
      <c r="J155" s="25"/>
      <c r="K155" s="25"/>
      <c r="L155" s="620"/>
      <c r="M155" s="25"/>
      <c r="N155" s="25"/>
      <c r="O155" s="25"/>
    </row>
    <row r="156" spans="2:15" x14ac:dyDescent="0.2">
      <c r="B156" s="8">
        <f t="shared" si="13"/>
        <v>56</v>
      </c>
      <c r="C156" s="18"/>
      <c r="D156" s="18"/>
      <c r="E156" s="18"/>
      <c r="F156" s="152"/>
      <c r="G156" s="153">
        <v>717</v>
      </c>
      <c r="H156" s="18" t="s">
        <v>192</v>
      </c>
      <c r="I156" s="19"/>
      <c r="J156" s="19"/>
      <c r="K156" s="19"/>
      <c r="L156" s="621"/>
      <c r="M156" s="19"/>
      <c r="N156" s="19"/>
      <c r="O156" s="19"/>
    </row>
    <row r="157" spans="2:15" x14ac:dyDescent="0.2">
      <c r="B157" s="8">
        <f t="shared" si="13"/>
        <v>57</v>
      </c>
      <c r="C157" s="120"/>
      <c r="D157" s="120"/>
      <c r="E157" s="156"/>
      <c r="F157" s="155"/>
      <c r="G157" s="155"/>
      <c r="H157" s="156" t="s">
        <v>984</v>
      </c>
      <c r="I157" s="19"/>
      <c r="J157" s="19"/>
      <c r="K157" s="19"/>
      <c r="L157" s="614"/>
      <c r="M157" s="157"/>
      <c r="N157" s="157"/>
      <c r="O157" s="157"/>
    </row>
    <row r="158" spans="2:15" x14ac:dyDescent="0.2">
      <c r="B158" s="8">
        <f t="shared" si="13"/>
        <v>58</v>
      </c>
      <c r="C158" s="120"/>
      <c r="D158" s="120"/>
      <c r="E158" s="156"/>
      <c r="F158" s="155"/>
      <c r="G158" s="155"/>
      <c r="H158" s="156" t="s">
        <v>1103</v>
      </c>
      <c r="I158" s="19"/>
      <c r="J158" s="19"/>
      <c r="K158" s="19"/>
      <c r="L158" s="614"/>
      <c r="M158" s="157"/>
      <c r="N158" s="157"/>
      <c r="O158" s="157"/>
    </row>
    <row r="159" spans="2:15" ht="15.75" x14ac:dyDescent="0.25">
      <c r="B159" s="8">
        <f t="shared" si="13"/>
        <v>59</v>
      </c>
      <c r="C159" s="141">
        <v>6</v>
      </c>
      <c r="D159" s="677" t="s">
        <v>274</v>
      </c>
      <c r="E159" s="678"/>
      <c r="F159" s="678"/>
      <c r="G159" s="678"/>
      <c r="H159" s="678"/>
      <c r="I159" s="142">
        <f>I160+I162</f>
        <v>19500</v>
      </c>
      <c r="J159" s="142">
        <f>J160+J162</f>
        <v>20300</v>
      </c>
      <c r="K159" s="142">
        <f>K160+K162</f>
        <v>21000</v>
      </c>
      <c r="L159" s="618"/>
      <c r="M159" s="142"/>
      <c r="N159" s="142"/>
      <c r="O159" s="142"/>
    </row>
    <row r="160" spans="2:15" x14ac:dyDescent="0.2">
      <c r="B160" s="8">
        <f t="shared" si="13"/>
        <v>60</v>
      </c>
      <c r="C160" s="24"/>
      <c r="D160" s="24"/>
      <c r="E160" s="24"/>
      <c r="F160" s="149" t="s">
        <v>79</v>
      </c>
      <c r="G160" s="150">
        <v>630</v>
      </c>
      <c r="H160" s="24" t="s">
        <v>131</v>
      </c>
      <c r="I160" s="25">
        <f>I161</f>
        <v>5500</v>
      </c>
      <c r="J160" s="25">
        <f>J161</f>
        <v>5800</v>
      </c>
      <c r="K160" s="25">
        <f>K161</f>
        <v>6000</v>
      </c>
      <c r="L160" s="620"/>
      <c r="M160" s="25"/>
      <c r="N160" s="25"/>
      <c r="O160" s="25"/>
    </row>
    <row r="161" spans="2:15" x14ac:dyDescent="0.2">
      <c r="B161" s="8">
        <f t="shared" si="13"/>
        <v>61</v>
      </c>
      <c r="C161" s="18"/>
      <c r="D161" s="18"/>
      <c r="E161" s="18"/>
      <c r="F161" s="152"/>
      <c r="G161" s="153">
        <v>631</v>
      </c>
      <c r="H161" s="18" t="s">
        <v>137</v>
      </c>
      <c r="I161" s="19">
        <v>5500</v>
      </c>
      <c r="J161" s="19">
        <v>5800</v>
      </c>
      <c r="K161" s="19">
        <v>6000</v>
      </c>
      <c r="L161" s="621"/>
      <c r="M161" s="19"/>
      <c r="N161" s="19"/>
      <c r="O161" s="19"/>
    </row>
    <row r="162" spans="2:15" x14ac:dyDescent="0.2">
      <c r="B162" s="8">
        <f t="shared" si="13"/>
        <v>62</v>
      </c>
      <c r="C162" s="24"/>
      <c r="D162" s="24"/>
      <c r="E162" s="24"/>
      <c r="F162" s="149" t="s">
        <v>168</v>
      </c>
      <c r="G162" s="150">
        <v>630</v>
      </c>
      <c r="H162" s="24" t="s">
        <v>131</v>
      </c>
      <c r="I162" s="25">
        <f>I163</f>
        <v>14000</v>
      </c>
      <c r="J162" s="25">
        <f>J163</f>
        <v>14500</v>
      </c>
      <c r="K162" s="25">
        <f>K163</f>
        <v>15000</v>
      </c>
      <c r="L162" s="620"/>
      <c r="M162" s="25"/>
      <c r="N162" s="25"/>
      <c r="O162" s="25"/>
    </row>
    <row r="163" spans="2:15" x14ac:dyDescent="0.2">
      <c r="B163" s="8">
        <f t="shared" si="13"/>
        <v>63</v>
      </c>
      <c r="C163" s="18"/>
      <c r="D163" s="18"/>
      <c r="E163" s="18"/>
      <c r="F163" s="152"/>
      <c r="G163" s="153">
        <v>637</v>
      </c>
      <c r="H163" s="18" t="s">
        <v>132</v>
      </c>
      <c r="I163" s="19">
        <v>14000</v>
      </c>
      <c r="J163" s="19">
        <v>14500</v>
      </c>
      <c r="K163" s="19">
        <v>15000</v>
      </c>
      <c r="L163" s="621"/>
      <c r="M163" s="19"/>
      <c r="N163" s="19"/>
      <c r="O163" s="19"/>
    </row>
    <row r="164" spans="2:15" ht="15.75" x14ac:dyDescent="0.25">
      <c r="B164" s="8">
        <f t="shared" si="13"/>
        <v>64</v>
      </c>
      <c r="C164" s="141">
        <v>7</v>
      </c>
      <c r="D164" s="677" t="s">
        <v>145</v>
      </c>
      <c r="E164" s="678"/>
      <c r="F164" s="678"/>
      <c r="G164" s="678"/>
      <c r="H164" s="678"/>
      <c r="I164" s="142">
        <f>I165</f>
        <v>408500</v>
      </c>
      <c r="J164" s="142">
        <f>J165</f>
        <v>413500</v>
      </c>
      <c r="K164" s="142">
        <f>K165</f>
        <v>418500</v>
      </c>
      <c r="L164" s="618"/>
      <c r="M164" s="142">
        <f>M171</f>
        <v>130000</v>
      </c>
      <c r="N164" s="142"/>
      <c r="O164" s="142"/>
    </row>
    <row r="165" spans="2:15" x14ac:dyDescent="0.2">
      <c r="B165" s="8">
        <f t="shared" si="13"/>
        <v>65</v>
      </c>
      <c r="C165" s="24"/>
      <c r="D165" s="24"/>
      <c r="E165" s="24"/>
      <c r="F165" s="149" t="s">
        <v>79</v>
      </c>
      <c r="G165" s="150">
        <v>630</v>
      </c>
      <c r="H165" s="24" t="s">
        <v>131</v>
      </c>
      <c r="I165" s="25">
        <f>SUM(I166:I170)</f>
        <v>408500</v>
      </c>
      <c r="J165" s="25">
        <f>SUM(J166:J170)</f>
        <v>413500</v>
      </c>
      <c r="K165" s="25">
        <f>SUM(K166:K170)</f>
        <v>418500</v>
      </c>
      <c r="L165" s="620"/>
      <c r="M165" s="25"/>
      <c r="N165" s="25"/>
      <c r="O165" s="25"/>
    </row>
    <row r="166" spans="2:15" x14ac:dyDescent="0.2">
      <c r="B166" s="8">
        <f t="shared" si="13"/>
        <v>66</v>
      </c>
      <c r="C166" s="18"/>
      <c r="D166" s="18"/>
      <c r="E166" s="18"/>
      <c r="F166" s="152"/>
      <c r="G166" s="153">
        <v>632</v>
      </c>
      <c r="H166" s="18" t="s">
        <v>144</v>
      </c>
      <c r="I166" s="19">
        <v>6000</v>
      </c>
      <c r="J166" s="19">
        <v>6000</v>
      </c>
      <c r="K166" s="19">
        <v>6000</v>
      </c>
      <c r="L166" s="621"/>
      <c r="M166" s="19"/>
      <c r="N166" s="19"/>
      <c r="O166" s="19"/>
    </row>
    <row r="167" spans="2:15" x14ac:dyDescent="0.2">
      <c r="B167" s="8">
        <f t="shared" si="13"/>
        <v>67</v>
      </c>
      <c r="C167" s="18"/>
      <c r="D167" s="18"/>
      <c r="E167" s="18"/>
      <c r="F167" s="152"/>
      <c r="G167" s="153">
        <v>633</v>
      </c>
      <c r="H167" s="18" t="s">
        <v>135</v>
      </c>
      <c r="I167" s="19">
        <v>68000</v>
      </c>
      <c r="J167" s="19">
        <v>68000</v>
      </c>
      <c r="K167" s="19">
        <v>68000</v>
      </c>
      <c r="L167" s="621"/>
      <c r="M167" s="19"/>
      <c r="N167" s="19"/>
      <c r="O167" s="19"/>
    </row>
    <row r="168" spans="2:15" x14ac:dyDescent="0.2">
      <c r="B168" s="8">
        <f t="shared" si="13"/>
        <v>68</v>
      </c>
      <c r="C168" s="18"/>
      <c r="D168" s="18"/>
      <c r="E168" s="18"/>
      <c r="F168" s="152"/>
      <c r="G168" s="153">
        <v>635</v>
      </c>
      <c r="H168" s="18" t="s">
        <v>143</v>
      </c>
      <c r="I168" s="19">
        <v>280000</v>
      </c>
      <c r="J168" s="19">
        <v>285000</v>
      </c>
      <c r="K168" s="19">
        <v>290000</v>
      </c>
      <c r="L168" s="621"/>
      <c r="M168" s="19"/>
      <c r="N168" s="19"/>
      <c r="O168" s="19"/>
    </row>
    <row r="169" spans="2:15" x14ac:dyDescent="0.2">
      <c r="B169" s="8">
        <f t="shared" si="13"/>
        <v>69</v>
      </c>
      <c r="C169" s="18"/>
      <c r="D169" s="18"/>
      <c r="E169" s="18"/>
      <c r="F169" s="152"/>
      <c r="G169" s="153">
        <v>636</v>
      </c>
      <c r="H169" s="18" t="s">
        <v>136</v>
      </c>
      <c r="I169" s="19">
        <v>34500</v>
      </c>
      <c r="J169" s="19">
        <v>34500</v>
      </c>
      <c r="K169" s="19">
        <v>34500</v>
      </c>
      <c r="L169" s="621"/>
      <c r="M169" s="19"/>
      <c r="N169" s="19"/>
      <c r="O169" s="19"/>
    </row>
    <row r="170" spans="2:15" x14ac:dyDescent="0.2">
      <c r="B170" s="8">
        <f t="shared" si="13"/>
        <v>70</v>
      </c>
      <c r="C170" s="18"/>
      <c r="D170" s="18"/>
      <c r="E170" s="18"/>
      <c r="F170" s="152"/>
      <c r="G170" s="153">
        <v>637</v>
      </c>
      <c r="H170" s="18" t="s">
        <v>132</v>
      </c>
      <c r="I170" s="19">
        <v>20000</v>
      </c>
      <c r="J170" s="19">
        <v>20000</v>
      </c>
      <c r="K170" s="19">
        <v>20000</v>
      </c>
      <c r="L170" s="621"/>
      <c r="M170" s="19"/>
      <c r="N170" s="19"/>
      <c r="O170" s="19"/>
    </row>
    <row r="171" spans="2:15" x14ac:dyDescent="0.2">
      <c r="B171" s="8">
        <f t="shared" si="13"/>
        <v>71</v>
      </c>
      <c r="C171" s="24"/>
      <c r="D171" s="24"/>
      <c r="E171" s="24"/>
      <c r="F171" s="149" t="s">
        <v>79</v>
      </c>
      <c r="G171" s="150">
        <v>710</v>
      </c>
      <c r="H171" s="24" t="s">
        <v>185</v>
      </c>
      <c r="I171" s="157"/>
      <c r="J171" s="157"/>
      <c r="K171" s="157"/>
      <c r="L171" s="620"/>
      <c r="M171" s="25">
        <f>M172+M174</f>
        <v>130000</v>
      </c>
      <c r="N171" s="25"/>
      <c r="O171" s="25"/>
    </row>
    <row r="172" spans="2:15" x14ac:dyDescent="0.2">
      <c r="B172" s="8">
        <f t="shared" si="13"/>
        <v>72</v>
      </c>
      <c r="C172" s="18"/>
      <c r="D172" s="18"/>
      <c r="E172" s="18"/>
      <c r="F172" s="152"/>
      <c r="G172" s="153">
        <v>711</v>
      </c>
      <c r="H172" s="18" t="s">
        <v>219</v>
      </c>
      <c r="I172" s="157"/>
      <c r="J172" s="157"/>
      <c r="K172" s="157"/>
      <c r="L172" s="621"/>
      <c r="M172" s="19">
        <f>SUM(M173:M173)</f>
        <v>10000</v>
      </c>
      <c r="N172" s="19"/>
      <c r="O172" s="19"/>
    </row>
    <row r="173" spans="2:15" x14ac:dyDescent="0.2">
      <c r="B173" s="8">
        <f t="shared" si="13"/>
        <v>73</v>
      </c>
      <c r="C173" s="120"/>
      <c r="D173" s="120"/>
      <c r="E173" s="156"/>
      <c r="F173" s="155"/>
      <c r="G173" s="155"/>
      <c r="H173" s="156" t="s">
        <v>488</v>
      </c>
      <c r="I173" s="157"/>
      <c r="J173" s="157"/>
      <c r="K173" s="157"/>
      <c r="L173" s="614"/>
      <c r="M173" s="157">
        <v>10000</v>
      </c>
      <c r="N173" s="157"/>
      <c r="O173" s="157"/>
    </row>
    <row r="174" spans="2:15" x14ac:dyDescent="0.2">
      <c r="B174" s="8">
        <f t="shared" si="13"/>
        <v>74</v>
      </c>
      <c r="C174" s="18"/>
      <c r="D174" s="18"/>
      <c r="E174" s="18"/>
      <c r="F174" s="152"/>
      <c r="G174" s="153">
        <v>713</v>
      </c>
      <c r="H174" s="18" t="s">
        <v>230</v>
      </c>
      <c r="I174" s="157"/>
      <c r="J174" s="157"/>
      <c r="K174" s="157"/>
      <c r="L174" s="621"/>
      <c r="M174" s="19">
        <f>SUM(M175:M175)</f>
        <v>120000</v>
      </c>
      <c r="N174" s="19"/>
      <c r="O174" s="19"/>
    </row>
    <row r="175" spans="2:15" x14ac:dyDescent="0.2">
      <c r="B175" s="8">
        <f t="shared" si="13"/>
        <v>75</v>
      </c>
      <c r="C175" s="120"/>
      <c r="D175" s="120"/>
      <c r="E175" s="156"/>
      <c r="F175" s="155"/>
      <c r="G175" s="155"/>
      <c r="H175" s="156" t="s">
        <v>1051</v>
      </c>
      <c r="I175" s="157"/>
      <c r="J175" s="157"/>
      <c r="K175" s="157"/>
      <c r="L175" s="614"/>
      <c r="M175" s="157">
        <v>120000</v>
      </c>
      <c r="N175" s="157"/>
      <c r="O175" s="157"/>
    </row>
    <row r="176" spans="2:15" ht="15.75" x14ac:dyDescent="0.25">
      <c r="B176" s="8">
        <f t="shared" si="13"/>
        <v>76</v>
      </c>
      <c r="C176" s="141">
        <v>8</v>
      </c>
      <c r="D176" s="677" t="s">
        <v>260</v>
      </c>
      <c r="E176" s="678"/>
      <c r="F176" s="678"/>
      <c r="G176" s="678"/>
      <c r="H176" s="678"/>
      <c r="I176" s="142">
        <f>I177</f>
        <v>54325</v>
      </c>
      <c r="J176" s="142">
        <f>J177</f>
        <v>55855</v>
      </c>
      <c r="K176" s="142">
        <f>K177</f>
        <v>55855</v>
      </c>
      <c r="L176" s="618"/>
      <c r="M176" s="142"/>
      <c r="N176" s="142"/>
      <c r="O176" s="142"/>
    </row>
    <row r="177" spans="2:15" x14ac:dyDescent="0.2">
      <c r="B177" s="8">
        <f t="shared" si="13"/>
        <v>77</v>
      </c>
      <c r="C177" s="24"/>
      <c r="D177" s="24"/>
      <c r="E177" s="24"/>
      <c r="F177" s="149" t="s">
        <v>79</v>
      </c>
      <c r="G177" s="150">
        <v>630</v>
      </c>
      <c r="H177" s="24" t="s">
        <v>131</v>
      </c>
      <c r="I177" s="25">
        <f>I179+I178</f>
        <v>54325</v>
      </c>
      <c r="J177" s="25">
        <f>J179+J178</f>
        <v>55855</v>
      </c>
      <c r="K177" s="25">
        <f>K179+K178</f>
        <v>55855</v>
      </c>
      <c r="L177" s="620"/>
      <c r="M177" s="25"/>
      <c r="N177" s="25"/>
      <c r="O177" s="25"/>
    </row>
    <row r="178" spans="2:15" x14ac:dyDescent="0.2">
      <c r="B178" s="8">
        <f t="shared" si="13"/>
        <v>78</v>
      </c>
      <c r="C178" s="18"/>
      <c r="D178" s="18"/>
      <c r="E178" s="18"/>
      <c r="F178" s="152"/>
      <c r="G178" s="153">
        <v>634</v>
      </c>
      <c r="H178" s="18" t="s">
        <v>142</v>
      </c>
      <c r="I178" s="19">
        <f>51500+500+600+870</f>
        <v>53470</v>
      </c>
      <c r="J178" s="19">
        <v>55000</v>
      </c>
      <c r="K178" s="19">
        <v>55000</v>
      </c>
      <c r="L178" s="621"/>
      <c r="M178" s="19"/>
      <c r="N178" s="19"/>
      <c r="O178" s="19"/>
    </row>
    <row r="179" spans="2:15" x14ac:dyDescent="0.2">
      <c r="B179" s="8">
        <f t="shared" si="13"/>
        <v>79</v>
      </c>
      <c r="C179" s="18"/>
      <c r="D179" s="18"/>
      <c r="E179" s="18"/>
      <c r="F179" s="152"/>
      <c r="G179" s="153">
        <v>637</v>
      </c>
      <c r="H179" s="18" t="s">
        <v>132</v>
      </c>
      <c r="I179" s="19">
        <f>800+55</f>
        <v>855</v>
      </c>
      <c r="J179" s="19">
        <f>800+55</f>
        <v>855</v>
      </c>
      <c r="K179" s="19">
        <f>800+55</f>
        <v>855</v>
      </c>
      <c r="L179" s="621"/>
      <c r="M179" s="19"/>
      <c r="N179" s="19"/>
      <c r="O179" s="19"/>
    </row>
    <row r="186" spans="2:15" ht="27" x14ac:dyDescent="0.35">
      <c r="B186" s="712" t="s">
        <v>20</v>
      </c>
      <c r="C186" s="713"/>
      <c r="D186" s="713"/>
      <c r="E186" s="713"/>
      <c r="F186" s="713"/>
      <c r="G186" s="713"/>
      <c r="H186" s="713"/>
      <c r="I186" s="713"/>
      <c r="J186" s="713"/>
      <c r="K186" s="713"/>
      <c r="L186" s="713"/>
      <c r="M186" s="713"/>
      <c r="N186" s="3"/>
      <c r="O186" s="3"/>
    </row>
    <row r="187" spans="2:15" ht="12.75" customHeight="1" x14ac:dyDescent="0.2">
      <c r="B187" s="739"/>
      <c r="C187" s="739" t="s">
        <v>122</v>
      </c>
      <c r="D187" s="739" t="s">
        <v>123</v>
      </c>
      <c r="E187" s="739"/>
      <c r="F187" s="739" t="s">
        <v>124</v>
      </c>
      <c r="G187" s="740" t="s">
        <v>125</v>
      </c>
      <c r="H187" s="741" t="s">
        <v>126</v>
      </c>
      <c r="I187" s="742" t="s">
        <v>1135</v>
      </c>
      <c r="J187" s="742" t="s">
        <v>1136</v>
      </c>
      <c r="K187" s="742" t="s">
        <v>1137</v>
      </c>
      <c r="L187" s="633"/>
      <c r="M187" s="742" t="s">
        <v>1138</v>
      </c>
      <c r="N187" s="742" t="s">
        <v>1139</v>
      </c>
      <c r="O187" s="742" t="s">
        <v>1140</v>
      </c>
    </row>
    <row r="188" spans="2:15" x14ac:dyDescent="0.2">
      <c r="B188" s="681"/>
      <c r="C188" s="681"/>
      <c r="D188" s="681"/>
      <c r="E188" s="681"/>
      <c r="F188" s="681"/>
      <c r="G188" s="689"/>
      <c r="H188" s="686"/>
      <c r="I188" s="673"/>
      <c r="J188" s="673"/>
      <c r="K188" s="673"/>
      <c r="L188" s="616"/>
      <c r="M188" s="673"/>
      <c r="N188" s="673"/>
      <c r="O188" s="673"/>
    </row>
    <row r="189" spans="2:15" x14ac:dyDescent="0.2">
      <c r="B189" s="681"/>
      <c r="C189" s="681"/>
      <c r="D189" s="681"/>
      <c r="E189" s="681"/>
      <c r="F189" s="681"/>
      <c r="G189" s="689"/>
      <c r="H189" s="686"/>
      <c r="I189" s="673"/>
      <c r="J189" s="673"/>
      <c r="K189" s="673"/>
      <c r="L189" s="616"/>
      <c r="M189" s="673"/>
      <c r="N189" s="673"/>
      <c r="O189" s="673"/>
    </row>
    <row r="190" spans="2:15" x14ac:dyDescent="0.2">
      <c r="B190" s="681"/>
      <c r="C190" s="681"/>
      <c r="D190" s="681"/>
      <c r="E190" s="681"/>
      <c r="F190" s="681"/>
      <c r="G190" s="689"/>
      <c r="H190" s="686"/>
      <c r="I190" s="673"/>
      <c r="J190" s="673"/>
      <c r="K190" s="673"/>
      <c r="L190" s="616"/>
      <c r="M190" s="673"/>
      <c r="N190" s="673"/>
      <c r="O190" s="673"/>
    </row>
    <row r="191" spans="2:15" ht="15.75" x14ac:dyDescent="0.2">
      <c r="B191" s="196">
        <v>1</v>
      </c>
      <c r="C191" s="696" t="s">
        <v>20</v>
      </c>
      <c r="D191" s="697"/>
      <c r="E191" s="697"/>
      <c r="F191" s="697"/>
      <c r="G191" s="697"/>
      <c r="H191" s="697"/>
      <c r="I191" s="197">
        <f>I253+I241+I230+I217+I208+I198+I192</f>
        <v>955055</v>
      </c>
      <c r="J191" s="197">
        <f>J253+J241+J230+J217+J208+J198+J192</f>
        <v>978865</v>
      </c>
      <c r="K191" s="197">
        <f>K253+K241+K230+K217+K208+K198+K192</f>
        <v>1006865</v>
      </c>
      <c r="L191" s="623"/>
      <c r="M191" s="197">
        <f>M253+M241+M230+M217+M208+M198+M192</f>
        <v>310560</v>
      </c>
      <c r="N191" s="197"/>
      <c r="O191" s="197"/>
    </row>
    <row r="192" spans="2:15" ht="15.75" x14ac:dyDescent="0.25">
      <c r="B192" s="196">
        <f>B191+1</f>
        <v>2</v>
      </c>
      <c r="C192" s="200">
        <v>1</v>
      </c>
      <c r="D192" s="694" t="s">
        <v>190</v>
      </c>
      <c r="E192" s="695"/>
      <c r="F192" s="695"/>
      <c r="G192" s="695"/>
      <c r="H192" s="695"/>
      <c r="I192" s="201">
        <f>I193+I194+I195</f>
        <v>46970</v>
      </c>
      <c r="J192" s="201">
        <f>J193+J194+J195</f>
        <v>47500</v>
      </c>
      <c r="K192" s="201">
        <f>K193+K194+K195</f>
        <v>48600</v>
      </c>
      <c r="L192" s="624"/>
      <c r="M192" s="201"/>
      <c r="N192" s="201"/>
      <c r="O192" s="201"/>
    </row>
    <row r="193" spans="2:15" x14ac:dyDescent="0.2">
      <c r="B193" s="196">
        <f>B192+1</f>
        <v>3</v>
      </c>
      <c r="C193" s="204"/>
      <c r="D193" s="204"/>
      <c r="E193" s="204"/>
      <c r="F193" s="205" t="s">
        <v>80</v>
      </c>
      <c r="G193" s="206">
        <v>610</v>
      </c>
      <c r="H193" s="204" t="s">
        <v>141</v>
      </c>
      <c r="I193" s="207">
        <v>1000</v>
      </c>
      <c r="J193" s="207"/>
      <c r="K193" s="207"/>
      <c r="L193" s="625"/>
      <c r="M193" s="207"/>
      <c r="N193" s="207"/>
      <c r="O193" s="207"/>
    </row>
    <row r="194" spans="2:15" x14ac:dyDescent="0.2">
      <c r="B194" s="196">
        <f t="shared" ref="B194:B257" si="14">B193+1</f>
        <v>4</v>
      </c>
      <c r="C194" s="204"/>
      <c r="D194" s="204"/>
      <c r="E194" s="204"/>
      <c r="F194" s="205" t="s">
        <v>80</v>
      </c>
      <c r="G194" s="206">
        <v>620</v>
      </c>
      <c r="H194" s="204" t="s">
        <v>134</v>
      </c>
      <c r="I194" s="207">
        <v>7970</v>
      </c>
      <c r="J194" s="207">
        <v>8000</v>
      </c>
      <c r="K194" s="207">
        <v>8100</v>
      </c>
      <c r="L194" s="625"/>
      <c r="M194" s="207"/>
      <c r="N194" s="207"/>
      <c r="O194" s="207"/>
    </row>
    <row r="195" spans="2:15" x14ac:dyDescent="0.2">
      <c r="B195" s="196">
        <f t="shared" si="14"/>
        <v>5</v>
      </c>
      <c r="C195" s="204"/>
      <c r="D195" s="204"/>
      <c r="E195" s="204"/>
      <c r="F195" s="205" t="s">
        <v>80</v>
      </c>
      <c r="G195" s="206">
        <v>630</v>
      </c>
      <c r="H195" s="204" t="s">
        <v>131</v>
      </c>
      <c r="I195" s="207">
        <f>I196+I197</f>
        <v>38000</v>
      </c>
      <c r="J195" s="207">
        <f>J196+J197</f>
        <v>39500</v>
      </c>
      <c r="K195" s="207">
        <f>K196+K197</f>
        <v>40500</v>
      </c>
      <c r="L195" s="625"/>
      <c r="M195" s="207"/>
      <c r="N195" s="207"/>
      <c r="O195" s="207"/>
    </row>
    <row r="196" spans="2:15" x14ac:dyDescent="0.2">
      <c r="B196" s="196">
        <f t="shared" si="14"/>
        <v>6</v>
      </c>
      <c r="C196" s="210"/>
      <c r="D196" s="210"/>
      <c r="E196" s="210"/>
      <c r="F196" s="211"/>
      <c r="G196" s="212">
        <v>633</v>
      </c>
      <c r="H196" s="210" t="s">
        <v>135</v>
      </c>
      <c r="I196" s="213">
        <v>5500</v>
      </c>
      <c r="J196" s="213">
        <f>I196</f>
        <v>5500</v>
      </c>
      <c r="K196" s="213">
        <f>J196</f>
        <v>5500</v>
      </c>
      <c r="L196" s="626"/>
      <c r="M196" s="213"/>
      <c r="N196" s="213"/>
      <c r="O196" s="213"/>
    </row>
    <row r="197" spans="2:15" x14ac:dyDescent="0.2">
      <c r="B197" s="196">
        <f t="shared" si="14"/>
        <v>7</v>
      </c>
      <c r="C197" s="210"/>
      <c r="D197" s="210"/>
      <c r="E197" s="210"/>
      <c r="F197" s="211"/>
      <c r="G197" s="212">
        <v>637</v>
      </c>
      <c r="H197" s="210" t="s">
        <v>132</v>
      </c>
      <c r="I197" s="213">
        <v>32500</v>
      </c>
      <c r="J197" s="213">
        <v>34000</v>
      </c>
      <c r="K197" s="213">
        <v>35000</v>
      </c>
      <c r="L197" s="626"/>
      <c r="M197" s="213"/>
      <c r="N197" s="213"/>
      <c r="O197" s="213"/>
    </row>
    <row r="198" spans="2:15" ht="15.75" x14ac:dyDescent="0.25">
      <c r="B198" s="196">
        <f t="shared" si="14"/>
        <v>8</v>
      </c>
      <c r="C198" s="200">
        <v>2</v>
      </c>
      <c r="D198" s="694" t="s">
        <v>194</v>
      </c>
      <c r="E198" s="695"/>
      <c r="F198" s="695"/>
      <c r="G198" s="695"/>
      <c r="H198" s="695"/>
      <c r="I198" s="201">
        <f>I199+I200+I201+I207</f>
        <v>157075</v>
      </c>
      <c r="J198" s="201">
        <f>J199+J200+J201+J207</f>
        <v>161275</v>
      </c>
      <c r="K198" s="201">
        <f>K199+K200+K201+K207</f>
        <v>164275</v>
      </c>
      <c r="L198" s="624"/>
      <c r="M198" s="201"/>
      <c r="N198" s="201"/>
      <c r="O198" s="201"/>
    </row>
    <row r="199" spans="2:15" x14ac:dyDescent="0.2">
      <c r="B199" s="196">
        <f t="shared" si="14"/>
        <v>9</v>
      </c>
      <c r="C199" s="204"/>
      <c r="D199" s="204"/>
      <c r="E199" s="204"/>
      <c r="F199" s="205" t="s">
        <v>193</v>
      </c>
      <c r="G199" s="206">
        <v>610</v>
      </c>
      <c r="H199" s="204" t="s">
        <v>141</v>
      </c>
      <c r="I199" s="207">
        <f>64400+11000+15000</f>
        <v>90400</v>
      </c>
      <c r="J199" s="207">
        <v>93000</v>
      </c>
      <c r="K199" s="207">
        <v>95000</v>
      </c>
      <c r="L199" s="625"/>
      <c r="M199" s="207"/>
      <c r="N199" s="207"/>
      <c r="O199" s="207"/>
    </row>
    <row r="200" spans="2:15" x14ac:dyDescent="0.2">
      <c r="B200" s="196">
        <f t="shared" si="14"/>
        <v>10</v>
      </c>
      <c r="C200" s="204"/>
      <c r="D200" s="204"/>
      <c r="E200" s="204"/>
      <c r="F200" s="205" t="s">
        <v>193</v>
      </c>
      <c r="G200" s="206">
        <v>620</v>
      </c>
      <c r="H200" s="204" t="s">
        <v>134</v>
      </c>
      <c r="I200" s="207">
        <f>9000+2500+2500+9900+1000+2600+2000+4400+2500</f>
        <v>36400</v>
      </c>
      <c r="J200" s="207">
        <v>38000</v>
      </c>
      <c r="K200" s="207">
        <v>39000</v>
      </c>
      <c r="L200" s="625"/>
      <c r="M200" s="207"/>
      <c r="N200" s="207"/>
      <c r="O200" s="207"/>
    </row>
    <row r="201" spans="2:15" x14ac:dyDescent="0.2">
      <c r="B201" s="196">
        <f t="shared" si="14"/>
        <v>11</v>
      </c>
      <c r="C201" s="204"/>
      <c r="D201" s="204"/>
      <c r="E201" s="204"/>
      <c r="F201" s="205" t="s">
        <v>193</v>
      </c>
      <c r="G201" s="206">
        <v>630</v>
      </c>
      <c r="H201" s="204" t="s">
        <v>131</v>
      </c>
      <c r="I201" s="207">
        <f>I206+I205+I204+I203+I202</f>
        <v>24575</v>
      </c>
      <c r="J201" s="207">
        <f>J206+J205+J204+J203+J202</f>
        <v>24575</v>
      </c>
      <c r="K201" s="207">
        <f>K206+K205+K204+K203+K202</f>
        <v>24575</v>
      </c>
      <c r="L201" s="625"/>
      <c r="M201" s="207"/>
      <c r="N201" s="207"/>
      <c r="O201" s="207"/>
    </row>
    <row r="202" spans="2:15" x14ac:dyDescent="0.2">
      <c r="B202" s="196">
        <f t="shared" si="14"/>
        <v>12</v>
      </c>
      <c r="C202" s="210"/>
      <c r="D202" s="210"/>
      <c r="E202" s="210"/>
      <c r="F202" s="211"/>
      <c r="G202" s="212">
        <v>631</v>
      </c>
      <c r="H202" s="210" t="s">
        <v>137</v>
      </c>
      <c r="I202" s="213">
        <f>300</f>
        <v>300</v>
      </c>
      <c r="J202" s="213">
        <f>I202</f>
        <v>300</v>
      </c>
      <c r="K202" s="213">
        <f>J202</f>
        <v>300</v>
      </c>
      <c r="L202" s="626"/>
      <c r="M202" s="213"/>
      <c r="N202" s="213"/>
      <c r="O202" s="213"/>
    </row>
    <row r="203" spans="2:15" x14ac:dyDescent="0.2">
      <c r="B203" s="196">
        <f t="shared" si="14"/>
        <v>13</v>
      </c>
      <c r="C203" s="210"/>
      <c r="D203" s="210"/>
      <c r="E203" s="210"/>
      <c r="F203" s="211"/>
      <c r="G203" s="212">
        <v>632</v>
      </c>
      <c r="H203" s="210" t="s">
        <v>144</v>
      </c>
      <c r="I203" s="213">
        <v>4000</v>
      </c>
      <c r="J203" s="213">
        <f>I203</f>
        <v>4000</v>
      </c>
      <c r="K203" s="213">
        <f>J203</f>
        <v>4000</v>
      </c>
      <c r="L203" s="626"/>
      <c r="M203" s="213"/>
      <c r="N203" s="213"/>
      <c r="O203" s="213"/>
    </row>
    <row r="204" spans="2:15" x14ac:dyDescent="0.2">
      <c r="B204" s="196">
        <f t="shared" si="14"/>
        <v>14</v>
      </c>
      <c r="C204" s="210"/>
      <c r="D204" s="210"/>
      <c r="E204" s="210"/>
      <c r="F204" s="211"/>
      <c r="G204" s="212">
        <v>633</v>
      </c>
      <c r="H204" s="210" t="s">
        <v>135</v>
      </c>
      <c r="I204" s="213">
        <v>7000</v>
      </c>
      <c r="J204" s="213">
        <v>7000</v>
      </c>
      <c r="K204" s="213">
        <v>7000</v>
      </c>
      <c r="L204" s="626"/>
      <c r="M204" s="213"/>
      <c r="N204" s="213"/>
      <c r="O204" s="213"/>
    </row>
    <row r="205" spans="2:15" x14ac:dyDescent="0.2">
      <c r="B205" s="196">
        <f t="shared" si="14"/>
        <v>15</v>
      </c>
      <c r="C205" s="210"/>
      <c r="D205" s="210"/>
      <c r="E205" s="210"/>
      <c r="F205" s="211"/>
      <c r="G205" s="212">
        <v>635</v>
      </c>
      <c r="H205" s="210" t="s">
        <v>143</v>
      </c>
      <c r="I205" s="213">
        <v>300</v>
      </c>
      <c r="J205" s="213">
        <v>300</v>
      </c>
      <c r="K205" s="213">
        <v>300</v>
      </c>
      <c r="L205" s="626"/>
      <c r="M205" s="213"/>
      <c r="N205" s="213"/>
      <c r="O205" s="213"/>
    </row>
    <row r="206" spans="2:15" x14ac:dyDescent="0.2">
      <c r="B206" s="196">
        <f t="shared" si="14"/>
        <v>16</v>
      </c>
      <c r="C206" s="210"/>
      <c r="D206" s="210"/>
      <c r="E206" s="210"/>
      <c r="F206" s="211"/>
      <c r="G206" s="212">
        <v>637</v>
      </c>
      <c r="H206" s="210" t="s">
        <v>132</v>
      </c>
      <c r="I206" s="213">
        <f>2000+1000+1375+3000+1600+4000</f>
        <v>12975</v>
      </c>
      <c r="J206" s="213">
        <f>2000+1000+1375+3000+1600+4000</f>
        <v>12975</v>
      </c>
      <c r="K206" s="213">
        <f>2000+1000+1375+3000+1600+4000</f>
        <v>12975</v>
      </c>
      <c r="L206" s="626"/>
      <c r="M206" s="213"/>
      <c r="N206" s="213"/>
      <c r="O206" s="213"/>
    </row>
    <row r="207" spans="2:15" x14ac:dyDescent="0.2">
      <c r="B207" s="196">
        <f t="shared" si="14"/>
        <v>17</v>
      </c>
      <c r="C207" s="204"/>
      <c r="D207" s="204"/>
      <c r="E207" s="204"/>
      <c r="F207" s="205" t="s">
        <v>193</v>
      </c>
      <c r="G207" s="206">
        <v>640</v>
      </c>
      <c r="H207" s="204" t="s">
        <v>139</v>
      </c>
      <c r="I207" s="207">
        <v>5700</v>
      </c>
      <c r="J207" s="207">
        <v>5700</v>
      </c>
      <c r="K207" s="207">
        <v>5700</v>
      </c>
      <c r="L207" s="625"/>
      <c r="M207" s="207"/>
      <c r="N207" s="207"/>
      <c r="O207" s="207"/>
    </row>
    <row r="208" spans="2:15" ht="15.75" x14ac:dyDescent="0.25">
      <c r="B208" s="196">
        <f t="shared" si="14"/>
        <v>18</v>
      </c>
      <c r="C208" s="200">
        <v>3</v>
      </c>
      <c r="D208" s="694" t="s">
        <v>180</v>
      </c>
      <c r="E208" s="695"/>
      <c r="F208" s="695"/>
      <c r="G208" s="695"/>
      <c r="H208" s="695"/>
      <c r="I208" s="201">
        <f>I209+I210+I211+I216</f>
        <v>330000</v>
      </c>
      <c r="J208" s="201">
        <f>J209+J210+J211+J216</f>
        <v>341000</v>
      </c>
      <c r="K208" s="201">
        <f>K209+K210+K211+K216</f>
        <v>354000</v>
      </c>
      <c r="L208" s="624"/>
      <c r="M208" s="201"/>
      <c r="N208" s="201"/>
      <c r="O208" s="201"/>
    </row>
    <row r="209" spans="2:15" x14ac:dyDescent="0.2">
      <c r="B209" s="196">
        <f t="shared" si="14"/>
        <v>19</v>
      </c>
      <c r="C209" s="204"/>
      <c r="D209" s="204"/>
      <c r="E209" s="204"/>
      <c r="F209" s="205" t="s">
        <v>79</v>
      </c>
      <c r="G209" s="206">
        <v>610</v>
      </c>
      <c r="H209" s="204" t="s">
        <v>141</v>
      </c>
      <c r="I209" s="207">
        <v>222000</v>
      </c>
      <c r="J209" s="207">
        <v>230000</v>
      </c>
      <c r="K209" s="207">
        <v>240000</v>
      </c>
      <c r="L209" s="625"/>
      <c r="M209" s="207"/>
      <c r="N209" s="207"/>
      <c r="O209" s="207"/>
    </row>
    <row r="210" spans="2:15" x14ac:dyDescent="0.2">
      <c r="B210" s="196">
        <f t="shared" si="14"/>
        <v>20</v>
      </c>
      <c r="C210" s="204"/>
      <c r="D210" s="204"/>
      <c r="E210" s="204"/>
      <c r="F210" s="205" t="s">
        <v>79</v>
      </c>
      <c r="G210" s="206">
        <v>620</v>
      </c>
      <c r="H210" s="204" t="s">
        <v>134</v>
      </c>
      <c r="I210" s="207">
        <v>83000</v>
      </c>
      <c r="J210" s="207">
        <v>86000</v>
      </c>
      <c r="K210" s="207">
        <v>89000</v>
      </c>
      <c r="L210" s="625"/>
      <c r="M210" s="207"/>
      <c r="N210" s="207"/>
      <c r="O210" s="207"/>
    </row>
    <row r="211" spans="2:15" x14ac:dyDescent="0.2">
      <c r="B211" s="196">
        <f t="shared" si="14"/>
        <v>21</v>
      </c>
      <c r="C211" s="204"/>
      <c r="D211" s="204"/>
      <c r="E211" s="204"/>
      <c r="F211" s="205" t="s">
        <v>79</v>
      </c>
      <c r="G211" s="206">
        <v>630</v>
      </c>
      <c r="H211" s="204" t="s">
        <v>131</v>
      </c>
      <c r="I211" s="207">
        <f>I215+I214+I213+I212</f>
        <v>14600</v>
      </c>
      <c r="J211" s="207">
        <f>J215+J214+J213+J212</f>
        <v>14600</v>
      </c>
      <c r="K211" s="207">
        <f>K215+K214+K213+K212</f>
        <v>14600</v>
      </c>
      <c r="L211" s="625"/>
      <c r="M211" s="207"/>
      <c r="N211" s="207"/>
      <c r="O211" s="207"/>
    </row>
    <row r="212" spans="2:15" x14ac:dyDescent="0.2">
      <c r="B212" s="196">
        <f t="shared" si="14"/>
        <v>22</v>
      </c>
      <c r="C212" s="210"/>
      <c r="D212" s="210"/>
      <c r="E212" s="210"/>
      <c r="F212" s="211"/>
      <c r="G212" s="212">
        <v>631</v>
      </c>
      <c r="H212" s="210" t="s">
        <v>137</v>
      </c>
      <c r="I212" s="213">
        <v>100</v>
      </c>
      <c r="J212" s="213">
        <v>100</v>
      </c>
      <c r="K212" s="213">
        <v>100</v>
      </c>
      <c r="L212" s="626"/>
      <c r="M212" s="213"/>
      <c r="N212" s="213"/>
      <c r="O212" s="213"/>
    </row>
    <row r="213" spans="2:15" x14ac:dyDescent="0.2">
      <c r="B213" s="196">
        <f t="shared" si="14"/>
        <v>23</v>
      </c>
      <c r="C213" s="210"/>
      <c r="D213" s="210"/>
      <c r="E213" s="210"/>
      <c r="F213" s="211"/>
      <c r="G213" s="212">
        <v>632</v>
      </c>
      <c r="H213" s="210" t="s">
        <v>144</v>
      </c>
      <c r="I213" s="213">
        <v>2500</v>
      </c>
      <c r="J213" s="213">
        <v>2500</v>
      </c>
      <c r="K213" s="213">
        <v>2500</v>
      </c>
      <c r="L213" s="626"/>
      <c r="M213" s="213"/>
      <c r="N213" s="213"/>
      <c r="O213" s="213"/>
    </row>
    <row r="214" spans="2:15" x14ac:dyDescent="0.2">
      <c r="B214" s="196">
        <f t="shared" si="14"/>
        <v>24</v>
      </c>
      <c r="C214" s="210"/>
      <c r="D214" s="210"/>
      <c r="E214" s="210"/>
      <c r="F214" s="211"/>
      <c r="G214" s="212">
        <v>633</v>
      </c>
      <c r="H214" s="210" t="s">
        <v>135</v>
      </c>
      <c r="I214" s="213">
        <v>2500</v>
      </c>
      <c r="J214" s="213">
        <v>2500</v>
      </c>
      <c r="K214" s="213">
        <v>2500</v>
      </c>
      <c r="L214" s="626"/>
      <c r="M214" s="213"/>
      <c r="N214" s="213"/>
      <c r="O214" s="213"/>
    </row>
    <row r="215" spans="2:15" x14ac:dyDescent="0.2">
      <c r="B215" s="196">
        <f t="shared" si="14"/>
        <v>25</v>
      </c>
      <c r="C215" s="210"/>
      <c r="D215" s="210"/>
      <c r="E215" s="210"/>
      <c r="F215" s="211"/>
      <c r="G215" s="212">
        <v>637</v>
      </c>
      <c r="H215" s="210" t="s">
        <v>132</v>
      </c>
      <c r="I215" s="213">
        <v>9500</v>
      </c>
      <c r="J215" s="213">
        <v>9500</v>
      </c>
      <c r="K215" s="213">
        <v>9500</v>
      </c>
      <c r="L215" s="626"/>
      <c r="M215" s="213"/>
      <c r="N215" s="213"/>
      <c r="O215" s="213"/>
    </row>
    <row r="216" spans="2:15" x14ac:dyDescent="0.2">
      <c r="B216" s="196">
        <f t="shared" si="14"/>
        <v>26</v>
      </c>
      <c r="C216" s="204"/>
      <c r="D216" s="204"/>
      <c r="E216" s="204"/>
      <c r="F216" s="205" t="s">
        <v>79</v>
      </c>
      <c r="G216" s="206">
        <v>640</v>
      </c>
      <c r="H216" s="204" t="s">
        <v>139</v>
      </c>
      <c r="I216" s="207">
        <v>10400</v>
      </c>
      <c r="J216" s="207">
        <v>10400</v>
      </c>
      <c r="K216" s="207">
        <v>10400</v>
      </c>
      <c r="L216" s="625"/>
      <c r="M216" s="207"/>
      <c r="N216" s="207"/>
      <c r="O216" s="207"/>
    </row>
    <row r="217" spans="2:15" ht="15.75" x14ac:dyDescent="0.25">
      <c r="B217" s="196">
        <f t="shared" si="14"/>
        <v>27</v>
      </c>
      <c r="C217" s="200">
        <v>4</v>
      </c>
      <c r="D217" s="694" t="s">
        <v>48</v>
      </c>
      <c r="E217" s="695"/>
      <c r="F217" s="695"/>
      <c r="G217" s="695"/>
      <c r="H217" s="695"/>
      <c r="I217" s="201">
        <f>I218</f>
        <v>88925</v>
      </c>
      <c r="J217" s="201">
        <f>J218</f>
        <v>91400</v>
      </c>
      <c r="K217" s="201">
        <f>K218</f>
        <v>93800</v>
      </c>
      <c r="L217" s="624"/>
      <c r="M217" s="201">
        <f>M218</f>
        <v>5000</v>
      </c>
      <c r="N217" s="201"/>
      <c r="O217" s="201"/>
    </row>
    <row r="218" spans="2:15" ht="14.25" x14ac:dyDescent="0.2">
      <c r="B218" s="196">
        <f t="shared" si="14"/>
        <v>28</v>
      </c>
      <c r="C218" s="216"/>
      <c r="D218" s="216"/>
      <c r="E218" s="216">
        <v>2</v>
      </c>
      <c r="F218" s="217"/>
      <c r="G218" s="217"/>
      <c r="H218" s="216" t="s">
        <v>13</v>
      </c>
      <c r="I218" s="218">
        <f>I219+I220+I221+I226</f>
        <v>88925</v>
      </c>
      <c r="J218" s="218">
        <f>J219+J220+J221+J226</f>
        <v>91400</v>
      </c>
      <c r="K218" s="218">
        <f>K219+K220+K221+K226</f>
        <v>93800</v>
      </c>
      <c r="L218" s="627"/>
      <c r="M218" s="218">
        <f>M227</f>
        <v>5000</v>
      </c>
      <c r="N218" s="218"/>
      <c r="O218" s="218"/>
    </row>
    <row r="219" spans="2:15" x14ac:dyDescent="0.2">
      <c r="B219" s="196">
        <f t="shared" si="14"/>
        <v>29</v>
      </c>
      <c r="C219" s="204"/>
      <c r="D219" s="204"/>
      <c r="E219" s="204"/>
      <c r="F219" s="205" t="s">
        <v>163</v>
      </c>
      <c r="G219" s="206">
        <v>610</v>
      </c>
      <c r="H219" s="204" t="s">
        <v>141</v>
      </c>
      <c r="I219" s="207">
        <v>41100</v>
      </c>
      <c r="J219" s="207">
        <v>43000</v>
      </c>
      <c r="K219" s="207">
        <v>45000</v>
      </c>
      <c r="L219" s="625"/>
      <c r="M219" s="207"/>
      <c r="N219" s="207"/>
      <c r="O219" s="207"/>
    </row>
    <row r="220" spans="2:15" x14ac:dyDescent="0.2">
      <c r="B220" s="196">
        <f t="shared" si="14"/>
        <v>30</v>
      </c>
      <c r="C220" s="204"/>
      <c r="D220" s="204"/>
      <c r="E220" s="204"/>
      <c r="F220" s="205" t="s">
        <v>163</v>
      </c>
      <c r="G220" s="206">
        <v>620</v>
      </c>
      <c r="H220" s="204" t="s">
        <v>134</v>
      </c>
      <c r="I220" s="207">
        <v>15225</v>
      </c>
      <c r="J220" s="207">
        <v>15800</v>
      </c>
      <c r="K220" s="207">
        <v>16200</v>
      </c>
      <c r="L220" s="625"/>
      <c r="M220" s="207"/>
      <c r="N220" s="207"/>
      <c r="O220" s="207"/>
    </row>
    <row r="221" spans="2:15" x14ac:dyDescent="0.2">
      <c r="B221" s="196">
        <f t="shared" si="14"/>
        <v>31</v>
      </c>
      <c r="C221" s="204"/>
      <c r="D221" s="204"/>
      <c r="E221" s="204"/>
      <c r="F221" s="205" t="s">
        <v>163</v>
      </c>
      <c r="G221" s="206">
        <v>630</v>
      </c>
      <c r="H221" s="204" t="s">
        <v>131</v>
      </c>
      <c r="I221" s="207">
        <f>I225+I224+I223+I222</f>
        <v>29800</v>
      </c>
      <c r="J221" s="207">
        <f>J225+J224+J223+J222</f>
        <v>29800</v>
      </c>
      <c r="K221" s="207">
        <f>K225+K224+K223+K222</f>
        <v>29800</v>
      </c>
      <c r="L221" s="625"/>
      <c r="M221" s="207"/>
      <c r="N221" s="207"/>
      <c r="O221" s="207"/>
    </row>
    <row r="222" spans="2:15" x14ac:dyDescent="0.2">
      <c r="B222" s="196">
        <f t="shared" si="14"/>
        <v>32</v>
      </c>
      <c r="C222" s="210"/>
      <c r="D222" s="210"/>
      <c r="E222" s="210"/>
      <c r="F222" s="211"/>
      <c r="G222" s="212">
        <v>632</v>
      </c>
      <c r="H222" s="210" t="s">
        <v>144</v>
      </c>
      <c r="I222" s="213">
        <f>11500+2500</f>
        <v>14000</v>
      </c>
      <c r="J222" s="213">
        <f>11500+2500</f>
        <v>14000</v>
      </c>
      <c r="K222" s="213">
        <f>11500+2500</f>
        <v>14000</v>
      </c>
      <c r="L222" s="626"/>
      <c r="M222" s="213"/>
      <c r="N222" s="213"/>
      <c r="O222" s="213"/>
    </row>
    <row r="223" spans="2:15" x14ac:dyDescent="0.2">
      <c r="B223" s="196">
        <f t="shared" si="14"/>
        <v>33</v>
      </c>
      <c r="C223" s="210"/>
      <c r="D223" s="210"/>
      <c r="E223" s="210"/>
      <c r="F223" s="211"/>
      <c r="G223" s="212">
        <v>633</v>
      </c>
      <c r="H223" s="210" t="s">
        <v>135</v>
      </c>
      <c r="I223" s="213">
        <f>1000+2500+300</f>
        <v>3800</v>
      </c>
      <c r="J223" s="213">
        <f>1000+2500+300</f>
        <v>3800</v>
      </c>
      <c r="K223" s="213">
        <f>1000+2500+300</f>
        <v>3800</v>
      </c>
      <c r="L223" s="626"/>
      <c r="M223" s="213"/>
      <c r="N223" s="213"/>
      <c r="O223" s="213"/>
    </row>
    <row r="224" spans="2:15" x14ac:dyDescent="0.2">
      <c r="B224" s="196">
        <f t="shared" si="14"/>
        <v>34</v>
      </c>
      <c r="C224" s="210"/>
      <c r="D224" s="210"/>
      <c r="E224" s="210"/>
      <c r="F224" s="211"/>
      <c r="G224" s="212">
        <v>635</v>
      </c>
      <c r="H224" s="210" t="s">
        <v>143</v>
      </c>
      <c r="I224" s="213">
        <v>9500</v>
      </c>
      <c r="J224" s="213">
        <v>9500</v>
      </c>
      <c r="K224" s="213">
        <v>9500</v>
      </c>
      <c r="L224" s="626"/>
      <c r="M224" s="213"/>
      <c r="N224" s="213"/>
      <c r="O224" s="213"/>
    </row>
    <row r="225" spans="2:15" x14ac:dyDescent="0.2">
      <c r="B225" s="196">
        <f t="shared" si="14"/>
        <v>35</v>
      </c>
      <c r="C225" s="210"/>
      <c r="D225" s="210"/>
      <c r="E225" s="210"/>
      <c r="F225" s="211"/>
      <c r="G225" s="212">
        <v>637</v>
      </c>
      <c r="H225" s="210" t="s">
        <v>132</v>
      </c>
      <c r="I225" s="213">
        <v>2500</v>
      </c>
      <c r="J225" s="213">
        <v>2500</v>
      </c>
      <c r="K225" s="213">
        <v>2500</v>
      </c>
      <c r="L225" s="626"/>
      <c r="M225" s="213"/>
      <c r="N225" s="213"/>
      <c r="O225" s="213"/>
    </row>
    <row r="226" spans="2:15" x14ac:dyDescent="0.2">
      <c r="B226" s="196">
        <f t="shared" si="14"/>
        <v>36</v>
      </c>
      <c r="C226" s="204"/>
      <c r="D226" s="204"/>
      <c r="E226" s="204"/>
      <c r="F226" s="205" t="s">
        <v>163</v>
      </c>
      <c r="G226" s="206">
        <v>640</v>
      </c>
      <c r="H226" s="204" t="s">
        <v>139</v>
      </c>
      <c r="I226" s="207">
        <f>2100+700</f>
        <v>2800</v>
      </c>
      <c r="J226" s="207">
        <f>2100+700</f>
        <v>2800</v>
      </c>
      <c r="K226" s="207">
        <f>2100+700</f>
        <v>2800</v>
      </c>
      <c r="L226" s="625"/>
      <c r="M226" s="207"/>
      <c r="N226" s="207"/>
      <c r="O226" s="207"/>
    </row>
    <row r="227" spans="2:15" x14ac:dyDescent="0.2">
      <c r="B227" s="196">
        <f t="shared" si="14"/>
        <v>37</v>
      </c>
      <c r="C227" s="204"/>
      <c r="D227" s="204"/>
      <c r="E227" s="204"/>
      <c r="F227" s="205" t="s">
        <v>163</v>
      </c>
      <c r="G227" s="206">
        <v>710</v>
      </c>
      <c r="H227" s="204" t="s">
        <v>185</v>
      </c>
      <c r="I227" s="207"/>
      <c r="J227" s="207"/>
      <c r="K227" s="207"/>
      <c r="L227" s="625"/>
      <c r="M227" s="207">
        <f t="shared" ref="M227:M228" si="15">M228</f>
        <v>5000</v>
      </c>
      <c r="N227" s="207"/>
      <c r="O227" s="207"/>
    </row>
    <row r="228" spans="2:15" s="165" customFormat="1" x14ac:dyDescent="0.2">
      <c r="B228" s="196">
        <f t="shared" si="14"/>
        <v>38</v>
      </c>
      <c r="C228" s="221"/>
      <c r="D228" s="221"/>
      <c r="E228" s="221"/>
      <c r="F228" s="222"/>
      <c r="G228" s="212">
        <v>716</v>
      </c>
      <c r="H228" s="210" t="s">
        <v>226</v>
      </c>
      <c r="I228" s="213"/>
      <c r="J228" s="213"/>
      <c r="K228" s="213"/>
      <c r="L228" s="626"/>
      <c r="M228" s="213">
        <f t="shared" si="15"/>
        <v>5000</v>
      </c>
      <c r="N228" s="213"/>
      <c r="O228" s="213"/>
    </row>
    <row r="229" spans="2:15" s="165" customFormat="1" x14ac:dyDescent="0.2">
      <c r="B229" s="196">
        <f t="shared" si="14"/>
        <v>39</v>
      </c>
      <c r="C229" s="221"/>
      <c r="D229" s="221"/>
      <c r="E229" s="221"/>
      <c r="F229" s="222"/>
      <c r="G229" s="223"/>
      <c r="H229" s="221" t="s">
        <v>1086</v>
      </c>
      <c r="I229" s="224"/>
      <c r="J229" s="224"/>
      <c r="K229" s="224"/>
      <c r="L229" s="628"/>
      <c r="M229" s="224">
        <v>5000</v>
      </c>
      <c r="N229" s="224"/>
      <c r="O229" s="224"/>
    </row>
    <row r="230" spans="2:15" ht="15.75" x14ac:dyDescent="0.25">
      <c r="B230" s="196">
        <f t="shared" si="14"/>
        <v>40</v>
      </c>
      <c r="C230" s="200">
        <v>5</v>
      </c>
      <c r="D230" s="694" t="s">
        <v>227</v>
      </c>
      <c r="E230" s="695"/>
      <c r="F230" s="695"/>
      <c r="G230" s="695"/>
      <c r="H230" s="695"/>
      <c r="I230" s="201">
        <f>I231</f>
        <v>108000</v>
      </c>
      <c r="J230" s="201">
        <f>J231</f>
        <v>111605</v>
      </c>
      <c r="K230" s="201">
        <f>K231</f>
        <v>115105</v>
      </c>
      <c r="L230" s="624"/>
      <c r="M230" s="201"/>
      <c r="N230" s="201"/>
      <c r="O230" s="201"/>
    </row>
    <row r="231" spans="2:15" ht="14.25" x14ac:dyDescent="0.2">
      <c r="B231" s="196">
        <f t="shared" si="14"/>
        <v>41</v>
      </c>
      <c r="C231" s="227"/>
      <c r="D231" s="227"/>
      <c r="E231" s="227">
        <v>2</v>
      </c>
      <c r="F231" s="228"/>
      <c r="G231" s="228"/>
      <c r="H231" s="216" t="s">
        <v>13</v>
      </c>
      <c r="I231" s="229">
        <f>I232+I233+I234+I240</f>
        <v>108000</v>
      </c>
      <c r="J231" s="229">
        <f>J232+J233+J234+J240</f>
        <v>111605</v>
      </c>
      <c r="K231" s="229">
        <f>K232+K233+K234+K240</f>
        <v>115105</v>
      </c>
      <c r="L231" s="627"/>
      <c r="M231" s="229"/>
      <c r="N231" s="229"/>
      <c r="O231" s="229"/>
    </row>
    <row r="232" spans="2:15" x14ac:dyDescent="0.2">
      <c r="B232" s="196">
        <f t="shared" si="14"/>
        <v>42</v>
      </c>
      <c r="C232" s="204"/>
      <c r="D232" s="204"/>
      <c r="E232" s="204"/>
      <c r="F232" s="205" t="s">
        <v>193</v>
      </c>
      <c r="G232" s="206">
        <v>610</v>
      </c>
      <c r="H232" s="204" t="s">
        <v>141</v>
      </c>
      <c r="I232" s="207">
        <v>29100</v>
      </c>
      <c r="J232" s="207">
        <v>32000</v>
      </c>
      <c r="K232" s="207">
        <v>35000</v>
      </c>
      <c r="L232" s="625"/>
      <c r="M232" s="207"/>
      <c r="N232" s="207"/>
      <c r="O232" s="207"/>
    </row>
    <row r="233" spans="2:15" x14ac:dyDescent="0.2">
      <c r="B233" s="196">
        <f t="shared" si="14"/>
        <v>43</v>
      </c>
      <c r="C233" s="204"/>
      <c r="D233" s="204"/>
      <c r="E233" s="204"/>
      <c r="F233" s="205" t="s">
        <v>193</v>
      </c>
      <c r="G233" s="206">
        <v>620</v>
      </c>
      <c r="H233" s="204" t="s">
        <v>134</v>
      </c>
      <c r="I233" s="207">
        <v>12795</v>
      </c>
      <c r="J233" s="207">
        <v>13500</v>
      </c>
      <c r="K233" s="207">
        <v>14000</v>
      </c>
      <c r="L233" s="625"/>
      <c r="M233" s="207"/>
      <c r="N233" s="207"/>
      <c r="O233" s="207"/>
    </row>
    <row r="234" spans="2:15" x14ac:dyDescent="0.2">
      <c r="B234" s="196">
        <f t="shared" si="14"/>
        <v>44</v>
      </c>
      <c r="C234" s="204"/>
      <c r="D234" s="204"/>
      <c r="E234" s="204"/>
      <c r="F234" s="205" t="s">
        <v>193</v>
      </c>
      <c r="G234" s="206">
        <v>630</v>
      </c>
      <c r="H234" s="204" t="s">
        <v>131</v>
      </c>
      <c r="I234" s="207">
        <f>I239+I238+I237+I236+I235</f>
        <v>64205</v>
      </c>
      <c r="J234" s="207">
        <f>J239+J238+J237+J236+J235</f>
        <v>64205</v>
      </c>
      <c r="K234" s="207">
        <f>K239+K238+K237+K236+K235</f>
        <v>64205</v>
      </c>
      <c r="L234" s="625"/>
      <c r="M234" s="207"/>
      <c r="N234" s="207"/>
      <c r="O234" s="207"/>
    </row>
    <row r="235" spans="2:15" x14ac:dyDescent="0.2">
      <c r="B235" s="196">
        <f t="shared" si="14"/>
        <v>45</v>
      </c>
      <c r="C235" s="210"/>
      <c r="D235" s="210"/>
      <c r="E235" s="210"/>
      <c r="F235" s="211"/>
      <c r="G235" s="212">
        <v>632</v>
      </c>
      <c r="H235" s="210" t="s">
        <v>144</v>
      </c>
      <c r="I235" s="213">
        <v>8905</v>
      </c>
      <c r="J235" s="213">
        <v>8905</v>
      </c>
      <c r="K235" s="213">
        <v>8905</v>
      </c>
      <c r="L235" s="626"/>
      <c r="M235" s="213"/>
      <c r="N235" s="213"/>
      <c r="O235" s="213"/>
    </row>
    <row r="236" spans="2:15" x14ac:dyDescent="0.2">
      <c r="B236" s="196">
        <f t="shared" si="14"/>
        <v>46</v>
      </c>
      <c r="C236" s="210"/>
      <c r="D236" s="210"/>
      <c r="E236" s="210"/>
      <c r="F236" s="211"/>
      <c r="G236" s="212">
        <v>633</v>
      </c>
      <c r="H236" s="210" t="s">
        <v>135</v>
      </c>
      <c r="I236" s="213">
        <f>1800+21000</f>
        <v>22800</v>
      </c>
      <c r="J236" s="213">
        <f>1800+21000</f>
        <v>22800</v>
      </c>
      <c r="K236" s="213">
        <f>1800+21000</f>
        <v>22800</v>
      </c>
      <c r="L236" s="626"/>
      <c r="M236" s="213"/>
      <c r="N236" s="213"/>
      <c r="O236" s="213"/>
    </row>
    <row r="237" spans="2:15" x14ac:dyDescent="0.2">
      <c r="B237" s="196">
        <f t="shared" si="14"/>
        <v>47</v>
      </c>
      <c r="C237" s="210"/>
      <c r="D237" s="210"/>
      <c r="E237" s="210"/>
      <c r="F237" s="211"/>
      <c r="G237" s="212">
        <v>635</v>
      </c>
      <c r="H237" s="210" t="s">
        <v>143</v>
      </c>
      <c r="I237" s="213">
        <f>200+200</f>
        <v>400</v>
      </c>
      <c r="J237" s="213">
        <f>200+200</f>
        <v>400</v>
      </c>
      <c r="K237" s="213">
        <f>200+200</f>
        <v>400</v>
      </c>
      <c r="L237" s="626"/>
      <c r="M237" s="213"/>
      <c r="N237" s="213"/>
      <c r="O237" s="213"/>
    </row>
    <row r="238" spans="2:15" x14ac:dyDescent="0.2">
      <c r="B238" s="196">
        <f t="shared" si="14"/>
        <v>48</v>
      </c>
      <c r="C238" s="210"/>
      <c r="D238" s="210"/>
      <c r="E238" s="210"/>
      <c r="F238" s="211"/>
      <c r="G238" s="212">
        <v>636</v>
      </c>
      <c r="H238" s="210" t="s">
        <v>136</v>
      </c>
      <c r="I238" s="213">
        <f>2000+2700</f>
        <v>4700</v>
      </c>
      <c r="J238" s="213">
        <f>2000+2700</f>
        <v>4700</v>
      </c>
      <c r="K238" s="213">
        <f>2000+2700</f>
        <v>4700</v>
      </c>
      <c r="L238" s="626"/>
      <c r="M238" s="213"/>
      <c r="N238" s="213"/>
      <c r="O238" s="213"/>
    </row>
    <row r="239" spans="2:15" x14ac:dyDescent="0.2">
      <c r="B239" s="196">
        <f t="shared" si="14"/>
        <v>49</v>
      </c>
      <c r="C239" s="210"/>
      <c r="D239" s="210"/>
      <c r="E239" s="210"/>
      <c r="F239" s="211"/>
      <c r="G239" s="212">
        <v>637</v>
      </c>
      <c r="H239" s="210" t="s">
        <v>132</v>
      </c>
      <c r="I239" s="213">
        <v>27400</v>
      </c>
      <c r="J239" s="213">
        <v>27400</v>
      </c>
      <c r="K239" s="213">
        <v>27400</v>
      </c>
      <c r="L239" s="626"/>
      <c r="M239" s="213"/>
      <c r="N239" s="213"/>
      <c r="O239" s="213"/>
    </row>
    <row r="240" spans="2:15" x14ac:dyDescent="0.2">
      <c r="B240" s="196">
        <f t="shared" si="14"/>
        <v>50</v>
      </c>
      <c r="C240" s="204"/>
      <c r="D240" s="204"/>
      <c r="E240" s="204"/>
      <c r="F240" s="205" t="s">
        <v>193</v>
      </c>
      <c r="G240" s="206">
        <v>640</v>
      </c>
      <c r="H240" s="204" t="s">
        <v>139</v>
      </c>
      <c r="I240" s="207">
        <f>1400+500</f>
        <v>1900</v>
      </c>
      <c r="J240" s="207">
        <f>1400+500</f>
        <v>1900</v>
      </c>
      <c r="K240" s="207">
        <f>1400+500</f>
        <v>1900</v>
      </c>
      <c r="L240" s="625"/>
      <c r="M240" s="207"/>
      <c r="N240" s="207"/>
      <c r="O240" s="207"/>
    </row>
    <row r="241" spans="1:15" ht="15.75" x14ac:dyDescent="0.25">
      <c r="B241" s="196">
        <f t="shared" si="14"/>
        <v>51</v>
      </c>
      <c r="C241" s="200">
        <v>6</v>
      </c>
      <c r="D241" s="694" t="s">
        <v>155</v>
      </c>
      <c r="E241" s="695"/>
      <c r="F241" s="695"/>
      <c r="G241" s="695"/>
      <c r="H241" s="695"/>
      <c r="I241" s="201">
        <f>I242</f>
        <v>222000</v>
      </c>
      <c r="J241" s="201">
        <f>J242</f>
        <v>224000</v>
      </c>
      <c r="K241" s="201">
        <f>K242</f>
        <v>229000</v>
      </c>
      <c r="L241" s="624"/>
      <c r="M241" s="201">
        <f>M247</f>
        <v>305560</v>
      </c>
      <c r="N241" s="201"/>
      <c r="O241" s="201"/>
    </row>
    <row r="242" spans="1:15" x14ac:dyDescent="0.2">
      <c r="B242" s="196">
        <f t="shared" si="14"/>
        <v>52</v>
      </c>
      <c r="C242" s="204"/>
      <c r="D242" s="204"/>
      <c r="E242" s="204"/>
      <c r="F242" s="205" t="s">
        <v>154</v>
      </c>
      <c r="G242" s="206">
        <v>630</v>
      </c>
      <c r="H242" s="204" t="s">
        <v>131</v>
      </c>
      <c r="I242" s="207">
        <f>I246+I245+I244+I243</f>
        <v>222000</v>
      </c>
      <c r="J242" s="207">
        <f>J246+J245+J244+J243</f>
        <v>224000</v>
      </c>
      <c r="K242" s="207">
        <f>K246+K245+K244+K243</f>
        <v>229000</v>
      </c>
      <c r="L242" s="625"/>
      <c r="M242" s="207"/>
      <c r="N242" s="207"/>
      <c r="O242" s="207"/>
    </row>
    <row r="243" spans="1:15" x14ac:dyDescent="0.2">
      <c r="B243" s="196">
        <f t="shared" si="14"/>
        <v>53</v>
      </c>
      <c r="C243" s="210"/>
      <c r="D243" s="210"/>
      <c r="E243" s="210"/>
      <c r="F243" s="211"/>
      <c r="G243" s="212">
        <v>632</v>
      </c>
      <c r="H243" s="210" t="s">
        <v>144</v>
      </c>
      <c r="I243" s="213">
        <v>57000</v>
      </c>
      <c r="J243" s="213">
        <v>57000</v>
      </c>
      <c r="K243" s="213">
        <v>57000</v>
      </c>
      <c r="L243" s="626"/>
      <c r="M243" s="213"/>
      <c r="N243" s="213"/>
      <c r="O243" s="213"/>
    </row>
    <row r="244" spans="1:15" x14ac:dyDescent="0.2">
      <c r="B244" s="196">
        <f t="shared" si="14"/>
        <v>54</v>
      </c>
      <c r="C244" s="210"/>
      <c r="D244" s="210"/>
      <c r="E244" s="210"/>
      <c r="F244" s="211"/>
      <c r="G244" s="212">
        <v>633</v>
      </c>
      <c r="H244" s="210" t="s">
        <v>135</v>
      </c>
      <c r="I244" s="213">
        <v>2000</v>
      </c>
      <c r="J244" s="213">
        <v>2000</v>
      </c>
      <c r="K244" s="213">
        <v>2000</v>
      </c>
      <c r="L244" s="626"/>
      <c r="M244" s="213"/>
      <c r="N244" s="213"/>
      <c r="O244" s="213"/>
    </row>
    <row r="245" spans="1:15" x14ac:dyDescent="0.2">
      <c r="B245" s="196">
        <f t="shared" si="14"/>
        <v>55</v>
      </c>
      <c r="C245" s="210"/>
      <c r="D245" s="210"/>
      <c r="E245" s="210"/>
      <c r="F245" s="211"/>
      <c r="G245" s="212">
        <v>635</v>
      </c>
      <c r="H245" s="210" t="s">
        <v>143</v>
      </c>
      <c r="I245" s="213">
        <v>20000</v>
      </c>
      <c r="J245" s="213">
        <v>20000</v>
      </c>
      <c r="K245" s="213">
        <v>20000</v>
      </c>
      <c r="L245" s="626"/>
      <c r="M245" s="213"/>
      <c r="N245" s="213"/>
      <c r="O245" s="213"/>
    </row>
    <row r="246" spans="1:15" x14ac:dyDescent="0.2">
      <c r="B246" s="196">
        <f t="shared" si="14"/>
        <v>56</v>
      </c>
      <c r="C246" s="210"/>
      <c r="D246" s="210"/>
      <c r="E246" s="210"/>
      <c r="F246" s="211"/>
      <c r="G246" s="212">
        <v>637</v>
      </c>
      <c r="H246" s="210" t="s">
        <v>132</v>
      </c>
      <c r="I246" s="213">
        <v>143000</v>
      </c>
      <c r="J246" s="213">
        <v>145000</v>
      </c>
      <c r="K246" s="213">
        <v>150000</v>
      </c>
      <c r="L246" s="626"/>
      <c r="M246" s="213"/>
      <c r="N246" s="213"/>
      <c r="O246" s="213"/>
    </row>
    <row r="247" spans="1:15" x14ac:dyDescent="0.2">
      <c r="B247" s="196">
        <f t="shared" si="14"/>
        <v>57</v>
      </c>
      <c r="C247" s="204"/>
      <c r="D247" s="204"/>
      <c r="E247" s="204"/>
      <c r="F247" s="205" t="s">
        <v>154</v>
      </c>
      <c r="G247" s="206">
        <v>710</v>
      </c>
      <c r="H247" s="204" t="s">
        <v>185</v>
      </c>
      <c r="I247" s="207"/>
      <c r="J247" s="207"/>
      <c r="K247" s="207"/>
      <c r="L247" s="625"/>
      <c r="M247" s="207">
        <f>M248+M250</f>
        <v>305560</v>
      </c>
      <c r="N247" s="207"/>
      <c r="O247" s="207"/>
    </row>
    <row r="248" spans="1:15" x14ac:dyDescent="0.2">
      <c r="B248" s="196">
        <f t="shared" si="14"/>
        <v>58</v>
      </c>
      <c r="C248" s="210"/>
      <c r="D248" s="210"/>
      <c r="E248" s="210"/>
      <c r="F248" s="211"/>
      <c r="G248" s="212">
        <v>716</v>
      </c>
      <c r="H248" s="210" t="s">
        <v>226</v>
      </c>
      <c r="I248" s="213"/>
      <c r="J248" s="213"/>
      <c r="K248" s="213"/>
      <c r="L248" s="626"/>
      <c r="M248" s="213">
        <f>SUM(M249:M249)</f>
        <v>138060</v>
      </c>
      <c r="N248" s="213"/>
      <c r="O248" s="213"/>
    </row>
    <row r="249" spans="1:15" x14ac:dyDescent="0.2">
      <c r="B249" s="196">
        <f t="shared" si="14"/>
        <v>59</v>
      </c>
      <c r="C249" s="221"/>
      <c r="D249" s="221"/>
      <c r="E249" s="221"/>
      <c r="F249" s="223"/>
      <c r="G249" s="223"/>
      <c r="H249" s="221" t="s">
        <v>686</v>
      </c>
      <c r="I249" s="224"/>
      <c r="J249" s="224"/>
      <c r="K249" s="224"/>
      <c r="L249" s="628"/>
      <c r="M249" s="224">
        <v>138060</v>
      </c>
      <c r="N249" s="224"/>
      <c r="O249" s="224"/>
    </row>
    <row r="250" spans="1:15" x14ac:dyDescent="0.2">
      <c r="B250" s="196">
        <f t="shared" si="14"/>
        <v>60</v>
      </c>
      <c r="C250" s="210"/>
      <c r="D250" s="210"/>
      <c r="E250" s="210"/>
      <c r="F250" s="211"/>
      <c r="G250" s="212">
        <v>717</v>
      </c>
      <c r="H250" s="210" t="s">
        <v>192</v>
      </c>
      <c r="I250" s="213"/>
      <c r="J250" s="213"/>
      <c r="K250" s="213"/>
      <c r="L250" s="626"/>
      <c r="M250" s="213">
        <f>SUM(M251:M252)</f>
        <v>167500</v>
      </c>
      <c r="N250" s="213"/>
      <c r="O250" s="213"/>
    </row>
    <row r="251" spans="1:15" x14ac:dyDescent="0.2">
      <c r="B251" s="196">
        <f t="shared" si="14"/>
        <v>61</v>
      </c>
      <c r="C251" s="221"/>
      <c r="D251" s="221"/>
      <c r="E251" s="221"/>
      <c r="F251" s="223"/>
      <c r="G251" s="223"/>
      <c r="H251" s="221" t="s">
        <v>758</v>
      </c>
      <c r="I251" s="224"/>
      <c r="J251" s="224"/>
      <c r="K251" s="224"/>
      <c r="L251" s="628"/>
      <c r="M251" s="224">
        <v>55000</v>
      </c>
      <c r="N251" s="224"/>
      <c r="O251" s="224"/>
    </row>
    <row r="252" spans="1:15" x14ac:dyDescent="0.2">
      <c r="B252" s="196">
        <f t="shared" si="14"/>
        <v>62</v>
      </c>
      <c r="C252" s="221"/>
      <c r="D252" s="221"/>
      <c r="E252" s="221"/>
      <c r="F252" s="223"/>
      <c r="G252" s="223"/>
      <c r="H252" s="221" t="s">
        <v>1175</v>
      </c>
      <c r="I252" s="224"/>
      <c r="J252" s="224"/>
      <c r="K252" s="224"/>
      <c r="L252" s="628"/>
      <c r="M252" s="224">
        <v>112500</v>
      </c>
      <c r="N252" s="224"/>
      <c r="O252" s="224"/>
    </row>
    <row r="253" spans="1:15" ht="15.75" x14ac:dyDescent="0.25">
      <c r="B253" s="196">
        <f t="shared" si="14"/>
        <v>63</v>
      </c>
      <c r="C253" s="200">
        <v>7</v>
      </c>
      <c r="D253" s="694" t="s">
        <v>46</v>
      </c>
      <c r="E253" s="695"/>
      <c r="F253" s="695"/>
      <c r="G253" s="695"/>
      <c r="H253" s="695"/>
      <c r="I253" s="201">
        <f t="shared" ref="I253:K254" si="16">I254</f>
        <v>2085</v>
      </c>
      <c r="J253" s="201">
        <f t="shared" si="16"/>
        <v>2085</v>
      </c>
      <c r="K253" s="201">
        <f t="shared" si="16"/>
        <v>2085</v>
      </c>
      <c r="L253" s="624"/>
      <c r="M253" s="201"/>
      <c r="N253" s="201"/>
      <c r="O253" s="201"/>
    </row>
    <row r="254" spans="1:15" ht="14.25" x14ac:dyDescent="0.2">
      <c r="B254" s="196">
        <f t="shared" si="14"/>
        <v>64</v>
      </c>
      <c r="C254" s="227"/>
      <c r="D254" s="227"/>
      <c r="E254" s="227">
        <v>2</v>
      </c>
      <c r="F254" s="228"/>
      <c r="G254" s="228"/>
      <c r="H254" s="227" t="s">
        <v>13</v>
      </c>
      <c r="I254" s="229">
        <f t="shared" si="16"/>
        <v>2085</v>
      </c>
      <c r="J254" s="229">
        <f t="shared" si="16"/>
        <v>2085</v>
      </c>
      <c r="K254" s="229">
        <f t="shared" si="16"/>
        <v>2085</v>
      </c>
      <c r="L254" s="627"/>
      <c r="M254" s="229"/>
      <c r="N254" s="229"/>
      <c r="O254" s="229"/>
    </row>
    <row r="255" spans="1:15" x14ac:dyDescent="0.2">
      <c r="B255" s="196">
        <f t="shared" si="14"/>
        <v>65</v>
      </c>
      <c r="C255" s="204"/>
      <c r="D255" s="204"/>
      <c r="E255" s="204"/>
      <c r="F255" s="205" t="s">
        <v>229</v>
      </c>
      <c r="G255" s="206">
        <v>630</v>
      </c>
      <c r="H255" s="204" t="s">
        <v>131</v>
      </c>
      <c r="I255" s="207">
        <f>I259+I258+I257+I256</f>
        <v>2085</v>
      </c>
      <c r="J255" s="207">
        <f>J259+J258+J257+J256</f>
        <v>2085</v>
      </c>
      <c r="K255" s="207">
        <f>K259+K258+K257+K256</f>
        <v>2085</v>
      </c>
      <c r="L255" s="625"/>
      <c r="M255" s="207"/>
      <c r="N255" s="207"/>
      <c r="O255" s="207"/>
    </row>
    <row r="256" spans="1:15" x14ac:dyDescent="0.2">
      <c r="A256" s="3" t="s">
        <v>1150</v>
      </c>
      <c r="B256" s="196">
        <f t="shared" si="14"/>
        <v>66</v>
      </c>
      <c r="C256" s="210"/>
      <c r="D256" s="210"/>
      <c r="E256" s="210"/>
      <c r="F256" s="211"/>
      <c r="G256" s="212">
        <v>633</v>
      </c>
      <c r="H256" s="210" t="s">
        <v>135</v>
      </c>
      <c r="I256" s="213">
        <v>550</v>
      </c>
      <c r="J256" s="213">
        <v>550</v>
      </c>
      <c r="K256" s="213">
        <v>550</v>
      </c>
      <c r="L256" s="626"/>
      <c r="M256" s="213"/>
      <c r="N256" s="213"/>
      <c r="O256" s="213"/>
    </row>
    <row r="257" spans="2:15" x14ac:dyDescent="0.2">
      <c r="B257" s="196">
        <f t="shared" si="14"/>
        <v>67</v>
      </c>
      <c r="C257" s="210"/>
      <c r="D257" s="210"/>
      <c r="E257" s="210"/>
      <c r="F257" s="211"/>
      <c r="G257" s="212">
        <v>634</v>
      </c>
      <c r="H257" s="210" t="s">
        <v>142</v>
      </c>
      <c r="I257" s="213">
        <v>350</v>
      </c>
      <c r="J257" s="213">
        <v>350</v>
      </c>
      <c r="K257" s="213">
        <v>350</v>
      </c>
      <c r="L257" s="626"/>
      <c r="M257" s="213"/>
      <c r="N257" s="213"/>
      <c r="O257" s="213"/>
    </row>
    <row r="258" spans="2:15" x14ac:dyDescent="0.2">
      <c r="B258" s="196">
        <f>B257+1</f>
        <v>68</v>
      </c>
      <c r="C258" s="210"/>
      <c r="D258" s="210"/>
      <c r="E258" s="210"/>
      <c r="F258" s="211"/>
      <c r="G258" s="212">
        <v>635</v>
      </c>
      <c r="H258" s="210" t="s">
        <v>143</v>
      </c>
      <c r="I258" s="213">
        <v>985</v>
      </c>
      <c r="J258" s="213">
        <v>985</v>
      </c>
      <c r="K258" s="213">
        <v>985</v>
      </c>
      <c r="L258" s="626"/>
      <c r="M258" s="213"/>
      <c r="N258" s="213"/>
      <c r="O258" s="213"/>
    </row>
    <row r="259" spans="2:15" x14ac:dyDescent="0.2">
      <c r="B259" s="238">
        <f>B258+1</f>
        <v>69</v>
      </c>
      <c r="C259" s="239"/>
      <c r="D259" s="239"/>
      <c r="E259" s="239"/>
      <c r="F259" s="240"/>
      <c r="G259" s="241">
        <v>637</v>
      </c>
      <c r="H259" s="239" t="s">
        <v>132</v>
      </c>
      <c r="I259" s="242">
        <v>200</v>
      </c>
      <c r="J259" s="242">
        <v>200</v>
      </c>
      <c r="K259" s="242">
        <v>200</v>
      </c>
      <c r="L259" s="626"/>
      <c r="M259" s="242"/>
      <c r="N259" s="242"/>
      <c r="O259" s="242"/>
    </row>
    <row r="262" spans="2:15" ht="27" x14ac:dyDescent="0.35">
      <c r="B262" s="712" t="s">
        <v>21</v>
      </c>
      <c r="C262" s="713"/>
      <c r="D262" s="713"/>
      <c r="E262" s="713"/>
      <c r="F262" s="713"/>
      <c r="G262" s="713"/>
      <c r="H262" s="713"/>
      <c r="I262" s="713"/>
      <c r="J262" s="713"/>
      <c r="K262" s="713"/>
      <c r="L262" s="713"/>
      <c r="M262" s="713"/>
      <c r="N262" s="3"/>
      <c r="O262" s="3"/>
    </row>
    <row r="263" spans="2:15" ht="12.75" customHeight="1" x14ac:dyDescent="0.2">
      <c r="B263" s="739"/>
      <c r="C263" s="739" t="s">
        <v>122</v>
      </c>
      <c r="D263" s="739" t="s">
        <v>123</v>
      </c>
      <c r="E263" s="739"/>
      <c r="F263" s="739" t="s">
        <v>124</v>
      </c>
      <c r="G263" s="740" t="s">
        <v>125</v>
      </c>
      <c r="H263" s="741" t="s">
        <v>126</v>
      </c>
      <c r="I263" s="742" t="s">
        <v>1135</v>
      </c>
      <c r="J263" s="742" t="s">
        <v>1136</v>
      </c>
      <c r="K263" s="742" t="s">
        <v>1137</v>
      </c>
      <c r="L263" s="633"/>
      <c r="M263" s="742" t="s">
        <v>1138</v>
      </c>
      <c r="N263" s="742" t="s">
        <v>1139</v>
      </c>
      <c r="O263" s="742" t="s">
        <v>1140</v>
      </c>
    </row>
    <row r="264" spans="2:15" x14ac:dyDescent="0.2">
      <c r="B264" s="681"/>
      <c r="C264" s="681"/>
      <c r="D264" s="681"/>
      <c r="E264" s="681"/>
      <c r="F264" s="681"/>
      <c r="G264" s="689"/>
      <c r="H264" s="686"/>
      <c r="I264" s="673"/>
      <c r="J264" s="673"/>
      <c r="K264" s="673"/>
      <c r="L264" s="616"/>
      <c r="M264" s="673"/>
      <c r="N264" s="673"/>
      <c r="O264" s="673"/>
    </row>
    <row r="265" spans="2:15" x14ac:dyDescent="0.2">
      <c r="B265" s="681"/>
      <c r="C265" s="681"/>
      <c r="D265" s="681"/>
      <c r="E265" s="681"/>
      <c r="F265" s="681"/>
      <c r="G265" s="689"/>
      <c r="H265" s="686"/>
      <c r="I265" s="673"/>
      <c r="J265" s="673"/>
      <c r="K265" s="673"/>
      <c r="L265" s="616"/>
      <c r="M265" s="673"/>
      <c r="N265" s="673"/>
      <c r="O265" s="673"/>
    </row>
    <row r="266" spans="2:15" x14ac:dyDescent="0.2">
      <c r="B266" s="681"/>
      <c r="C266" s="681"/>
      <c r="D266" s="681"/>
      <c r="E266" s="681"/>
      <c r="F266" s="681"/>
      <c r="G266" s="689"/>
      <c r="H266" s="686"/>
      <c r="I266" s="673"/>
      <c r="J266" s="673"/>
      <c r="K266" s="673"/>
      <c r="L266" s="616"/>
      <c r="M266" s="673"/>
      <c r="N266" s="673"/>
      <c r="O266" s="673"/>
    </row>
    <row r="267" spans="2:15" ht="15.75" x14ac:dyDescent="0.2">
      <c r="B267" s="196">
        <v>1</v>
      </c>
      <c r="C267" s="696" t="s">
        <v>21</v>
      </c>
      <c r="D267" s="697"/>
      <c r="E267" s="697"/>
      <c r="F267" s="697"/>
      <c r="G267" s="697"/>
      <c r="H267" s="697"/>
      <c r="I267" s="197">
        <f>I316+I311+I305+I283+I268</f>
        <v>2671049</v>
      </c>
      <c r="J267" s="197">
        <f>J316+J311+J305+J283+J268</f>
        <v>2625620</v>
      </c>
      <c r="K267" s="197">
        <f>K316+K311+K305+K283+K268</f>
        <v>2678120</v>
      </c>
      <c r="L267" s="623"/>
      <c r="M267" s="197">
        <f>M268+M283+M305+M311+M316</f>
        <v>15018400</v>
      </c>
      <c r="N267" s="197">
        <f>N268+N283+N305+N311+N316</f>
        <v>8250000</v>
      </c>
      <c r="O267" s="197"/>
    </row>
    <row r="268" spans="2:15" ht="15.75" x14ac:dyDescent="0.25">
      <c r="B268" s="196">
        <f>B267+1</f>
        <v>2</v>
      </c>
      <c r="C268" s="200">
        <v>1</v>
      </c>
      <c r="D268" s="694" t="s">
        <v>161</v>
      </c>
      <c r="E268" s="695"/>
      <c r="F268" s="695"/>
      <c r="G268" s="695"/>
      <c r="H268" s="695"/>
      <c r="I268" s="201">
        <f>I269+I270+I271+I279</f>
        <v>1584499</v>
      </c>
      <c r="J268" s="201">
        <f>J269+J270+J271+J279</f>
        <v>1640770</v>
      </c>
      <c r="K268" s="201">
        <f>K269+K270+K271+K279</f>
        <v>1693770</v>
      </c>
      <c r="L268" s="624"/>
      <c r="M268" s="201">
        <f>M280</f>
        <v>26700</v>
      </c>
      <c r="N268" s="201"/>
      <c r="O268" s="201"/>
    </row>
    <row r="269" spans="2:15" x14ac:dyDescent="0.2">
      <c r="B269" s="196">
        <f>B268+1</f>
        <v>3</v>
      </c>
      <c r="C269" s="204"/>
      <c r="D269" s="204"/>
      <c r="E269" s="204"/>
      <c r="F269" s="205" t="s">
        <v>160</v>
      </c>
      <c r="G269" s="206">
        <v>610</v>
      </c>
      <c r="H269" s="204" t="s">
        <v>141</v>
      </c>
      <c r="I269" s="207">
        <f>804000+180000+36000</f>
        <v>1020000</v>
      </c>
      <c r="J269" s="207">
        <v>1060000</v>
      </c>
      <c r="K269" s="207">
        <v>1100000</v>
      </c>
      <c r="L269" s="625"/>
      <c r="M269" s="207"/>
      <c r="N269" s="207"/>
      <c r="O269" s="207"/>
    </row>
    <row r="270" spans="2:15" x14ac:dyDescent="0.2">
      <c r="B270" s="196">
        <f t="shared" ref="B270:B319" si="17">B269+1</f>
        <v>4</v>
      </c>
      <c r="C270" s="204"/>
      <c r="D270" s="204"/>
      <c r="E270" s="204"/>
      <c r="F270" s="205" t="s">
        <v>160</v>
      </c>
      <c r="G270" s="206">
        <v>620</v>
      </c>
      <c r="H270" s="204" t="s">
        <v>134</v>
      </c>
      <c r="I270" s="207">
        <f>102000+20000+9000+104000+7000+19000+7000+35000+21000</f>
        <v>324000</v>
      </c>
      <c r="J270" s="207">
        <v>335000</v>
      </c>
      <c r="K270" s="207">
        <v>343000</v>
      </c>
      <c r="L270" s="625"/>
      <c r="M270" s="207"/>
      <c r="N270" s="207"/>
      <c r="O270" s="207"/>
    </row>
    <row r="271" spans="2:15" x14ac:dyDescent="0.2">
      <c r="B271" s="196">
        <f t="shared" si="17"/>
        <v>5</v>
      </c>
      <c r="C271" s="204"/>
      <c r="D271" s="204"/>
      <c r="E271" s="204"/>
      <c r="F271" s="205" t="s">
        <v>160</v>
      </c>
      <c r="G271" s="206">
        <v>630</v>
      </c>
      <c r="H271" s="204" t="s">
        <v>131</v>
      </c>
      <c r="I271" s="207">
        <f>I278+I277+I276+I275+I274+I273+I272</f>
        <v>200339</v>
      </c>
      <c r="J271" s="207">
        <f>J278+J277+J276+J275+J274+J273+J272</f>
        <v>205610</v>
      </c>
      <c r="K271" s="207">
        <f>K278+K277+K276+K275+K274+K273+K272</f>
        <v>210610</v>
      </c>
      <c r="L271" s="625"/>
      <c r="M271" s="207"/>
      <c r="N271" s="207"/>
      <c r="O271" s="207"/>
    </row>
    <row r="272" spans="2:15" x14ac:dyDescent="0.2">
      <c r="B272" s="196">
        <f t="shared" si="17"/>
        <v>6</v>
      </c>
      <c r="C272" s="210"/>
      <c r="D272" s="210"/>
      <c r="E272" s="210"/>
      <c r="F272" s="211"/>
      <c r="G272" s="212">
        <v>631</v>
      </c>
      <c r="H272" s="210" t="s">
        <v>137</v>
      </c>
      <c r="I272" s="213">
        <f>7830+170</f>
        <v>8000</v>
      </c>
      <c r="J272" s="213">
        <f>7830+170</f>
        <v>8000</v>
      </c>
      <c r="K272" s="213">
        <f>7830+170</f>
        <v>8000</v>
      </c>
      <c r="L272" s="626"/>
      <c r="M272" s="213"/>
      <c r="N272" s="213"/>
      <c r="O272" s="213"/>
    </row>
    <row r="273" spans="2:15" x14ac:dyDescent="0.2">
      <c r="B273" s="196">
        <f t="shared" si="17"/>
        <v>7</v>
      </c>
      <c r="C273" s="210"/>
      <c r="D273" s="210"/>
      <c r="E273" s="210"/>
      <c r="F273" s="211"/>
      <c r="G273" s="212">
        <v>632</v>
      </c>
      <c r="H273" s="210" t="s">
        <v>144</v>
      </c>
      <c r="I273" s="213">
        <v>43000</v>
      </c>
      <c r="J273" s="213">
        <v>43000</v>
      </c>
      <c r="K273" s="213">
        <v>43000</v>
      </c>
      <c r="L273" s="626"/>
      <c r="M273" s="213"/>
      <c r="N273" s="213"/>
      <c r="O273" s="213"/>
    </row>
    <row r="274" spans="2:15" x14ac:dyDescent="0.2">
      <c r="B274" s="196">
        <f t="shared" si="17"/>
        <v>8</v>
      </c>
      <c r="C274" s="210"/>
      <c r="D274" s="210"/>
      <c r="E274" s="210"/>
      <c r="F274" s="211"/>
      <c r="G274" s="212">
        <v>633</v>
      </c>
      <c r="H274" s="210" t="s">
        <v>135</v>
      </c>
      <c r="I274" s="213">
        <v>63500</v>
      </c>
      <c r="J274" s="213">
        <v>66000</v>
      </c>
      <c r="K274" s="213">
        <v>68000</v>
      </c>
      <c r="L274" s="626"/>
      <c r="M274" s="213"/>
      <c r="N274" s="213"/>
      <c r="O274" s="213"/>
    </row>
    <row r="275" spans="2:15" x14ac:dyDescent="0.2">
      <c r="B275" s="196">
        <f t="shared" si="17"/>
        <v>9</v>
      </c>
      <c r="C275" s="210"/>
      <c r="D275" s="210"/>
      <c r="E275" s="210"/>
      <c r="F275" s="211"/>
      <c r="G275" s="212">
        <v>634</v>
      </c>
      <c r="H275" s="210" t="s">
        <v>142</v>
      </c>
      <c r="I275" s="213">
        <f>26000+10000+5400+180-500-600-870</f>
        <v>39610</v>
      </c>
      <c r="J275" s="213">
        <f>26000+10000+5400+180-500-600-870</f>
        <v>39610</v>
      </c>
      <c r="K275" s="213">
        <f>26000+10000+5400+180-500-600-870</f>
        <v>39610</v>
      </c>
      <c r="L275" s="626"/>
      <c r="M275" s="213"/>
      <c r="N275" s="213"/>
      <c r="O275" s="213"/>
    </row>
    <row r="276" spans="2:15" x14ac:dyDescent="0.2">
      <c r="B276" s="196">
        <f t="shared" si="17"/>
        <v>10</v>
      </c>
      <c r="C276" s="210"/>
      <c r="D276" s="210"/>
      <c r="E276" s="210"/>
      <c r="F276" s="211"/>
      <c r="G276" s="212">
        <v>635</v>
      </c>
      <c r="H276" s="210" t="s">
        <v>143</v>
      </c>
      <c r="I276" s="213">
        <f>200+500+200+200+2000+600+10000-7416</f>
        <v>6284</v>
      </c>
      <c r="J276" s="213">
        <v>7000</v>
      </c>
      <c r="K276" s="213">
        <v>7000</v>
      </c>
      <c r="L276" s="626"/>
      <c r="M276" s="213"/>
      <c r="N276" s="213"/>
      <c r="O276" s="213"/>
    </row>
    <row r="277" spans="2:15" x14ac:dyDescent="0.2">
      <c r="B277" s="196">
        <f t="shared" si="17"/>
        <v>11</v>
      </c>
      <c r="C277" s="210"/>
      <c r="D277" s="210"/>
      <c r="E277" s="210"/>
      <c r="F277" s="211"/>
      <c r="G277" s="212">
        <v>636</v>
      </c>
      <c r="H277" s="210" t="s">
        <v>136</v>
      </c>
      <c r="I277" s="213">
        <v>2000</v>
      </c>
      <c r="J277" s="213">
        <v>2000</v>
      </c>
      <c r="K277" s="213">
        <v>2000</v>
      </c>
      <c r="L277" s="626"/>
      <c r="M277" s="213"/>
      <c r="N277" s="213"/>
      <c r="O277" s="213"/>
    </row>
    <row r="278" spans="2:15" x14ac:dyDescent="0.2">
      <c r="B278" s="196">
        <f t="shared" si="17"/>
        <v>12</v>
      </c>
      <c r="C278" s="210"/>
      <c r="D278" s="210"/>
      <c r="E278" s="210"/>
      <c r="F278" s="211"/>
      <c r="G278" s="212">
        <v>637</v>
      </c>
      <c r="H278" s="210" t="s">
        <v>132</v>
      </c>
      <c r="I278" s="213">
        <f>38000-55</f>
        <v>37945</v>
      </c>
      <c r="J278" s="213">
        <v>40000</v>
      </c>
      <c r="K278" s="213">
        <v>43000</v>
      </c>
      <c r="L278" s="626"/>
      <c r="M278" s="213"/>
      <c r="N278" s="213"/>
      <c r="O278" s="213"/>
    </row>
    <row r="279" spans="2:15" x14ac:dyDescent="0.2">
      <c r="B279" s="196">
        <f t="shared" si="17"/>
        <v>13</v>
      </c>
      <c r="C279" s="204"/>
      <c r="D279" s="204"/>
      <c r="E279" s="204"/>
      <c r="F279" s="205" t="s">
        <v>160</v>
      </c>
      <c r="G279" s="206">
        <v>640</v>
      </c>
      <c r="H279" s="204" t="s">
        <v>139</v>
      </c>
      <c r="I279" s="207">
        <f>160+1000+1000+30000+8000</f>
        <v>40160</v>
      </c>
      <c r="J279" s="207">
        <f>160+1000+1000+30000+8000</f>
        <v>40160</v>
      </c>
      <c r="K279" s="207">
        <f>160+1000+1000+30000+8000</f>
        <v>40160</v>
      </c>
      <c r="L279" s="625"/>
      <c r="M279" s="207"/>
      <c r="N279" s="207"/>
      <c r="O279" s="207"/>
    </row>
    <row r="280" spans="2:15" x14ac:dyDescent="0.2">
      <c r="B280" s="196">
        <f t="shared" si="17"/>
        <v>14</v>
      </c>
      <c r="C280" s="204"/>
      <c r="D280" s="204"/>
      <c r="E280" s="204"/>
      <c r="F280" s="205" t="s">
        <v>160</v>
      </c>
      <c r="G280" s="206">
        <v>710</v>
      </c>
      <c r="H280" s="204" t="s">
        <v>185</v>
      </c>
      <c r="I280" s="207"/>
      <c r="J280" s="207"/>
      <c r="K280" s="207"/>
      <c r="L280" s="625"/>
      <c r="M280" s="207">
        <f t="shared" ref="M280:M281" si="18">M281</f>
        <v>26700</v>
      </c>
      <c r="N280" s="207"/>
      <c r="O280" s="207"/>
    </row>
    <row r="281" spans="2:15" x14ac:dyDescent="0.2">
      <c r="B281" s="196">
        <f t="shared" si="17"/>
        <v>15</v>
      </c>
      <c r="C281" s="210"/>
      <c r="D281" s="210"/>
      <c r="E281" s="210"/>
      <c r="F281" s="205" t="s">
        <v>160</v>
      </c>
      <c r="G281" s="212">
        <v>717</v>
      </c>
      <c r="H281" s="210" t="s">
        <v>556</v>
      </c>
      <c r="I281" s="213"/>
      <c r="J281" s="213"/>
      <c r="K281" s="213"/>
      <c r="L281" s="626"/>
      <c r="M281" s="213">
        <f t="shared" si="18"/>
        <v>26700</v>
      </c>
      <c r="N281" s="213"/>
      <c r="O281" s="213"/>
    </row>
    <row r="282" spans="2:15" x14ac:dyDescent="0.2">
      <c r="B282" s="196">
        <f t="shared" si="17"/>
        <v>16</v>
      </c>
      <c r="C282" s="221"/>
      <c r="D282" s="221"/>
      <c r="E282" s="221"/>
      <c r="F282" s="223"/>
      <c r="G282" s="223"/>
      <c r="H282" s="221" t="s">
        <v>891</v>
      </c>
      <c r="I282" s="224"/>
      <c r="J282" s="224"/>
      <c r="K282" s="224"/>
      <c r="L282" s="628"/>
      <c r="M282" s="224">
        <v>26700</v>
      </c>
      <c r="N282" s="224"/>
      <c r="O282" s="224"/>
    </row>
    <row r="283" spans="2:15" ht="15.75" x14ac:dyDescent="0.25">
      <c r="B283" s="196">
        <f t="shared" si="17"/>
        <v>17</v>
      </c>
      <c r="C283" s="200">
        <v>2</v>
      </c>
      <c r="D283" s="694" t="s">
        <v>216</v>
      </c>
      <c r="E283" s="695"/>
      <c r="F283" s="695"/>
      <c r="G283" s="695"/>
      <c r="H283" s="695"/>
      <c r="I283" s="201">
        <f>I292</f>
        <v>987000</v>
      </c>
      <c r="J283" s="201">
        <f t="shared" ref="J283:K283" si="19">J292</f>
        <v>885300</v>
      </c>
      <c r="K283" s="201">
        <f t="shared" si="19"/>
        <v>884800</v>
      </c>
      <c r="L283" s="624"/>
      <c r="M283" s="201">
        <f>M284+M292</f>
        <v>14961700</v>
      </c>
      <c r="N283" s="201">
        <f>N284+N292</f>
        <v>8250000</v>
      </c>
      <c r="O283" s="201"/>
    </row>
    <row r="284" spans="2:15" x14ac:dyDescent="0.2">
      <c r="B284" s="196">
        <f t="shared" si="17"/>
        <v>18</v>
      </c>
      <c r="C284" s="204"/>
      <c r="D284" s="204"/>
      <c r="E284" s="204"/>
      <c r="F284" s="205" t="s">
        <v>215</v>
      </c>
      <c r="G284" s="206">
        <v>710</v>
      </c>
      <c r="H284" s="204" t="s">
        <v>185</v>
      </c>
      <c r="I284" s="207"/>
      <c r="J284" s="207"/>
      <c r="K284" s="207"/>
      <c r="L284" s="625"/>
      <c r="M284" s="207">
        <f>M285+M290</f>
        <v>14959700</v>
      </c>
      <c r="N284" s="207">
        <f>N285+N290</f>
        <v>8250000</v>
      </c>
      <c r="O284" s="207"/>
    </row>
    <row r="285" spans="2:15" x14ac:dyDescent="0.2">
      <c r="B285" s="196">
        <f t="shared" si="17"/>
        <v>19</v>
      </c>
      <c r="C285" s="210"/>
      <c r="D285" s="210"/>
      <c r="E285" s="210"/>
      <c r="F285" s="211"/>
      <c r="G285" s="212">
        <v>716</v>
      </c>
      <c r="H285" s="210" t="s">
        <v>226</v>
      </c>
      <c r="I285" s="213"/>
      <c r="J285" s="213"/>
      <c r="K285" s="213"/>
      <c r="L285" s="626"/>
      <c r="M285" s="213">
        <f>SUM(M286:M289)</f>
        <v>157700</v>
      </c>
      <c r="N285" s="213"/>
      <c r="O285" s="213"/>
    </row>
    <row r="286" spans="2:15" x14ac:dyDescent="0.2">
      <c r="B286" s="196">
        <f t="shared" si="17"/>
        <v>20</v>
      </c>
      <c r="C286" s="221"/>
      <c r="D286" s="221"/>
      <c r="E286" s="221"/>
      <c r="F286" s="223"/>
      <c r="G286" s="223"/>
      <c r="H286" s="221" t="s">
        <v>892</v>
      </c>
      <c r="I286" s="224"/>
      <c r="J286" s="224"/>
      <c r="K286" s="224"/>
      <c r="L286" s="628"/>
      <c r="M286" s="224">
        <v>2700</v>
      </c>
      <c r="N286" s="224"/>
      <c r="O286" s="224"/>
    </row>
    <row r="287" spans="2:15" x14ac:dyDescent="0.2">
      <c r="B287" s="196">
        <f t="shared" si="17"/>
        <v>21</v>
      </c>
      <c r="C287" s="221"/>
      <c r="D287" s="221"/>
      <c r="E287" s="221"/>
      <c r="F287" s="223"/>
      <c r="G287" s="223"/>
      <c r="H287" s="221" t="s">
        <v>893</v>
      </c>
      <c r="I287" s="224"/>
      <c r="J287" s="224"/>
      <c r="K287" s="224"/>
      <c r="L287" s="628"/>
      <c r="M287" s="224">
        <v>148000</v>
      </c>
      <c r="N287" s="224"/>
      <c r="O287" s="224"/>
    </row>
    <row r="288" spans="2:15" x14ac:dyDescent="0.2">
      <c r="B288" s="196">
        <f t="shared" si="17"/>
        <v>22</v>
      </c>
      <c r="C288" s="221"/>
      <c r="D288" s="221"/>
      <c r="E288" s="221"/>
      <c r="F288" s="223"/>
      <c r="G288" s="223"/>
      <c r="H288" s="221" t="s">
        <v>1192</v>
      </c>
      <c r="I288" s="224"/>
      <c r="J288" s="224"/>
      <c r="K288" s="224"/>
      <c r="L288" s="628"/>
      <c r="M288" s="224">
        <v>3500</v>
      </c>
      <c r="N288" s="224"/>
      <c r="O288" s="224"/>
    </row>
    <row r="289" spans="2:15" x14ac:dyDescent="0.2">
      <c r="B289" s="196">
        <f t="shared" si="17"/>
        <v>23</v>
      </c>
      <c r="C289" s="221"/>
      <c r="D289" s="221"/>
      <c r="E289" s="221"/>
      <c r="F289" s="223"/>
      <c r="G289" s="223"/>
      <c r="H289" s="221" t="s">
        <v>1193</v>
      </c>
      <c r="I289" s="224"/>
      <c r="J289" s="224"/>
      <c r="K289" s="224"/>
      <c r="L289" s="628"/>
      <c r="M289" s="224">
        <v>3500</v>
      </c>
      <c r="N289" s="224"/>
      <c r="O289" s="224"/>
    </row>
    <row r="290" spans="2:15" x14ac:dyDescent="0.2">
      <c r="B290" s="196">
        <f t="shared" si="17"/>
        <v>24</v>
      </c>
      <c r="C290" s="210"/>
      <c r="D290" s="210"/>
      <c r="E290" s="210"/>
      <c r="F290" s="211"/>
      <c r="G290" s="212">
        <v>717</v>
      </c>
      <c r="H290" s="210" t="s">
        <v>192</v>
      </c>
      <c r="I290" s="213"/>
      <c r="J290" s="213"/>
      <c r="K290" s="213"/>
      <c r="L290" s="626"/>
      <c r="M290" s="213">
        <f>SUM(M291:M291)</f>
        <v>14802000</v>
      </c>
      <c r="N290" s="213">
        <f>SUM(N291:N291)</f>
        <v>8250000</v>
      </c>
      <c r="O290" s="213"/>
    </row>
    <row r="291" spans="2:15" x14ac:dyDescent="0.2">
      <c r="B291" s="196">
        <f t="shared" si="17"/>
        <v>25</v>
      </c>
      <c r="C291" s="221"/>
      <c r="D291" s="221"/>
      <c r="E291" s="221"/>
      <c r="F291" s="223"/>
      <c r="G291" s="223"/>
      <c r="H291" s="221" t="s">
        <v>893</v>
      </c>
      <c r="I291" s="224"/>
      <c r="J291" s="224"/>
      <c r="K291" s="224"/>
      <c r="L291" s="628"/>
      <c r="M291" s="224">
        <f>6440000+8362000</f>
        <v>14802000</v>
      </c>
      <c r="N291" s="224">
        <v>8250000</v>
      </c>
      <c r="O291" s="224"/>
    </row>
    <row r="292" spans="2:15" ht="14.25" x14ac:dyDescent="0.2">
      <c r="B292" s="196">
        <f t="shared" si="17"/>
        <v>26</v>
      </c>
      <c r="C292" s="227"/>
      <c r="D292" s="227"/>
      <c r="E292" s="227">
        <v>2</v>
      </c>
      <c r="F292" s="228"/>
      <c r="G292" s="228"/>
      <c r="H292" s="227" t="s">
        <v>13</v>
      </c>
      <c r="I292" s="229">
        <f>I293+I294+I295+I301</f>
        <v>987000</v>
      </c>
      <c r="J292" s="229">
        <f>J293+J294+J295+J301</f>
        <v>885300</v>
      </c>
      <c r="K292" s="229">
        <f>K293+K294+K295+K301</f>
        <v>884800</v>
      </c>
      <c r="L292" s="627"/>
      <c r="M292" s="229">
        <f>M302</f>
        <v>2000</v>
      </c>
      <c r="N292" s="229"/>
      <c r="O292" s="229"/>
    </row>
    <row r="293" spans="2:15" x14ac:dyDescent="0.2">
      <c r="B293" s="196">
        <f t="shared" si="17"/>
        <v>27</v>
      </c>
      <c r="C293" s="204"/>
      <c r="D293" s="204"/>
      <c r="E293" s="204"/>
      <c r="F293" s="205" t="s">
        <v>215</v>
      </c>
      <c r="G293" s="206">
        <v>610</v>
      </c>
      <c r="H293" s="204" t="s">
        <v>141</v>
      </c>
      <c r="I293" s="207">
        <v>68250</v>
      </c>
      <c r="J293" s="207">
        <v>71000</v>
      </c>
      <c r="K293" s="207">
        <v>73000</v>
      </c>
      <c r="L293" s="625"/>
      <c r="M293" s="207"/>
      <c r="N293" s="207"/>
      <c r="O293" s="207"/>
    </row>
    <row r="294" spans="2:15" x14ac:dyDescent="0.2">
      <c r="B294" s="196">
        <f t="shared" si="17"/>
        <v>28</v>
      </c>
      <c r="C294" s="204"/>
      <c r="D294" s="204"/>
      <c r="E294" s="204"/>
      <c r="F294" s="205" t="s">
        <v>215</v>
      </c>
      <c r="G294" s="206">
        <v>620</v>
      </c>
      <c r="H294" s="204" t="s">
        <v>134</v>
      </c>
      <c r="I294" s="207">
        <v>28450</v>
      </c>
      <c r="J294" s="207">
        <v>29000</v>
      </c>
      <c r="K294" s="207">
        <v>29500</v>
      </c>
      <c r="L294" s="625"/>
      <c r="M294" s="207"/>
      <c r="N294" s="207"/>
      <c r="O294" s="207"/>
    </row>
    <row r="295" spans="2:15" x14ac:dyDescent="0.2">
      <c r="B295" s="196">
        <f t="shared" si="17"/>
        <v>29</v>
      </c>
      <c r="C295" s="204"/>
      <c r="D295" s="204"/>
      <c r="E295" s="204"/>
      <c r="F295" s="205" t="s">
        <v>215</v>
      </c>
      <c r="G295" s="206">
        <v>630</v>
      </c>
      <c r="H295" s="204" t="s">
        <v>131</v>
      </c>
      <c r="I295" s="207">
        <f>I300+I299+I298+I297+I296</f>
        <v>887000</v>
      </c>
      <c r="J295" s="207">
        <f>J300+J299+J298+J297+J296</f>
        <v>782000</v>
      </c>
      <c r="K295" s="207">
        <f>K300+K299+K298+K297+K296</f>
        <v>779000</v>
      </c>
      <c r="L295" s="625"/>
      <c r="M295" s="207"/>
      <c r="N295" s="207"/>
      <c r="O295" s="207"/>
    </row>
    <row r="296" spans="2:15" x14ac:dyDescent="0.2">
      <c r="B296" s="196">
        <f t="shared" si="17"/>
        <v>30</v>
      </c>
      <c r="C296" s="210"/>
      <c r="D296" s="210"/>
      <c r="E296" s="210"/>
      <c r="F296" s="211"/>
      <c r="G296" s="212">
        <v>632</v>
      </c>
      <c r="H296" s="210" t="s">
        <v>144</v>
      </c>
      <c r="I296" s="213">
        <v>780000</v>
      </c>
      <c r="J296" s="213">
        <v>680000</v>
      </c>
      <c r="K296" s="213">
        <v>680000</v>
      </c>
      <c r="L296" s="626"/>
      <c r="M296" s="213"/>
      <c r="N296" s="213"/>
      <c r="O296" s="213"/>
    </row>
    <row r="297" spans="2:15" x14ac:dyDescent="0.2">
      <c r="B297" s="196">
        <f t="shared" si="17"/>
        <v>31</v>
      </c>
      <c r="C297" s="210"/>
      <c r="D297" s="210"/>
      <c r="E297" s="210"/>
      <c r="F297" s="211"/>
      <c r="G297" s="212">
        <v>633</v>
      </c>
      <c r="H297" s="210" t="s">
        <v>135</v>
      </c>
      <c r="I297" s="213">
        <v>38000</v>
      </c>
      <c r="J297" s="213">
        <v>35000</v>
      </c>
      <c r="K297" s="213">
        <v>35000</v>
      </c>
      <c r="L297" s="626"/>
      <c r="M297" s="213"/>
      <c r="N297" s="213"/>
      <c r="O297" s="213"/>
    </row>
    <row r="298" spans="2:15" x14ac:dyDescent="0.2">
      <c r="B298" s="196">
        <f t="shared" si="17"/>
        <v>32</v>
      </c>
      <c r="C298" s="210"/>
      <c r="D298" s="210"/>
      <c r="E298" s="210"/>
      <c r="F298" s="211"/>
      <c r="G298" s="212">
        <v>634</v>
      </c>
      <c r="H298" s="210" t="s">
        <v>142</v>
      </c>
      <c r="I298" s="213">
        <v>7000</v>
      </c>
      <c r="J298" s="213">
        <v>7000</v>
      </c>
      <c r="K298" s="213">
        <v>7000</v>
      </c>
      <c r="L298" s="626"/>
      <c r="M298" s="213"/>
      <c r="N298" s="213"/>
      <c r="O298" s="213"/>
    </row>
    <row r="299" spans="2:15" x14ac:dyDescent="0.2">
      <c r="B299" s="196">
        <f t="shared" si="17"/>
        <v>33</v>
      </c>
      <c r="C299" s="210"/>
      <c r="D299" s="210"/>
      <c r="E299" s="210"/>
      <c r="F299" s="211"/>
      <c r="G299" s="212">
        <v>635</v>
      </c>
      <c r="H299" s="210" t="s">
        <v>143</v>
      </c>
      <c r="I299" s="213">
        <v>20000</v>
      </c>
      <c r="J299" s="213">
        <v>18000</v>
      </c>
      <c r="K299" s="213">
        <v>15000</v>
      </c>
      <c r="L299" s="626"/>
      <c r="M299" s="213"/>
      <c r="N299" s="213"/>
      <c r="O299" s="213"/>
    </row>
    <row r="300" spans="2:15" x14ac:dyDescent="0.2">
      <c r="B300" s="196">
        <f t="shared" si="17"/>
        <v>34</v>
      </c>
      <c r="C300" s="210"/>
      <c r="D300" s="210"/>
      <c r="E300" s="210"/>
      <c r="F300" s="211"/>
      <c r="G300" s="212">
        <v>637</v>
      </c>
      <c r="H300" s="210" t="s">
        <v>132</v>
      </c>
      <c r="I300" s="213">
        <v>42000</v>
      </c>
      <c r="J300" s="213">
        <v>42000</v>
      </c>
      <c r="K300" s="213">
        <v>42000</v>
      </c>
      <c r="L300" s="626"/>
      <c r="M300" s="213"/>
      <c r="N300" s="213"/>
      <c r="O300" s="213"/>
    </row>
    <row r="301" spans="2:15" x14ac:dyDescent="0.2">
      <c r="B301" s="196">
        <f t="shared" si="17"/>
        <v>35</v>
      </c>
      <c r="C301" s="204"/>
      <c r="D301" s="204"/>
      <c r="E301" s="204"/>
      <c r="F301" s="205" t="s">
        <v>215</v>
      </c>
      <c r="G301" s="206">
        <v>640</v>
      </c>
      <c r="H301" s="204" t="s">
        <v>139</v>
      </c>
      <c r="I301" s="207">
        <v>3300</v>
      </c>
      <c r="J301" s="207">
        <v>3300</v>
      </c>
      <c r="K301" s="207">
        <v>3300</v>
      </c>
      <c r="L301" s="625"/>
      <c r="M301" s="207"/>
      <c r="N301" s="207"/>
      <c r="O301" s="207"/>
    </row>
    <row r="302" spans="2:15" x14ac:dyDescent="0.2">
      <c r="B302" s="196">
        <f t="shared" si="17"/>
        <v>36</v>
      </c>
      <c r="C302" s="204"/>
      <c r="D302" s="204"/>
      <c r="E302" s="204"/>
      <c r="F302" s="205" t="s">
        <v>215</v>
      </c>
      <c r="G302" s="206">
        <v>710</v>
      </c>
      <c r="H302" s="204" t="s">
        <v>185</v>
      </c>
      <c r="I302" s="207"/>
      <c r="J302" s="207"/>
      <c r="K302" s="207"/>
      <c r="L302" s="625"/>
      <c r="M302" s="207">
        <f t="shared" ref="M302:M303" si="20">M303</f>
        <v>2000</v>
      </c>
      <c r="N302" s="207"/>
      <c r="O302" s="207"/>
    </row>
    <row r="303" spans="2:15" x14ac:dyDescent="0.2">
      <c r="B303" s="196">
        <f t="shared" si="17"/>
        <v>37</v>
      </c>
      <c r="C303" s="204"/>
      <c r="D303" s="204"/>
      <c r="E303" s="204"/>
      <c r="F303" s="205"/>
      <c r="G303" s="212">
        <v>713</v>
      </c>
      <c r="H303" s="210" t="s">
        <v>230</v>
      </c>
      <c r="I303" s="207"/>
      <c r="J303" s="207"/>
      <c r="K303" s="207"/>
      <c r="L303" s="625"/>
      <c r="M303" s="213">
        <f t="shared" si="20"/>
        <v>2000</v>
      </c>
      <c r="N303" s="213"/>
      <c r="O303" s="213"/>
    </row>
    <row r="304" spans="2:15" x14ac:dyDescent="0.2">
      <c r="B304" s="196">
        <f t="shared" si="17"/>
        <v>38</v>
      </c>
      <c r="C304" s="204"/>
      <c r="D304" s="204"/>
      <c r="E304" s="204"/>
      <c r="F304" s="205"/>
      <c r="G304" s="223"/>
      <c r="H304" s="221" t="s">
        <v>950</v>
      </c>
      <c r="I304" s="224"/>
      <c r="J304" s="224"/>
      <c r="K304" s="224"/>
      <c r="L304" s="628"/>
      <c r="M304" s="224">
        <v>2000</v>
      </c>
      <c r="N304" s="224"/>
      <c r="O304" s="224"/>
    </row>
    <row r="305" spans="2:15" ht="15.75" x14ac:dyDescent="0.25">
      <c r="B305" s="196">
        <f t="shared" si="17"/>
        <v>39</v>
      </c>
      <c r="C305" s="200">
        <v>3</v>
      </c>
      <c r="D305" s="694" t="s">
        <v>242</v>
      </c>
      <c r="E305" s="695"/>
      <c r="F305" s="695"/>
      <c r="G305" s="695"/>
      <c r="H305" s="695"/>
      <c r="I305" s="201">
        <f t="shared" ref="I305:K306" si="21">I306</f>
        <v>11750</v>
      </c>
      <c r="J305" s="201">
        <f t="shared" si="21"/>
        <v>11750</v>
      </c>
      <c r="K305" s="201">
        <f t="shared" si="21"/>
        <v>11750</v>
      </c>
      <c r="L305" s="624"/>
      <c r="M305" s="201">
        <f>M308</f>
        <v>30000</v>
      </c>
      <c r="N305" s="201"/>
      <c r="O305" s="201"/>
    </row>
    <row r="306" spans="2:15" x14ac:dyDescent="0.2">
      <c r="B306" s="196">
        <f t="shared" si="17"/>
        <v>40</v>
      </c>
      <c r="C306" s="204"/>
      <c r="D306" s="204"/>
      <c r="E306" s="204"/>
      <c r="F306" s="205" t="s">
        <v>202</v>
      </c>
      <c r="G306" s="206">
        <v>630</v>
      </c>
      <c r="H306" s="204" t="s">
        <v>131</v>
      </c>
      <c r="I306" s="207">
        <f t="shared" si="21"/>
        <v>11750</v>
      </c>
      <c r="J306" s="207">
        <f t="shared" si="21"/>
        <v>11750</v>
      </c>
      <c r="K306" s="207">
        <f t="shared" si="21"/>
        <v>11750</v>
      </c>
      <c r="L306" s="625"/>
      <c r="M306" s="207"/>
      <c r="N306" s="207"/>
      <c r="O306" s="207"/>
    </row>
    <row r="307" spans="2:15" x14ac:dyDescent="0.2">
      <c r="B307" s="196">
        <f t="shared" si="17"/>
        <v>41</v>
      </c>
      <c r="C307" s="210"/>
      <c r="D307" s="210"/>
      <c r="E307" s="210"/>
      <c r="F307" s="211"/>
      <c r="G307" s="212">
        <v>635</v>
      </c>
      <c r="H307" s="210" t="s">
        <v>143</v>
      </c>
      <c r="I307" s="213">
        <v>11750</v>
      </c>
      <c r="J307" s="213">
        <v>11750</v>
      </c>
      <c r="K307" s="213">
        <v>11750</v>
      </c>
      <c r="L307" s="626"/>
      <c r="M307" s="213"/>
      <c r="N307" s="213"/>
      <c r="O307" s="213"/>
    </row>
    <row r="308" spans="2:15" x14ac:dyDescent="0.2">
      <c r="B308" s="196">
        <f t="shared" si="17"/>
        <v>42</v>
      </c>
      <c r="C308" s="204"/>
      <c r="D308" s="204"/>
      <c r="E308" s="204"/>
      <c r="F308" s="205" t="s">
        <v>202</v>
      </c>
      <c r="G308" s="206">
        <v>710</v>
      </c>
      <c r="H308" s="204" t="s">
        <v>185</v>
      </c>
      <c r="I308" s="207"/>
      <c r="J308" s="207"/>
      <c r="K308" s="207"/>
      <c r="L308" s="625"/>
      <c r="M308" s="207">
        <f>M309</f>
        <v>30000</v>
      </c>
      <c r="N308" s="207"/>
      <c r="O308" s="207"/>
    </row>
    <row r="309" spans="2:15" x14ac:dyDescent="0.2">
      <c r="B309" s="196">
        <f t="shared" si="17"/>
        <v>43</v>
      </c>
      <c r="C309" s="210"/>
      <c r="D309" s="210"/>
      <c r="E309" s="210"/>
      <c r="F309" s="211"/>
      <c r="G309" s="212">
        <v>713</v>
      </c>
      <c r="H309" s="210" t="s">
        <v>230</v>
      </c>
      <c r="I309" s="213"/>
      <c r="J309" s="213"/>
      <c r="K309" s="213"/>
      <c r="L309" s="626"/>
      <c r="M309" s="213">
        <f>M310</f>
        <v>30000</v>
      </c>
      <c r="N309" s="213"/>
      <c r="O309" s="213"/>
    </row>
    <row r="310" spans="2:15" x14ac:dyDescent="0.2">
      <c r="B310" s="196">
        <f t="shared" si="17"/>
        <v>44</v>
      </c>
      <c r="C310" s="221"/>
      <c r="D310" s="221"/>
      <c r="E310" s="221"/>
      <c r="F310" s="223"/>
      <c r="G310" s="223"/>
      <c r="H310" s="221" t="s">
        <v>377</v>
      </c>
      <c r="I310" s="224"/>
      <c r="J310" s="224"/>
      <c r="K310" s="224"/>
      <c r="L310" s="628"/>
      <c r="M310" s="224">
        <v>30000</v>
      </c>
      <c r="N310" s="224"/>
      <c r="O310" s="224"/>
    </row>
    <row r="311" spans="2:15" ht="15.75" x14ac:dyDescent="0.25">
      <c r="B311" s="196">
        <f t="shared" si="17"/>
        <v>45</v>
      </c>
      <c r="C311" s="200">
        <v>4</v>
      </c>
      <c r="D311" s="694" t="s">
        <v>167</v>
      </c>
      <c r="E311" s="695"/>
      <c r="F311" s="695"/>
      <c r="G311" s="695"/>
      <c r="H311" s="695"/>
      <c r="I311" s="201">
        <f>I312</f>
        <v>44000</v>
      </c>
      <c r="J311" s="201">
        <f>J312</f>
        <v>44000</v>
      </c>
      <c r="K311" s="201">
        <f>K312</f>
        <v>44000</v>
      </c>
      <c r="L311" s="624"/>
      <c r="M311" s="201"/>
      <c r="N311" s="201"/>
      <c r="O311" s="201"/>
    </row>
    <row r="312" spans="2:15" x14ac:dyDescent="0.2">
      <c r="B312" s="196">
        <f t="shared" si="17"/>
        <v>46</v>
      </c>
      <c r="C312" s="204"/>
      <c r="D312" s="204"/>
      <c r="E312" s="204"/>
      <c r="F312" s="205" t="s">
        <v>166</v>
      </c>
      <c r="G312" s="206">
        <v>630</v>
      </c>
      <c r="H312" s="204" t="s">
        <v>131</v>
      </c>
      <c r="I312" s="207">
        <f>SUM(I313:I315)</f>
        <v>44000</v>
      </c>
      <c r="J312" s="207">
        <f>SUM(J313:J315)</f>
        <v>44000</v>
      </c>
      <c r="K312" s="207">
        <f>SUM(K313:K315)</f>
        <v>44000</v>
      </c>
      <c r="L312" s="625"/>
      <c r="M312" s="207"/>
      <c r="N312" s="207"/>
      <c r="O312" s="207"/>
    </row>
    <row r="313" spans="2:15" x14ac:dyDescent="0.2">
      <c r="B313" s="196">
        <f t="shared" si="17"/>
        <v>47</v>
      </c>
      <c r="C313" s="210"/>
      <c r="D313" s="210"/>
      <c r="E313" s="210"/>
      <c r="F313" s="211"/>
      <c r="G313" s="212">
        <v>633</v>
      </c>
      <c r="H313" s="210" t="s">
        <v>135</v>
      </c>
      <c r="I313" s="213">
        <v>9000</v>
      </c>
      <c r="J313" s="213">
        <v>9000</v>
      </c>
      <c r="K313" s="213">
        <v>9000</v>
      </c>
      <c r="L313" s="626"/>
      <c r="M313" s="213"/>
      <c r="N313" s="213"/>
      <c r="O313" s="213"/>
    </row>
    <row r="314" spans="2:15" x14ac:dyDescent="0.2">
      <c r="B314" s="196">
        <f t="shared" si="17"/>
        <v>48</v>
      </c>
      <c r="C314" s="210"/>
      <c r="D314" s="210"/>
      <c r="E314" s="210"/>
      <c r="F314" s="211"/>
      <c r="G314" s="212">
        <v>635</v>
      </c>
      <c r="H314" s="210" t="s">
        <v>143</v>
      </c>
      <c r="I314" s="213">
        <v>11700</v>
      </c>
      <c r="J314" s="213">
        <v>11700</v>
      </c>
      <c r="K314" s="213">
        <v>11700</v>
      </c>
      <c r="L314" s="626"/>
      <c r="M314" s="213"/>
      <c r="N314" s="213"/>
      <c r="O314" s="213"/>
    </row>
    <row r="315" spans="2:15" x14ac:dyDescent="0.2">
      <c r="B315" s="196">
        <f t="shared" si="17"/>
        <v>49</v>
      </c>
      <c r="C315" s="210"/>
      <c r="D315" s="210"/>
      <c r="E315" s="210"/>
      <c r="F315" s="211"/>
      <c r="G315" s="212">
        <v>637</v>
      </c>
      <c r="H315" s="210" t="s">
        <v>132</v>
      </c>
      <c r="I315" s="213">
        <f>12000+9500+1800</f>
        <v>23300</v>
      </c>
      <c r="J315" s="213">
        <f>12000+9500+1800</f>
        <v>23300</v>
      </c>
      <c r="K315" s="213">
        <f>12000+9500+1800</f>
        <v>23300</v>
      </c>
      <c r="L315" s="626"/>
      <c r="M315" s="213"/>
      <c r="N315" s="213"/>
      <c r="O315" s="213"/>
    </row>
    <row r="316" spans="2:15" ht="15.75" x14ac:dyDescent="0.25">
      <c r="B316" s="196">
        <f t="shared" si="17"/>
        <v>50</v>
      </c>
      <c r="C316" s="200">
        <v>5</v>
      </c>
      <c r="D316" s="694" t="s">
        <v>157</v>
      </c>
      <c r="E316" s="695"/>
      <c r="F316" s="695"/>
      <c r="G316" s="695"/>
      <c r="H316" s="695"/>
      <c r="I316" s="201">
        <f>I318+I322+I317</f>
        <v>43800</v>
      </c>
      <c r="J316" s="201">
        <f>J318+J322+J317</f>
        <v>43800</v>
      </c>
      <c r="K316" s="201">
        <f>K318+K322+K317</f>
        <v>43800</v>
      </c>
      <c r="L316" s="624"/>
      <c r="M316" s="201"/>
      <c r="N316" s="201"/>
      <c r="O316" s="201"/>
    </row>
    <row r="317" spans="2:15" x14ac:dyDescent="0.2">
      <c r="B317" s="196">
        <f t="shared" si="17"/>
        <v>51</v>
      </c>
      <c r="C317" s="204"/>
      <c r="D317" s="204"/>
      <c r="E317" s="204"/>
      <c r="F317" s="205" t="s">
        <v>156</v>
      </c>
      <c r="G317" s="206">
        <v>620</v>
      </c>
      <c r="H317" s="204" t="s">
        <v>134</v>
      </c>
      <c r="I317" s="207">
        <v>500</v>
      </c>
      <c r="J317" s="207">
        <v>500</v>
      </c>
      <c r="K317" s="207">
        <v>500</v>
      </c>
      <c r="L317" s="625"/>
      <c r="M317" s="207"/>
      <c r="N317" s="207"/>
      <c r="O317" s="207"/>
    </row>
    <row r="318" spans="2:15" x14ac:dyDescent="0.2">
      <c r="B318" s="196">
        <f t="shared" si="17"/>
        <v>52</v>
      </c>
      <c r="C318" s="204"/>
      <c r="D318" s="204"/>
      <c r="E318" s="204"/>
      <c r="F318" s="205" t="s">
        <v>156</v>
      </c>
      <c r="G318" s="206">
        <v>630</v>
      </c>
      <c r="H318" s="204" t="s">
        <v>131</v>
      </c>
      <c r="I318" s="207">
        <f>I321+I320+I319</f>
        <v>34300</v>
      </c>
      <c r="J318" s="207">
        <f>J321+J320+J319</f>
        <v>34300</v>
      </c>
      <c r="K318" s="207">
        <f>K321+K320+K319</f>
        <v>34300</v>
      </c>
      <c r="L318" s="625"/>
      <c r="M318" s="207"/>
      <c r="N318" s="207"/>
      <c r="O318" s="207"/>
    </row>
    <row r="319" spans="2:15" x14ac:dyDescent="0.2">
      <c r="B319" s="196">
        <f t="shared" si="17"/>
        <v>53</v>
      </c>
      <c r="C319" s="210"/>
      <c r="D319" s="210"/>
      <c r="E319" s="210"/>
      <c r="F319" s="211"/>
      <c r="G319" s="212">
        <v>633</v>
      </c>
      <c r="H319" s="210" t="s">
        <v>135</v>
      </c>
      <c r="I319" s="213">
        <v>9300</v>
      </c>
      <c r="J319" s="213">
        <v>9300</v>
      </c>
      <c r="K319" s="213">
        <v>9300</v>
      </c>
      <c r="L319" s="626"/>
      <c r="M319" s="213"/>
      <c r="N319" s="213"/>
      <c r="O319" s="213"/>
    </row>
    <row r="320" spans="2:15" x14ac:dyDescent="0.2">
      <c r="B320" s="196">
        <f t="shared" ref="B320:B324" si="22">B319+1</f>
        <v>54</v>
      </c>
      <c r="C320" s="210"/>
      <c r="D320" s="210"/>
      <c r="E320" s="210"/>
      <c r="F320" s="211"/>
      <c r="G320" s="212">
        <v>634</v>
      </c>
      <c r="H320" s="210" t="s">
        <v>142</v>
      </c>
      <c r="I320" s="213">
        <v>4000</v>
      </c>
      <c r="J320" s="213">
        <v>4000</v>
      </c>
      <c r="K320" s="213">
        <v>4000</v>
      </c>
      <c r="L320" s="626"/>
      <c r="M320" s="213"/>
      <c r="N320" s="213"/>
      <c r="O320" s="213"/>
    </row>
    <row r="321" spans="2:18" x14ac:dyDescent="0.2">
      <c r="B321" s="196">
        <f t="shared" si="22"/>
        <v>55</v>
      </c>
      <c r="C321" s="210"/>
      <c r="D321" s="210"/>
      <c r="E321" s="210"/>
      <c r="F321" s="211"/>
      <c r="G321" s="212">
        <v>637</v>
      </c>
      <c r="H321" s="210" t="s">
        <v>132</v>
      </c>
      <c r="I321" s="213">
        <v>21000</v>
      </c>
      <c r="J321" s="213">
        <v>21000</v>
      </c>
      <c r="K321" s="213">
        <v>21000</v>
      </c>
      <c r="L321" s="626"/>
      <c r="M321" s="213"/>
      <c r="N321" s="213"/>
      <c r="O321" s="213"/>
    </row>
    <row r="322" spans="2:18" x14ac:dyDescent="0.2">
      <c r="B322" s="196">
        <f t="shared" si="22"/>
        <v>56</v>
      </c>
      <c r="C322" s="204"/>
      <c r="D322" s="204"/>
      <c r="E322" s="204"/>
      <c r="F322" s="205" t="s">
        <v>156</v>
      </c>
      <c r="G322" s="206">
        <v>640</v>
      </c>
      <c r="H322" s="204" t="s">
        <v>139</v>
      </c>
      <c r="I322" s="207">
        <f>I323+I324</f>
        <v>9000</v>
      </c>
      <c r="J322" s="207">
        <f>J323+J324</f>
        <v>9000</v>
      </c>
      <c r="K322" s="207">
        <f>K323+K324</f>
        <v>9000</v>
      </c>
      <c r="L322" s="625"/>
      <c r="M322" s="207"/>
      <c r="N322" s="207"/>
      <c r="O322" s="207"/>
    </row>
    <row r="323" spans="2:18" x14ac:dyDescent="0.2">
      <c r="B323" s="196">
        <f t="shared" si="22"/>
        <v>57</v>
      </c>
      <c r="C323" s="247"/>
      <c r="D323" s="247"/>
      <c r="E323" s="221"/>
      <c r="F323" s="223"/>
      <c r="G323" s="223"/>
      <c r="H323" s="221" t="s">
        <v>11</v>
      </c>
      <c r="I323" s="224">
        <v>3000</v>
      </c>
      <c r="J323" s="224">
        <v>3000</v>
      </c>
      <c r="K323" s="224">
        <v>3000</v>
      </c>
      <c r="L323" s="628"/>
      <c r="M323" s="224"/>
      <c r="N323" s="224"/>
      <c r="O323" s="224"/>
    </row>
    <row r="324" spans="2:18" x14ac:dyDescent="0.2">
      <c r="B324" s="196">
        <f t="shared" si="22"/>
        <v>58</v>
      </c>
      <c r="C324" s="247"/>
      <c r="D324" s="247"/>
      <c r="E324" s="221"/>
      <c r="F324" s="223"/>
      <c r="G324" s="223"/>
      <c r="H324" s="221" t="s">
        <v>12</v>
      </c>
      <c r="I324" s="224">
        <v>6000</v>
      </c>
      <c r="J324" s="224">
        <v>6000</v>
      </c>
      <c r="K324" s="224">
        <v>6000</v>
      </c>
      <c r="L324" s="628"/>
      <c r="M324" s="224"/>
      <c r="N324" s="224"/>
      <c r="O324" s="224"/>
    </row>
    <row r="328" spans="2:18" ht="27" x14ac:dyDescent="0.35">
      <c r="B328" s="679" t="s">
        <v>22</v>
      </c>
      <c r="C328" s="680"/>
      <c r="D328" s="680"/>
      <c r="E328" s="680"/>
      <c r="F328" s="680"/>
      <c r="G328" s="680"/>
      <c r="H328" s="680"/>
      <c r="I328" s="680"/>
      <c r="J328" s="680"/>
      <c r="K328" s="680"/>
      <c r="L328" s="680"/>
      <c r="M328" s="680"/>
      <c r="N328" s="3"/>
      <c r="O328" s="3"/>
    </row>
    <row r="329" spans="2:18" ht="12.75" customHeight="1" x14ac:dyDescent="0.2">
      <c r="B329" s="739"/>
      <c r="C329" s="739" t="s">
        <v>122</v>
      </c>
      <c r="D329" s="739" t="s">
        <v>123</v>
      </c>
      <c r="E329" s="739"/>
      <c r="F329" s="739" t="s">
        <v>124</v>
      </c>
      <c r="G329" s="740" t="s">
        <v>125</v>
      </c>
      <c r="H329" s="741" t="s">
        <v>126</v>
      </c>
      <c r="I329" s="742" t="s">
        <v>1135</v>
      </c>
      <c r="J329" s="742" t="s">
        <v>1136</v>
      </c>
      <c r="K329" s="742" t="s">
        <v>1137</v>
      </c>
      <c r="L329" s="633"/>
      <c r="M329" s="742" t="s">
        <v>1138</v>
      </c>
      <c r="N329" s="742" t="s">
        <v>1139</v>
      </c>
      <c r="O329" s="742" t="s">
        <v>1140</v>
      </c>
    </row>
    <row r="330" spans="2:18" x14ac:dyDescent="0.2">
      <c r="B330" s="681"/>
      <c r="C330" s="681"/>
      <c r="D330" s="681"/>
      <c r="E330" s="681"/>
      <c r="F330" s="681"/>
      <c r="G330" s="689"/>
      <c r="H330" s="686"/>
      <c r="I330" s="673"/>
      <c r="J330" s="673"/>
      <c r="K330" s="673"/>
      <c r="L330" s="616"/>
      <c r="M330" s="673"/>
      <c r="N330" s="673"/>
      <c r="O330" s="673"/>
    </row>
    <row r="331" spans="2:18" x14ac:dyDescent="0.2">
      <c r="B331" s="681"/>
      <c r="C331" s="681"/>
      <c r="D331" s="681"/>
      <c r="E331" s="681"/>
      <c r="F331" s="681"/>
      <c r="G331" s="689"/>
      <c r="H331" s="686"/>
      <c r="I331" s="673"/>
      <c r="J331" s="673"/>
      <c r="K331" s="673"/>
      <c r="L331" s="616"/>
      <c r="M331" s="673"/>
      <c r="N331" s="673"/>
      <c r="O331" s="673"/>
    </row>
    <row r="332" spans="2:18" x14ac:dyDescent="0.2">
      <c r="B332" s="681"/>
      <c r="C332" s="681"/>
      <c r="D332" s="681"/>
      <c r="E332" s="681"/>
      <c r="F332" s="681"/>
      <c r="G332" s="689"/>
      <c r="H332" s="686"/>
      <c r="I332" s="673"/>
      <c r="J332" s="673"/>
      <c r="K332" s="673"/>
      <c r="L332" s="616"/>
      <c r="M332" s="673"/>
      <c r="N332" s="673"/>
      <c r="O332" s="673"/>
    </row>
    <row r="333" spans="2:18" ht="15.75" x14ac:dyDescent="0.2">
      <c r="B333" s="8">
        <v>1</v>
      </c>
      <c r="C333" s="687" t="s">
        <v>22</v>
      </c>
      <c r="D333" s="688"/>
      <c r="E333" s="688"/>
      <c r="F333" s="688"/>
      <c r="G333" s="688"/>
      <c r="H333" s="688"/>
      <c r="I333" s="138">
        <f>I334+I342+I370</f>
        <v>7153756</v>
      </c>
      <c r="J333" s="138">
        <f>J334+J342+J370</f>
        <v>7310940</v>
      </c>
      <c r="K333" s="138">
        <f>K334+K342+K370</f>
        <v>7484940</v>
      </c>
      <c r="L333" s="617"/>
      <c r="M333" s="138">
        <f>M370+M342+M334</f>
        <v>2423347</v>
      </c>
      <c r="N333" s="138">
        <f>N370+N342+N334</f>
        <v>1650000</v>
      </c>
      <c r="O333" s="138">
        <f>O370+O342+O334</f>
        <v>12000000</v>
      </c>
      <c r="Q333" s="2"/>
      <c r="R333" s="2"/>
    </row>
    <row r="334" spans="2:18" ht="15.75" x14ac:dyDescent="0.25">
      <c r="B334" s="8">
        <f>B333+1</f>
        <v>2</v>
      </c>
      <c r="C334" s="141">
        <v>1</v>
      </c>
      <c r="D334" s="677" t="s">
        <v>606</v>
      </c>
      <c r="E334" s="678"/>
      <c r="F334" s="678"/>
      <c r="G334" s="678"/>
      <c r="H334" s="678"/>
      <c r="I334" s="142">
        <f>I335</f>
        <v>4146277</v>
      </c>
      <c r="J334" s="142">
        <f>J335</f>
        <v>4189600</v>
      </c>
      <c r="K334" s="142">
        <f>K335</f>
        <v>4239600</v>
      </c>
      <c r="L334" s="618"/>
      <c r="M334" s="142">
        <f>M338</f>
        <v>14000</v>
      </c>
      <c r="N334" s="142"/>
      <c r="O334" s="142"/>
    </row>
    <row r="335" spans="2:18" x14ac:dyDescent="0.2">
      <c r="B335" s="8">
        <f t="shared" ref="B335:B420" si="23">B334+1</f>
        <v>3</v>
      </c>
      <c r="C335" s="24"/>
      <c r="D335" s="24"/>
      <c r="E335" s="24"/>
      <c r="F335" s="149" t="s">
        <v>231</v>
      </c>
      <c r="G335" s="150">
        <v>640</v>
      </c>
      <c r="H335" s="24" t="s">
        <v>139</v>
      </c>
      <c r="I335" s="25">
        <f>SUM(I336:I337)</f>
        <v>4146277</v>
      </c>
      <c r="J335" s="25">
        <f>SUM(J336:J337)</f>
        <v>4189600</v>
      </c>
      <c r="K335" s="25">
        <f>SUM(K336:K337)</f>
        <v>4239600</v>
      </c>
      <c r="L335" s="620"/>
      <c r="M335" s="25"/>
      <c r="N335" s="25"/>
      <c r="O335" s="25"/>
    </row>
    <row r="336" spans="2:18" x14ac:dyDescent="0.2">
      <c r="B336" s="8">
        <f t="shared" si="23"/>
        <v>4</v>
      </c>
      <c r="C336" s="156"/>
      <c r="D336" s="156"/>
      <c r="E336" s="156"/>
      <c r="F336" s="155"/>
      <c r="G336" s="155">
        <v>644</v>
      </c>
      <c r="H336" s="156" t="s">
        <v>299</v>
      </c>
      <c r="I336" s="157">
        <v>4106677</v>
      </c>
      <c r="J336" s="157">
        <v>4150000</v>
      </c>
      <c r="K336" s="157">
        <v>4200000</v>
      </c>
      <c r="L336" s="614"/>
      <c r="M336" s="157"/>
      <c r="N336" s="157"/>
      <c r="O336" s="157"/>
    </row>
    <row r="337" spans="2:15" x14ac:dyDescent="0.2">
      <c r="B337" s="8">
        <f t="shared" si="23"/>
        <v>5</v>
      </c>
      <c r="C337" s="156"/>
      <c r="D337" s="156"/>
      <c r="E337" s="156"/>
      <c r="F337" s="155"/>
      <c r="G337" s="155">
        <v>644</v>
      </c>
      <c r="H337" s="156" t="s">
        <v>845</v>
      </c>
      <c r="I337" s="157">
        <v>39600</v>
      </c>
      <c r="J337" s="157">
        <f>I337</f>
        <v>39600</v>
      </c>
      <c r="K337" s="157">
        <f>J337</f>
        <v>39600</v>
      </c>
      <c r="L337" s="614"/>
      <c r="M337" s="157"/>
      <c r="N337" s="157"/>
      <c r="O337" s="157"/>
    </row>
    <row r="338" spans="2:15" x14ac:dyDescent="0.2">
      <c r="B338" s="8">
        <f t="shared" si="23"/>
        <v>6</v>
      </c>
      <c r="C338" s="24"/>
      <c r="D338" s="24"/>
      <c r="E338" s="24"/>
      <c r="F338" s="149" t="s">
        <v>231</v>
      </c>
      <c r="G338" s="150">
        <v>710</v>
      </c>
      <c r="H338" s="24" t="s">
        <v>185</v>
      </c>
      <c r="I338" s="25"/>
      <c r="J338" s="25"/>
      <c r="K338" s="25"/>
      <c r="L338" s="620"/>
      <c r="M338" s="25">
        <f>M339</f>
        <v>14000</v>
      </c>
      <c r="N338" s="25"/>
      <c r="O338" s="25"/>
    </row>
    <row r="339" spans="2:15" x14ac:dyDescent="0.2">
      <c r="B339" s="8">
        <f t="shared" si="23"/>
        <v>7</v>
      </c>
      <c r="C339" s="18"/>
      <c r="D339" s="18"/>
      <c r="E339" s="18"/>
      <c r="F339" s="152" t="s">
        <v>231</v>
      </c>
      <c r="G339" s="153">
        <v>716</v>
      </c>
      <c r="H339" s="18" t="s">
        <v>226</v>
      </c>
      <c r="I339" s="19"/>
      <c r="J339" s="19"/>
      <c r="K339" s="19"/>
      <c r="L339" s="621"/>
      <c r="M339" s="19">
        <f>M340+M341</f>
        <v>14000</v>
      </c>
      <c r="N339" s="19"/>
      <c r="O339" s="19"/>
    </row>
    <row r="340" spans="2:15" x14ac:dyDescent="0.2">
      <c r="B340" s="8">
        <f t="shared" si="23"/>
        <v>8</v>
      </c>
      <c r="C340" s="156"/>
      <c r="D340" s="156"/>
      <c r="E340" s="156"/>
      <c r="F340" s="155"/>
      <c r="G340" s="155"/>
      <c r="H340" s="156" t="s">
        <v>505</v>
      </c>
      <c r="I340" s="157"/>
      <c r="J340" s="157"/>
      <c r="K340" s="157"/>
      <c r="L340" s="614"/>
      <c r="M340" s="157">
        <v>10000</v>
      </c>
      <c r="N340" s="157"/>
      <c r="O340" s="157"/>
    </row>
    <row r="341" spans="2:15" x14ac:dyDescent="0.2">
      <c r="B341" s="8">
        <f t="shared" si="23"/>
        <v>9</v>
      </c>
      <c r="C341" s="156"/>
      <c r="D341" s="156"/>
      <c r="E341" s="156"/>
      <c r="F341" s="155"/>
      <c r="G341" s="155"/>
      <c r="H341" s="156" t="s">
        <v>531</v>
      </c>
      <c r="I341" s="157"/>
      <c r="J341" s="157"/>
      <c r="K341" s="157"/>
      <c r="L341" s="614"/>
      <c r="M341" s="157">
        <v>4000</v>
      </c>
      <c r="N341" s="157"/>
      <c r="O341" s="157"/>
    </row>
    <row r="342" spans="2:15" ht="15.75" x14ac:dyDescent="0.25">
      <c r="B342" s="8">
        <f t="shared" si="23"/>
        <v>10</v>
      </c>
      <c r="C342" s="141">
        <v>2</v>
      </c>
      <c r="D342" s="677" t="s">
        <v>281</v>
      </c>
      <c r="E342" s="678"/>
      <c r="F342" s="678"/>
      <c r="G342" s="678"/>
      <c r="H342" s="678"/>
      <c r="I342" s="142">
        <f>I343+I361</f>
        <v>3007479</v>
      </c>
      <c r="J342" s="142">
        <f>J343+J361</f>
        <v>3121340</v>
      </c>
      <c r="K342" s="142">
        <f>K343+K361</f>
        <v>3245340</v>
      </c>
      <c r="L342" s="618"/>
      <c r="M342" s="142">
        <f>M343+M361</f>
        <v>49690</v>
      </c>
      <c r="N342" s="142"/>
      <c r="O342" s="142"/>
    </row>
    <row r="343" spans="2:15" ht="14.25" x14ac:dyDescent="0.2">
      <c r="B343" s="8">
        <f t="shared" si="23"/>
        <v>11</v>
      </c>
      <c r="C343" s="160"/>
      <c r="D343" s="160">
        <v>1</v>
      </c>
      <c r="E343" s="675" t="s">
        <v>635</v>
      </c>
      <c r="F343" s="676"/>
      <c r="G343" s="676"/>
      <c r="H343" s="676"/>
      <c r="I343" s="161">
        <f>I344+I350</f>
        <v>2563880</v>
      </c>
      <c r="J343" s="161">
        <f>J344+J350</f>
        <v>2668340</v>
      </c>
      <c r="K343" s="161">
        <f>K344+K350</f>
        <v>2780340</v>
      </c>
      <c r="L343" s="619"/>
      <c r="M343" s="161">
        <f>M346</f>
        <v>39690</v>
      </c>
      <c r="N343" s="161"/>
      <c r="O343" s="161"/>
    </row>
    <row r="344" spans="2:15" x14ac:dyDescent="0.2">
      <c r="B344" s="8">
        <f t="shared" si="23"/>
        <v>12</v>
      </c>
      <c r="C344" s="24"/>
      <c r="D344" s="24"/>
      <c r="E344" s="24"/>
      <c r="F344" s="149" t="s">
        <v>231</v>
      </c>
      <c r="G344" s="150">
        <v>630</v>
      </c>
      <c r="H344" s="24" t="s">
        <v>131</v>
      </c>
      <c r="I344" s="25">
        <f>SUM(I345:I345)</f>
        <v>30400</v>
      </c>
      <c r="J344" s="25">
        <f>SUM(J345:J345)</f>
        <v>30400</v>
      </c>
      <c r="K344" s="25">
        <f>SUM(K345:K345)</f>
        <v>30400</v>
      </c>
      <c r="L344" s="620"/>
      <c r="M344" s="25"/>
      <c r="N344" s="25"/>
      <c r="O344" s="25"/>
    </row>
    <row r="345" spans="2:15" x14ac:dyDescent="0.2">
      <c r="B345" s="8">
        <f t="shared" si="23"/>
        <v>13</v>
      </c>
      <c r="C345" s="18"/>
      <c r="D345" s="18"/>
      <c r="E345" s="18"/>
      <c r="F345" s="152"/>
      <c r="G345" s="153">
        <v>637</v>
      </c>
      <c r="H345" s="18" t="s">
        <v>132</v>
      </c>
      <c r="I345" s="19">
        <v>30400</v>
      </c>
      <c r="J345" s="19">
        <f>I345</f>
        <v>30400</v>
      </c>
      <c r="K345" s="19">
        <f>J345</f>
        <v>30400</v>
      </c>
      <c r="L345" s="621"/>
      <c r="M345" s="19"/>
      <c r="N345" s="19"/>
      <c r="O345" s="19"/>
    </row>
    <row r="346" spans="2:15" x14ac:dyDescent="0.2">
      <c r="B346" s="8">
        <f t="shared" si="23"/>
        <v>14</v>
      </c>
      <c r="C346" s="24"/>
      <c r="D346" s="24"/>
      <c r="E346" s="24"/>
      <c r="F346" s="149" t="s">
        <v>231</v>
      </c>
      <c r="G346" s="150">
        <v>710</v>
      </c>
      <c r="H346" s="24" t="s">
        <v>185</v>
      </c>
      <c r="I346" s="25"/>
      <c r="J346" s="25"/>
      <c r="K346" s="25"/>
      <c r="L346" s="620"/>
      <c r="M346" s="25">
        <f>M347</f>
        <v>39690</v>
      </c>
      <c r="N346" s="25"/>
      <c r="O346" s="25"/>
    </row>
    <row r="347" spans="2:15" x14ac:dyDescent="0.2">
      <c r="B347" s="8">
        <f t="shared" si="23"/>
        <v>15</v>
      </c>
      <c r="C347" s="18"/>
      <c r="D347" s="18"/>
      <c r="E347" s="18"/>
      <c r="F347" s="152" t="s">
        <v>231</v>
      </c>
      <c r="G347" s="153">
        <v>717</v>
      </c>
      <c r="H347" s="18" t="s">
        <v>192</v>
      </c>
      <c r="I347" s="19"/>
      <c r="J347" s="19"/>
      <c r="K347" s="19"/>
      <c r="L347" s="621"/>
      <c r="M347" s="19">
        <f>M348+M349</f>
        <v>39690</v>
      </c>
      <c r="N347" s="19"/>
      <c r="O347" s="19"/>
    </row>
    <row r="348" spans="2:15" x14ac:dyDescent="0.2">
      <c r="B348" s="8">
        <f t="shared" si="23"/>
        <v>16</v>
      </c>
      <c r="C348" s="156"/>
      <c r="D348" s="156"/>
      <c r="E348" s="156"/>
      <c r="F348" s="155"/>
      <c r="G348" s="155"/>
      <c r="H348" s="156" t="s">
        <v>325</v>
      </c>
      <c r="I348" s="157"/>
      <c r="J348" s="157"/>
      <c r="K348" s="157"/>
      <c r="L348" s="614"/>
      <c r="M348" s="157">
        <v>19690</v>
      </c>
      <c r="N348" s="157"/>
      <c r="O348" s="157"/>
    </row>
    <row r="349" spans="2:15" x14ac:dyDescent="0.2">
      <c r="B349" s="8">
        <f t="shared" si="23"/>
        <v>17</v>
      </c>
      <c r="C349" s="156"/>
      <c r="D349" s="156"/>
      <c r="E349" s="156"/>
      <c r="F349" s="155"/>
      <c r="G349" s="155"/>
      <c r="H349" s="156" t="s">
        <v>1194</v>
      </c>
      <c r="I349" s="157"/>
      <c r="J349" s="157"/>
      <c r="K349" s="157"/>
      <c r="L349" s="614"/>
      <c r="M349" s="157">
        <v>20000</v>
      </c>
      <c r="N349" s="157"/>
      <c r="O349" s="157"/>
    </row>
    <row r="350" spans="2:15" ht="14.25" x14ac:dyDescent="0.2">
      <c r="B350" s="8">
        <f t="shared" si="23"/>
        <v>18</v>
      </c>
      <c r="C350" s="267"/>
      <c r="D350" s="267"/>
      <c r="E350" s="267">
        <v>2</v>
      </c>
      <c r="F350" s="268"/>
      <c r="G350" s="268"/>
      <c r="H350" s="267" t="s">
        <v>13</v>
      </c>
      <c r="I350" s="269">
        <f>I351+I352+I353+I360</f>
        <v>2533480</v>
      </c>
      <c r="J350" s="269">
        <f>J351+J352+J353+J360</f>
        <v>2637940</v>
      </c>
      <c r="K350" s="269">
        <f>K351+K352+K353+K360</f>
        <v>2749940</v>
      </c>
      <c r="L350" s="619"/>
      <c r="M350" s="269"/>
      <c r="N350" s="269"/>
      <c r="O350" s="269"/>
    </row>
    <row r="351" spans="2:15" x14ac:dyDescent="0.2">
      <c r="B351" s="8">
        <f t="shared" si="23"/>
        <v>19</v>
      </c>
      <c r="C351" s="24"/>
      <c r="D351" s="24"/>
      <c r="E351" s="24"/>
      <c r="F351" s="149" t="s">
        <v>231</v>
      </c>
      <c r="G351" s="150">
        <v>610</v>
      </c>
      <c r="H351" s="24" t="s">
        <v>141</v>
      </c>
      <c r="I351" s="25">
        <v>107100</v>
      </c>
      <c r="J351" s="25">
        <v>115000</v>
      </c>
      <c r="K351" s="25">
        <v>120000</v>
      </c>
      <c r="L351" s="620"/>
      <c r="M351" s="25"/>
      <c r="N351" s="25"/>
      <c r="O351" s="25"/>
    </row>
    <row r="352" spans="2:15" x14ac:dyDescent="0.2">
      <c r="B352" s="8">
        <f t="shared" si="23"/>
        <v>20</v>
      </c>
      <c r="C352" s="24"/>
      <c r="D352" s="24"/>
      <c r="E352" s="24"/>
      <c r="F352" s="149" t="s">
        <v>231</v>
      </c>
      <c r="G352" s="150">
        <v>620</v>
      </c>
      <c r="H352" s="24" t="s">
        <v>134</v>
      </c>
      <c r="I352" s="25">
        <v>41555</v>
      </c>
      <c r="J352" s="25">
        <v>43000</v>
      </c>
      <c r="K352" s="25">
        <v>45000</v>
      </c>
      <c r="L352" s="620"/>
      <c r="M352" s="25"/>
      <c r="N352" s="25"/>
      <c r="O352" s="25"/>
    </row>
    <row r="353" spans="2:15" x14ac:dyDescent="0.2">
      <c r="B353" s="8">
        <f t="shared" si="23"/>
        <v>21</v>
      </c>
      <c r="C353" s="24"/>
      <c r="D353" s="24"/>
      <c r="E353" s="24"/>
      <c r="F353" s="149" t="s">
        <v>231</v>
      </c>
      <c r="G353" s="150">
        <v>630</v>
      </c>
      <c r="H353" s="24" t="s">
        <v>131</v>
      </c>
      <c r="I353" s="25">
        <f>I359+I358+I357+I356+I355+I354</f>
        <v>2377435</v>
      </c>
      <c r="J353" s="25">
        <f>J359+J358+J357+J356+J355+J354</f>
        <v>2472550</v>
      </c>
      <c r="K353" s="25">
        <f>K359+K358+K357+K356+K355+K354</f>
        <v>2577550</v>
      </c>
      <c r="L353" s="620"/>
      <c r="M353" s="25"/>
      <c r="N353" s="25"/>
      <c r="O353" s="25"/>
    </row>
    <row r="354" spans="2:15" x14ac:dyDescent="0.2">
      <c r="B354" s="8">
        <f t="shared" si="23"/>
        <v>22</v>
      </c>
      <c r="C354" s="24"/>
      <c r="D354" s="24"/>
      <c r="E354" s="24"/>
      <c r="F354" s="149"/>
      <c r="G354" s="153">
        <v>632</v>
      </c>
      <c r="H354" s="18" t="s">
        <v>144</v>
      </c>
      <c r="I354" s="19">
        <v>1400</v>
      </c>
      <c r="J354" s="19">
        <v>1400</v>
      </c>
      <c r="K354" s="19">
        <v>1400</v>
      </c>
      <c r="L354" s="620"/>
      <c r="M354" s="25"/>
      <c r="N354" s="25"/>
      <c r="O354" s="25"/>
    </row>
    <row r="355" spans="2:15" x14ac:dyDescent="0.2">
      <c r="B355" s="8">
        <f t="shared" si="23"/>
        <v>23</v>
      </c>
      <c r="C355" s="18"/>
      <c r="D355" s="18"/>
      <c r="E355" s="18"/>
      <c r="F355" s="152"/>
      <c r="G355" s="153">
        <v>633</v>
      </c>
      <c r="H355" s="18" t="s">
        <v>135</v>
      </c>
      <c r="I355" s="19">
        <f>1000+23000+1000+2000</f>
        <v>27000</v>
      </c>
      <c r="J355" s="19">
        <v>30000</v>
      </c>
      <c r="K355" s="19">
        <v>33000</v>
      </c>
      <c r="L355" s="621"/>
      <c r="M355" s="19"/>
      <c r="N355" s="19"/>
      <c r="O355" s="19"/>
    </row>
    <row r="356" spans="2:15" x14ac:dyDescent="0.2">
      <c r="B356" s="8">
        <f t="shared" si="23"/>
        <v>24</v>
      </c>
      <c r="C356" s="18"/>
      <c r="D356" s="18"/>
      <c r="E356" s="18"/>
      <c r="F356" s="152"/>
      <c r="G356" s="153">
        <v>634</v>
      </c>
      <c r="H356" s="18" t="s">
        <v>142</v>
      </c>
      <c r="I356" s="19">
        <f>9600+7000+550+500</f>
        <v>17650</v>
      </c>
      <c r="J356" s="19">
        <f>9600+7000+550+500</f>
        <v>17650</v>
      </c>
      <c r="K356" s="19">
        <f>9600+7000+550+500</f>
        <v>17650</v>
      </c>
      <c r="L356" s="621"/>
      <c r="M356" s="19"/>
      <c r="N356" s="19"/>
      <c r="O356" s="19"/>
    </row>
    <row r="357" spans="2:15" x14ac:dyDescent="0.2">
      <c r="B357" s="8">
        <f t="shared" si="23"/>
        <v>25</v>
      </c>
      <c r="C357" s="18"/>
      <c r="D357" s="18"/>
      <c r="E357" s="18"/>
      <c r="F357" s="152"/>
      <c r="G357" s="153">
        <v>635</v>
      </c>
      <c r="H357" s="18" t="s">
        <v>143</v>
      </c>
      <c r="I357" s="19">
        <f>3000+1550000+1000+756000</f>
        <v>2310000</v>
      </c>
      <c r="J357" s="19">
        <v>2400000</v>
      </c>
      <c r="K357" s="19">
        <v>2500000</v>
      </c>
      <c r="L357" s="621"/>
      <c r="M357" s="19"/>
      <c r="N357" s="19"/>
      <c r="O357" s="19"/>
    </row>
    <row r="358" spans="2:15" x14ac:dyDescent="0.2">
      <c r="B358" s="8">
        <f t="shared" si="23"/>
        <v>26</v>
      </c>
      <c r="C358" s="18"/>
      <c r="D358" s="18"/>
      <c r="E358" s="18"/>
      <c r="F358" s="152"/>
      <c r="G358" s="153">
        <v>636</v>
      </c>
      <c r="H358" s="18" t="s">
        <v>136</v>
      </c>
      <c r="I358" s="19">
        <v>500</v>
      </c>
      <c r="J358" s="19">
        <v>500</v>
      </c>
      <c r="K358" s="19">
        <v>500</v>
      </c>
      <c r="L358" s="621"/>
      <c r="M358" s="19"/>
      <c r="N358" s="19"/>
      <c r="O358" s="19"/>
    </row>
    <row r="359" spans="2:15" x14ac:dyDescent="0.2">
      <c r="B359" s="8">
        <f t="shared" si="23"/>
        <v>27</v>
      </c>
      <c r="C359" s="18"/>
      <c r="D359" s="18"/>
      <c r="E359" s="18"/>
      <c r="F359" s="152"/>
      <c r="G359" s="153">
        <v>637</v>
      </c>
      <c r="H359" s="18" t="s">
        <v>132</v>
      </c>
      <c r="I359" s="19">
        <f>1000+10400+1500+1775+1000+1610+3600</f>
        <v>20885</v>
      </c>
      <c r="J359" s="19">
        <v>23000</v>
      </c>
      <c r="K359" s="19">
        <v>25000</v>
      </c>
      <c r="L359" s="621"/>
      <c r="M359" s="19"/>
      <c r="N359" s="19"/>
      <c r="O359" s="19"/>
    </row>
    <row r="360" spans="2:15" x14ac:dyDescent="0.2">
      <c r="B360" s="8">
        <f t="shared" si="23"/>
        <v>28</v>
      </c>
      <c r="C360" s="24"/>
      <c r="D360" s="24"/>
      <c r="E360" s="24"/>
      <c r="F360" s="149" t="s">
        <v>231</v>
      </c>
      <c r="G360" s="150">
        <v>640</v>
      </c>
      <c r="H360" s="24" t="s">
        <v>139</v>
      </c>
      <c r="I360" s="25">
        <f>2190+4200+1000</f>
        <v>7390</v>
      </c>
      <c r="J360" s="25">
        <f>2190+4200+1000</f>
        <v>7390</v>
      </c>
      <c r="K360" s="25">
        <f>2190+4200+1000</f>
        <v>7390</v>
      </c>
      <c r="L360" s="620"/>
      <c r="M360" s="25"/>
      <c r="N360" s="25"/>
      <c r="O360" s="25"/>
    </row>
    <row r="361" spans="2:15" ht="14.25" x14ac:dyDescent="0.2">
      <c r="B361" s="8">
        <f t="shared" si="23"/>
        <v>29</v>
      </c>
      <c r="C361" s="160"/>
      <c r="D361" s="160">
        <v>2</v>
      </c>
      <c r="E361" s="675" t="s">
        <v>636</v>
      </c>
      <c r="F361" s="676"/>
      <c r="G361" s="676"/>
      <c r="H361" s="676"/>
      <c r="I361" s="161">
        <f>I362</f>
        <v>443599</v>
      </c>
      <c r="J361" s="161">
        <f>J362</f>
        <v>453000</v>
      </c>
      <c r="K361" s="161">
        <f>K362</f>
        <v>465000</v>
      </c>
      <c r="L361" s="619"/>
      <c r="M361" s="161">
        <f>M367</f>
        <v>10000</v>
      </c>
      <c r="N361" s="161"/>
      <c r="O361" s="161"/>
    </row>
    <row r="362" spans="2:15" x14ac:dyDescent="0.2">
      <c r="B362" s="8">
        <f t="shared" si="23"/>
        <v>30</v>
      </c>
      <c r="C362" s="24"/>
      <c r="D362" s="24"/>
      <c r="E362" s="24"/>
      <c r="F362" s="149" t="s">
        <v>231</v>
      </c>
      <c r="G362" s="150">
        <v>630</v>
      </c>
      <c r="H362" s="24" t="s">
        <v>131</v>
      </c>
      <c r="I362" s="25">
        <f>SUM(I363:I366)</f>
        <v>443599</v>
      </c>
      <c r="J362" s="25">
        <f>SUM(J363:J366)</f>
        <v>453000</v>
      </c>
      <c r="K362" s="25">
        <f>SUM(K363:K366)</f>
        <v>465000</v>
      </c>
      <c r="L362" s="620"/>
      <c r="M362" s="25"/>
      <c r="N362" s="25"/>
      <c r="O362" s="25"/>
    </row>
    <row r="363" spans="2:15" x14ac:dyDescent="0.2">
      <c r="B363" s="8">
        <f t="shared" si="23"/>
        <v>31</v>
      </c>
      <c r="C363" s="18"/>
      <c r="D363" s="18"/>
      <c r="E363" s="18"/>
      <c r="F363" s="152"/>
      <c r="G363" s="153">
        <v>632</v>
      </c>
      <c r="H363" s="18" t="s">
        <v>144</v>
      </c>
      <c r="I363" s="19">
        <v>200000</v>
      </c>
      <c r="J363" s="19">
        <v>205000</v>
      </c>
      <c r="K363" s="19">
        <v>210000</v>
      </c>
      <c r="L363" s="621"/>
      <c r="M363" s="19"/>
      <c r="N363" s="19"/>
      <c r="O363" s="19"/>
    </row>
    <row r="364" spans="2:15" x14ac:dyDescent="0.2">
      <c r="B364" s="8">
        <f t="shared" si="23"/>
        <v>32</v>
      </c>
      <c r="C364" s="18"/>
      <c r="D364" s="18"/>
      <c r="E364" s="18"/>
      <c r="F364" s="152"/>
      <c r="G364" s="153">
        <v>633</v>
      </c>
      <c r="H364" s="18" t="s">
        <v>135</v>
      </c>
      <c r="I364" s="19">
        <v>8000</v>
      </c>
      <c r="J364" s="19">
        <v>8000</v>
      </c>
      <c r="K364" s="19">
        <v>8000</v>
      </c>
      <c r="L364" s="621"/>
      <c r="M364" s="19"/>
      <c r="N364" s="19"/>
      <c r="O364" s="19"/>
    </row>
    <row r="365" spans="2:15" x14ac:dyDescent="0.2">
      <c r="B365" s="8">
        <f t="shared" si="23"/>
        <v>33</v>
      </c>
      <c r="C365" s="18"/>
      <c r="D365" s="18"/>
      <c r="E365" s="18"/>
      <c r="F365" s="152"/>
      <c r="G365" s="153">
        <v>635</v>
      </c>
      <c r="H365" s="18" t="s">
        <v>143</v>
      </c>
      <c r="I365" s="19">
        <f>180183+7416</f>
        <v>187599</v>
      </c>
      <c r="J365" s="19">
        <v>190000</v>
      </c>
      <c r="K365" s="19">
        <v>195000</v>
      </c>
      <c r="L365" s="621"/>
      <c r="M365" s="19" t="s">
        <v>1156</v>
      </c>
      <c r="N365" s="19"/>
      <c r="O365" s="19"/>
    </row>
    <row r="366" spans="2:15" x14ac:dyDescent="0.2">
      <c r="B366" s="8">
        <f t="shared" si="23"/>
        <v>34</v>
      </c>
      <c r="C366" s="18"/>
      <c r="D366" s="18"/>
      <c r="E366" s="18"/>
      <c r="F366" s="152"/>
      <c r="G366" s="153">
        <v>637</v>
      </c>
      <c r="H366" s="18" t="s">
        <v>132</v>
      </c>
      <c r="I366" s="19">
        <v>48000</v>
      </c>
      <c r="J366" s="19">
        <v>50000</v>
      </c>
      <c r="K366" s="19">
        <v>52000</v>
      </c>
      <c r="L366" s="621"/>
      <c r="M366" s="19"/>
      <c r="N366" s="19"/>
      <c r="O366" s="19"/>
    </row>
    <row r="367" spans="2:15" x14ac:dyDescent="0.2">
      <c r="B367" s="8">
        <f t="shared" si="23"/>
        <v>35</v>
      </c>
      <c r="C367" s="24"/>
      <c r="D367" s="24"/>
      <c r="E367" s="24"/>
      <c r="F367" s="149" t="s">
        <v>231</v>
      </c>
      <c r="G367" s="150">
        <v>710</v>
      </c>
      <c r="H367" s="24" t="s">
        <v>185</v>
      </c>
      <c r="I367" s="25"/>
      <c r="J367" s="25"/>
      <c r="K367" s="25"/>
      <c r="L367" s="620"/>
      <c r="M367" s="25">
        <f>M368</f>
        <v>10000</v>
      </c>
      <c r="N367" s="25"/>
      <c r="O367" s="25"/>
    </row>
    <row r="368" spans="2:15" x14ac:dyDescent="0.2">
      <c r="B368" s="8">
        <f t="shared" si="23"/>
        <v>36</v>
      </c>
      <c r="C368" s="18"/>
      <c r="D368" s="18"/>
      <c r="E368" s="18"/>
      <c r="F368" s="152"/>
      <c r="G368" s="153">
        <v>716</v>
      </c>
      <c r="H368" s="18" t="s">
        <v>226</v>
      </c>
      <c r="I368" s="19"/>
      <c r="J368" s="19"/>
      <c r="K368" s="19"/>
      <c r="L368" s="621"/>
      <c r="M368" s="19">
        <f>M369</f>
        <v>10000</v>
      </c>
      <c r="N368" s="19"/>
      <c r="O368" s="19"/>
    </row>
    <row r="369" spans="2:15" x14ac:dyDescent="0.2">
      <c r="B369" s="8">
        <f t="shared" si="23"/>
        <v>37</v>
      </c>
      <c r="C369" s="120"/>
      <c r="D369" s="120"/>
      <c r="E369" s="120"/>
      <c r="F369" s="155"/>
      <c r="G369" s="155"/>
      <c r="H369" s="156" t="s">
        <v>1087</v>
      </c>
      <c r="I369" s="157"/>
      <c r="J369" s="157"/>
      <c r="K369" s="157"/>
      <c r="L369" s="614"/>
      <c r="M369" s="157">
        <v>10000</v>
      </c>
      <c r="N369" s="157"/>
      <c r="O369" s="157"/>
    </row>
    <row r="370" spans="2:15" ht="15.75" x14ac:dyDescent="0.25">
      <c r="B370" s="8">
        <f t="shared" si="23"/>
        <v>38</v>
      </c>
      <c r="C370" s="141">
        <v>3</v>
      </c>
      <c r="D370" s="677" t="s">
        <v>237</v>
      </c>
      <c r="E370" s="678"/>
      <c r="F370" s="678"/>
      <c r="G370" s="678"/>
      <c r="H370" s="678"/>
      <c r="I370" s="142"/>
      <c r="J370" s="142"/>
      <c r="K370" s="142"/>
      <c r="L370" s="618"/>
      <c r="M370" s="142">
        <f>M371</f>
        <v>2359657</v>
      </c>
      <c r="N370" s="142">
        <f>N371</f>
        <v>1650000</v>
      </c>
      <c r="O370" s="142">
        <f>O371</f>
        <v>12000000</v>
      </c>
    </row>
    <row r="371" spans="2:15" x14ac:dyDescent="0.2">
      <c r="B371" s="8">
        <f t="shared" si="23"/>
        <v>39</v>
      </c>
      <c r="C371" s="24"/>
      <c r="D371" s="24"/>
      <c r="E371" s="24"/>
      <c r="F371" s="149" t="s">
        <v>231</v>
      </c>
      <c r="G371" s="150">
        <v>710</v>
      </c>
      <c r="H371" s="24" t="s">
        <v>185</v>
      </c>
      <c r="I371" s="25"/>
      <c r="J371" s="25"/>
      <c r="K371" s="25"/>
      <c r="L371" s="620"/>
      <c r="M371" s="25">
        <f>M372+M405</f>
        <v>2359657</v>
      </c>
      <c r="N371" s="25">
        <f>N372+N405</f>
        <v>1650000</v>
      </c>
      <c r="O371" s="25">
        <f>O372+O405</f>
        <v>12000000</v>
      </c>
    </row>
    <row r="372" spans="2:15" x14ac:dyDescent="0.2">
      <c r="B372" s="8">
        <f t="shared" si="23"/>
        <v>40</v>
      </c>
      <c r="C372" s="273"/>
      <c r="D372" s="273"/>
      <c r="E372" s="273"/>
      <c r="F372" s="274"/>
      <c r="G372" s="275">
        <v>716</v>
      </c>
      <c r="H372" s="273" t="s">
        <v>226</v>
      </c>
      <c r="I372" s="276"/>
      <c r="J372" s="276"/>
      <c r="K372" s="276"/>
      <c r="L372" s="621"/>
      <c r="M372" s="276">
        <f>SUM(M373:M404)</f>
        <v>1016157</v>
      </c>
      <c r="N372" s="276"/>
      <c r="O372" s="276"/>
    </row>
    <row r="373" spans="2:15" x14ac:dyDescent="0.2">
      <c r="B373" s="8">
        <f t="shared" si="23"/>
        <v>41</v>
      </c>
      <c r="C373" s="120"/>
      <c r="D373" s="120"/>
      <c r="E373" s="120"/>
      <c r="F373" s="155"/>
      <c r="G373" s="155"/>
      <c r="H373" s="156" t="s">
        <v>415</v>
      </c>
      <c r="I373" s="157"/>
      <c r="J373" s="157"/>
      <c r="K373" s="157"/>
      <c r="L373" s="614"/>
      <c r="M373" s="157">
        <v>26961</v>
      </c>
      <c r="N373" s="157"/>
      <c r="O373" s="157"/>
    </row>
    <row r="374" spans="2:15" x14ac:dyDescent="0.2">
      <c r="B374" s="8">
        <f t="shared" si="23"/>
        <v>42</v>
      </c>
      <c r="C374" s="120"/>
      <c r="D374" s="120"/>
      <c r="E374" s="120"/>
      <c r="F374" s="155"/>
      <c r="G374" s="155"/>
      <c r="H374" s="156" t="s">
        <v>581</v>
      </c>
      <c r="I374" s="157"/>
      <c r="J374" s="157"/>
      <c r="K374" s="157"/>
      <c r="L374" s="614"/>
      <c r="M374" s="157">
        <f>40852+3500</f>
        <v>44352</v>
      </c>
      <c r="N374" s="157"/>
      <c r="O374" s="157"/>
    </row>
    <row r="375" spans="2:15" x14ac:dyDescent="0.2">
      <c r="B375" s="8">
        <f t="shared" si="23"/>
        <v>43</v>
      </c>
      <c r="C375" s="120"/>
      <c r="D375" s="120"/>
      <c r="E375" s="120"/>
      <c r="F375" s="155"/>
      <c r="G375" s="155"/>
      <c r="H375" s="156" t="s">
        <v>1047</v>
      </c>
      <c r="I375" s="157"/>
      <c r="J375" s="157"/>
      <c r="K375" s="157"/>
      <c r="L375" s="614"/>
      <c r="M375" s="157">
        <v>15000</v>
      </c>
      <c r="N375" s="157"/>
      <c r="O375" s="157"/>
    </row>
    <row r="376" spans="2:15" x14ac:dyDescent="0.2">
      <c r="B376" s="8">
        <f t="shared" si="23"/>
        <v>44</v>
      </c>
      <c r="C376" s="120"/>
      <c r="D376" s="120"/>
      <c r="E376" s="120"/>
      <c r="F376" s="155"/>
      <c r="G376" s="155"/>
      <c r="H376" s="156" t="s">
        <v>894</v>
      </c>
      <c r="I376" s="157"/>
      <c r="J376" s="157"/>
      <c r="K376" s="157"/>
      <c r="L376" s="614"/>
      <c r="M376" s="157">
        <v>6000</v>
      </c>
      <c r="N376" s="157"/>
      <c r="O376" s="157"/>
    </row>
    <row r="377" spans="2:15" x14ac:dyDescent="0.2">
      <c r="B377" s="8">
        <f t="shared" si="23"/>
        <v>45</v>
      </c>
      <c r="C377" s="120"/>
      <c r="D377" s="120"/>
      <c r="E377" s="120"/>
      <c r="F377" s="155"/>
      <c r="G377" s="155"/>
      <c r="H377" s="156" t="s">
        <v>1185</v>
      </c>
      <c r="I377" s="157"/>
      <c r="J377" s="157"/>
      <c r="K377" s="157"/>
      <c r="L377" s="614"/>
      <c r="M377" s="157">
        <v>3000</v>
      </c>
      <c r="N377" s="157"/>
      <c r="O377" s="157"/>
    </row>
    <row r="378" spans="2:15" x14ac:dyDescent="0.2">
      <c r="B378" s="8">
        <f t="shared" si="23"/>
        <v>46</v>
      </c>
      <c r="C378" s="120"/>
      <c r="D378" s="120"/>
      <c r="E378" s="120"/>
      <c r="F378" s="155"/>
      <c r="G378" s="155"/>
      <c r="H378" s="156" t="s">
        <v>895</v>
      </c>
      <c r="I378" s="157"/>
      <c r="J378" s="157"/>
      <c r="K378" s="157"/>
      <c r="L378" s="614"/>
      <c r="M378" s="157">
        <v>100000</v>
      </c>
      <c r="N378" s="157"/>
      <c r="O378" s="157"/>
    </row>
    <row r="379" spans="2:15" x14ac:dyDescent="0.2">
      <c r="B379" s="8">
        <f t="shared" si="23"/>
        <v>47</v>
      </c>
      <c r="C379" s="120"/>
      <c r="D379" s="120"/>
      <c r="E379" s="120"/>
      <c r="F379" s="155"/>
      <c r="G379" s="155"/>
      <c r="H379" s="156" t="s">
        <v>404</v>
      </c>
      <c r="I379" s="157"/>
      <c r="J379" s="157"/>
      <c r="K379" s="157"/>
      <c r="L379" s="614"/>
      <c r="M379" s="157">
        <v>70000</v>
      </c>
      <c r="N379" s="157"/>
      <c r="O379" s="157"/>
    </row>
    <row r="380" spans="2:15" x14ac:dyDescent="0.2">
      <c r="B380" s="8">
        <f t="shared" si="23"/>
        <v>48</v>
      </c>
      <c r="C380" s="120"/>
      <c r="D380" s="120"/>
      <c r="E380" s="120"/>
      <c r="F380" s="155"/>
      <c r="G380" s="155"/>
      <c r="H380" s="156" t="s">
        <v>1188</v>
      </c>
      <c r="I380" s="157"/>
      <c r="J380" s="157"/>
      <c r="K380" s="157"/>
      <c r="L380" s="614"/>
      <c r="M380" s="157">
        <v>32000</v>
      </c>
      <c r="N380" s="157"/>
      <c r="O380" s="157"/>
    </row>
    <row r="381" spans="2:15" x14ac:dyDescent="0.2">
      <c r="B381" s="8">
        <f t="shared" si="23"/>
        <v>49</v>
      </c>
      <c r="C381" s="120"/>
      <c r="D381" s="120"/>
      <c r="E381" s="120"/>
      <c r="F381" s="155"/>
      <c r="G381" s="155"/>
      <c r="H381" s="156" t="s">
        <v>1144</v>
      </c>
      <c r="I381" s="157"/>
      <c r="J381" s="157"/>
      <c r="K381" s="157"/>
      <c r="L381" s="614"/>
      <c r="M381" s="157">
        <v>381000</v>
      </c>
      <c r="N381" s="157"/>
      <c r="O381" s="157"/>
    </row>
    <row r="382" spans="2:15" x14ac:dyDescent="0.2">
      <c r="B382" s="8">
        <f t="shared" si="23"/>
        <v>50</v>
      </c>
      <c r="C382" s="120"/>
      <c r="D382" s="120"/>
      <c r="E382" s="120"/>
      <c r="F382" s="155"/>
      <c r="G382" s="155"/>
      <c r="H382" s="156" t="s">
        <v>896</v>
      </c>
      <c r="I382" s="157"/>
      <c r="J382" s="157"/>
      <c r="K382" s="157"/>
      <c r="L382" s="614"/>
      <c r="M382" s="157">
        <v>19000</v>
      </c>
      <c r="N382" s="157"/>
      <c r="O382" s="157"/>
    </row>
    <row r="383" spans="2:15" x14ac:dyDescent="0.2">
      <c r="B383" s="8">
        <f t="shared" si="23"/>
        <v>51</v>
      </c>
      <c r="C383" s="120"/>
      <c r="D383" s="120"/>
      <c r="E383" s="120"/>
      <c r="F383" s="155"/>
      <c r="G383" s="155"/>
      <c r="H383" s="156" t="s">
        <v>690</v>
      </c>
      <c r="I383" s="157"/>
      <c r="J383" s="157"/>
      <c r="K383" s="157"/>
      <c r="L383" s="614"/>
      <c r="M383" s="157">
        <v>60200</v>
      </c>
      <c r="N383" s="157"/>
      <c r="O383" s="157"/>
    </row>
    <row r="384" spans="2:15" x14ac:dyDescent="0.2">
      <c r="B384" s="8">
        <f t="shared" si="23"/>
        <v>52</v>
      </c>
      <c r="C384" s="120"/>
      <c r="D384" s="120"/>
      <c r="E384" s="120"/>
      <c r="F384" s="155"/>
      <c r="G384" s="155"/>
      <c r="H384" s="156" t="s">
        <v>582</v>
      </c>
      <c r="I384" s="157"/>
      <c r="J384" s="157"/>
      <c r="K384" s="157"/>
      <c r="L384" s="614"/>
      <c r="M384" s="157">
        <f>25000+20180</f>
        <v>45180</v>
      </c>
      <c r="N384" s="157"/>
      <c r="O384" s="157"/>
    </row>
    <row r="385" spans="2:15" x14ac:dyDescent="0.2">
      <c r="B385" s="8">
        <f t="shared" si="23"/>
        <v>53</v>
      </c>
      <c r="C385" s="120"/>
      <c r="D385" s="120"/>
      <c r="E385" s="120"/>
      <c r="F385" s="155"/>
      <c r="G385" s="155"/>
      <c r="H385" s="156" t="s">
        <v>1160</v>
      </c>
      <c r="I385" s="157"/>
      <c r="J385" s="157"/>
      <c r="K385" s="157"/>
      <c r="L385" s="614"/>
      <c r="M385" s="157">
        <v>15000</v>
      </c>
      <c r="N385" s="157"/>
      <c r="O385" s="157"/>
    </row>
    <row r="386" spans="2:15" x14ac:dyDescent="0.2">
      <c r="B386" s="8">
        <f t="shared" si="23"/>
        <v>54</v>
      </c>
      <c r="C386" s="120"/>
      <c r="D386" s="120"/>
      <c r="E386" s="120"/>
      <c r="F386" s="155"/>
      <c r="G386" s="155"/>
      <c r="H386" s="156" t="s">
        <v>1161</v>
      </c>
      <c r="I386" s="157"/>
      <c r="J386" s="157"/>
      <c r="K386" s="157"/>
      <c r="L386" s="614"/>
      <c r="M386" s="157">
        <v>8000</v>
      </c>
      <c r="N386" s="157"/>
      <c r="O386" s="157"/>
    </row>
    <row r="387" spans="2:15" x14ac:dyDescent="0.2">
      <c r="B387" s="8">
        <f t="shared" si="23"/>
        <v>55</v>
      </c>
      <c r="C387" s="120"/>
      <c r="D387" s="120"/>
      <c r="E387" s="120"/>
      <c r="F387" s="155"/>
      <c r="G387" s="155"/>
      <c r="H387" s="156" t="s">
        <v>1162</v>
      </c>
      <c r="I387" s="157"/>
      <c r="J387" s="157"/>
      <c r="K387" s="157"/>
      <c r="L387" s="614"/>
      <c r="M387" s="157">
        <v>10000</v>
      </c>
      <c r="N387" s="157"/>
      <c r="O387" s="157"/>
    </row>
    <row r="388" spans="2:15" x14ac:dyDescent="0.2">
      <c r="B388" s="8">
        <f t="shared" si="23"/>
        <v>56</v>
      </c>
      <c r="C388" s="120"/>
      <c r="D388" s="120"/>
      <c r="E388" s="120"/>
      <c r="F388" s="155"/>
      <c r="G388" s="155"/>
      <c r="H388" s="156" t="s">
        <v>1184</v>
      </c>
      <c r="I388" s="157"/>
      <c r="J388" s="157"/>
      <c r="K388" s="157"/>
      <c r="L388" s="614"/>
      <c r="M388" s="157">
        <v>10000</v>
      </c>
      <c r="N388" s="157"/>
      <c r="O388" s="157"/>
    </row>
    <row r="389" spans="2:15" x14ac:dyDescent="0.2">
      <c r="B389" s="8">
        <f t="shared" si="23"/>
        <v>57</v>
      </c>
      <c r="C389" s="120"/>
      <c r="D389" s="120"/>
      <c r="E389" s="120"/>
      <c r="F389" s="155"/>
      <c r="G389" s="155"/>
      <c r="H389" s="156" t="s">
        <v>1201</v>
      </c>
      <c r="I389" s="157"/>
      <c r="J389" s="157"/>
      <c r="K389" s="157"/>
      <c r="L389" s="614"/>
      <c r="M389" s="157">
        <v>500</v>
      </c>
      <c r="N389" s="157"/>
      <c r="O389" s="157"/>
    </row>
    <row r="390" spans="2:15" x14ac:dyDescent="0.2">
      <c r="B390" s="8">
        <f t="shared" si="23"/>
        <v>58</v>
      </c>
      <c r="C390" s="120"/>
      <c r="D390" s="120"/>
      <c r="E390" s="120"/>
      <c r="F390" s="155"/>
      <c r="G390" s="155"/>
      <c r="H390" s="156" t="s">
        <v>897</v>
      </c>
      <c r="I390" s="157"/>
      <c r="J390" s="157"/>
      <c r="K390" s="157"/>
      <c r="L390" s="614"/>
      <c r="M390" s="157">
        <v>5000</v>
      </c>
      <c r="N390" s="157"/>
      <c r="O390" s="157"/>
    </row>
    <row r="391" spans="2:15" x14ac:dyDescent="0.2">
      <c r="B391" s="8">
        <f t="shared" si="23"/>
        <v>59</v>
      </c>
      <c r="C391" s="120"/>
      <c r="D391" s="120"/>
      <c r="E391" s="120"/>
      <c r="F391" s="155"/>
      <c r="G391" s="155"/>
      <c r="H391" s="156" t="s">
        <v>898</v>
      </c>
      <c r="I391" s="157"/>
      <c r="J391" s="157"/>
      <c r="K391" s="157"/>
      <c r="L391" s="614"/>
      <c r="M391" s="157">
        <v>5000</v>
      </c>
      <c r="N391" s="157"/>
      <c r="O391" s="157"/>
    </row>
    <row r="392" spans="2:15" x14ac:dyDescent="0.2">
      <c r="B392" s="8">
        <f t="shared" si="23"/>
        <v>60</v>
      </c>
      <c r="C392" s="120"/>
      <c r="D392" s="120"/>
      <c r="E392" s="120"/>
      <c r="F392" s="155"/>
      <c r="G392" s="155"/>
      <c r="H392" s="156" t="s">
        <v>899</v>
      </c>
      <c r="I392" s="157"/>
      <c r="J392" s="157"/>
      <c r="K392" s="157"/>
      <c r="L392" s="614"/>
      <c r="M392" s="157">
        <v>5000</v>
      </c>
      <c r="N392" s="157"/>
      <c r="O392" s="157"/>
    </row>
    <row r="393" spans="2:15" x14ac:dyDescent="0.2">
      <c r="B393" s="8">
        <f t="shared" si="23"/>
        <v>61</v>
      </c>
      <c r="C393" s="120"/>
      <c r="D393" s="120"/>
      <c r="E393" s="120"/>
      <c r="F393" s="155"/>
      <c r="G393" s="155"/>
      <c r="H393" s="156" t="s">
        <v>900</v>
      </c>
      <c r="I393" s="157"/>
      <c r="J393" s="157"/>
      <c r="K393" s="157"/>
      <c r="L393" s="614"/>
      <c r="M393" s="157">
        <v>5000</v>
      </c>
      <c r="N393" s="157"/>
      <c r="O393" s="157"/>
    </row>
    <row r="394" spans="2:15" x14ac:dyDescent="0.2">
      <c r="B394" s="8">
        <f t="shared" si="23"/>
        <v>62</v>
      </c>
      <c r="C394" s="120"/>
      <c r="D394" s="120"/>
      <c r="E394" s="120"/>
      <c r="F394" s="155"/>
      <c r="G394" s="155"/>
      <c r="H394" s="156" t="s">
        <v>672</v>
      </c>
      <c r="I394" s="157"/>
      <c r="J394" s="157"/>
      <c r="K394" s="157"/>
      <c r="L394" s="614"/>
      <c r="M394" s="157">
        <v>5000</v>
      </c>
      <c r="N394" s="157"/>
      <c r="O394" s="157"/>
    </row>
    <row r="395" spans="2:15" x14ac:dyDescent="0.2">
      <c r="B395" s="8">
        <f t="shared" si="23"/>
        <v>63</v>
      </c>
      <c r="C395" s="120"/>
      <c r="D395" s="120"/>
      <c r="E395" s="120"/>
      <c r="F395" s="155"/>
      <c r="G395" s="155"/>
      <c r="H395" s="156" t="s">
        <v>1045</v>
      </c>
      <c r="I395" s="157"/>
      <c r="J395" s="157"/>
      <c r="K395" s="157"/>
      <c r="L395" s="614"/>
      <c r="M395" s="157">
        <v>20000</v>
      </c>
      <c r="N395" s="157"/>
      <c r="O395" s="157"/>
    </row>
    <row r="396" spans="2:15" x14ac:dyDescent="0.2">
      <c r="B396" s="8">
        <f t="shared" si="23"/>
        <v>64</v>
      </c>
      <c r="C396" s="120"/>
      <c r="D396" s="120"/>
      <c r="E396" s="120"/>
      <c r="F396" s="155"/>
      <c r="G396" s="155"/>
      <c r="H396" s="156" t="s">
        <v>769</v>
      </c>
      <c r="I396" s="157"/>
      <c r="J396" s="157"/>
      <c r="K396" s="157"/>
      <c r="L396" s="614"/>
      <c r="M396" s="157">
        <v>5000</v>
      </c>
      <c r="N396" s="157"/>
      <c r="O396" s="157"/>
    </row>
    <row r="397" spans="2:15" x14ac:dyDescent="0.2">
      <c r="B397" s="8">
        <f t="shared" si="23"/>
        <v>65</v>
      </c>
      <c r="C397" s="120"/>
      <c r="D397" s="120"/>
      <c r="E397" s="120"/>
      <c r="F397" s="155"/>
      <c r="G397" s="155"/>
      <c r="H397" s="156" t="s">
        <v>903</v>
      </c>
      <c r="I397" s="157"/>
      <c r="J397" s="157"/>
      <c r="K397" s="157"/>
      <c r="L397" s="614"/>
      <c r="M397" s="157">
        <v>15000</v>
      </c>
      <c r="N397" s="157"/>
      <c r="O397" s="157"/>
    </row>
    <row r="398" spans="2:15" x14ac:dyDescent="0.2">
      <c r="B398" s="8">
        <f t="shared" si="23"/>
        <v>66</v>
      </c>
      <c r="C398" s="120"/>
      <c r="D398" s="120"/>
      <c r="E398" s="120"/>
      <c r="F398" s="155"/>
      <c r="G398" s="155"/>
      <c r="H398" s="156" t="s">
        <v>318</v>
      </c>
      <c r="I398" s="157"/>
      <c r="J398" s="157"/>
      <c r="K398" s="157"/>
      <c r="L398" s="614"/>
      <c r="M398" s="157">
        <v>4600</v>
      </c>
      <c r="N398" s="157"/>
      <c r="O398" s="157"/>
    </row>
    <row r="399" spans="2:15" x14ac:dyDescent="0.2">
      <c r="B399" s="8">
        <f t="shared" si="23"/>
        <v>67</v>
      </c>
      <c r="C399" s="120"/>
      <c r="D399" s="120"/>
      <c r="E399" s="120"/>
      <c r="F399" s="155"/>
      <c r="G399" s="155"/>
      <c r="H399" s="156" t="s">
        <v>319</v>
      </c>
      <c r="I399" s="157"/>
      <c r="J399" s="157"/>
      <c r="K399" s="157"/>
      <c r="L399" s="614"/>
      <c r="M399" s="157">
        <v>12500</v>
      </c>
      <c r="N399" s="157"/>
      <c r="O399" s="157"/>
    </row>
    <row r="400" spans="2:15" x14ac:dyDescent="0.2">
      <c r="B400" s="8">
        <f t="shared" si="23"/>
        <v>68</v>
      </c>
      <c r="C400" s="120"/>
      <c r="D400" s="120"/>
      <c r="E400" s="120"/>
      <c r="F400" s="155"/>
      <c r="G400" s="155"/>
      <c r="H400" s="156" t="s">
        <v>904</v>
      </c>
      <c r="I400" s="157"/>
      <c r="J400" s="157"/>
      <c r="K400" s="157"/>
      <c r="L400" s="614"/>
      <c r="M400" s="157">
        <v>10900</v>
      </c>
      <c r="N400" s="157"/>
      <c r="O400" s="157"/>
    </row>
    <row r="401" spans="2:15" x14ac:dyDescent="0.2">
      <c r="B401" s="8">
        <f t="shared" si="23"/>
        <v>69</v>
      </c>
      <c r="C401" s="120"/>
      <c r="D401" s="120"/>
      <c r="E401" s="120"/>
      <c r="F401" s="155"/>
      <c r="G401" s="155"/>
      <c r="H401" s="156" t="s">
        <v>1180</v>
      </c>
      <c r="I401" s="157"/>
      <c r="J401" s="157"/>
      <c r="K401" s="157"/>
      <c r="L401" s="614"/>
      <c r="M401" s="157">
        <v>8000</v>
      </c>
      <c r="N401" s="157"/>
      <c r="O401" s="157"/>
    </row>
    <row r="402" spans="2:15" x14ac:dyDescent="0.2">
      <c r="B402" s="8">
        <f t="shared" si="23"/>
        <v>70</v>
      </c>
      <c r="C402" s="120"/>
      <c r="D402" s="120"/>
      <c r="E402" s="120"/>
      <c r="F402" s="155"/>
      <c r="G402" s="155"/>
      <c r="H402" s="156" t="s">
        <v>1088</v>
      </c>
      <c r="I402" s="157"/>
      <c r="J402" s="157"/>
      <c r="K402" s="157"/>
      <c r="L402" s="614"/>
      <c r="M402" s="157">
        <v>3000</v>
      </c>
      <c r="N402" s="157"/>
      <c r="O402" s="157"/>
    </row>
    <row r="403" spans="2:15" x14ac:dyDescent="0.2">
      <c r="B403" s="8">
        <f t="shared" si="23"/>
        <v>71</v>
      </c>
      <c r="C403" s="120"/>
      <c r="D403" s="120"/>
      <c r="E403" s="120"/>
      <c r="F403" s="155"/>
      <c r="G403" s="155"/>
      <c r="H403" s="156" t="s">
        <v>1143</v>
      </c>
      <c r="I403" s="157"/>
      <c r="J403" s="157"/>
      <c r="K403" s="157"/>
      <c r="L403" s="614"/>
      <c r="M403" s="157">
        <v>30000</v>
      </c>
      <c r="N403" s="157"/>
      <c r="O403" s="157"/>
    </row>
    <row r="404" spans="2:15" x14ac:dyDescent="0.2">
      <c r="B404" s="8">
        <f t="shared" si="23"/>
        <v>72</v>
      </c>
      <c r="C404" s="120"/>
      <c r="D404" s="120"/>
      <c r="E404" s="120"/>
      <c r="F404" s="155"/>
      <c r="G404" s="155"/>
      <c r="H404" s="156" t="s">
        <v>399</v>
      </c>
      <c r="I404" s="157"/>
      <c r="J404" s="157"/>
      <c r="K404" s="157"/>
      <c r="L404" s="614"/>
      <c r="M404" s="157">
        <v>35964</v>
      </c>
      <c r="N404" s="157"/>
      <c r="O404" s="157"/>
    </row>
    <row r="405" spans="2:15" x14ac:dyDescent="0.2">
      <c r="B405" s="8">
        <f t="shared" si="23"/>
        <v>73</v>
      </c>
      <c r="C405" s="273"/>
      <c r="D405" s="273"/>
      <c r="E405" s="273"/>
      <c r="F405" s="274"/>
      <c r="G405" s="275">
        <v>717</v>
      </c>
      <c r="H405" s="273" t="s">
        <v>192</v>
      </c>
      <c r="I405" s="276"/>
      <c r="J405" s="276"/>
      <c r="K405" s="276"/>
      <c r="L405" s="621"/>
      <c r="M405" s="276">
        <f>SUM(M406:M424)</f>
        <v>1343500</v>
      </c>
      <c r="N405" s="276">
        <f>SUM(N406:N426)</f>
        <v>1650000</v>
      </c>
      <c r="O405" s="276">
        <f>SUM(O406:O426)</f>
        <v>12000000</v>
      </c>
    </row>
    <row r="406" spans="2:15" x14ac:dyDescent="0.2">
      <c r="B406" s="8">
        <f t="shared" si="23"/>
        <v>74</v>
      </c>
      <c r="C406" s="120"/>
      <c r="D406" s="120"/>
      <c r="E406" s="120"/>
      <c r="F406" s="155"/>
      <c r="G406" s="155"/>
      <c r="H406" s="156" t="s">
        <v>1187</v>
      </c>
      <c r="I406" s="157"/>
      <c r="J406" s="157"/>
      <c r="K406" s="157"/>
      <c r="L406" s="614"/>
      <c r="M406" s="157">
        <f>265000+285000</f>
        <v>550000</v>
      </c>
      <c r="N406" s="157"/>
      <c r="O406" s="157"/>
    </row>
    <row r="407" spans="2:15" x14ac:dyDescent="0.2">
      <c r="B407" s="8">
        <f t="shared" si="23"/>
        <v>75</v>
      </c>
      <c r="C407" s="120"/>
      <c r="D407" s="120"/>
      <c r="E407" s="120"/>
      <c r="F407" s="155"/>
      <c r="G407" s="155"/>
      <c r="H407" s="156" t="s">
        <v>1155</v>
      </c>
      <c r="I407" s="157"/>
      <c r="J407" s="157"/>
      <c r="K407" s="157"/>
      <c r="L407" s="614"/>
      <c r="M407" s="157">
        <v>29000</v>
      </c>
      <c r="N407" s="157"/>
      <c r="O407" s="157"/>
    </row>
    <row r="408" spans="2:15" x14ac:dyDescent="0.2">
      <c r="B408" s="8">
        <f t="shared" si="23"/>
        <v>76</v>
      </c>
      <c r="C408" s="120"/>
      <c r="D408" s="120"/>
      <c r="E408" s="120"/>
      <c r="F408" s="155"/>
      <c r="G408" s="155"/>
      <c r="H408" s="156" t="s">
        <v>1166</v>
      </c>
      <c r="I408" s="157"/>
      <c r="J408" s="157"/>
      <c r="K408" s="157"/>
      <c r="L408" s="614"/>
      <c r="M408" s="157">
        <v>8000</v>
      </c>
      <c r="N408" s="157"/>
      <c r="O408" s="157"/>
    </row>
    <row r="409" spans="2:15" x14ac:dyDescent="0.2">
      <c r="B409" s="8">
        <f t="shared" si="23"/>
        <v>77</v>
      </c>
      <c r="C409" s="120"/>
      <c r="D409" s="120"/>
      <c r="E409" s="120"/>
      <c r="F409" s="155"/>
      <c r="G409" s="155"/>
      <c r="H409" s="156" t="s">
        <v>1164</v>
      </c>
      <c r="I409" s="157"/>
      <c r="J409" s="157"/>
      <c r="K409" s="157"/>
      <c r="L409" s="614"/>
      <c r="M409" s="157">
        <v>25000</v>
      </c>
      <c r="N409" s="157"/>
      <c r="O409" s="157"/>
    </row>
    <row r="410" spans="2:15" x14ac:dyDescent="0.2">
      <c r="B410" s="8">
        <f t="shared" si="23"/>
        <v>78</v>
      </c>
      <c r="C410" s="120"/>
      <c r="D410" s="120"/>
      <c r="E410" s="120"/>
      <c r="F410" s="155"/>
      <c r="G410" s="155"/>
      <c r="H410" s="156" t="s">
        <v>1177</v>
      </c>
      <c r="I410" s="157"/>
      <c r="J410" s="157"/>
      <c r="K410" s="157"/>
      <c r="L410" s="614"/>
      <c r="M410" s="157">
        <v>190000</v>
      </c>
      <c r="N410" s="157"/>
      <c r="O410" s="157"/>
    </row>
    <row r="411" spans="2:15" x14ac:dyDescent="0.2">
      <c r="B411" s="8">
        <f t="shared" si="23"/>
        <v>79</v>
      </c>
      <c r="C411" s="120"/>
      <c r="D411" s="120"/>
      <c r="E411" s="120"/>
      <c r="F411" s="155"/>
      <c r="G411" s="155"/>
      <c r="H411" s="156" t="s">
        <v>1202</v>
      </c>
      <c r="I411" s="157"/>
      <c r="J411" s="157"/>
      <c r="K411" s="157"/>
      <c r="L411" s="614"/>
      <c r="M411" s="157">
        <v>101000</v>
      </c>
      <c r="N411" s="157"/>
      <c r="O411" s="157"/>
    </row>
    <row r="412" spans="2:15" x14ac:dyDescent="0.2">
      <c r="B412" s="8">
        <f t="shared" si="23"/>
        <v>80</v>
      </c>
      <c r="C412" s="120"/>
      <c r="D412" s="120"/>
      <c r="E412" s="120"/>
      <c r="F412" s="155"/>
      <c r="G412" s="155"/>
      <c r="H412" s="156" t="s">
        <v>990</v>
      </c>
      <c r="I412" s="157"/>
      <c r="J412" s="157"/>
      <c r="K412" s="157"/>
      <c r="L412" s="614"/>
      <c r="M412" s="157">
        <v>82000</v>
      </c>
      <c r="N412" s="157"/>
      <c r="O412" s="157"/>
    </row>
    <row r="413" spans="2:15" x14ac:dyDescent="0.2">
      <c r="B413" s="8">
        <f t="shared" si="23"/>
        <v>81</v>
      </c>
      <c r="C413" s="120"/>
      <c r="D413" s="120"/>
      <c r="E413" s="120"/>
      <c r="F413" s="155"/>
      <c r="G413" s="155"/>
      <c r="H413" s="156" t="s">
        <v>1179</v>
      </c>
      <c r="I413" s="157"/>
      <c r="J413" s="157"/>
      <c r="K413" s="157"/>
      <c r="L413" s="614"/>
      <c r="M413" s="157">
        <v>14000</v>
      </c>
      <c r="N413" s="157"/>
      <c r="O413" s="157"/>
    </row>
    <row r="414" spans="2:15" x14ac:dyDescent="0.2">
      <c r="B414" s="8">
        <f t="shared" si="23"/>
        <v>82</v>
      </c>
      <c r="C414" s="120"/>
      <c r="D414" s="120"/>
      <c r="E414" s="120"/>
      <c r="F414" s="155"/>
      <c r="G414" s="155"/>
      <c r="H414" s="156" t="s">
        <v>1144</v>
      </c>
      <c r="I414" s="157"/>
      <c r="J414" s="157"/>
      <c r="K414" s="157"/>
      <c r="L414" s="614"/>
      <c r="M414" s="157"/>
      <c r="N414" s="157"/>
      <c r="O414" s="157">
        <v>12000000</v>
      </c>
    </row>
    <row r="415" spans="2:15" x14ac:dyDescent="0.2">
      <c r="B415" s="8">
        <f t="shared" si="23"/>
        <v>83</v>
      </c>
      <c r="C415" s="120"/>
      <c r="D415" s="120"/>
      <c r="E415" s="120"/>
      <c r="F415" s="155"/>
      <c r="G415" s="155"/>
      <c r="H415" s="156" t="s">
        <v>1165</v>
      </c>
      <c r="I415" s="157"/>
      <c r="J415" s="157"/>
      <c r="K415" s="157"/>
      <c r="L415" s="614"/>
      <c r="M415" s="157">
        <v>15000</v>
      </c>
      <c r="N415" s="157"/>
      <c r="O415" s="157"/>
    </row>
    <row r="416" spans="2:15" x14ac:dyDescent="0.2">
      <c r="B416" s="8">
        <f t="shared" si="23"/>
        <v>84</v>
      </c>
      <c r="C416" s="120"/>
      <c r="D416" s="120"/>
      <c r="E416" s="120"/>
      <c r="F416" s="155"/>
      <c r="G416" s="155"/>
      <c r="H416" s="156" t="s">
        <v>414</v>
      </c>
      <c r="I416" s="157"/>
      <c r="J416" s="157"/>
      <c r="K416" s="157"/>
      <c r="L416" s="614"/>
      <c r="M416" s="157">
        <f>12500+1500</f>
        <v>14000</v>
      </c>
      <c r="N416" s="157"/>
      <c r="O416" s="157"/>
    </row>
    <row r="417" spans="2:15" x14ac:dyDescent="0.2">
      <c r="B417" s="8">
        <f t="shared" si="23"/>
        <v>85</v>
      </c>
      <c r="C417" s="120"/>
      <c r="D417" s="120"/>
      <c r="E417" s="120"/>
      <c r="F417" s="155"/>
      <c r="G417" s="155"/>
      <c r="H417" s="156" t="s">
        <v>713</v>
      </c>
      <c r="I417" s="157"/>
      <c r="J417" s="157"/>
      <c r="K417" s="157"/>
      <c r="L417" s="614"/>
      <c r="M417" s="157">
        <v>25000</v>
      </c>
      <c r="N417" s="157"/>
      <c r="O417" s="157"/>
    </row>
    <row r="418" spans="2:15" x14ac:dyDescent="0.2">
      <c r="B418" s="8">
        <f t="shared" si="23"/>
        <v>86</v>
      </c>
      <c r="C418" s="120"/>
      <c r="D418" s="120"/>
      <c r="E418" s="120"/>
      <c r="F418" s="155"/>
      <c r="G418" s="155"/>
      <c r="H418" s="156" t="s">
        <v>994</v>
      </c>
      <c r="I418" s="157"/>
      <c r="J418" s="157"/>
      <c r="K418" s="157"/>
      <c r="L418" s="614"/>
      <c r="M418" s="157">
        <f>20000+4000</f>
        <v>24000</v>
      </c>
      <c r="N418" s="157"/>
      <c r="O418" s="157"/>
    </row>
    <row r="419" spans="2:15" x14ac:dyDescent="0.2">
      <c r="B419" s="8">
        <f t="shared" si="23"/>
        <v>87</v>
      </c>
      <c r="C419" s="120"/>
      <c r="D419" s="120"/>
      <c r="E419" s="120"/>
      <c r="F419" s="155"/>
      <c r="G419" s="155"/>
      <c r="H419" s="156" t="s">
        <v>409</v>
      </c>
      <c r="I419" s="157"/>
      <c r="J419" s="157"/>
      <c r="K419" s="157"/>
      <c r="L419" s="614"/>
      <c r="M419" s="157">
        <v>5000</v>
      </c>
      <c r="N419" s="157"/>
      <c r="O419" s="157"/>
    </row>
    <row r="420" spans="2:15" x14ac:dyDescent="0.2">
      <c r="B420" s="8">
        <f t="shared" si="23"/>
        <v>88</v>
      </c>
      <c r="C420" s="120"/>
      <c r="D420" s="120"/>
      <c r="E420" s="120"/>
      <c r="F420" s="155"/>
      <c r="G420" s="643"/>
      <c r="H420" s="246" t="s">
        <v>1157</v>
      </c>
      <c r="I420" s="614"/>
      <c r="J420" s="614"/>
      <c r="K420" s="614"/>
      <c r="L420" s="614"/>
      <c r="M420" s="157">
        <v>41000</v>
      </c>
      <c r="N420" s="157"/>
      <c r="O420" s="157"/>
    </row>
    <row r="421" spans="2:15" x14ac:dyDescent="0.2">
      <c r="B421" s="8">
        <f t="shared" ref="B421:B423" si="24">B420+1</f>
        <v>89</v>
      </c>
      <c r="C421" s="120"/>
      <c r="D421" s="120"/>
      <c r="E421" s="120"/>
      <c r="F421" s="155"/>
      <c r="G421" s="643"/>
      <c r="H421" s="246" t="s">
        <v>1158</v>
      </c>
      <c r="I421" s="614"/>
      <c r="J421" s="614"/>
      <c r="K421" s="614"/>
      <c r="L421" s="614"/>
      <c r="M421" s="157">
        <v>46500</v>
      </c>
      <c r="N421" s="157"/>
      <c r="O421" s="157"/>
    </row>
    <row r="422" spans="2:15" x14ac:dyDescent="0.2">
      <c r="B422" s="8">
        <f t="shared" si="24"/>
        <v>90</v>
      </c>
      <c r="C422" s="120"/>
      <c r="D422" s="120"/>
      <c r="E422" s="120"/>
      <c r="F422" s="155"/>
      <c r="G422" s="643"/>
      <c r="H422" s="246" t="s">
        <v>1186</v>
      </c>
      <c r="I422" s="614"/>
      <c r="J422" s="614"/>
      <c r="K422" s="614"/>
      <c r="L422" s="614"/>
      <c r="M422" s="157">
        <v>15000</v>
      </c>
      <c r="N422" s="157"/>
      <c r="O422" s="157"/>
    </row>
    <row r="423" spans="2:15" x14ac:dyDescent="0.2">
      <c r="B423" s="8">
        <f t="shared" si="24"/>
        <v>91</v>
      </c>
      <c r="C423" s="120"/>
      <c r="D423" s="120"/>
      <c r="E423" s="120"/>
      <c r="F423" s="155"/>
      <c r="G423" s="643"/>
      <c r="H423" s="246" t="s">
        <v>1178</v>
      </c>
      <c r="I423" s="614"/>
      <c r="J423" s="614"/>
      <c r="K423" s="614"/>
      <c r="L423" s="614"/>
      <c r="M423" s="157">
        <v>27000</v>
      </c>
      <c r="N423" s="157"/>
      <c r="O423" s="157"/>
    </row>
    <row r="424" spans="2:15" s="13" customFormat="1" ht="24" x14ac:dyDescent="0.2">
      <c r="B424" s="8">
        <f t="shared" ref="B424" si="25">B423+1</f>
        <v>92</v>
      </c>
      <c r="C424" s="166"/>
      <c r="D424" s="166"/>
      <c r="E424" s="166"/>
      <c r="F424" s="167"/>
      <c r="G424" s="479"/>
      <c r="H424" s="480" t="s">
        <v>1057</v>
      </c>
      <c r="I424" s="481"/>
      <c r="J424" s="481"/>
      <c r="K424" s="481"/>
      <c r="L424" s="615"/>
      <c r="M424" s="169">
        <v>132000</v>
      </c>
      <c r="N424" s="169"/>
      <c r="O424" s="169"/>
    </row>
    <row r="425" spans="2:15" x14ac:dyDescent="0.2">
      <c r="B425" s="8">
        <f t="shared" ref="B425:B426" si="26">B424+1</f>
        <v>93</v>
      </c>
      <c r="C425" s="166"/>
      <c r="D425" s="166"/>
      <c r="E425" s="166"/>
      <c r="F425" s="167"/>
      <c r="G425" s="479"/>
      <c r="H425" s="480" t="s">
        <v>399</v>
      </c>
      <c r="I425" s="481"/>
      <c r="J425" s="481"/>
      <c r="K425" s="481"/>
      <c r="L425" s="615"/>
      <c r="M425" s="169"/>
      <c r="N425" s="169">
        <v>400000</v>
      </c>
      <c r="O425" s="169"/>
    </row>
    <row r="426" spans="2:15" x14ac:dyDescent="0.2">
      <c r="B426" s="8">
        <f t="shared" si="26"/>
        <v>94</v>
      </c>
      <c r="C426" s="166"/>
      <c r="D426" s="166"/>
      <c r="E426" s="166"/>
      <c r="F426" s="167"/>
      <c r="G426" s="479"/>
      <c r="H426" s="480" t="s">
        <v>1143</v>
      </c>
      <c r="I426" s="481"/>
      <c r="J426" s="481"/>
      <c r="K426" s="481"/>
      <c r="L426" s="615"/>
      <c r="M426" s="169"/>
      <c r="N426" s="169">
        <v>1250000</v>
      </c>
      <c r="O426" s="169"/>
    </row>
    <row r="428" spans="2:15" ht="27" x14ac:dyDescent="0.35">
      <c r="B428" s="679" t="s">
        <v>23</v>
      </c>
      <c r="C428" s="680"/>
      <c r="D428" s="680"/>
      <c r="E428" s="680"/>
      <c r="F428" s="680"/>
      <c r="G428" s="680"/>
      <c r="H428" s="680"/>
      <c r="I428" s="680"/>
      <c r="J428" s="680"/>
      <c r="K428" s="680"/>
      <c r="L428" s="680"/>
      <c r="M428" s="680"/>
      <c r="N428" s="3"/>
      <c r="O428" s="3"/>
    </row>
    <row r="429" spans="2:15" ht="12.75" customHeight="1" x14ac:dyDescent="0.2">
      <c r="B429" s="739"/>
      <c r="C429" s="739" t="s">
        <v>122</v>
      </c>
      <c r="D429" s="739" t="s">
        <v>123</v>
      </c>
      <c r="E429" s="739"/>
      <c r="F429" s="739" t="s">
        <v>124</v>
      </c>
      <c r="G429" s="740" t="s">
        <v>125</v>
      </c>
      <c r="H429" s="741" t="s">
        <v>126</v>
      </c>
      <c r="I429" s="742" t="s">
        <v>1135</v>
      </c>
      <c r="J429" s="742" t="s">
        <v>1136</v>
      </c>
      <c r="K429" s="742" t="s">
        <v>1137</v>
      </c>
      <c r="L429" s="633"/>
      <c r="M429" s="742" t="s">
        <v>1138</v>
      </c>
      <c r="N429" s="742" t="s">
        <v>1139</v>
      </c>
      <c r="O429" s="742" t="s">
        <v>1140</v>
      </c>
    </row>
    <row r="430" spans="2:15" x14ac:dyDescent="0.2">
      <c r="B430" s="681"/>
      <c r="C430" s="681"/>
      <c r="D430" s="681"/>
      <c r="E430" s="681"/>
      <c r="F430" s="681"/>
      <c r="G430" s="689"/>
      <c r="H430" s="686"/>
      <c r="I430" s="673"/>
      <c r="J430" s="673"/>
      <c r="K430" s="673"/>
      <c r="L430" s="616"/>
      <c r="M430" s="673"/>
      <c r="N430" s="673"/>
      <c r="O430" s="673"/>
    </row>
    <row r="431" spans="2:15" x14ac:dyDescent="0.2">
      <c r="B431" s="681"/>
      <c r="C431" s="681"/>
      <c r="D431" s="681"/>
      <c r="E431" s="681"/>
      <c r="F431" s="681"/>
      <c r="G431" s="689"/>
      <c r="H431" s="686"/>
      <c r="I431" s="673"/>
      <c r="J431" s="673"/>
      <c r="K431" s="673"/>
      <c r="L431" s="616"/>
      <c r="M431" s="673"/>
      <c r="N431" s="673"/>
      <c r="O431" s="673"/>
    </row>
    <row r="432" spans="2:15" ht="38.25" customHeight="1" x14ac:dyDescent="0.2">
      <c r="B432" s="681"/>
      <c r="C432" s="681"/>
      <c r="D432" s="681"/>
      <c r="E432" s="681"/>
      <c r="F432" s="681"/>
      <c r="G432" s="689"/>
      <c r="H432" s="686"/>
      <c r="I432" s="673"/>
      <c r="J432" s="673"/>
      <c r="K432" s="673"/>
      <c r="L432" s="616"/>
      <c r="M432" s="673"/>
      <c r="N432" s="673"/>
      <c r="O432" s="673"/>
    </row>
    <row r="433" spans="2:15" ht="15.75" x14ac:dyDescent="0.2">
      <c r="B433" s="8">
        <v>1</v>
      </c>
      <c r="C433" s="687" t="s">
        <v>23</v>
      </c>
      <c r="D433" s="688"/>
      <c r="E433" s="688"/>
      <c r="F433" s="688"/>
      <c r="G433" s="688"/>
      <c r="H433" s="688"/>
      <c r="I433" s="138">
        <f>I434+I614+I807+I914+I1158</f>
        <v>34690214</v>
      </c>
      <c r="J433" s="138">
        <f>J434+J614+J807+J914+J1158</f>
        <v>35359430</v>
      </c>
      <c r="K433" s="138">
        <f>K434+K614+K807+K914+K1158</f>
        <v>35773730</v>
      </c>
      <c r="L433" s="617"/>
      <c r="M433" s="138">
        <f>M1158+M914+M807+M614+M434</f>
        <v>2522461</v>
      </c>
      <c r="N433" s="138"/>
      <c r="O433" s="138"/>
    </row>
    <row r="434" spans="2:15" ht="15.75" x14ac:dyDescent="0.25">
      <c r="B434" s="8">
        <f>B433+1</f>
        <v>2</v>
      </c>
      <c r="C434" s="141">
        <v>1</v>
      </c>
      <c r="D434" s="677" t="s">
        <v>198</v>
      </c>
      <c r="E434" s="678"/>
      <c r="F434" s="678"/>
      <c r="G434" s="678"/>
      <c r="H434" s="678"/>
      <c r="I434" s="142">
        <f>I435+I446+I456</f>
        <v>7768835</v>
      </c>
      <c r="J434" s="142">
        <f>J435+J446+J456</f>
        <v>7917695</v>
      </c>
      <c r="K434" s="142">
        <f>K435+K446+K456</f>
        <v>8038195</v>
      </c>
      <c r="L434" s="618"/>
      <c r="M434" s="142">
        <f>M456</f>
        <v>198000</v>
      </c>
      <c r="N434" s="142"/>
      <c r="O434" s="142"/>
    </row>
    <row r="435" spans="2:15" x14ac:dyDescent="0.2">
      <c r="B435" s="8">
        <f t="shared" ref="B435:B445" si="27">B434+1</f>
        <v>3</v>
      </c>
      <c r="C435" s="24"/>
      <c r="D435" s="24"/>
      <c r="E435" s="24"/>
      <c r="F435" s="149" t="s">
        <v>197</v>
      </c>
      <c r="G435" s="150">
        <v>640</v>
      </c>
      <c r="H435" s="24" t="s">
        <v>139</v>
      </c>
      <c r="I435" s="25">
        <f>I436</f>
        <v>1077588</v>
      </c>
      <c r="J435" s="25">
        <f>J436</f>
        <v>1120900</v>
      </c>
      <c r="K435" s="25">
        <f>K436</f>
        <v>1139000</v>
      </c>
      <c r="L435" s="620"/>
      <c r="M435" s="25"/>
      <c r="N435" s="25"/>
      <c r="O435" s="25"/>
    </row>
    <row r="436" spans="2:15" x14ac:dyDescent="0.2">
      <c r="B436" s="8">
        <f t="shared" si="27"/>
        <v>4</v>
      </c>
      <c r="C436" s="18"/>
      <c r="D436" s="18"/>
      <c r="E436" s="18"/>
      <c r="F436" s="152"/>
      <c r="G436" s="153">
        <v>642</v>
      </c>
      <c r="H436" s="18" t="s">
        <v>140</v>
      </c>
      <c r="I436" s="19">
        <f>SUM(I437:I445)</f>
        <v>1077588</v>
      </c>
      <c r="J436" s="19">
        <f>SUM(J437:J445)</f>
        <v>1120900</v>
      </c>
      <c r="K436" s="19">
        <f>SUM(K437:K445)</f>
        <v>1139000</v>
      </c>
      <c r="L436" s="621"/>
      <c r="M436" s="19"/>
      <c r="N436" s="19"/>
      <c r="O436" s="19"/>
    </row>
    <row r="437" spans="2:15" x14ac:dyDescent="0.2">
      <c r="B437" s="8">
        <f t="shared" si="27"/>
        <v>5</v>
      </c>
      <c r="C437" s="120"/>
      <c r="D437" s="120"/>
      <c r="E437" s="156"/>
      <c r="F437" s="155"/>
      <c r="G437" s="155"/>
      <c r="H437" s="156" t="s">
        <v>620</v>
      </c>
      <c r="I437" s="157">
        <v>208467</v>
      </c>
      <c r="J437" s="157">
        <v>213000</v>
      </c>
      <c r="K437" s="157">
        <v>215000</v>
      </c>
      <c r="L437" s="614"/>
      <c r="M437" s="157"/>
      <c r="N437" s="157"/>
      <c r="O437" s="157"/>
    </row>
    <row r="438" spans="2:15" x14ac:dyDescent="0.2">
      <c r="B438" s="8">
        <f t="shared" si="27"/>
        <v>6</v>
      </c>
      <c r="C438" s="120"/>
      <c r="D438" s="120"/>
      <c r="E438" s="156"/>
      <c r="F438" s="155"/>
      <c r="G438" s="155"/>
      <c r="H438" s="156" t="s">
        <v>1055</v>
      </c>
      <c r="I438" s="157">
        <v>84711</v>
      </c>
      <c r="J438" s="157">
        <v>89500</v>
      </c>
      <c r="K438" s="157">
        <v>92000</v>
      </c>
      <c r="L438" s="614"/>
      <c r="M438" s="157"/>
      <c r="N438" s="157"/>
      <c r="O438" s="157"/>
    </row>
    <row r="439" spans="2:15" x14ac:dyDescent="0.2">
      <c r="B439" s="8">
        <f t="shared" si="27"/>
        <v>7</v>
      </c>
      <c r="C439" s="120"/>
      <c r="D439" s="120"/>
      <c r="E439" s="156"/>
      <c r="F439" s="155"/>
      <c r="G439" s="155"/>
      <c r="H439" s="156" t="s">
        <v>621</v>
      </c>
      <c r="I439" s="157">
        <v>69278</v>
      </c>
      <c r="J439" s="157">
        <v>74200</v>
      </c>
      <c r="K439" s="157">
        <v>76000</v>
      </c>
      <c r="L439" s="614"/>
      <c r="M439" s="157"/>
      <c r="N439" s="157"/>
      <c r="O439" s="157"/>
    </row>
    <row r="440" spans="2:15" x14ac:dyDescent="0.2">
      <c r="B440" s="8">
        <f t="shared" si="27"/>
        <v>8</v>
      </c>
      <c r="C440" s="120"/>
      <c r="D440" s="120"/>
      <c r="E440" s="156"/>
      <c r="F440" s="155"/>
      <c r="G440" s="155"/>
      <c r="H440" s="156" t="s">
        <v>622</v>
      </c>
      <c r="I440" s="157">
        <v>72281</v>
      </c>
      <c r="J440" s="157">
        <v>77200</v>
      </c>
      <c r="K440" s="157">
        <v>79000</v>
      </c>
      <c r="L440" s="614"/>
      <c r="M440" s="157"/>
      <c r="N440" s="157"/>
      <c r="O440" s="157"/>
    </row>
    <row r="441" spans="2:15" x14ac:dyDescent="0.2">
      <c r="B441" s="8">
        <f t="shared" si="27"/>
        <v>9</v>
      </c>
      <c r="C441" s="120"/>
      <c r="D441" s="120"/>
      <c r="E441" s="156"/>
      <c r="F441" s="155"/>
      <c r="G441" s="155"/>
      <c r="H441" s="156" t="s">
        <v>623</v>
      </c>
      <c r="I441" s="157">
        <v>186186</v>
      </c>
      <c r="J441" s="157">
        <v>191000</v>
      </c>
      <c r="K441" s="157">
        <v>193000</v>
      </c>
      <c r="L441" s="614"/>
      <c r="M441" s="157"/>
      <c r="N441" s="157"/>
      <c r="O441" s="157"/>
    </row>
    <row r="442" spans="2:15" x14ac:dyDescent="0.2">
      <c r="B442" s="8">
        <f t="shared" si="27"/>
        <v>10</v>
      </c>
      <c r="C442" s="120"/>
      <c r="D442" s="120"/>
      <c r="E442" s="156"/>
      <c r="F442" s="155"/>
      <c r="G442" s="155"/>
      <c r="H442" s="156" t="s">
        <v>624</v>
      </c>
      <c r="I442" s="157">
        <v>135135</v>
      </c>
      <c r="J442" s="157">
        <v>140000</v>
      </c>
      <c r="K442" s="157">
        <v>142000</v>
      </c>
      <c r="L442" s="614"/>
      <c r="M442" s="157"/>
      <c r="N442" s="157"/>
      <c r="O442" s="157"/>
    </row>
    <row r="443" spans="2:15" x14ac:dyDescent="0.2">
      <c r="B443" s="8">
        <f t="shared" si="27"/>
        <v>11</v>
      </c>
      <c r="C443" s="120"/>
      <c r="D443" s="120"/>
      <c r="E443" s="156"/>
      <c r="F443" s="155"/>
      <c r="G443" s="155"/>
      <c r="H443" s="156" t="s">
        <v>625</v>
      </c>
      <c r="I443" s="157">
        <v>189398</v>
      </c>
      <c r="J443" s="157">
        <v>194000</v>
      </c>
      <c r="K443" s="157">
        <v>196000</v>
      </c>
      <c r="L443" s="614"/>
      <c r="M443" s="157"/>
      <c r="N443" s="157"/>
      <c r="O443" s="157"/>
    </row>
    <row r="444" spans="2:15" x14ac:dyDescent="0.2">
      <c r="B444" s="8">
        <f t="shared" si="27"/>
        <v>12</v>
      </c>
      <c r="C444" s="120"/>
      <c r="D444" s="120"/>
      <c r="E444" s="156"/>
      <c r="F444" s="155"/>
      <c r="G444" s="155"/>
      <c r="H444" s="156" t="s">
        <v>1058</v>
      </c>
      <c r="I444" s="157">
        <v>63063</v>
      </c>
      <c r="J444" s="157">
        <v>68000</v>
      </c>
      <c r="K444" s="157">
        <v>70000</v>
      </c>
      <c r="L444" s="614"/>
      <c r="M444" s="157"/>
      <c r="N444" s="157"/>
      <c r="O444" s="157"/>
    </row>
    <row r="445" spans="2:15" x14ac:dyDescent="0.2">
      <c r="B445" s="8">
        <f t="shared" si="27"/>
        <v>13</v>
      </c>
      <c r="C445" s="120"/>
      <c r="D445" s="120"/>
      <c r="E445" s="156"/>
      <c r="F445" s="155"/>
      <c r="G445" s="155"/>
      <c r="H445" s="156" t="s">
        <v>626</v>
      </c>
      <c r="I445" s="157">
        <v>69069</v>
      </c>
      <c r="J445" s="157">
        <v>74000</v>
      </c>
      <c r="K445" s="157">
        <v>76000</v>
      </c>
      <c r="L445" s="614"/>
      <c r="M445" s="157"/>
      <c r="N445" s="157"/>
      <c r="O445" s="157"/>
    </row>
    <row r="446" spans="2:15" ht="14.25" x14ac:dyDescent="0.2">
      <c r="B446" s="8">
        <f t="shared" ref="B446:B515" si="28">B445+1</f>
        <v>14</v>
      </c>
      <c r="C446" s="267"/>
      <c r="D446" s="267"/>
      <c r="E446" s="267">
        <v>3</v>
      </c>
      <c r="F446" s="268"/>
      <c r="G446" s="268"/>
      <c r="H446" s="267" t="s">
        <v>10</v>
      </c>
      <c r="I446" s="269">
        <f>I447+I448+I449+I455</f>
        <v>816118</v>
      </c>
      <c r="J446" s="269">
        <f>J447+J448+J449+J455</f>
        <v>822350</v>
      </c>
      <c r="K446" s="269">
        <f>K447+K448+K449+K455</f>
        <v>826350</v>
      </c>
      <c r="L446" s="619"/>
      <c r="M446" s="269"/>
      <c r="N446" s="269"/>
      <c r="O446" s="269"/>
    </row>
    <row r="447" spans="2:15" x14ac:dyDescent="0.2">
      <c r="B447" s="8">
        <f t="shared" si="28"/>
        <v>15</v>
      </c>
      <c r="C447" s="24"/>
      <c r="D447" s="24"/>
      <c r="E447" s="24"/>
      <c r="F447" s="149" t="s">
        <v>197</v>
      </c>
      <c r="G447" s="150">
        <v>610</v>
      </c>
      <c r="H447" s="24" t="s">
        <v>141</v>
      </c>
      <c r="I447" s="25">
        <v>459773</v>
      </c>
      <c r="J447" s="25">
        <v>465000</v>
      </c>
      <c r="K447" s="25">
        <v>468000</v>
      </c>
      <c r="L447" s="620"/>
      <c r="M447" s="25"/>
      <c r="N447" s="25"/>
      <c r="O447" s="25"/>
    </row>
    <row r="448" spans="2:15" x14ac:dyDescent="0.2">
      <c r="B448" s="8">
        <f t="shared" si="28"/>
        <v>16</v>
      </c>
      <c r="C448" s="24"/>
      <c r="D448" s="24"/>
      <c r="E448" s="24"/>
      <c r="F448" s="149" t="s">
        <v>197</v>
      </c>
      <c r="G448" s="150">
        <v>620</v>
      </c>
      <c r="H448" s="24" t="s">
        <v>134</v>
      </c>
      <c r="I448" s="25">
        <v>169971</v>
      </c>
      <c r="J448" s="25">
        <v>171000</v>
      </c>
      <c r="K448" s="25">
        <v>172000</v>
      </c>
      <c r="L448" s="620"/>
      <c r="M448" s="25"/>
      <c r="N448" s="25"/>
      <c r="O448" s="25"/>
    </row>
    <row r="449" spans="2:15" x14ac:dyDescent="0.2">
      <c r="B449" s="8">
        <f t="shared" si="28"/>
        <v>17</v>
      </c>
      <c r="C449" s="24"/>
      <c r="D449" s="24"/>
      <c r="E449" s="24"/>
      <c r="F449" s="149" t="s">
        <v>197</v>
      </c>
      <c r="G449" s="150">
        <v>630</v>
      </c>
      <c r="H449" s="24" t="s">
        <v>131</v>
      </c>
      <c r="I449" s="25">
        <f>SUM(I450:I454)</f>
        <v>185924</v>
      </c>
      <c r="J449" s="25">
        <f>SUM(J450:J454)</f>
        <v>185900</v>
      </c>
      <c r="K449" s="25">
        <f>SUM(K450:K454)</f>
        <v>185900</v>
      </c>
      <c r="L449" s="620"/>
      <c r="M449" s="25"/>
      <c r="N449" s="25"/>
      <c r="O449" s="25"/>
    </row>
    <row r="450" spans="2:15" x14ac:dyDescent="0.2">
      <c r="B450" s="8">
        <f t="shared" si="28"/>
        <v>18</v>
      </c>
      <c r="C450" s="18"/>
      <c r="D450" s="18"/>
      <c r="E450" s="18"/>
      <c r="F450" s="152"/>
      <c r="G450" s="153">
        <v>632</v>
      </c>
      <c r="H450" s="18" t="s">
        <v>144</v>
      </c>
      <c r="I450" s="19">
        <v>84930</v>
      </c>
      <c r="J450" s="19">
        <v>85000</v>
      </c>
      <c r="K450" s="19">
        <v>85000</v>
      </c>
      <c r="L450" s="621"/>
      <c r="M450" s="19"/>
      <c r="N450" s="19"/>
      <c r="O450" s="19"/>
    </row>
    <row r="451" spans="2:15" x14ac:dyDescent="0.2">
      <c r="B451" s="8">
        <f t="shared" si="28"/>
        <v>19</v>
      </c>
      <c r="C451" s="18"/>
      <c r="D451" s="18"/>
      <c r="E451" s="18"/>
      <c r="F451" s="152"/>
      <c r="G451" s="153">
        <v>633</v>
      </c>
      <c r="H451" s="18" t="s">
        <v>135</v>
      </c>
      <c r="I451" s="19">
        <v>52389</v>
      </c>
      <c r="J451" s="19">
        <v>52500</v>
      </c>
      <c r="K451" s="19">
        <v>52500</v>
      </c>
      <c r="L451" s="621"/>
      <c r="M451" s="19"/>
      <c r="N451" s="19"/>
      <c r="O451" s="19"/>
    </row>
    <row r="452" spans="2:15" x14ac:dyDescent="0.2">
      <c r="B452" s="8">
        <f t="shared" si="28"/>
        <v>20</v>
      </c>
      <c r="C452" s="18"/>
      <c r="D452" s="18"/>
      <c r="E452" s="18"/>
      <c r="F452" s="152"/>
      <c r="G452" s="153">
        <v>635</v>
      </c>
      <c r="H452" s="18" t="s">
        <v>143</v>
      </c>
      <c r="I452" s="19">
        <f>23000-9785</f>
        <v>13215</v>
      </c>
      <c r="J452" s="19">
        <v>13200</v>
      </c>
      <c r="K452" s="19">
        <v>13200</v>
      </c>
      <c r="L452" s="621"/>
      <c r="M452" s="19"/>
      <c r="N452" s="19"/>
      <c r="O452" s="19"/>
    </row>
    <row r="453" spans="2:15" x14ac:dyDescent="0.2">
      <c r="B453" s="8">
        <f t="shared" si="28"/>
        <v>21</v>
      </c>
      <c r="C453" s="18"/>
      <c r="D453" s="18"/>
      <c r="E453" s="18"/>
      <c r="F453" s="152"/>
      <c r="G453" s="153">
        <v>636</v>
      </c>
      <c r="H453" s="18" t="s">
        <v>136</v>
      </c>
      <c r="I453" s="19">
        <v>14100</v>
      </c>
      <c r="J453" s="19">
        <v>14000</v>
      </c>
      <c r="K453" s="19">
        <v>14000</v>
      </c>
      <c r="L453" s="621"/>
      <c r="M453" s="19"/>
      <c r="N453" s="19"/>
      <c r="O453" s="19"/>
    </row>
    <row r="454" spans="2:15" x14ac:dyDescent="0.2">
      <c r="B454" s="8">
        <f t="shared" si="28"/>
        <v>22</v>
      </c>
      <c r="C454" s="18"/>
      <c r="D454" s="18"/>
      <c r="E454" s="18"/>
      <c r="F454" s="152"/>
      <c r="G454" s="153">
        <v>637</v>
      </c>
      <c r="H454" s="18" t="s">
        <v>132</v>
      </c>
      <c r="I454" s="19">
        <v>21290</v>
      </c>
      <c r="J454" s="19">
        <v>21200</v>
      </c>
      <c r="K454" s="19">
        <v>21200</v>
      </c>
      <c r="L454" s="621"/>
      <c r="M454" s="19"/>
      <c r="N454" s="19"/>
      <c r="O454" s="19"/>
    </row>
    <row r="455" spans="2:15" x14ac:dyDescent="0.2">
      <c r="B455" s="8">
        <f t="shared" si="28"/>
        <v>23</v>
      </c>
      <c r="C455" s="24"/>
      <c r="D455" s="24"/>
      <c r="E455" s="24"/>
      <c r="F455" s="149" t="s">
        <v>197</v>
      </c>
      <c r="G455" s="150">
        <v>640</v>
      </c>
      <c r="H455" s="24" t="s">
        <v>139</v>
      </c>
      <c r="I455" s="25">
        <v>450</v>
      </c>
      <c r="J455" s="25">
        <v>450</v>
      </c>
      <c r="K455" s="25">
        <v>450</v>
      </c>
      <c r="L455" s="620"/>
      <c r="M455" s="25"/>
      <c r="N455" s="25"/>
      <c r="O455" s="25"/>
    </row>
    <row r="456" spans="2:15" ht="14.25" x14ac:dyDescent="0.2">
      <c r="B456" s="8">
        <f t="shared" si="28"/>
        <v>24</v>
      </c>
      <c r="C456" s="267"/>
      <c r="D456" s="267"/>
      <c r="E456" s="267">
        <v>4</v>
      </c>
      <c r="F456" s="268"/>
      <c r="G456" s="268"/>
      <c r="H456" s="267" t="s">
        <v>89</v>
      </c>
      <c r="I456" s="269">
        <f>I457+I460+I472+I484+I493+I502+I511+I524+I536+I545+I554+I564+I573+I582+I591+I601</f>
        <v>5875129</v>
      </c>
      <c r="J456" s="269">
        <f>J457+J460+J472+J484+J493+J502+J511+J524+J536+J545+J554+J564+J573+J582+J591+J601</f>
        <v>5974445</v>
      </c>
      <c r="K456" s="269">
        <f>K457+K460+K472+K484+K493+K502+K511+K524+K536+K545+K554+K564+K573+K582+K591+K601</f>
        <v>6072845</v>
      </c>
      <c r="L456" s="619"/>
      <c r="M456" s="269">
        <f>M601+M511+M524+M472+M460</f>
        <v>198000</v>
      </c>
      <c r="N456" s="269"/>
      <c r="O456" s="269"/>
    </row>
    <row r="457" spans="2:15" x14ac:dyDescent="0.2">
      <c r="B457" s="8">
        <f t="shared" si="28"/>
        <v>25</v>
      </c>
      <c r="C457" s="24"/>
      <c r="D457" s="24"/>
      <c r="E457" s="24"/>
      <c r="F457" s="149" t="s">
        <v>197</v>
      </c>
      <c r="G457" s="150">
        <v>630</v>
      </c>
      <c r="H457" s="24" t="s">
        <v>131</v>
      </c>
      <c r="I457" s="25">
        <f>SUM(I458:I459)</f>
        <v>32210</v>
      </c>
      <c r="J457" s="25">
        <f>SUM(J458:J459)</f>
        <v>82210</v>
      </c>
      <c r="K457" s="25">
        <f>SUM(K458:K459)</f>
        <v>122210</v>
      </c>
      <c r="L457" s="620"/>
      <c r="M457" s="25"/>
      <c r="N457" s="25"/>
      <c r="O457" s="25"/>
    </row>
    <row r="458" spans="2:15" x14ac:dyDescent="0.2">
      <c r="B458" s="8">
        <f t="shared" si="28"/>
        <v>26</v>
      </c>
      <c r="C458" s="18"/>
      <c r="D458" s="18"/>
      <c r="E458" s="18"/>
      <c r="F458" s="152"/>
      <c r="G458" s="153">
        <v>635</v>
      </c>
      <c r="H458" s="18" t="s">
        <v>143</v>
      </c>
      <c r="I458" s="19">
        <v>30000</v>
      </c>
      <c r="J458" s="19">
        <v>80000</v>
      </c>
      <c r="K458" s="19">
        <v>120000</v>
      </c>
      <c r="L458" s="621"/>
      <c r="M458" s="19"/>
      <c r="N458" s="19"/>
      <c r="O458" s="19"/>
    </row>
    <row r="459" spans="2:15" x14ac:dyDescent="0.2">
      <c r="B459" s="8">
        <f t="shared" si="28"/>
        <v>27</v>
      </c>
      <c r="C459" s="18"/>
      <c r="D459" s="18"/>
      <c r="E459" s="18"/>
      <c r="F459" s="152"/>
      <c r="G459" s="153">
        <v>637</v>
      </c>
      <c r="H459" s="18" t="s">
        <v>946</v>
      </c>
      <c r="I459" s="19">
        <v>2210</v>
      </c>
      <c r="J459" s="19">
        <v>2210</v>
      </c>
      <c r="K459" s="19">
        <v>2210</v>
      </c>
      <c r="L459" s="621"/>
      <c r="M459" s="19"/>
      <c r="N459" s="19"/>
      <c r="O459" s="19"/>
    </row>
    <row r="460" spans="2:15" x14ac:dyDescent="0.2">
      <c r="B460" s="8">
        <f t="shared" si="28"/>
        <v>28</v>
      </c>
      <c r="C460" s="280"/>
      <c r="D460" s="280"/>
      <c r="E460" s="280" t="s">
        <v>99</v>
      </c>
      <c r="F460" s="281"/>
      <c r="G460" s="281"/>
      <c r="H460" s="280" t="s">
        <v>70</v>
      </c>
      <c r="I460" s="282">
        <f>I461+I462+I463+I468</f>
        <v>271353</v>
      </c>
      <c r="J460" s="282">
        <f>J461+J462+J463+J468</f>
        <v>273700</v>
      </c>
      <c r="K460" s="282">
        <f>K461+K462+K463+K468</f>
        <v>277000</v>
      </c>
      <c r="L460" s="620"/>
      <c r="M460" s="282">
        <f>M469</f>
        <v>10000</v>
      </c>
      <c r="N460" s="282"/>
      <c r="O460" s="282"/>
    </row>
    <row r="461" spans="2:15" x14ac:dyDescent="0.2">
      <c r="B461" s="8">
        <f t="shared" si="28"/>
        <v>29</v>
      </c>
      <c r="C461" s="24"/>
      <c r="D461" s="24"/>
      <c r="E461" s="24"/>
      <c r="F461" s="149" t="s">
        <v>197</v>
      </c>
      <c r="G461" s="150">
        <v>610</v>
      </c>
      <c r="H461" s="24" t="s">
        <v>141</v>
      </c>
      <c r="I461" s="25">
        <v>143070</v>
      </c>
      <c r="J461" s="25">
        <v>145000</v>
      </c>
      <c r="K461" s="25">
        <v>148000</v>
      </c>
      <c r="L461" s="620"/>
      <c r="M461" s="25"/>
      <c r="N461" s="25"/>
      <c r="O461" s="25"/>
    </row>
    <row r="462" spans="2:15" x14ac:dyDescent="0.2">
      <c r="B462" s="8">
        <f t="shared" si="28"/>
        <v>30</v>
      </c>
      <c r="C462" s="24"/>
      <c r="D462" s="24"/>
      <c r="E462" s="24"/>
      <c r="F462" s="149" t="s">
        <v>197</v>
      </c>
      <c r="G462" s="150">
        <v>620</v>
      </c>
      <c r="H462" s="24" t="s">
        <v>134</v>
      </c>
      <c r="I462" s="25">
        <v>53259</v>
      </c>
      <c r="J462" s="25">
        <v>53700</v>
      </c>
      <c r="K462" s="25">
        <v>54000</v>
      </c>
      <c r="L462" s="620"/>
      <c r="M462" s="25"/>
      <c r="N462" s="25"/>
      <c r="O462" s="25"/>
    </row>
    <row r="463" spans="2:15" x14ac:dyDescent="0.2">
      <c r="B463" s="8">
        <f t="shared" si="28"/>
        <v>31</v>
      </c>
      <c r="C463" s="24"/>
      <c r="D463" s="24"/>
      <c r="E463" s="24"/>
      <c r="F463" s="149" t="s">
        <v>197</v>
      </c>
      <c r="G463" s="150">
        <v>630</v>
      </c>
      <c r="H463" s="24" t="s">
        <v>131</v>
      </c>
      <c r="I463" s="25">
        <f>SUM(I464:I467)</f>
        <v>73740</v>
      </c>
      <c r="J463" s="25">
        <f>SUM(J464:J467)</f>
        <v>73700</v>
      </c>
      <c r="K463" s="25">
        <f>SUM(K464:K467)</f>
        <v>73700</v>
      </c>
      <c r="L463" s="620"/>
      <c r="M463" s="25"/>
      <c r="N463" s="25"/>
      <c r="O463" s="25"/>
    </row>
    <row r="464" spans="2:15" x14ac:dyDescent="0.2">
      <c r="B464" s="8">
        <f t="shared" si="28"/>
        <v>32</v>
      </c>
      <c r="C464" s="18"/>
      <c r="D464" s="18"/>
      <c r="E464" s="18"/>
      <c r="F464" s="152"/>
      <c r="G464" s="153">
        <v>632</v>
      </c>
      <c r="H464" s="18" t="s">
        <v>144</v>
      </c>
      <c r="I464" s="19">
        <v>45210</v>
      </c>
      <c r="J464" s="19">
        <v>45200</v>
      </c>
      <c r="K464" s="19">
        <v>45200</v>
      </c>
      <c r="L464" s="621"/>
      <c r="M464" s="19"/>
      <c r="N464" s="19"/>
      <c r="O464" s="19"/>
    </row>
    <row r="465" spans="2:15" x14ac:dyDescent="0.2">
      <c r="B465" s="8">
        <f t="shared" si="28"/>
        <v>33</v>
      </c>
      <c r="C465" s="18"/>
      <c r="D465" s="18"/>
      <c r="E465" s="18"/>
      <c r="F465" s="152"/>
      <c r="G465" s="153">
        <v>633</v>
      </c>
      <c r="H465" s="18" t="s">
        <v>135</v>
      </c>
      <c r="I465" s="19">
        <f>23201-3881</f>
        <v>19320</v>
      </c>
      <c r="J465" s="19">
        <v>19300</v>
      </c>
      <c r="K465" s="19">
        <v>19300</v>
      </c>
      <c r="L465" s="621"/>
      <c r="M465" s="19"/>
      <c r="N465" s="19"/>
      <c r="O465" s="19"/>
    </row>
    <row r="466" spans="2:15" x14ac:dyDescent="0.2">
      <c r="B466" s="8">
        <f t="shared" si="28"/>
        <v>34</v>
      </c>
      <c r="C466" s="18"/>
      <c r="D466" s="18"/>
      <c r="E466" s="18"/>
      <c r="F466" s="152"/>
      <c r="G466" s="153">
        <v>635</v>
      </c>
      <c r="H466" s="18" t="s">
        <v>143</v>
      </c>
      <c r="I466" s="19">
        <v>3000</v>
      </c>
      <c r="J466" s="19">
        <v>3000</v>
      </c>
      <c r="K466" s="19">
        <v>3000</v>
      </c>
      <c r="L466" s="621"/>
      <c r="M466" s="19"/>
      <c r="N466" s="19"/>
      <c r="O466" s="19"/>
    </row>
    <row r="467" spans="2:15" x14ac:dyDescent="0.2">
      <c r="B467" s="8">
        <f t="shared" si="28"/>
        <v>35</v>
      </c>
      <c r="C467" s="18"/>
      <c r="D467" s="18"/>
      <c r="E467" s="18"/>
      <c r="F467" s="152"/>
      <c r="G467" s="153">
        <v>637</v>
      </c>
      <c r="H467" s="18" t="s">
        <v>132</v>
      </c>
      <c r="I467" s="19">
        <v>6210</v>
      </c>
      <c r="J467" s="19">
        <v>6200</v>
      </c>
      <c r="K467" s="19">
        <v>6200</v>
      </c>
      <c r="L467" s="621"/>
      <c r="M467" s="19"/>
      <c r="N467" s="19"/>
      <c r="O467" s="19"/>
    </row>
    <row r="468" spans="2:15" x14ac:dyDescent="0.2">
      <c r="B468" s="8">
        <f t="shared" si="28"/>
        <v>36</v>
      </c>
      <c r="C468" s="24"/>
      <c r="D468" s="24"/>
      <c r="E468" s="24"/>
      <c r="F468" s="149"/>
      <c r="G468" s="150">
        <v>640</v>
      </c>
      <c r="H468" s="24" t="s">
        <v>139</v>
      </c>
      <c r="I468" s="25">
        <v>1284</v>
      </c>
      <c r="J468" s="25">
        <v>1300</v>
      </c>
      <c r="K468" s="25">
        <v>1300</v>
      </c>
      <c r="L468" s="620"/>
      <c r="M468" s="25"/>
      <c r="N468" s="25"/>
      <c r="O468" s="25"/>
    </row>
    <row r="469" spans="2:15" x14ac:dyDescent="0.2">
      <c r="B469" s="8">
        <f t="shared" si="28"/>
        <v>37</v>
      </c>
      <c r="C469" s="24"/>
      <c r="D469" s="24"/>
      <c r="E469" s="24"/>
      <c r="F469" s="149" t="s">
        <v>116</v>
      </c>
      <c r="G469" s="150">
        <v>710</v>
      </c>
      <c r="H469" s="24" t="s">
        <v>185</v>
      </c>
      <c r="I469" s="25"/>
      <c r="J469" s="25"/>
      <c r="K469" s="25"/>
      <c r="L469" s="620"/>
      <c r="M469" s="25">
        <f>M470</f>
        <v>10000</v>
      </c>
      <c r="N469" s="25"/>
      <c r="O469" s="25"/>
    </row>
    <row r="470" spans="2:15" x14ac:dyDescent="0.2">
      <c r="B470" s="8">
        <f t="shared" si="28"/>
        <v>38</v>
      </c>
      <c r="C470" s="18"/>
      <c r="D470" s="18"/>
      <c r="E470" s="18"/>
      <c r="F470" s="152"/>
      <c r="G470" s="153">
        <v>716</v>
      </c>
      <c r="H470" s="18" t="s">
        <v>226</v>
      </c>
      <c r="I470" s="19"/>
      <c r="J470" s="19"/>
      <c r="K470" s="19"/>
      <c r="L470" s="621"/>
      <c r="M470" s="19">
        <f>M471</f>
        <v>10000</v>
      </c>
      <c r="N470" s="19"/>
      <c r="O470" s="19"/>
    </row>
    <row r="471" spans="2:15" s="165" customFormat="1" x14ac:dyDescent="0.2">
      <c r="B471" s="8">
        <f t="shared" si="28"/>
        <v>39</v>
      </c>
      <c r="C471" s="156"/>
      <c r="D471" s="156"/>
      <c r="E471" s="156"/>
      <c r="F471" s="272"/>
      <c r="G471" s="155"/>
      <c r="H471" s="156" t="s">
        <v>1189</v>
      </c>
      <c r="I471" s="157"/>
      <c r="J471" s="157"/>
      <c r="K471" s="157"/>
      <c r="L471" s="614"/>
      <c r="M471" s="157">
        <v>10000</v>
      </c>
      <c r="N471" s="157"/>
      <c r="O471" s="157"/>
    </row>
    <row r="472" spans="2:15" x14ac:dyDescent="0.2">
      <c r="B472" s="8">
        <f>B468+1</f>
        <v>37</v>
      </c>
      <c r="C472" s="280"/>
      <c r="D472" s="280"/>
      <c r="E472" s="280" t="s">
        <v>98</v>
      </c>
      <c r="F472" s="281"/>
      <c r="G472" s="281"/>
      <c r="H472" s="280" t="s">
        <v>238</v>
      </c>
      <c r="I472" s="282">
        <f>I473+I474+I475+I480</f>
        <v>472423</v>
      </c>
      <c r="J472" s="282">
        <f>J473+J474+J475+J480</f>
        <v>476200</v>
      </c>
      <c r="K472" s="282">
        <f>K473+K474+K475+K480</f>
        <v>479700</v>
      </c>
      <c r="L472" s="620"/>
      <c r="M472" s="282">
        <f>M481</f>
        <v>36000</v>
      </c>
      <c r="N472" s="282"/>
      <c r="O472" s="282"/>
    </row>
    <row r="473" spans="2:15" x14ac:dyDescent="0.2">
      <c r="B473" s="8">
        <f t="shared" si="28"/>
        <v>38</v>
      </c>
      <c r="C473" s="24"/>
      <c r="D473" s="24"/>
      <c r="E473" s="24"/>
      <c r="F473" s="149" t="s">
        <v>197</v>
      </c>
      <c r="G473" s="150">
        <v>610</v>
      </c>
      <c r="H473" s="24" t="s">
        <v>141</v>
      </c>
      <c r="I473" s="25">
        <v>251818</v>
      </c>
      <c r="J473" s="25">
        <v>255000</v>
      </c>
      <c r="K473" s="25">
        <v>258000</v>
      </c>
      <c r="L473" s="620"/>
      <c r="M473" s="25"/>
      <c r="N473" s="25"/>
      <c r="O473" s="25"/>
    </row>
    <row r="474" spans="2:15" x14ac:dyDescent="0.2">
      <c r="B474" s="8">
        <f t="shared" si="28"/>
        <v>39</v>
      </c>
      <c r="C474" s="24"/>
      <c r="D474" s="24"/>
      <c r="E474" s="24"/>
      <c r="F474" s="149" t="s">
        <v>197</v>
      </c>
      <c r="G474" s="150">
        <v>620</v>
      </c>
      <c r="H474" s="24" t="s">
        <v>134</v>
      </c>
      <c r="I474" s="25">
        <v>94388</v>
      </c>
      <c r="J474" s="25">
        <v>95000</v>
      </c>
      <c r="K474" s="25">
        <v>95500</v>
      </c>
      <c r="L474" s="620"/>
      <c r="M474" s="25"/>
      <c r="N474" s="25"/>
      <c r="O474" s="25"/>
    </row>
    <row r="475" spans="2:15" x14ac:dyDescent="0.2">
      <c r="B475" s="8">
        <f t="shared" si="28"/>
        <v>40</v>
      </c>
      <c r="C475" s="24"/>
      <c r="D475" s="24"/>
      <c r="E475" s="24"/>
      <c r="F475" s="149" t="s">
        <v>197</v>
      </c>
      <c r="G475" s="150">
        <v>630</v>
      </c>
      <c r="H475" s="24" t="s">
        <v>131</v>
      </c>
      <c r="I475" s="25">
        <f>SUM(I476:I479)</f>
        <v>122226</v>
      </c>
      <c r="J475" s="25">
        <f>SUM(J476:J479)</f>
        <v>122200</v>
      </c>
      <c r="K475" s="25">
        <f>SUM(K476:K479)</f>
        <v>122200</v>
      </c>
      <c r="L475" s="620"/>
      <c r="M475" s="25"/>
      <c r="N475" s="25"/>
      <c r="O475" s="25"/>
    </row>
    <row r="476" spans="2:15" x14ac:dyDescent="0.2">
      <c r="B476" s="8">
        <f t="shared" si="28"/>
        <v>41</v>
      </c>
      <c r="C476" s="18"/>
      <c r="D476" s="18"/>
      <c r="E476" s="18"/>
      <c r="F476" s="152"/>
      <c r="G476" s="153">
        <v>632</v>
      </c>
      <c r="H476" s="18" t="s">
        <v>144</v>
      </c>
      <c r="I476" s="19">
        <v>82815</v>
      </c>
      <c r="J476" s="19">
        <v>82800</v>
      </c>
      <c r="K476" s="19">
        <v>82800</v>
      </c>
      <c r="L476" s="621"/>
      <c r="M476" s="19"/>
      <c r="N476" s="19"/>
      <c r="O476" s="19"/>
    </row>
    <row r="477" spans="2:15" x14ac:dyDescent="0.2">
      <c r="B477" s="8">
        <f t="shared" si="28"/>
        <v>42</v>
      </c>
      <c r="C477" s="18"/>
      <c r="D477" s="18"/>
      <c r="E477" s="18"/>
      <c r="F477" s="152"/>
      <c r="G477" s="153">
        <v>633</v>
      </c>
      <c r="H477" s="18" t="s">
        <v>135</v>
      </c>
      <c r="I477" s="19">
        <f>29711-2380</f>
        <v>27331</v>
      </c>
      <c r="J477" s="19">
        <v>27300</v>
      </c>
      <c r="K477" s="19">
        <v>27300</v>
      </c>
      <c r="L477" s="621"/>
      <c r="M477" s="19"/>
      <c r="N477" s="19"/>
      <c r="O477" s="19"/>
    </row>
    <row r="478" spans="2:15" x14ac:dyDescent="0.2">
      <c r="B478" s="8">
        <f t="shared" si="28"/>
        <v>43</v>
      </c>
      <c r="C478" s="18"/>
      <c r="D478" s="18"/>
      <c r="E478" s="18"/>
      <c r="F478" s="152"/>
      <c r="G478" s="153">
        <v>635</v>
      </c>
      <c r="H478" s="18" t="s">
        <v>143</v>
      </c>
      <c r="I478" s="19">
        <f>5500-3000</f>
        <v>2500</v>
      </c>
      <c r="J478" s="19">
        <v>2500</v>
      </c>
      <c r="K478" s="19">
        <v>2500</v>
      </c>
      <c r="L478" s="621"/>
      <c r="M478" s="19"/>
      <c r="N478" s="19"/>
      <c r="O478" s="19"/>
    </row>
    <row r="479" spans="2:15" x14ac:dyDescent="0.2">
      <c r="B479" s="8">
        <f t="shared" si="28"/>
        <v>44</v>
      </c>
      <c r="C479" s="18"/>
      <c r="D479" s="18"/>
      <c r="E479" s="18"/>
      <c r="F479" s="152"/>
      <c r="G479" s="153">
        <v>637</v>
      </c>
      <c r="H479" s="18" t="s">
        <v>132</v>
      </c>
      <c r="I479" s="19">
        <v>9580</v>
      </c>
      <c r="J479" s="19">
        <v>9600</v>
      </c>
      <c r="K479" s="19">
        <v>9600</v>
      </c>
      <c r="L479" s="621"/>
      <c r="M479" s="19"/>
      <c r="N479" s="19"/>
      <c r="O479" s="19"/>
    </row>
    <row r="480" spans="2:15" x14ac:dyDescent="0.2">
      <c r="B480" s="8">
        <f t="shared" si="28"/>
        <v>45</v>
      </c>
      <c r="C480" s="24"/>
      <c r="D480" s="24"/>
      <c r="E480" s="24"/>
      <c r="F480" s="149" t="s">
        <v>197</v>
      </c>
      <c r="G480" s="150">
        <v>640</v>
      </c>
      <c r="H480" s="24" t="s">
        <v>139</v>
      </c>
      <c r="I480" s="25">
        <v>3991</v>
      </c>
      <c r="J480" s="25">
        <v>4000</v>
      </c>
      <c r="K480" s="25">
        <v>4000</v>
      </c>
      <c r="L480" s="620"/>
      <c r="M480" s="25"/>
      <c r="N480" s="25"/>
      <c r="O480" s="25"/>
    </row>
    <row r="481" spans="2:15" x14ac:dyDescent="0.2">
      <c r="B481" s="8">
        <f t="shared" si="28"/>
        <v>46</v>
      </c>
      <c r="C481" s="24"/>
      <c r="D481" s="24"/>
      <c r="E481" s="24"/>
      <c r="F481" s="149" t="s">
        <v>116</v>
      </c>
      <c r="G481" s="150">
        <v>710</v>
      </c>
      <c r="H481" s="24" t="s">
        <v>185</v>
      </c>
      <c r="I481" s="25"/>
      <c r="J481" s="25"/>
      <c r="K481" s="25"/>
      <c r="L481" s="620"/>
      <c r="M481" s="25">
        <f>M482</f>
        <v>36000</v>
      </c>
      <c r="N481" s="25"/>
      <c r="O481" s="25"/>
    </row>
    <row r="482" spans="2:15" x14ac:dyDescent="0.2">
      <c r="B482" s="8">
        <f t="shared" si="28"/>
        <v>47</v>
      </c>
      <c r="C482" s="18"/>
      <c r="D482" s="18"/>
      <c r="E482" s="18"/>
      <c r="F482" s="152"/>
      <c r="G482" s="153">
        <v>717</v>
      </c>
      <c r="H482" s="18" t="s">
        <v>192</v>
      </c>
      <c r="I482" s="19"/>
      <c r="J482" s="19"/>
      <c r="K482" s="19"/>
      <c r="L482" s="621"/>
      <c r="M482" s="19">
        <f>M483+M484</f>
        <v>36000</v>
      </c>
      <c r="N482" s="19"/>
      <c r="O482" s="19"/>
    </row>
    <row r="483" spans="2:15" s="165" customFormat="1" x14ac:dyDescent="0.2">
      <c r="B483" s="8">
        <f t="shared" si="28"/>
        <v>48</v>
      </c>
      <c r="C483" s="156"/>
      <c r="D483" s="156"/>
      <c r="E483" s="156"/>
      <c r="F483" s="272"/>
      <c r="G483" s="155"/>
      <c r="H483" s="156" t="s">
        <v>1181</v>
      </c>
      <c r="I483" s="157"/>
      <c r="J483" s="157"/>
      <c r="K483" s="157"/>
      <c r="L483" s="614"/>
      <c r="M483" s="157">
        <v>36000</v>
      </c>
      <c r="N483" s="157"/>
      <c r="O483" s="157"/>
    </row>
    <row r="484" spans="2:15" x14ac:dyDescent="0.2">
      <c r="B484" s="8">
        <f>B480+1</f>
        <v>46</v>
      </c>
      <c r="C484" s="280"/>
      <c r="D484" s="280"/>
      <c r="E484" s="280" t="s">
        <v>92</v>
      </c>
      <c r="F484" s="281"/>
      <c r="G484" s="281"/>
      <c r="H484" s="280" t="s">
        <v>69</v>
      </c>
      <c r="I484" s="282">
        <f>I485+I486+I487+I492</f>
        <v>283479</v>
      </c>
      <c r="J484" s="282">
        <f>J485+J486+J487+J492</f>
        <v>286000</v>
      </c>
      <c r="K484" s="282">
        <f>K485+K486+K487+K492</f>
        <v>289300</v>
      </c>
      <c r="L484" s="620"/>
      <c r="M484" s="282"/>
      <c r="N484" s="282"/>
      <c r="O484" s="282"/>
    </row>
    <row r="485" spans="2:15" x14ac:dyDescent="0.2">
      <c r="B485" s="8">
        <f t="shared" si="28"/>
        <v>47</v>
      </c>
      <c r="C485" s="24"/>
      <c r="D485" s="24"/>
      <c r="E485" s="24"/>
      <c r="F485" s="149" t="s">
        <v>197</v>
      </c>
      <c r="G485" s="150">
        <v>610</v>
      </c>
      <c r="H485" s="24" t="s">
        <v>141</v>
      </c>
      <c r="I485" s="25">
        <v>142444</v>
      </c>
      <c r="J485" s="25">
        <v>145000</v>
      </c>
      <c r="K485" s="25">
        <v>148000</v>
      </c>
      <c r="L485" s="620"/>
      <c r="M485" s="25"/>
      <c r="N485" s="25"/>
      <c r="O485" s="25"/>
    </row>
    <row r="486" spans="2:15" x14ac:dyDescent="0.2">
      <c r="B486" s="8">
        <f t="shared" si="28"/>
        <v>48</v>
      </c>
      <c r="C486" s="24"/>
      <c r="D486" s="24"/>
      <c r="E486" s="24"/>
      <c r="F486" s="149" t="s">
        <v>197</v>
      </c>
      <c r="G486" s="150">
        <v>620</v>
      </c>
      <c r="H486" s="24" t="s">
        <v>134</v>
      </c>
      <c r="I486" s="25">
        <v>52772</v>
      </c>
      <c r="J486" s="25">
        <v>53000</v>
      </c>
      <c r="K486" s="25">
        <v>53300</v>
      </c>
      <c r="L486" s="620"/>
      <c r="M486" s="25"/>
      <c r="N486" s="25"/>
      <c r="O486" s="25"/>
    </row>
    <row r="487" spans="2:15" x14ac:dyDescent="0.2">
      <c r="B487" s="8">
        <f t="shared" si="28"/>
        <v>49</v>
      </c>
      <c r="C487" s="24"/>
      <c r="D487" s="24"/>
      <c r="E487" s="24"/>
      <c r="F487" s="149" t="s">
        <v>197</v>
      </c>
      <c r="G487" s="150">
        <v>630</v>
      </c>
      <c r="H487" s="24" t="s">
        <v>131</v>
      </c>
      <c r="I487" s="25">
        <f>SUM(I488:I491)</f>
        <v>87813</v>
      </c>
      <c r="J487" s="25">
        <f>SUM(J488:J491)</f>
        <v>87550</v>
      </c>
      <c r="K487" s="25">
        <f>SUM(K488:K491)</f>
        <v>87550</v>
      </c>
      <c r="L487" s="620"/>
      <c r="M487" s="25"/>
      <c r="N487" s="25"/>
      <c r="O487" s="25"/>
    </row>
    <row r="488" spans="2:15" x14ac:dyDescent="0.2">
      <c r="B488" s="8">
        <f t="shared" si="28"/>
        <v>50</v>
      </c>
      <c r="C488" s="18"/>
      <c r="D488" s="18"/>
      <c r="E488" s="18"/>
      <c r="F488" s="152"/>
      <c r="G488" s="153">
        <v>632</v>
      </c>
      <c r="H488" s="18" t="s">
        <v>144</v>
      </c>
      <c r="I488" s="19">
        <v>46280</v>
      </c>
      <c r="J488" s="19">
        <v>46000</v>
      </c>
      <c r="K488" s="19">
        <v>46000</v>
      </c>
      <c r="L488" s="621"/>
      <c r="M488" s="19"/>
      <c r="N488" s="19"/>
      <c r="O488" s="19"/>
    </row>
    <row r="489" spans="2:15" x14ac:dyDescent="0.2">
      <c r="B489" s="8">
        <f t="shared" si="28"/>
        <v>51</v>
      </c>
      <c r="C489" s="18"/>
      <c r="D489" s="18"/>
      <c r="E489" s="18"/>
      <c r="F489" s="152"/>
      <c r="G489" s="153">
        <v>633</v>
      </c>
      <c r="H489" s="18" t="s">
        <v>135</v>
      </c>
      <c r="I489" s="19">
        <f>31605-4622</f>
        <v>26983</v>
      </c>
      <c r="J489" s="19">
        <v>27000</v>
      </c>
      <c r="K489" s="19">
        <v>27000</v>
      </c>
      <c r="L489" s="621"/>
      <c r="M489" s="19"/>
      <c r="N489" s="19"/>
      <c r="O489" s="19"/>
    </row>
    <row r="490" spans="2:15" x14ac:dyDescent="0.2">
      <c r="B490" s="8">
        <f t="shared" si="28"/>
        <v>52</v>
      </c>
      <c r="C490" s="18"/>
      <c r="D490" s="18"/>
      <c r="E490" s="18"/>
      <c r="F490" s="152"/>
      <c r="G490" s="153">
        <v>635</v>
      </c>
      <c r="H490" s="18" t="s">
        <v>143</v>
      </c>
      <c r="I490" s="19">
        <v>9000</v>
      </c>
      <c r="J490" s="19">
        <v>9000</v>
      </c>
      <c r="K490" s="19">
        <v>9000</v>
      </c>
      <c r="L490" s="621"/>
      <c r="M490" s="19"/>
      <c r="N490" s="19"/>
      <c r="O490" s="19"/>
    </row>
    <row r="491" spans="2:15" x14ac:dyDescent="0.2">
      <c r="B491" s="8">
        <f t="shared" si="28"/>
        <v>53</v>
      </c>
      <c r="C491" s="18"/>
      <c r="D491" s="18"/>
      <c r="E491" s="18"/>
      <c r="F491" s="152"/>
      <c r="G491" s="153">
        <v>637</v>
      </c>
      <c r="H491" s="18" t="s">
        <v>132</v>
      </c>
      <c r="I491" s="19">
        <v>5550</v>
      </c>
      <c r="J491" s="19">
        <v>5550</v>
      </c>
      <c r="K491" s="19">
        <v>5550</v>
      </c>
      <c r="L491" s="621"/>
      <c r="M491" s="19"/>
      <c r="N491" s="19"/>
      <c r="O491" s="19"/>
    </row>
    <row r="492" spans="2:15" x14ac:dyDescent="0.2">
      <c r="B492" s="8">
        <f t="shared" si="28"/>
        <v>54</v>
      </c>
      <c r="C492" s="24"/>
      <c r="D492" s="24"/>
      <c r="E492" s="24"/>
      <c r="F492" s="149" t="s">
        <v>197</v>
      </c>
      <c r="G492" s="150">
        <v>640</v>
      </c>
      <c r="H492" s="24" t="s">
        <v>139</v>
      </c>
      <c r="I492" s="25">
        <v>450</v>
      </c>
      <c r="J492" s="25">
        <v>450</v>
      </c>
      <c r="K492" s="25">
        <v>450</v>
      </c>
      <c r="L492" s="620"/>
      <c r="M492" s="25"/>
      <c r="N492" s="25"/>
      <c r="O492" s="25"/>
    </row>
    <row r="493" spans="2:15" x14ac:dyDescent="0.2">
      <c r="B493" s="8">
        <f t="shared" si="28"/>
        <v>55</v>
      </c>
      <c r="C493" s="280"/>
      <c r="D493" s="280"/>
      <c r="E493" s="280" t="s">
        <v>102</v>
      </c>
      <c r="F493" s="281"/>
      <c r="G493" s="281"/>
      <c r="H493" s="280" t="s">
        <v>103</v>
      </c>
      <c r="I493" s="282">
        <f>I494+I495+I496+I501</f>
        <v>390072</v>
      </c>
      <c r="J493" s="282">
        <f>J494+J495+J496+J501</f>
        <v>391660</v>
      </c>
      <c r="K493" s="282">
        <f>K494+K495+K496+K501</f>
        <v>395060</v>
      </c>
      <c r="L493" s="620"/>
      <c r="M493" s="282"/>
      <c r="N493" s="282"/>
      <c r="O493" s="282"/>
    </row>
    <row r="494" spans="2:15" x14ac:dyDescent="0.2">
      <c r="B494" s="8">
        <f t="shared" si="28"/>
        <v>56</v>
      </c>
      <c r="C494" s="24"/>
      <c r="D494" s="24"/>
      <c r="E494" s="24"/>
      <c r="F494" s="149" t="s">
        <v>197</v>
      </c>
      <c r="G494" s="150">
        <v>610</v>
      </c>
      <c r="H494" s="24" t="s">
        <v>141</v>
      </c>
      <c r="I494" s="25">
        <v>200718</v>
      </c>
      <c r="J494" s="25">
        <v>203000</v>
      </c>
      <c r="K494" s="25">
        <v>206000</v>
      </c>
      <c r="L494" s="620"/>
      <c r="M494" s="25"/>
      <c r="N494" s="25"/>
      <c r="O494" s="25"/>
    </row>
    <row r="495" spans="2:15" x14ac:dyDescent="0.2">
      <c r="B495" s="8">
        <f t="shared" si="28"/>
        <v>57</v>
      </c>
      <c r="C495" s="24"/>
      <c r="D495" s="24"/>
      <c r="E495" s="24"/>
      <c r="F495" s="149" t="s">
        <v>197</v>
      </c>
      <c r="G495" s="150">
        <v>620</v>
      </c>
      <c r="H495" s="24" t="s">
        <v>134</v>
      </c>
      <c r="I495" s="25">
        <v>75779</v>
      </c>
      <c r="J495" s="25">
        <v>75100</v>
      </c>
      <c r="K495" s="25">
        <v>75500</v>
      </c>
      <c r="L495" s="620"/>
      <c r="M495" s="25"/>
      <c r="N495" s="25"/>
      <c r="O495" s="25"/>
    </row>
    <row r="496" spans="2:15" x14ac:dyDescent="0.2">
      <c r="B496" s="8">
        <f t="shared" si="28"/>
        <v>58</v>
      </c>
      <c r="C496" s="24"/>
      <c r="D496" s="24"/>
      <c r="E496" s="24"/>
      <c r="F496" s="149" t="s">
        <v>197</v>
      </c>
      <c r="G496" s="150">
        <v>630</v>
      </c>
      <c r="H496" s="24" t="s">
        <v>131</v>
      </c>
      <c r="I496" s="25">
        <f>SUM(I497:I500)</f>
        <v>107997</v>
      </c>
      <c r="J496" s="25">
        <f>SUM(J497:J500)</f>
        <v>107960</v>
      </c>
      <c r="K496" s="25">
        <f>SUM(K497:K500)</f>
        <v>107960</v>
      </c>
      <c r="L496" s="620"/>
      <c r="M496" s="25"/>
      <c r="N496" s="25"/>
      <c r="O496" s="25"/>
    </row>
    <row r="497" spans="2:15" x14ac:dyDescent="0.2">
      <c r="B497" s="8">
        <f t="shared" si="28"/>
        <v>59</v>
      </c>
      <c r="C497" s="18"/>
      <c r="D497" s="18"/>
      <c r="E497" s="18"/>
      <c r="F497" s="152"/>
      <c r="G497" s="153">
        <v>632</v>
      </c>
      <c r="H497" s="18" t="s">
        <v>144</v>
      </c>
      <c r="I497" s="19">
        <v>68555</v>
      </c>
      <c r="J497" s="19">
        <v>68500</v>
      </c>
      <c r="K497" s="19">
        <v>68500</v>
      </c>
      <c r="L497" s="621"/>
      <c r="M497" s="19"/>
      <c r="N497" s="19"/>
      <c r="O497" s="19"/>
    </row>
    <row r="498" spans="2:15" x14ac:dyDescent="0.2">
      <c r="B498" s="8">
        <f t="shared" si="28"/>
        <v>60</v>
      </c>
      <c r="C498" s="18"/>
      <c r="D498" s="18"/>
      <c r="E498" s="18"/>
      <c r="F498" s="152"/>
      <c r="G498" s="153">
        <v>633</v>
      </c>
      <c r="H498" s="18" t="s">
        <v>135</v>
      </c>
      <c r="I498" s="19">
        <f>32666-3684</f>
        <v>28982</v>
      </c>
      <c r="J498" s="19">
        <v>29000</v>
      </c>
      <c r="K498" s="19">
        <v>29000</v>
      </c>
      <c r="L498" s="621"/>
      <c r="M498" s="19"/>
      <c r="N498" s="19"/>
      <c r="O498" s="19"/>
    </row>
    <row r="499" spans="2:15" x14ac:dyDescent="0.2">
      <c r="B499" s="8">
        <f t="shared" si="28"/>
        <v>61</v>
      </c>
      <c r="C499" s="18"/>
      <c r="D499" s="18"/>
      <c r="E499" s="18"/>
      <c r="F499" s="152"/>
      <c r="G499" s="153">
        <v>635</v>
      </c>
      <c r="H499" s="18" t="s">
        <v>143</v>
      </c>
      <c r="I499" s="19">
        <f>5000-2000</f>
        <v>3000</v>
      </c>
      <c r="J499" s="19">
        <v>3000</v>
      </c>
      <c r="K499" s="19">
        <v>3000</v>
      </c>
      <c r="L499" s="621"/>
      <c r="M499" s="19"/>
      <c r="N499" s="19"/>
      <c r="O499" s="19"/>
    </row>
    <row r="500" spans="2:15" x14ac:dyDescent="0.2">
      <c r="B500" s="8">
        <f t="shared" si="28"/>
        <v>62</v>
      </c>
      <c r="C500" s="18"/>
      <c r="D500" s="18"/>
      <c r="E500" s="18"/>
      <c r="F500" s="152"/>
      <c r="G500" s="153">
        <v>637</v>
      </c>
      <c r="H500" s="18" t="s">
        <v>132</v>
      </c>
      <c r="I500" s="19">
        <v>7460</v>
      </c>
      <c r="J500" s="19">
        <v>7460</v>
      </c>
      <c r="K500" s="19">
        <v>7460</v>
      </c>
      <c r="L500" s="621"/>
      <c r="M500" s="19"/>
      <c r="N500" s="19"/>
      <c r="O500" s="19"/>
    </row>
    <row r="501" spans="2:15" x14ac:dyDescent="0.2">
      <c r="B501" s="8">
        <f t="shared" si="28"/>
        <v>63</v>
      </c>
      <c r="C501" s="24"/>
      <c r="D501" s="24"/>
      <c r="E501" s="24"/>
      <c r="F501" s="149" t="s">
        <v>197</v>
      </c>
      <c r="G501" s="150">
        <v>640</v>
      </c>
      <c r="H501" s="24" t="s">
        <v>139</v>
      </c>
      <c r="I501" s="25">
        <v>5578</v>
      </c>
      <c r="J501" s="25">
        <v>5600</v>
      </c>
      <c r="K501" s="25">
        <v>5600</v>
      </c>
      <c r="L501" s="620"/>
      <c r="M501" s="25"/>
      <c r="N501" s="25"/>
      <c r="O501" s="25"/>
    </row>
    <row r="502" spans="2:15" x14ac:dyDescent="0.2">
      <c r="B502" s="8">
        <f t="shared" si="28"/>
        <v>64</v>
      </c>
      <c r="C502" s="280"/>
      <c r="D502" s="280"/>
      <c r="E502" s="280" t="s">
        <v>105</v>
      </c>
      <c r="F502" s="281"/>
      <c r="G502" s="281"/>
      <c r="H502" s="280" t="s">
        <v>106</v>
      </c>
      <c r="I502" s="282">
        <f>I503+I504+I505+I510</f>
        <v>370614</v>
      </c>
      <c r="J502" s="282">
        <f>J503+J504+J505+J510</f>
        <v>374185</v>
      </c>
      <c r="K502" s="282">
        <f>K503+K504+K505+K510</f>
        <v>377685</v>
      </c>
      <c r="L502" s="620"/>
      <c r="M502" s="282"/>
      <c r="N502" s="282"/>
      <c r="O502" s="282"/>
    </row>
    <row r="503" spans="2:15" x14ac:dyDescent="0.2">
      <c r="B503" s="8">
        <f t="shared" si="28"/>
        <v>65</v>
      </c>
      <c r="C503" s="24"/>
      <c r="D503" s="24"/>
      <c r="E503" s="24"/>
      <c r="F503" s="149" t="s">
        <v>197</v>
      </c>
      <c r="G503" s="150">
        <v>610</v>
      </c>
      <c r="H503" s="24" t="s">
        <v>141</v>
      </c>
      <c r="I503" s="25">
        <v>193984</v>
      </c>
      <c r="J503" s="25">
        <v>197000</v>
      </c>
      <c r="K503" s="25">
        <v>200000</v>
      </c>
      <c r="L503" s="620"/>
      <c r="M503" s="25"/>
      <c r="N503" s="25"/>
      <c r="O503" s="25"/>
    </row>
    <row r="504" spans="2:15" x14ac:dyDescent="0.2">
      <c r="B504" s="8">
        <f t="shared" si="28"/>
        <v>66</v>
      </c>
      <c r="C504" s="24"/>
      <c r="D504" s="24"/>
      <c r="E504" s="24"/>
      <c r="F504" s="149" t="s">
        <v>197</v>
      </c>
      <c r="G504" s="150">
        <v>620</v>
      </c>
      <c r="H504" s="24" t="s">
        <v>134</v>
      </c>
      <c r="I504" s="25">
        <v>72402</v>
      </c>
      <c r="J504" s="25">
        <v>73000</v>
      </c>
      <c r="K504" s="25">
        <v>73500</v>
      </c>
      <c r="L504" s="620"/>
      <c r="M504" s="25"/>
      <c r="N504" s="25"/>
      <c r="O504" s="25"/>
    </row>
    <row r="505" spans="2:15" x14ac:dyDescent="0.2">
      <c r="B505" s="8">
        <f t="shared" si="28"/>
        <v>67</v>
      </c>
      <c r="C505" s="24"/>
      <c r="D505" s="24"/>
      <c r="E505" s="24"/>
      <c r="F505" s="149" t="s">
        <v>197</v>
      </c>
      <c r="G505" s="150">
        <v>630</v>
      </c>
      <c r="H505" s="24" t="s">
        <v>131</v>
      </c>
      <c r="I505" s="25">
        <f>SUM(I506:I509)</f>
        <v>101053</v>
      </c>
      <c r="J505" s="25">
        <f>SUM(J506:J509)</f>
        <v>101010</v>
      </c>
      <c r="K505" s="25">
        <f>SUM(K506:K509)</f>
        <v>101010</v>
      </c>
      <c r="L505" s="620"/>
      <c r="M505" s="25"/>
      <c r="N505" s="25"/>
      <c r="O505" s="25"/>
    </row>
    <row r="506" spans="2:15" x14ac:dyDescent="0.2">
      <c r="B506" s="8">
        <f t="shared" si="28"/>
        <v>68</v>
      </c>
      <c r="C506" s="18"/>
      <c r="D506" s="18"/>
      <c r="E506" s="18"/>
      <c r="F506" s="152"/>
      <c r="G506" s="153">
        <v>632</v>
      </c>
      <c r="H506" s="18" t="s">
        <v>144</v>
      </c>
      <c r="I506" s="19">
        <v>60240</v>
      </c>
      <c r="J506" s="19">
        <v>60200</v>
      </c>
      <c r="K506" s="19">
        <v>60200</v>
      </c>
      <c r="L506" s="621"/>
      <c r="M506" s="19"/>
      <c r="N506" s="19"/>
      <c r="O506" s="19"/>
    </row>
    <row r="507" spans="2:15" x14ac:dyDescent="0.2">
      <c r="B507" s="8">
        <f t="shared" si="28"/>
        <v>69</v>
      </c>
      <c r="C507" s="18"/>
      <c r="D507" s="18"/>
      <c r="E507" s="18"/>
      <c r="F507" s="152"/>
      <c r="G507" s="153">
        <v>633</v>
      </c>
      <c r="H507" s="18" t="s">
        <v>135</v>
      </c>
      <c r="I507" s="19">
        <f>29522-5319</f>
        <v>24203</v>
      </c>
      <c r="J507" s="19">
        <v>24200</v>
      </c>
      <c r="K507" s="19">
        <v>24200</v>
      </c>
      <c r="L507" s="621"/>
      <c r="M507" s="19"/>
      <c r="N507" s="19"/>
      <c r="O507" s="19"/>
    </row>
    <row r="508" spans="2:15" x14ac:dyDescent="0.2">
      <c r="B508" s="8">
        <f t="shared" si="28"/>
        <v>70</v>
      </c>
      <c r="C508" s="18"/>
      <c r="D508" s="18"/>
      <c r="E508" s="18"/>
      <c r="F508" s="152"/>
      <c r="G508" s="153">
        <v>635</v>
      </c>
      <c r="H508" s="18" t="s">
        <v>143</v>
      </c>
      <c r="I508" s="19">
        <v>9500</v>
      </c>
      <c r="J508" s="19">
        <v>9500</v>
      </c>
      <c r="K508" s="19">
        <v>9500</v>
      </c>
      <c r="L508" s="621"/>
      <c r="M508" s="19"/>
      <c r="N508" s="19"/>
      <c r="O508" s="19"/>
    </row>
    <row r="509" spans="2:15" x14ac:dyDescent="0.2">
      <c r="B509" s="8">
        <f t="shared" si="28"/>
        <v>71</v>
      </c>
      <c r="C509" s="18"/>
      <c r="D509" s="18"/>
      <c r="E509" s="18"/>
      <c r="F509" s="152"/>
      <c r="G509" s="153">
        <v>637</v>
      </c>
      <c r="H509" s="18" t="s">
        <v>132</v>
      </c>
      <c r="I509" s="19">
        <v>7110</v>
      </c>
      <c r="J509" s="19">
        <v>7110</v>
      </c>
      <c r="K509" s="19">
        <v>7110</v>
      </c>
      <c r="L509" s="621"/>
      <c r="M509" s="19"/>
      <c r="N509" s="19"/>
      <c r="O509" s="19"/>
    </row>
    <row r="510" spans="2:15" x14ac:dyDescent="0.2">
      <c r="B510" s="8">
        <f t="shared" si="28"/>
        <v>72</v>
      </c>
      <c r="C510" s="24"/>
      <c r="D510" s="24"/>
      <c r="E510" s="24"/>
      <c r="F510" s="149" t="s">
        <v>197</v>
      </c>
      <c r="G510" s="150">
        <v>640</v>
      </c>
      <c r="H510" s="24" t="s">
        <v>139</v>
      </c>
      <c r="I510" s="25">
        <v>3175</v>
      </c>
      <c r="J510" s="25">
        <v>3175</v>
      </c>
      <c r="K510" s="25">
        <v>3175</v>
      </c>
      <c r="L510" s="620"/>
      <c r="M510" s="25"/>
      <c r="N510" s="25"/>
      <c r="O510" s="25"/>
    </row>
    <row r="511" spans="2:15" x14ac:dyDescent="0.2">
      <c r="B511" s="8">
        <f t="shared" si="28"/>
        <v>73</v>
      </c>
      <c r="C511" s="280"/>
      <c r="D511" s="280"/>
      <c r="E511" s="280" t="s">
        <v>90</v>
      </c>
      <c r="F511" s="281"/>
      <c r="G511" s="281"/>
      <c r="H511" s="280" t="s">
        <v>91</v>
      </c>
      <c r="I511" s="282">
        <f>I512+I513+I514+I519</f>
        <v>547317</v>
      </c>
      <c r="J511" s="282">
        <f>J512+J513+J514+J519</f>
        <v>551545</v>
      </c>
      <c r="K511" s="282">
        <f>K512+K513+K514+K519</f>
        <v>554845</v>
      </c>
      <c r="L511" s="620"/>
      <c r="M511" s="282">
        <f>M520</f>
        <v>95000</v>
      </c>
      <c r="N511" s="282"/>
      <c r="O511" s="282"/>
    </row>
    <row r="512" spans="2:15" x14ac:dyDescent="0.2">
      <c r="B512" s="8">
        <f t="shared" si="28"/>
        <v>74</v>
      </c>
      <c r="C512" s="24"/>
      <c r="D512" s="24"/>
      <c r="E512" s="24"/>
      <c r="F512" s="149" t="s">
        <v>197</v>
      </c>
      <c r="G512" s="150">
        <v>610</v>
      </c>
      <c r="H512" s="24" t="s">
        <v>141</v>
      </c>
      <c r="I512" s="25">
        <v>299332</v>
      </c>
      <c r="J512" s="25">
        <v>303000</v>
      </c>
      <c r="K512" s="25">
        <v>306000</v>
      </c>
      <c r="L512" s="620"/>
      <c r="M512" s="25"/>
      <c r="N512" s="25"/>
      <c r="O512" s="25"/>
    </row>
    <row r="513" spans="2:15" x14ac:dyDescent="0.2">
      <c r="B513" s="8">
        <f t="shared" si="28"/>
        <v>75</v>
      </c>
      <c r="C513" s="24"/>
      <c r="D513" s="24"/>
      <c r="E513" s="24"/>
      <c r="F513" s="149" t="s">
        <v>197</v>
      </c>
      <c r="G513" s="150">
        <v>620</v>
      </c>
      <c r="H513" s="24" t="s">
        <v>134</v>
      </c>
      <c r="I513" s="25">
        <v>112829</v>
      </c>
      <c r="J513" s="25">
        <v>113200</v>
      </c>
      <c r="K513" s="25">
        <v>113500</v>
      </c>
      <c r="L513" s="620"/>
      <c r="M513" s="25"/>
      <c r="N513" s="25"/>
      <c r="O513" s="25"/>
    </row>
    <row r="514" spans="2:15" x14ac:dyDescent="0.2">
      <c r="B514" s="8">
        <f t="shared" si="28"/>
        <v>76</v>
      </c>
      <c r="C514" s="24"/>
      <c r="D514" s="24"/>
      <c r="E514" s="24"/>
      <c r="F514" s="149" t="s">
        <v>197</v>
      </c>
      <c r="G514" s="150">
        <v>630</v>
      </c>
      <c r="H514" s="24" t="s">
        <v>131</v>
      </c>
      <c r="I514" s="25">
        <f>SUM(I515:I518)</f>
        <v>128647</v>
      </c>
      <c r="J514" s="25">
        <f>SUM(J515:J518)</f>
        <v>128845</v>
      </c>
      <c r="K514" s="25">
        <f>SUM(K515:K518)</f>
        <v>128845</v>
      </c>
      <c r="L514" s="620"/>
      <c r="M514" s="25"/>
      <c r="N514" s="25"/>
      <c r="O514" s="25"/>
    </row>
    <row r="515" spans="2:15" x14ac:dyDescent="0.2">
      <c r="B515" s="8">
        <f t="shared" si="28"/>
        <v>77</v>
      </c>
      <c r="C515" s="18"/>
      <c r="D515" s="18"/>
      <c r="E515" s="18"/>
      <c r="F515" s="152"/>
      <c r="G515" s="153">
        <v>632</v>
      </c>
      <c r="H515" s="18" t="s">
        <v>144</v>
      </c>
      <c r="I515" s="19">
        <v>76880</v>
      </c>
      <c r="J515" s="19">
        <v>76800</v>
      </c>
      <c r="K515" s="19">
        <v>76800</v>
      </c>
      <c r="L515" s="621"/>
      <c r="M515" s="19"/>
      <c r="N515" s="19"/>
      <c r="O515" s="19"/>
    </row>
    <row r="516" spans="2:15" x14ac:dyDescent="0.2">
      <c r="B516" s="8">
        <f t="shared" ref="B516:B545" si="29">B515+1</f>
        <v>78</v>
      </c>
      <c r="C516" s="18"/>
      <c r="D516" s="18"/>
      <c r="E516" s="18"/>
      <c r="F516" s="152"/>
      <c r="G516" s="153">
        <v>633</v>
      </c>
      <c r="H516" s="18" t="s">
        <v>135</v>
      </c>
      <c r="I516" s="19">
        <f>37545-2823</f>
        <v>34722</v>
      </c>
      <c r="J516" s="19">
        <v>35000</v>
      </c>
      <c r="K516" s="19">
        <v>35000</v>
      </c>
      <c r="L516" s="621"/>
      <c r="M516" s="19"/>
      <c r="N516" s="19"/>
      <c r="O516" s="19"/>
    </row>
    <row r="517" spans="2:15" x14ac:dyDescent="0.2">
      <c r="B517" s="8">
        <f t="shared" si="29"/>
        <v>79</v>
      </c>
      <c r="C517" s="18"/>
      <c r="D517" s="18"/>
      <c r="E517" s="18"/>
      <c r="F517" s="152"/>
      <c r="G517" s="153">
        <v>635</v>
      </c>
      <c r="H517" s="18" t="s">
        <v>143</v>
      </c>
      <c r="I517" s="19">
        <f>11000-5000</f>
        <v>6000</v>
      </c>
      <c r="J517" s="19">
        <v>6000</v>
      </c>
      <c r="K517" s="19">
        <v>6000</v>
      </c>
      <c r="L517" s="621"/>
      <c r="M517" s="19"/>
      <c r="N517" s="19"/>
      <c r="O517" s="19"/>
    </row>
    <row r="518" spans="2:15" x14ac:dyDescent="0.2">
      <c r="B518" s="8">
        <f t="shared" si="29"/>
        <v>80</v>
      </c>
      <c r="C518" s="18"/>
      <c r="D518" s="18"/>
      <c r="E518" s="18"/>
      <c r="F518" s="152"/>
      <c r="G518" s="153">
        <v>637</v>
      </c>
      <c r="H518" s="18" t="s">
        <v>132</v>
      </c>
      <c r="I518" s="19">
        <v>11045</v>
      </c>
      <c r="J518" s="19">
        <v>11045</v>
      </c>
      <c r="K518" s="19">
        <v>11045</v>
      </c>
      <c r="L518" s="621"/>
      <c r="M518" s="19"/>
      <c r="N518" s="19"/>
      <c r="O518" s="19"/>
    </row>
    <row r="519" spans="2:15" x14ac:dyDescent="0.2">
      <c r="B519" s="8">
        <f t="shared" si="29"/>
        <v>81</v>
      </c>
      <c r="C519" s="24"/>
      <c r="D519" s="24"/>
      <c r="E519" s="24"/>
      <c r="F519" s="149" t="s">
        <v>197</v>
      </c>
      <c r="G519" s="150">
        <v>640</v>
      </c>
      <c r="H519" s="24" t="s">
        <v>139</v>
      </c>
      <c r="I519" s="25">
        <v>6509</v>
      </c>
      <c r="J519" s="25">
        <v>6500</v>
      </c>
      <c r="K519" s="25">
        <v>6500</v>
      </c>
      <c r="L519" s="620"/>
      <c r="M519" s="25"/>
      <c r="N519" s="25"/>
      <c r="O519" s="25"/>
    </row>
    <row r="520" spans="2:15" x14ac:dyDescent="0.2">
      <c r="B520" s="8">
        <f t="shared" si="29"/>
        <v>82</v>
      </c>
      <c r="C520" s="24"/>
      <c r="D520" s="24"/>
      <c r="E520" s="24"/>
      <c r="F520" s="149" t="s">
        <v>116</v>
      </c>
      <c r="G520" s="150">
        <v>710</v>
      </c>
      <c r="H520" s="24" t="s">
        <v>185</v>
      </c>
      <c r="I520" s="25"/>
      <c r="J520" s="25"/>
      <c r="K520" s="25"/>
      <c r="L520" s="620"/>
      <c r="M520" s="25">
        <f>M521</f>
        <v>95000</v>
      </c>
      <c r="N520" s="25"/>
      <c r="O520" s="25"/>
    </row>
    <row r="521" spans="2:15" x14ac:dyDescent="0.2">
      <c r="B521" s="8">
        <f t="shared" si="29"/>
        <v>83</v>
      </c>
      <c r="C521" s="18"/>
      <c r="D521" s="18"/>
      <c r="E521" s="18"/>
      <c r="F521" s="152"/>
      <c r="G521" s="153">
        <v>717</v>
      </c>
      <c r="H521" s="18" t="s">
        <v>192</v>
      </c>
      <c r="I521" s="19"/>
      <c r="J521" s="19"/>
      <c r="K521" s="19"/>
      <c r="L521" s="621"/>
      <c r="M521" s="19">
        <f>M522+M523</f>
        <v>95000</v>
      </c>
      <c r="N521" s="19"/>
      <c r="O521" s="19"/>
    </row>
    <row r="522" spans="2:15" s="165" customFormat="1" x14ac:dyDescent="0.2">
      <c r="B522" s="8">
        <f t="shared" si="29"/>
        <v>84</v>
      </c>
      <c r="C522" s="156"/>
      <c r="D522" s="156"/>
      <c r="E522" s="156"/>
      <c r="F522" s="272"/>
      <c r="G522" s="155"/>
      <c r="H522" s="156" t="s">
        <v>727</v>
      </c>
      <c r="I522" s="157"/>
      <c r="J522" s="157"/>
      <c r="K522" s="157"/>
      <c r="L522" s="614"/>
      <c r="M522" s="157">
        <v>60000</v>
      </c>
      <c r="N522" s="157"/>
      <c r="O522" s="157"/>
    </row>
    <row r="523" spans="2:15" x14ac:dyDescent="0.2">
      <c r="B523" s="8">
        <f t="shared" si="29"/>
        <v>85</v>
      </c>
      <c r="C523" s="24"/>
      <c r="D523" s="24"/>
      <c r="E523" s="24"/>
      <c r="F523" s="149"/>
      <c r="G523" s="150"/>
      <c r="H523" s="156" t="s">
        <v>1171</v>
      </c>
      <c r="I523" s="157"/>
      <c r="J523" s="157"/>
      <c r="K523" s="157"/>
      <c r="L523" s="614"/>
      <c r="M523" s="157">
        <v>35000</v>
      </c>
      <c r="N523" s="25"/>
      <c r="O523" s="25"/>
    </row>
    <row r="524" spans="2:15" x14ac:dyDescent="0.2">
      <c r="B524" s="8">
        <f t="shared" si="29"/>
        <v>86</v>
      </c>
      <c r="C524" s="280"/>
      <c r="D524" s="280"/>
      <c r="E524" s="280" t="s">
        <v>87</v>
      </c>
      <c r="F524" s="281"/>
      <c r="G524" s="281"/>
      <c r="H524" s="280" t="s">
        <v>1167</v>
      </c>
      <c r="I524" s="282">
        <f>I525+I526+I527+I532</f>
        <v>517238</v>
      </c>
      <c r="J524" s="282">
        <f>J525+J526+J527+J532</f>
        <v>523950</v>
      </c>
      <c r="K524" s="282">
        <f>K525+K526+K527+K532</f>
        <v>528350</v>
      </c>
      <c r="L524" s="620"/>
      <c r="M524" s="282">
        <f>M533</f>
        <v>35000</v>
      </c>
      <c r="N524" s="282"/>
      <c r="O524" s="282"/>
    </row>
    <row r="525" spans="2:15" x14ac:dyDescent="0.2">
      <c r="B525" s="8">
        <f t="shared" si="29"/>
        <v>87</v>
      </c>
      <c r="C525" s="24"/>
      <c r="D525" s="24"/>
      <c r="E525" s="24"/>
      <c r="F525" s="149" t="s">
        <v>197</v>
      </c>
      <c r="G525" s="150">
        <v>610</v>
      </c>
      <c r="H525" s="24" t="s">
        <v>141</v>
      </c>
      <c r="I525" s="25">
        <v>261562</v>
      </c>
      <c r="J525" s="25">
        <v>268000</v>
      </c>
      <c r="K525" s="25">
        <v>272000</v>
      </c>
      <c r="L525" s="620"/>
      <c r="M525" s="25"/>
      <c r="N525" s="25"/>
      <c r="O525" s="25"/>
    </row>
    <row r="526" spans="2:15" x14ac:dyDescent="0.2">
      <c r="B526" s="8">
        <f t="shared" si="29"/>
        <v>88</v>
      </c>
      <c r="C526" s="24"/>
      <c r="D526" s="24"/>
      <c r="E526" s="24"/>
      <c r="F526" s="149" t="s">
        <v>197</v>
      </c>
      <c r="G526" s="150">
        <v>620</v>
      </c>
      <c r="H526" s="24" t="s">
        <v>134</v>
      </c>
      <c r="I526" s="25">
        <v>96750</v>
      </c>
      <c r="J526" s="25">
        <v>97000</v>
      </c>
      <c r="K526" s="25">
        <v>97400</v>
      </c>
      <c r="L526" s="620"/>
      <c r="M526" s="25"/>
      <c r="N526" s="25"/>
      <c r="O526" s="25"/>
    </row>
    <row r="527" spans="2:15" x14ac:dyDescent="0.2">
      <c r="B527" s="8">
        <f t="shared" si="29"/>
        <v>89</v>
      </c>
      <c r="C527" s="24"/>
      <c r="D527" s="24"/>
      <c r="E527" s="24"/>
      <c r="F527" s="149" t="s">
        <v>197</v>
      </c>
      <c r="G527" s="150">
        <v>630</v>
      </c>
      <c r="H527" s="24" t="s">
        <v>131</v>
      </c>
      <c r="I527" s="25">
        <f>SUM(I528:I531)</f>
        <v>158476</v>
      </c>
      <c r="J527" s="25">
        <f>SUM(J528:J531)</f>
        <v>158500</v>
      </c>
      <c r="K527" s="25">
        <f>SUM(K528:K531)</f>
        <v>158500</v>
      </c>
      <c r="L527" s="620"/>
      <c r="M527" s="25"/>
      <c r="N527" s="25"/>
      <c r="O527" s="25"/>
    </row>
    <row r="528" spans="2:15" x14ac:dyDescent="0.2">
      <c r="B528" s="8">
        <f t="shared" si="29"/>
        <v>90</v>
      </c>
      <c r="C528" s="18"/>
      <c r="D528" s="18"/>
      <c r="E528" s="18"/>
      <c r="F528" s="152"/>
      <c r="G528" s="153">
        <v>632</v>
      </c>
      <c r="H528" s="18" t="s">
        <v>144</v>
      </c>
      <c r="I528" s="19">
        <v>108350</v>
      </c>
      <c r="J528" s="19">
        <v>108300</v>
      </c>
      <c r="K528" s="19">
        <v>108300</v>
      </c>
      <c r="L528" s="621"/>
      <c r="M528" s="19"/>
      <c r="N528" s="19"/>
      <c r="O528" s="19"/>
    </row>
    <row r="529" spans="2:15" x14ac:dyDescent="0.2">
      <c r="B529" s="8">
        <f t="shared" si="29"/>
        <v>91</v>
      </c>
      <c r="C529" s="18"/>
      <c r="D529" s="18"/>
      <c r="E529" s="18"/>
      <c r="F529" s="152"/>
      <c r="G529" s="153">
        <v>633</v>
      </c>
      <c r="H529" s="18" t="s">
        <v>135</v>
      </c>
      <c r="I529" s="19">
        <f>36992-4341</f>
        <v>32651</v>
      </c>
      <c r="J529" s="19">
        <v>32700</v>
      </c>
      <c r="K529" s="19">
        <v>32700</v>
      </c>
      <c r="L529" s="621"/>
      <c r="M529" s="19"/>
      <c r="N529" s="19"/>
      <c r="O529" s="19"/>
    </row>
    <row r="530" spans="2:15" x14ac:dyDescent="0.2">
      <c r="B530" s="8">
        <f t="shared" si="29"/>
        <v>92</v>
      </c>
      <c r="C530" s="18"/>
      <c r="D530" s="18"/>
      <c r="E530" s="18"/>
      <c r="F530" s="152"/>
      <c r="G530" s="153">
        <v>635</v>
      </c>
      <c r="H530" s="18" t="s">
        <v>143</v>
      </c>
      <c r="I530" s="19">
        <f>10500-4000</f>
        <v>6500</v>
      </c>
      <c r="J530" s="19">
        <v>6500</v>
      </c>
      <c r="K530" s="19">
        <v>6500</v>
      </c>
      <c r="L530" s="621"/>
      <c r="M530" s="19"/>
      <c r="N530" s="19"/>
      <c r="O530" s="19"/>
    </row>
    <row r="531" spans="2:15" x14ac:dyDescent="0.2">
      <c r="B531" s="8">
        <f t="shared" si="29"/>
        <v>93</v>
      </c>
      <c r="C531" s="18"/>
      <c r="D531" s="18"/>
      <c r="E531" s="18"/>
      <c r="F531" s="152"/>
      <c r="G531" s="153">
        <v>637</v>
      </c>
      <c r="H531" s="18" t="s">
        <v>132</v>
      </c>
      <c r="I531" s="19">
        <v>10975</v>
      </c>
      <c r="J531" s="19">
        <v>11000</v>
      </c>
      <c r="K531" s="19">
        <v>11000</v>
      </c>
      <c r="L531" s="621"/>
      <c r="M531" s="19"/>
      <c r="N531" s="19"/>
      <c r="O531" s="19"/>
    </row>
    <row r="532" spans="2:15" x14ac:dyDescent="0.2">
      <c r="B532" s="8">
        <f t="shared" si="29"/>
        <v>94</v>
      </c>
      <c r="C532" s="24"/>
      <c r="D532" s="24"/>
      <c r="E532" s="24"/>
      <c r="F532" s="149" t="s">
        <v>197</v>
      </c>
      <c r="G532" s="150">
        <v>640</v>
      </c>
      <c r="H532" s="24" t="s">
        <v>139</v>
      </c>
      <c r="I532" s="25">
        <v>450</v>
      </c>
      <c r="J532" s="25">
        <v>450</v>
      </c>
      <c r="K532" s="25">
        <v>450</v>
      </c>
      <c r="L532" s="620"/>
      <c r="M532" s="25"/>
      <c r="N532" s="25"/>
      <c r="O532" s="25"/>
    </row>
    <row r="533" spans="2:15" x14ac:dyDescent="0.2">
      <c r="B533" s="8">
        <f t="shared" si="29"/>
        <v>95</v>
      </c>
      <c r="C533" s="24"/>
      <c r="D533" s="24"/>
      <c r="E533" s="24"/>
      <c r="F533" s="149" t="s">
        <v>116</v>
      </c>
      <c r="G533" s="150">
        <v>710</v>
      </c>
      <c r="H533" s="24" t="s">
        <v>185</v>
      </c>
      <c r="I533" s="25"/>
      <c r="J533" s="25"/>
      <c r="K533" s="25"/>
      <c r="L533" s="620"/>
      <c r="M533" s="25">
        <f>M534</f>
        <v>35000</v>
      </c>
      <c r="N533" s="25"/>
      <c r="O533" s="25"/>
    </row>
    <row r="534" spans="2:15" x14ac:dyDescent="0.2">
      <c r="B534" s="8">
        <f t="shared" si="29"/>
        <v>96</v>
      </c>
      <c r="C534" s="18"/>
      <c r="D534" s="18"/>
      <c r="E534" s="18"/>
      <c r="F534" s="152"/>
      <c r="G534" s="153">
        <v>717</v>
      </c>
      <c r="H534" s="18" t="s">
        <v>192</v>
      </c>
      <c r="I534" s="19"/>
      <c r="J534" s="19"/>
      <c r="K534" s="19"/>
      <c r="L534" s="621"/>
      <c r="M534" s="19">
        <f>SUM(M535:M535)</f>
        <v>35000</v>
      </c>
      <c r="N534" s="19"/>
      <c r="O534" s="19"/>
    </row>
    <row r="535" spans="2:15" s="165" customFormat="1" x14ac:dyDescent="0.2">
      <c r="B535" s="8">
        <f t="shared" si="29"/>
        <v>97</v>
      </c>
      <c r="C535" s="156"/>
      <c r="D535" s="156"/>
      <c r="E535" s="156"/>
      <c r="F535" s="272"/>
      <c r="G535" s="155"/>
      <c r="H535" s="156" t="s">
        <v>1168</v>
      </c>
      <c r="I535" s="157"/>
      <c r="J535" s="157"/>
      <c r="K535" s="157"/>
      <c r="L535" s="614"/>
      <c r="M535" s="157">
        <v>35000</v>
      </c>
      <c r="N535" s="157"/>
      <c r="O535" s="157"/>
    </row>
    <row r="536" spans="2:15" x14ac:dyDescent="0.2">
      <c r="B536" s="8">
        <f>B532+1</f>
        <v>95</v>
      </c>
      <c r="C536" s="280"/>
      <c r="D536" s="280"/>
      <c r="E536" s="280" t="s">
        <v>109</v>
      </c>
      <c r="F536" s="281"/>
      <c r="G536" s="281"/>
      <c r="H536" s="280" t="s">
        <v>110</v>
      </c>
      <c r="I536" s="282">
        <f>I537+I538+I539+I544</f>
        <v>319999</v>
      </c>
      <c r="J536" s="282">
        <f>J537+J538+J539+J544</f>
        <v>323505</v>
      </c>
      <c r="K536" s="282">
        <f>K537+K538+K539+K544</f>
        <v>336805</v>
      </c>
      <c r="L536" s="620"/>
      <c r="M536" s="282"/>
      <c r="N536" s="282"/>
      <c r="O536" s="282"/>
    </row>
    <row r="537" spans="2:15" x14ac:dyDescent="0.2">
      <c r="B537" s="8">
        <f t="shared" si="29"/>
        <v>96</v>
      </c>
      <c r="C537" s="24"/>
      <c r="D537" s="24"/>
      <c r="E537" s="24"/>
      <c r="F537" s="149" t="s">
        <v>197</v>
      </c>
      <c r="G537" s="150">
        <v>610</v>
      </c>
      <c r="H537" s="24" t="s">
        <v>141</v>
      </c>
      <c r="I537" s="25">
        <v>185808</v>
      </c>
      <c r="J537" s="25">
        <v>189000</v>
      </c>
      <c r="K537" s="25">
        <v>202000</v>
      </c>
      <c r="L537" s="620"/>
      <c r="M537" s="25"/>
      <c r="N537" s="25"/>
      <c r="O537" s="25"/>
    </row>
    <row r="538" spans="2:15" x14ac:dyDescent="0.2">
      <c r="B538" s="8">
        <f t="shared" si="29"/>
        <v>97</v>
      </c>
      <c r="C538" s="24"/>
      <c r="D538" s="24"/>
      <c r="E538" s="24"/>
      <c r="F538" s="149" t="s">
        <v>197</v>
      </c>
      <c r="G538" s="150">
        <v>620</v>
      </c>
      <c r="H538" s="24" t="s">
        <v>134</v>
      </c>
      <c r="I538" s="25">
        <v>69592</v>
      </c>
      <c r="J538" s="25">
        <v>70000</v>
      </c>
      <c r="K538" s="25">
        <v>70300</v>
      </c>
      <c r="L538" s="620"/>
      <c r="M538" s="25"/>
      <c r="N538" s="25"/>
      <c r="O538" s="25"/>
    </row>
    <row r="539" spans="2:15" x14ac:dyDescent="0.2">
      <c r="B539" s="8">
        <f t="shared" si="29"/>
        <v>98</v>
      </c>
      <c r="C539" s="24"/>
      <c r="D539" s="24"/>
      <c r="E539" s="24"/>
      <c r="F539" s="149" t="s">
        <v>197</v>
      </c>
      <c r="G539" s="150">
        <v>630</v>
      </c>
      <c r="H539" s="24" t="s">
        <v>131</v>
      </c>
      <c r="I539" s="25">
        <f>SUM(I540:I543)</f>
        <v>61094</v>
      </c>
      <c r="J539" s="25">
        <f>SUM(J540:J543)</f>
        <v>61000</v>
      </c>
      <c r="K539" s="25">
        <f>SUM(K540:K543)</f>
        <v>61000</v>
      </c>
      <c r="L539" s="620"/>
      <c r="M539" s="25"/>
      <c r="N539" s="25"/>
      <c r="O539" s="25"/>
    </row>
    <row r="540" spans="2:15" x14ac:dyDescent="0.2">
      <c r="B540" s="8">
        <f t="shared" si="29"/>
        <v>99</v>
      </c>
      <c r="C540" s="18"/>
      <c r="D540" s="18"/>
      <c r="E540" s="18"/>
      <c r="F540" s="152"/>
      <c r="G540" s="153">
        <v>632</v>
      </c>
      <c r="H540" s="18" t="s">
        <v>144</v>
      </c>
      <c r="I540" s="19">
        <v>29180</v>
      </c>
      <c r="J540" s="19">
        <v>29100</v>
      </c>
      <c r="K540" s="19">
        <v>29100</v>
      </c>
      <c r="L540" s="621"/>
      <c r="M540" s="19"/>
      <c r="N540" s="19"/>
      <c r="O540" s="19"/>
    </row>
    <row r="541" spans="2:15" x14ac:dyDescent="0.2">
      <c r="B541" s="8">
        <f t="shared" si="29"/>
        <v>100</v>
      </c>
      <c r="C541" s="18"/>
      <c r="D541" s="18"/>
      <c r="E541" s="18"/>
      <c r="F541" s="152"/>
      <c r="G541" s="153">
        <v>633</v>
      </c>
      <c r="H541" s="18" t="s">
        <v>135</v>
      </c>
      <c r="I541" s="19">
        <f>22206-3215</f>
        <v>18991</v>
      </c>
      <c r="J541" s="19">
        <v>19000</v>
      </c>
      <c r="K541" s="19">
        <v>19000</v>
      </c>
      <c r="L541" s="621"/>
      <c r="M541" s="19"/>
      <c r="N541" s="19"/>
      <c r="O541" s="19"/>
    </row>
    <row r="542" spans="2:15" x14ac:dyDescent="0.2">
      <c r="B542" s="8">
        <f t="shared" si="29"/>
        <v>101</v>
      </c>
      <c r="C542" s="18"/>
      <c r="D542" s="18"/>
      <c r="E542" s="18"/>
      <c r="F542" s="152"/>
      <c r="G542" s="153">
        <v>635</v>
      </c>
      <c r="H542" s="18" t="s">
        <v>143</v>
      </c>
      <c r="I542" s="19">
        <v>4800</v>
      </c>
      <c r="J542" s="19">
        <v>4800</v>
      </c>
      <c r="K542" s="19">
        <v>4800</v>
      </c>
      <c r="L542" s="621"/>
      <c r="M542" s="19"/>
      <c r="N542" s="19"/>
      <c r="O542" s="19"/>
    </row>
    <row r="543" spans="2:15" x14ac:dyDescent="0.2">
      <c r="B543" s="8">
        <f t="shared" si="29"/>
        <v>102</v>
      </c>
      <c r="C543" s="18"/>
      <c r="D543" s="18"/>
      <c r="E543" s="18"/>
      <c r="F543" s="152"/>
      <c r="G543" s="153">
        <v>637</v>
      </c>
      <c r="H543" s="18" t="s">
        <v>132</v>
      </c>
      <c r="I543" s="19">
        <v>8123</v>
      </c>
      <c r="J543" s="19">
        <v>8100</v>
      </c>
      <c r="K543" s="19">
        <v>8100</v>
      </c>
      <c r="L543" s="621"/>
      <c r="M543" s="19"/>
      <c r="N543" s="19"/>
      <c r="O543" s="19"/>
    </row>
    <row r="544" spans="2:15" x14ac:dyDescent="0.2">
      <c r="B544" s="8">
        <f t="shared" si="29"/>
        <v>103</v>
      </c>
      <c r="C544" s="24"/>
      <c r="D544" s="24"/>
      <c r="E544" s="24"/>
      <c r="F544" s="149" t="s">
        <v>197</v>
      </c>
      <c r="G544" s="150">
        <v>640</v>
      </c>
      <c r="H544" s="24" t="s">
        <v>139</v>
      </c>
      <c r="I544" s="25">
        <v>3505</v>
      </c>
      <c r="J544" s="25">
        <v>3505</v>
      </c>
      <c r="K544" s="25">
        <v>3505</v>
      </c>
      <c r="L544" s="620"/>
      <c r="M544" s="25"/>
      <c r="N544" s="25"/>
      <c r="O544" s="25"/>
    </row>
    <row r="545" spans="2:15" x14ac:dyDescent="0.2">
      <c r="B545" s="8">
        <f t="shared" si="29"/>
        <v>104</v>
      </c>
      <c r="C545" s="280"/>
      <c r="D545" s="280"/>
      <c r="E545" s="280" t="s">
        <v>108</v>
      </c>
      <c r="F545" s="281"/>
      <c r="G545" s="281"/>
      <c r="H545" s="280" t="s">
        <v>65</v>
      </c>
      <c r="I545" s="282">
        <f>I546+I547+I548+I553</f>
        <v>506489</v>
      </c>
      <c r="J545" s="282">
        <f>J546+J547+J548+J553</f>
        <v>509280</v>
      </c>
      <c r="K545" s="282">
        <f>K546+K547+K548+K553</f>
        <v>512580</v>
      </c>
      <c r="L545" s="620"/>
      <c r="M545" s="282"/>
      <c r="N545" s="282"/>
      <c r="O545" s="282"/>
    </row>
    <row r="546" spans="2:15" x14ac:dyDescent="0.2">
      <c r="B546" s="8">
        <f t="shared" ref="B546:B610" si="30">B545+1</f>
        <v>105</v>
      </c>
      <c r="C546" s="24"/>
      <c r="D546" s="24"/>
      <c r="E546" s="24"/>
      <c r="F546" s="149" t="s">
        <v>197</v>
      </c>
      <c r="G546" s="150">
        <v>610</v>
      </c>
      <c r="H546" s="24" t="s">
        <v>141</v>
      </c>
      <c r="I546" s="25">
        <v>280574</v>
      </c>
      <c r="J546" s="25">
        <v>283000</v>
      </c>
      <c r="K546" s="25">
        <v>286000</v>
      </c>
      <c r="L546" s="620"/>
      <c r="M546" s="25"/>
      <c r="N546" s="25"/>
      <c r="O546" s="25"/>
    </row>
    <row r="547" spans="2:15" x14ac:dyDescent="0.2">
      <c r="B547" s="8">
        <f t="shared" si="30"/>
        <v>106</v>
      </c>
      <c r="C547" s="24"/>
      <c r="D547" s="24"/>
      <c r="E547" s="24"/>
      <c r="F547" s="149" t="s">
        <v>197</v>
      </c>
      <c r="G547" s="150">
        <v>620</v>
      </c>
      <c r="H547" s="24" t="s">
        <v>134</v>
      </c>
      <c r="I547" s="25">
        <v>105305</v>
      </c>
      <c r="J547" s="25">
        <v>105800</v>
      </c>
      <c r="K547" s="25">
        <v>106100</v>
      </c>
      <c r="L547" s="620"/>
      <c r="M547" s="25"/>
      <c r="N547" s="25"/>
      <c r="O547" s="25"/>
    </row>
    <row r="548" spans="2:15" x14ac:dyDescent="0.2">
      <c r="B548" s="8">
        <f t="shared" si="30"/>
        <v>107</v>
      </c>
      <c r="C548" s="24"/>
      <c r="D548" s="24"/>
      <c r="E548" s="24"/>
      <c r="F548" s="149" t="s">
        <v>197</v>
      </c>
      <c r="G548" s="150">
        <v>630</v>
      </c>
      <c r="H548" s="24" t="s">
        <v>131</v>
      </c>
      <c r="I548" s="25">
        <f>SUM(I549:I552)</f>
        <v>114975</v>
      </c>
      <c r="J548" s="25">
        <f>SUM(J549:J552)</f>
        <v>114845</v>
      </c>
      <c r="K548" s="25">
        <f>SUM(K549:K552)</f>
        <v>114845</v>
      </c>
      <c r="L548" s="620"/>
      <c r="M548" s="25"/>
      <c r="N548" s="25"/>
      <c r="O548" s="25"/>
    </row>
    <row r="549" spans="2:15" x14ac:dyDescent="0.2">
      <c r="B549" s="8">
        <f t="shared" si="30"/>
        <v>108</v>
      </c>
      <c r="C549" s="18"/>
      <c r="D549" s="18"/>
      <c r="E549" s="18"/>
      <c r="F549" s="152"/>
      <c r="G549" s="153">
        <v>632</v>
      </c>
      <c r="H549" s="18" t="s">
        <v>144</v>
      </c>
      <c r="I549" s="19">
        <v>66355</v>
      </c>
      <c r="J549" s="19">
        <v>66300</v>
      </c>
      <c r="K549" s="19">
        <v>66300</v>
      </c>
      <c r="L549" s="621"/>
      <c r="M549" s="19"/>
      <c r="N549" s="19"/>
      <c r="O549" s="19"/>
    </row>
    <row r="550" spans="2:15" x14ac:dyDescent="0.2">
      <c r="B550" s="8">
        <f t="shared" si="30"/>
        <v>109</v>
      </c>
      <c r="C550" s="18"/>
      <c r="D550" s="18"/>
      <c r="E550" s="18"/>
      <c r="F550" s="152"/>
      <c r="G550" s="153">
        <v>633</v>
      </c>
      <c r="H550" s="18" t="s">
        <v>135</v>
      </c>
      <c r="I550" s="19">
        <f>36526-4051</f>
        <v>32475</v>
      </c>
      <c r="J550" s="19">
        <v>32400</v>
      </c>
      <c r="K550" s="19">
        <v>32400</v>
      </c>
      <c r="L550" s="621"/>
      <c r="M550" s="19"/>
      <c r="N550" s="19"/>
      <c r="O550" s="19"/>
    </row>
    <row r="551" spans="2:15" x14ac:dyDescent="0.2">
      <c r="B551" s="8">
        <f t="shared" si="30"/>
        <v>110</v>
      </c>
      <c r="C551" s="18"/>
      <c r="D551" s="18"/>
      <c r="E551" s="18"/>
      <c r="F551" s="152"/>
      <c r="G551" s="153">
        <v>635</v>
      </c>
      <c r="H551" s="18" t="s">
        <v>143</v>
      </c>
      <c r="I551" s="19">
        <f>8000-2000</f>
        <v>6000</v>
      </c>
      <c r="J551" s="19">
        <v>6000</v>
      </c>
      <c r="K551" s="19">
        <v>6000</v>
      </c>
      <c r="L551" s="621"/>
      <c r="M551" s="19"/>
      <c r="N551" s="19"/>
      <c r="O551" s="19"/>
    </row>
    <row r="552" spans="2:15" x14ac:dyDescent="0.2">
      <c r="B552" s="8">
        <f t="shared" si="30"/>
        <v>111</v>
      </c>
      <c r="C552" s="18"/>
      <c r="D552" s="18"/>
      <c r="E552" s="18"/>
      <c r="F552" s="152"/>
      <c r="G552" s="153">
        <v>637</v>
      </c>
      <c r="H552" s="18" t="s">
        <v>132</v>
      </c>
      <c r="I552" s="19">
        <v>10145</v>
      </c>
      <c r="J552" s="19">
        <v>10145</v>
      </c>
      <c r="K552" s="19">
        <v>10145</v>
      </c>
      <c r="L552" s="621"/>
      <c r="M552" s="19"/>
      <c r="N552" s="19"/>
      <c r="O552" s="19"/>
    </row>
    <row r="553" spans="2:15" x14ac:dyDescent="0.2">
      <c r="B553" s="8">
        <f t="shared" si="30"/>
        <v>112</v>
      </c>
      <c r="C553" s="24"/>
      <c r="D553" s="24"/>
      <c r="E553" s="24"/>
      <c r="F553" s="149" t="s">
        <v>197</v>
      </c>
      <c r="G553" s="150">
        <v>640</v>
      </c>
      <c r="H553" s="24" t="s">
        <v>139</v>
      </c>
      <c r="I553" s="25">
        <v>5635</v>
      </c>
      <c r="J553" s="25">
        <v>5635</v>
      </c>
      <c r="K553" s="25">
        <v>5635</v>
      </c>
      <c r="L553" s="620"/>
      <c r="M553" s="25"/>
      <c r="N553" s="25"/>
      <c r="O553" s="25"/>
    </row>
    <row r="554" spans="2:15" x14ac:dyDescent="0.2">
      <c r="B554" s="8">
        <f t="shared" si="30"/>
        <v>113</v>
      </c>
      <c r="C554" s="280"/>
      <c r="D554" s="280"/>
      <c r="E554" s="280" t="s">
        <v>104</v>
      </c>
      <c r="F554" s="281"/>
      <c r="G554" s="281"/>
      <c r="H554" s="280" t="s">
        <v>71</v>
      </c>
      <c r="I554" s="282">
        <f>I555+I556+I557+I563</f>
        <v>512347</v>
      </c>
      <c r="J554" s="282">
        <f>J555+J556+J557+J563</f>
        <v>515250</v>
      </c>
      <c r="K554" s="282">
        <f>K555+K556+K557+K563</f>
        <v>518750</v>
      </c>
      <c r="L554" s="620"/>
      <c r="M554" s="282"/>
      <c r="N554" s="282"/>
      <c r="O554" s="282"/>
    </row>
    <row r="555" spans="2:15" x14ac:dyDescent="0.2">
      <c r="B555" s="8">
        <f t="shared" si="30"/>
        <v>114</v>
      </c>
      <c r="C555" s="24"/>
      <c r="D555" s="24"/>
      <c r="E555" s="24"/>
      <c r="F555" s="149" t="s">
        <v>197</v>
      </c>
      <c r="G555" s="150">
        <v>610</v>
      </c>
      <c r="H555" s="24" t="s">
        <v>141</v>
      </c>
      <c r="I555" s="25">
        <v>273329</v>
      </c>
      <c r="J555" s="25">
        <v>276000</v>
      </c>
      <c r="K555" s="25">
        <v>279000</v>
      </c>
      <c r="L555" s="620"/>
      <c r="M555" s="25"/>
      <c r="N555" s="25"/>
      <c r="O555" s="25"/>
    </row>
    <row r="556" spans="2:15" x14ac:dyDescent="0.2">
      <c r="B556" s="8">
        <f t="shared" si="30"/>
        <v>115</v>
      </c>
      <c r="C556" s="24"/>
      <c r="D556" s="24"/>
      <c r="E556" s="24"/>
      <c r="F556" s="149" t="s">
        <v>197</v>
      </c>
      <c r="G556" s="150">
        <v>620</v>
      </c>
      <c r="H556" s="24" t="s">
        <v>134</v>
      </c>
      <c r="I556" s="25">
        <v>101682</v>
      </c>
      <c r="J556" s="25">
        <v>102000</v>
      </c>
      <c r="K556" s="25">
        <v>102500</v>
      </c>
      <c r="L556" s="620"/>
      <c r="M556" s="25"/>
      <c r="N556" s="25"/>
      <c r="O556" s="25"/>
    </row>
    <row r="557" spans="2:15" x14ac:dyDescent="0.2">
      <c r="B557" s="8">
        <f t="shared" si="30"/>
        <v>116</v>
      </c>
      <c r="C557" s="24"/>
      <c r="D557" s="24"/>
      <c r="E557" s="24"/>
      <c r="F557" s="149" t="s">
        <v>197</v>
      </c>
      <c r="G557" s="150">
        <v>630</v>
      </c>
      <c r="H557" s="24" t="s">
        <v>131</v>
      </c>
      <c r="I557" s="25">
        <f>SUM(I558:I562)</f>
        <v>135219</v>
      </c>
      <c r="J557" s="25">
        <f>SUM(J558:J562)</f>
        <v>135150</v>
      </c>
      <c r="K557" s="25">
        <f>SUM(K558:K562)</f>
        <v>135150</v>
      </c>
      <c r="L557" s="620"/>
      <c r="M557" s="25"/>
      <c r="N557" s="25"/>
      <c r="O557" s="25"/>
    </row>
    <row r="558" spans="2:15" x14ac:dyDescent="0.2">
      <c r="B558" s="8">
        <f t="shared" si="30"/>
        <v>117</v>
      </c>
      <c r="C558" s="18"/>
      <c r="D558" s="18"/>
      <c r="E558" s="18"/>
      <c r="F558" s="152"/>
      <c r="G558" s="153">
        <v>632</v>
      </c>
      <c r="H558" s="18" t="s">
        <v>144</v>
      </c>
      <c r="I558" s="19">
        <v>77245</v>
      </c>
      <c r="J558" s="19">
        <v>77245</v>
      </c>
      <c r="K558" s="19">
        <v>77245</v>
      </c>
      <c r="L558" s="621"/>
      <c r="M558" s="19"/>
      <c r="N558" s="19"/>
      <c r="O558" s="19"/>
    </row>
    <row r="559" spans="2:15" x14ac:dyDescent="0.2">
      <c r="B559" s="8">
        <f t="shared" si="30"/>
        <v>118</v>
      </c>
      <c r="C559" s="18"/>
      <c r="D559" s="18"/>
      <c r="E559" s="18"/>
      <c r="F559" s="152"/>
      <c r="G559" s="153">
        <v>633</v>
      </c>
      <c r="H559" s="18" t="s">
        <v>135</v>
      </c>
      <c r="I559" s="19">
        <f>42486-3117</f>
        <v>39369</v>
      </c>
      <c r="J559" s="19">
        <v>39300</v>
      </c>
      <c r="K559" s="19">
        <v>39300</v>
      </c>
      <c r="L559" s="621"/>
      <c r="M559" s="19"/>
      <c r="N559" s="19"/>
      <c r="O559" s="19"/>
    </row>
    <row r="560" spans="2:15" x14ac:dyDescent="0.2">
      <c r="B560" s="8">
        <f t="shared" si="30"/>
        <v>119</v>
      </c>
      <c r="C560" s="18"/>
      <c r="D560" s="18"/>
      <c r="E560" s="18"/>
      <c r="F560" s="152"/>
      <c r="G560" s="153">
        <v>634</v>
      </c>
      <c r="H560" s="18" t="s">
        <v>142</v>
      </c>
      <c r="I560" s="19">
        <v>300</v>
      </c>
      <c r="J560" s="19">
        <v>300</v>
      </c>
      <c r="K560" s="19">
        <v>300</v>
      </c>
      <c r="L560" s="621"/>
      <c r="M560" s="19"/>
      <c r="N560" s="19"/>
      <c r="O560" s="19"/>
    </row>
    <row r="561" spans="2:15" x14ac:dyDescent="0.2">
      <c r="B561" s="8">
        <f t="shared" si="30"/>
        <v>120</v>
      </c>
      <c r="C561" s="18"/>
      <c r="D561" s="18"/>
      <c r="E561" s="18"/>
      <c r="F561" s="152"/>
      <c r="G561" s="153">
        <v>635</v>
      </c>
      <c r="H561" s="18" t="s">
        <v>143</v>
      </c>
      <c r="I561" s="19">
        <f>10200-4000</f>
        <v>6200</v>
      </c>
      <c r="J561" s="19">
        <v>6200</v>
      </c>
      <c r="K561" s="19">
        <v>6200</v>
      </c>
      <c r="L561" s="621"/>
      <c r="M561" s="19"/>
      <c r="N561" s="19"/>
      <c r="O561" s="19"/>
    </row>
    <row r="562" spans="2:15" x14ac:dyDescent="0.2">
      <c r="B562" s="8">
        <f t="shared" si="30"/>
        <v>121</v>
      </c>
      <c r="C562" s="18"/>
      <c r="D562" s="18"/>
      <c r="E562" s="18"/>
      <c r="F562" s="152"/>
      <c r="G562" s="153">
        <v>637</v>
      </c>
      <c r="H562" s="18" t="s">
        <v>132</v>
      </c>
      <c r="I562" s="19">
        <v>12105</v>
      </c>
      <c r="J562" s="19">
        <v>12105</v>
      </c>
      <c r="K562" s="19">
        <v>12105</v>
      </c>
      <c r="L562" s="621"/>
      <c r="M562" s="19"/>
      <c r="N562" s="19"/>
      <c r="O562" s="19"/>
    </row>
    <row r="563" spans="2:15" x14ac:dyDescent="0.2">
      <c r="B563" s="8">
        <f t="shared" si="30"/>
        <v>122</v>
      </c>
      <c r="C563" s="24"/>
      <c r="D563" s="24"/>
      <c r="E563" s="24"/>
      <c r="F563" s="149" t="s">
        <v>197</v>
      </c>
      <c r="G563" s="150">
        <v>640</v>
      </c>
      <c r="H563" s="24" t="s">
        <v>139</v>
      </c>
      <c r="I563" s="25">
        <v>2117</v>
      </c>
      <c r="J563" s="25">
        <v>2100</v>
      </c>
      <c r="K563" s="25">
        <v>2100</v>
      </c>
      <c r="L563" s="620"/>
      <c r="M563" s="25"/>
      <c r="N563" s="25"/>
      <c r="O563" s="25"/>
    </row>
    <row r="564" spans="2:15" x14ac:dyDescent="0.2">
      <c r="B564" s="8">
        <f t="shared" si="30"/>
        <v>123</v>
      </c>
      <c r="C564" s="280"/>
      <c r="D564" s="280"/>
      <c r="E564" s="280" t="s">
        <v>107</v>
      </c>
      <c r="F564" s="281"/>
      <c r="G564" s="281"/>
      <c r="H564" s="280" t="s">
        <v>72</v>
      </c>
      <c r="I564" s="282">
        <f>I565+I566+I567+I572</f>
        <v>423866</v>
      </c>
      <c r="J564" s="282">
        <f>J565+J566+J567+J572</f>
        <v>427150</v>
      </c>
      <c r="K564" s="282">
        <f>K565+K566+K567+K572</f>
        <v>430450</v>
      </c>
      <c r="L564" s="620"/>
      <c r="M564" s="282"/>
      <c r="N564" s="282"/>
      <c r="O564" s="282"/>
    </row>
    <row r="565" spans="2:15" x14ac:dyDescent="0.2">
      <c r="B565" s="8">
        <f t="shared" si="30"/>
        <v>124</v>
      </c>
      <c r="C565" s="24"/>
      <c r="D565" s="24"/>
      <c r="E565" s="24"/>
      <c r="F565" s="149" t="s">
        <v>197</v>
      </c>
      <c r="G565" s="150">
        <v>610</v>
      </c>
      <c r="H565" s="24" t="s">
        <v>141</v>
      </c>
      <c r="I565" s="25">
        <v>253855</v>
      </c>
      <c r="J565" s="25">
        <v>257000</v>
      </c>
      <c r="K565" s="25">
        <v>260000</v>
      </c>
      <c r="L565" s="620"/>
      <c r="M565" s="25"/>
      <c r="N565" s="25"/>
      <c r="O565" s="25"/>
    </row>
    <row r="566" spans="2:15" x14ac:dyDescent="0.2">
      <c r="B566" s="8">
        <f t="shared" si="30"/>
        <v>125</v>
      </c>
      <c r="C566" s="24"/>
      <c r="D566" s="24"/>
      <c r="E566" s="24"/>
      <c r="F566" s="149" t="s">
        <v>197</v>
      </c>
      <c r="G566" s="150">
        <v>620</v>
      </c>
      <c r="H566" s="24" t="s">
        <v>134</v>
      </c>
      <c r="I566" s="25">
        <v>93905</v>
      </c>
      <c r="J566" s="25">
        <v>94200</v>
      </c>
      <c r="K566" s="25">
        <v>94500</v>
      </c>
      <c r="L566" s="620"/>
      <c r="M566" s="25"/>
      <c r="N566" s="25"/>
      <c r="O566" s="25"/>
    </row>
    <row r="567" spans="2:15" x14ac:dyDescent="0.2">
      <c r="B567" s="8">
        <f t="shared" si="30"/>
        <v>126</v>
      </c>
      <c r="C567" s="24"/>
      <c r="D567" s="24"/>
      <c r="E567" s="24"/>
      <c r="F567" s="149" t="s">
        <v>197</v>
      </c>
      <c r="G567" s="150">
        <v>630</v>
      </c>
      <c r="H567" s="24" t="s">
        <v>131</v>
      </c>
      <c r="I567" s="25">
        <f>SUM(I568:I571)</f>
        <v>75656</v>
      </c>
      <c r="J567" s="25">
        <f>SUM(J568:J571)</f>
        <v>75500</v>
      </c>
      <c r="K567" s="25">
        <f>SUM(K568:K571)</f>
        <v>75500</v>
      </c>
      <c r="L567" s="620"/>
      <c r="M567" s="25"/>
      <c r="N567" s="25"/>
      <c r="O567" s="25"/>
    </row>
    <row r="568" spans="2:15" x14ac:dyDescent="0.2">
      <c r="B568" s="8">
        <f t="shared" si="30"/>
        <v>127</v>
      </c>
      <c r="C568" s="18"/>
      <c r="D568" s="18"/>
      <c r="E568" s="18"/>
      <c r="F568" s="152"/>
      <c r="G568" s="153">
        <v>632</v>
      </c>
      <c r="H568" s="18" t="s">
        <v>144</v>
      </c>
      <c r="I568" s="19">
        <v>40830</v>
      </c>
      <c r="J568" s="19">
        <v>40800</v>
      </c>
      <c r="K568" s="19">
        <v>40800</v>
      </c>
      <c r="L568" s="621"/>
      <c r="M568" s="19"/>
      <c r="N568" s="19"/>
      <c r="O568" s="19"/>
    </row>
    <row r="569" spans="2:15" x14ac:dyDescent="0.2">
      <c r="B569" s="8">
        <f t="shared" si="30"/>
        <v>128</v>
      </c>
      <c r="C569" s="18"/>
      <c r="D569" s="18"/>
      <c r="E569" s="18"/>
      <c r="F569" s="152"/>
      <c r="G569" s="153">
        <v>633</v>
      </c>
      <c r="H569" s="18" t="s">
        <v>135</v>
      </c>
      <c r="I569" s="19">
        <f>25840-3668</f>
        <v>22172</v>
      </c>
      <c r="J569" s="19">
        <v>22100</v>
      </c>
      <c r="K569" s="19">
        <v>22100</v>
      </c>
      <c r="L569" s="621"/>
      <c r="M569" s="19"/>
      <c r="N569" s="19"/>
      <c r="O569" s="19"/>
    </row>
    <row r="570" spans="2:15" x14ac:dyDescent="0.2">
      <c r="B570" s="8">
        <f t="shared" si="30"/>
        <v>129</v>
      </c>
      <c r="C570" s="18"/>
      <c r="D570" s="18"/>
      <c r="E570" s="18"/>
      <c r="F570" s="152"/>
      <c r="G570" s="153">
        <v>635</v>
      </c>
      <c r="H570" s="18" t="s">
        <v>143</v>
      </c>
      <c r="I570" s="19">
        <v>3400</v>
      </c>
      <c r="J570" s="19">
        <v>3400</v>
      </c>
      <c r="K570" s="19">
        <v>3400</v>
      </c>
      <c r="L570" s="621"/>
      <c r="M570" s="19"/>
      <c r="N570" s="19"/>
      <c r="O570" s="19"/>
    </row>
    <row r="571" spans="2:15" x14ac:dyDescent="0.2">
      <c r="B571" s="8">
        <f t="shared" si="30"/>
        <v>130</v>
      </c>
      <c r="C571" s="18"/>
      <c r="D571" s="18"/>
      <c r="E571" s="18"/>
      <c r="F571" s="152"/>
      <c r="G571" s="153">
        <v>637</v>
      </c>
      <c r="H571" s="18" t="s">
        <v>132</v>
      </c>
      <c r="I571" s="19">
        <v>9254</v>
      </c>
      <c r="J571" s="19">
        <v>9200</v>
      </c>
      <c r="K571" s="19">
        <v>9200</v>
      </c>
      <c r="L571" s="621"/>
      <c r="M571" s="19"/>
      <c r="N571" s="19"/>
      <c r="O571" s="19"/>
    </row>
    <row r="572" spans="2:15" x14ac:dyDescent="0.2">
      <c r="B572" s="8">
        <f t="shared" si="30"/>
        <v>131</v>
      </c>
      <c r="C572" s="24"/>
      <c r="D572" s="24"/>
      <c r="E572" s="24"/>
      <c r="F572" s="149" t="s">
        <v>197</v>
      </c>
      <c r="G572" s="150">
        <v>640</v>
      </c>
      <c r="H572" s="24" t="s">
        <v>139</v>
      </c>
      <c r="I572" s="25">
        <v>450</v>
      </c>
      <c r="J572" s="25">
        <v>450</v>
      </c>
      <c r="K572" s="25">
        <v>450</v>
      </c>
      <c r="L572" s="620"/>
      <c r="M572" s="25"/>
      <c r="N572" s="25"/>
      <c r="O572" s="25"/>
    </row>
    <row r="573" spans="2:15" x14ac:dyDescent="0.2">
      <c r="B573" s="8">
        <f t="shared" si="30"/>
        <v>132</v>
      </c>
      <c r="C573" s="280"/>
      <c r="D573" s="280"/>
      <c r="E573" s="280" t="s">
        <v>100</v>
      </c>
      <c r="F573" s="281"/>
      <c r="G573" s="281"/>
      <c r="H573" s="280" t="s">
        <v>101</v>
      </c>
      <c r="I573" s="282">
        <f>I574+I575+I576+I581</f>
        <v>167960</v>
      </c>
      <c r="J573" s="282">
        <f>J574+J575+J576+J581</f>
        <v>170805</v>
      </c>
      <c r="K573" s="282">
        <f>K574+K575+K576+K581</f>
        <v>173205</v>
      </c>
      <c r="L573" s="620"/>
      <c r="M573" s="282"/>
      <c r="N573" s="282"/>
      <c r="O573" s="282"/>
    </row>
    <row r="574" spans="2:15" x14ac:dyDescent="0.2">
      <c r="B574" s="8">
        <f t="shared" si="30"/>
        <v>133</v>
      </c>
      <c r="C574" s="24"/>
      <c r="D574" s="24"/>
      <c r="E574" s="24"/>
      <c r="F574" s="149" t="s">
        <v>197</v>
      </c>
      <c r="G574" s="150">
        <v>610</v>
      </c>
      <c r="H574" s="24" t="s">
        <v>141</v>
      </c>
      <c r="I574" s="25">
        <v>91392</v>
      </c>
      <c r="J574" s="25">
        <v>94000</v>
      </c>
      <c r="K574" s="25">
        <v>96000</v>
      </c>
      <c r="L574" s="620"/>
      <c r="M574" s="25"/>
      <c r="N574" s="25"/>
      <c r="O574" s="25"/>
    </row>
    <row r="575" spans="2:15" x14ac:dyDescent="0.2">
      <c r="B575" s="8">
        <f t="shared" si="30"/>
        <v>134</v>
      </c>
      <c r="C575" s="24"/>
      <c r="D575" s="24"/>
      <c r="E575" s="24"/>
      <c r="F575" s="149" t="s">
        <v>197</v>
      </c>
      <c r="G575" s="150">
        <v>620</v>
      </c>
      <c r="H575" s="24" t="s">
        <v>134</v>
      </c>
      <c r="I575" s="25">
        <v>34740</v>
      </c>
      <c r="J575" s="25">
        <v>35000</v>
      </c>
      <c r="K575" s="25">
        <v>35400</v>
      </c>
      <c r="L575" s="620"/>
      <c r="M575" s="25"/>
      <c r="N575" s="25"/>
      <c r="O575" s="25"/>
    </row>
    <row r="576" spans="2:15" x14ac:dyDescent="0.2">
      <c r="B576" s="8">
        <f t="shared" si="30"/>
        <v>135</v>
      </c>
      <c r="C576" s="24"/>
      <c r="D576" s="24"/>
      <c r="E576" s="24"/>
      <c r="F576" s="149" t="s">
        <v>197</v>
      </c>
      <c r="G576" s="150">
        <v>630</v>
      </c>
      <c r="H576" s="24" t="s">
        <v>131</v>
      </c>
      <c r="I576" s="25">
        <f>SUM(I577:I580)</f>
        <v>38903</v>
      </c>
      <c r="J576" s="25">
        <f>SUM(J577:J580)</f>
        <v>38880</v>
      </c>
      <c r="K576" s="25">
        <f>SUM(K577:K580)</f>
        <v>38880</v>
      </c>
      <c r="L576" s="620"/>
      <c r="M576" s="25"/>
      <c r="N576" s="25"/>
      <c r="O576" s="25"/>
    </row>
    <row r="577" spans="2:15" x14ac:dyDescent="0.2">
      <c r="B577" s="8">
        <f t="shared" si="30"/>
        <v>136</v>
      </c>
      <c r="C577" s="18"/>
      <c r="D577" s="18"/>
      <c r="E577" s="18"/>
      <c r="F577" s="152"/>
      <c r="G577" s="153">
        <v>632</v>
      </c>
      <c r="H577" s="18" t="s">
        <v>144</v>
      </c>
      <c r="I577" s="19">
        <v>19815</v>
      </c>
      <c r="J577" s="19">
        <v>19800</v>
      </c>
      <c r="K577" s="19">
        <v>19800</v>
      </c>
      <c r="L577" s="621"/>
      <c r="M577" s="19"/>
      <c r="N577" s="19"/>
      <c r="O577" s="19"/>
    </row>
    <row r="578" spans="2:15" x14ac:dyDescent="0.2">
      <c r="B578" s="8">
        <f t="shared" si="30"/>
        <v>137</v>
      </c>
      <c r="C578" s="18"/>
      <c r="D578" s="18"/>
      <c r="E578" s="18"/>
      <c r="F578" s="152"/>
      <c r="G578" s="153">
        <v>633</v>
      </c>
      <c r="H578" s="18" t="s">
        <v>135</v>
      </c>
      <c r="I578" s="19">
        <f>13655-2047</f>
        <v>11608</v>
      </c>
      <c r="J578" s="19">
        <v>11600</v>
      </c>
      <c r="K578" s="19">
        <v>11600</v>
      </c>
      <c r="L578" s="621"/>
      <c r="M578" s="19"/>
      <c r="N578" s="19"/>
      <c r="O578" s="19"/>
    </row>
    <row r="579" spans="2:15" x14ac:dyDescent="0.2">
      <c r="B579" s="8">
        <f t="shared" si="30"/>
        <v>138</v>
      </c>
      <c r="C579" s="18"/>
      <c r="D579" s="18"/>
      <c r="E579" s="18"/>
      <c r="F579" s="152"/>
      <c r="G579" s="153">
        <v>635</v>
      </c>
      <c r="H579" s="18" t="s">
        <v>143</v>
      </c>
      <c r="I579" s="19">
        <v>3000</v>
      </c>
      <c r="J579" s="19">
        <v>3000</v>
      </c>
      <c r="K579" s="19">
        <v>3000</v>
      </c>
      <c r="L579" s="621"/>
      <c r="M579" s="19"/>
      <c r="N579" s="19"/>
      <c r="O579" s="19"/>
    </row>
    <row r="580" spans="2:15" x14ac:dyDescent="0.2">
      <c r="B580" s="8">
        <f t="shared" si="30"/>
        <v>139</v>
      </c>
      <c r="C580" s="18"/>
      <c r="D580" s="18"/>
      <c r="E580" s="18"/>
      <c r="F580" s="152"/>
      <c r="G580" s="153">
        <v>637</v>
      </c>
      <c r="H580" s="18" t="s">
        <v>132</v>
      </c>
      <c r="I580" s="19">
        <v>4480</v>
      </c>
      <c r="J580" s="19">
        <v>4480</v>
      </c>
      <c r="K580" s="19">
        <v>4480</v>
      </c>
      <c r="L580" s="621"/>
      <c r="M580" s="19"/>
      <c r="N580" s="19"/>
      <c r="O580" s="19"/>
    </row>
    <row r="581" spans="2:15" x14ac:dyDescent="0.2">
      <c r="B581" s="8">
        <f t="shared" si="30"/>
        <v>140</v>
      </c>
      <c r="C581" s="24"/>
      <c r="D581" s="24"/>
      <c r="E581" s="24"/>
      <c r="F581" s="149" t="s">
        <v>197</v>
      </c>
      <c r="G581" s="150">
        <v>640</v>
      </c>
      <c r="H581" s="24" t="s">
        <v>139</v>
      </c>
      <c r="I581" s="25">
        <v>2925</v>
      </c>
      <c r="J581" s="25">
        <v>2925</v>
      </c>
      <c r="K581" s="25">
        <v>2925</v>
      </c>
      <c r="L581" s="620"/>
      <c r="M581" s="25"/>
      <c r="N581" s="25"/>
      <c r="O581" s="25"/>
    </row>
    <row r="582" spans="2:15" x14ac:dyDescent="0.2">
      <c r="B582" s="8">
        <f t="shared" si="30"/>
        <v>141</v>
      </c>
      <c r="C582" s="280"/>
      <c r="D582" s="280"/>
      <c r="E582" s="280" t="s">
        <v>93</v>
      </c>
      <c r="F582" s="281"/>
      <c r="G582" s="281"/>
      <c r="H582" s="280" t="s">
        <v>206</v>
      </c>
      <c r="I582" s="282">
        <f>I583+I584+I585+I590</f>
        <v>200586</v>
      </c>
      <c r="J582" s="282">
        <f>J583+J584+J585+J590</f>
        <v>202450</v>
      </c>
      <c r="K582" s="282">
        <f>K583+K584+K585+K590</f>
        <v>204750</v>
      </c>
      <c r="L582" s="620"/>
      <c r="M582" s="282"/>
      <c r="N582" s="282"/>
      <c r="O582" s="282"/>
    </row>
    <row r="583" spans="2:15" x14ac:dyDescent="0.2">
      <c r="B583" s="8">
        <f t="shared" si="30"/>
        <v>142</v>
      </c>
      <c r="C583" s="24"/>
      <c r="D583" s="24"/>
      <c r="E583" s="24"/>
      <c r="F583" s="149" t="s">
        <v>197</v>
      </c>
      <c r="G583" s="150">
        <v>610</v>
      </c>
      <c r="H583" s="24" t="s">
        <v>141</v>
      </c>
      <c r="I583" s="25">
        <v>108308</v>
      </c>
      <c r="J583" s="25">
        <v>110000</v>
      </c>
      <c r="K583" s="25">
        <v>112000</v>
      </c>
      <c r="L583" s="620"/>
      <c r="M583" s="25"/>
      <c r="N583" s="25"/>
      <c r="O583" s="25"/>
    </row>
    <row r="584" spans="2:15" x14ac:dyDescent="0.2">
      <c r="B584" s="8">
        <f t="shared" si="30"/>
        <v>143</v>
      </c>
      <c r="C584" s="24"/>
      <c r="D584" s="24"/>
      <c r="E584" s="24"/>
      <c r="F584" s="149" t="s">
        <v>197</v>
      </c>
      <c r="G584" s="150">
        <v>620</v>
      </c>
      <c r="H584" s="24" t="s">
        <v>134</v>
      </c>
      <c r="I584" s="25">
        <v>40124</v>
      </c>
      <c r="J584" s="25">
        <v>40400</v>
      </c>
      <c r="K584" s="25">
        <v>40700</v>
      </c>
      <c r="L584" s="620"/>
      <c r="M584" s="25"/>
      <c r="N584" s="25"/>
      <c r="O584" s="25"/>
    </row>
    <row r="585" spans="2:15" x14ac:dyDescent="0.2">
      <c r="B585" s="8">
        <f t="shared" si="30"/>
        <v>144</v>
      </c>
      <c r="C585" s="24"/>
      <c r="D585" s="24"/>
      <c r="E585" s="24"/>
      <c r="F585" s="149" t="s">
        <v>197</v>
      </c>
      <c r="G585" s="150">
        <v>630</v>
      </c>
      <c r="H585" s="24" t="s">
        <v>131</v>
      </c>
      <c r="I585" s="25">
        <f>SUM(I586:I589)</f>
        <v>51704</v>
      </c>
      <c r="J585" s="25">
        <f>SUM(J586:J589)</f>
        <v>51600</v>
      </c>
      <c r="K585" s="25">
        <f>SUM(K586:K589)</f>
        <v>51600</v>
      </c>
      <c r="L585" s="620"/>
      <c r="M585" s="25"/>
      <c r="N585" s="25"/>
      <c r="O585" s="25"/>
    </row>
    <row r="586" spans="2:15" x14ac:dyDescent="0.2">
      <c r="B586" s="8">
        <f t="shared" si="30"/>
        <v>145</v>
      </c>
      <c r="C586" s="18"/>
      <c r="D586" s="18"/>
      <c r="E586" s="18"/>
      <c r="F586" s="152"/>
      <c r="G586" s="153">
        <v>632</v>
      </c>
      <c r="H586" s="18" t="s">
        <v>144</v>
      </c>
      <c r="I586" s="19">
        <v>28195</v>
      </c>
      <c r="J586" s="19">
        <v>28200</v>
      </c>
      <c r="K586" s="19">
        <v>28200</v>
      </c>
      <c r="L586" s="621"/>
      <c r="M586" s="19"/>
      <c r="N586" s="19"/>
      <c r="O586" s="19"/>
    </row>
    <row r="587" spans="2:15" x14ac:dyDescent="0.2">
      <c r="B587" s="8">
        <f t="shared" si="30"/>
        <v>146</v>
      </c>
      <c r="C587" s="18"/>
      <c r="D587" s="18"/>
      <c r="E587" s="18"/>
      <c r="F587" s="152"/>
      <c r="G587" s="153">
        <v>633</v>
      </c>
      <c r="H587" s="18" t="s">
        <v>135</v>
      </c>
      <c r="I587" s="19">
        <f>19355-1721</f>
        <v>17634</v>
      </c>
      <c r="J587" s="19">
        <v>17600</v>
      </c>
      <c r="K587" s="19">
        <v>17600</v>
      </c>
      <c r="L587" s="621"/>
      <c r="M587" s="19"/>
      <c r="N587" s="19"/>
      <c r="O587" s="19"/>
    </row>
    <row r="588" spans="2:15" x14ac:dyDescent="0.2">
      <c r="B588" s="8">
        <f t="shared" si="30"/>
        <v>147</v>
      </c>
      <c r="C588" s="18"/>
      <c r="D588" s="18"/>
      <c r="E588" s="18"/>
      <c r="F588" s="152"/>
      <c r="G588" s="153">
        <v>635</v>
      </c>
      <c r="H588" s="18" t="s">
        <v>143</v>
      </c>
      <c r="I588" s="19">
        <f>2000-1000</f>
        <v>1000</v>
      </c>
      <c r="J588" s="19">
        <v>1000</v>
      </c>
      <c r="K588" s="19">
        <v>1000</v>
      </c>
      <c r="L588" s="621"/>
      <c r="M588" s="19"/>
      <c r="N588" s="19"/>
      <c r="O588" s="19"/>
    </row>
    <row r="589" spans="2:15" x14ac:dyDescent="0.2">
      <c r="B589" s="8">
        <f t="shared" si="30"/>
        <v>148</v>
      </c>
      <c r="C589" s="18"/>
      <c r="D589" s="18"/>
      <c r="E589" s="18"/>
      <c r="F589" s="152"/>
      <c r="G589" s="153">
        <v>637</v>
      </c>
      <c r="H589" s="18" t="s">
        <v>132</v>
      </c>
      <c r="I589" s="19">
        <v>4875</v>
      </c>
      <c r="J589" s="19">
        <v>4800</v>
      </c>
      <c r="K589" s="19">
        <v>4800</v>
      </c>
      <c r="L589" s="621"/>
      <c r="M589" s="19"/>
      <c r="N589" s="19"/>
      <c r="O589" s="19"/>
    </row>
    <row r="590" spans="2:15" x14ac:dyDescent="0.2">
      <c r="B590" s="8">
        <f t="shared" si="30"/>
        <v>149</v>
      </c>
      <c r="C590" s="24"/>
      <c r="D590" s="24"/>
      <c r="E590" s="24"/>
      <c r="F590" s="149" t="s">
        <v>197</v>
      </c>
      <c r="G590" s="150">
        <v>640</v>
      </c>
      <c r="H590" s="24" t="s">
        <v>139</v>
      </c>
      <c r="I590" s="25">
        <v>450</v>
      </c>
      <c r="J590" s="25">
        <v>450</v>
      </c>
      <c r="K590" s="25">
        <v>450</v>
      </c>
      <c r="L590" s="620"/>
      <c r="M590" s="25"/>
      <c r="N590" s="25"/>
      <c r="O590" s="25"/>
    </row>
    <row r="591" spans="2:15" x14ac:dyDescent="0.2">
      <c r="B591" s="8">
        <f t="shared" si="30"/>
        <v>150</v>
      </c>
      <c r="C591" s="280"/>
      <c r="D591" s="280"/>
      <c r="E591" s="280" t="s">
        <v>111</v>
      </c>
      <c r="F591" s="281"/>
      <c r="G591" s="281"/>
      <c r="H591" s="280" t="s">
        <v>73</v>
      </c>
      <c r="I591" s="282">
        <f>I592+I593+I594+I600</f>
        <v>223950</v>
      </c>
      <c r="J591" s="282">
        <f>J592+J593+J594+J600</f>
        <v>226605</v>
      </c>
      <c r="K591" s="282">
        <f>K592+K593+K594+K600</f>
        <v>228905</v>
      </c>
      <c r="L591" s="620"/>
      <c r="M591" s="282"/>
      <c r="N591" s="282"/>
      <c r="O591" s="282"/>
    </row>
    <row r="592" spans="2:15" x14ac:dyDescent="0.2">
      <c r="B592" s="8">
        <f t="shared" si="30"/>
        <v>151</v>
      </c>
      <c r="C592" s="24"/>
      <c r="D592" s="24"/>
      <c r="E592" s="24"/>
      <c r="F592" s="149" t="s">
        <v>197</v>
      </c>
      <c r="G592" s="150">
        <v>610</v>
      </c>
      <c r="H592" s="24" t="s">
        <v>141</v>
      </c>
      <c r="I592" s="25">
        <v>123403</v>
      </c>
      <c r="J592" s="25">
        <v>126000</v>
      </c>
      <c r="K592" s="25">
        <v>128000</v>
      </c>
      <c r="L592" s="620"/>
      <c r="M592" s="25"/>
      <c r="N592" s="25"/>
      <c r="O592" s="25"/>
    </row>
    <row r="593" spans="2:15" x14ac:dyDescent="0.2">
      <c r="B593" s="8">
        <f t="shared" si="30"/>
        <v>152</v>
      </c>
      <c r="C593" s="24"/>
      <c r="D593" s="24"/>
      <c r="E593" s="24"/>
      <c r="F593" s="149" t="s">
        <v>197</v>
      </c>
      <c r="G593" s="150">
        <v>620</v>
      </c>
      <c r="H593" s="24" t="s">
        <v>134</v>
      </c>
      <c r="I593" s="25">
        <v>46883</v>
      </c>
      <c r="J593" s="25">
        <v>47000</v>
      </c>
      <c r="K593" s="25">
        <v>47300</v>
      </c>
      <c r="L593" s="620"/>
      <c r="M593" s="25"/>
      <c r="N593" s="25"/>
      <c r="O593" s="25"/>
    </row>
    <row r="594" spans="2:15" x14ac:dyDescent="0.2">
      <c r="B594" s="8">
        <f t="shared" si="30"/>
        <v>153</v>
      </c>
      <c r="C594" s="24"/>
      <c r="D594" s="24"/>
      <c r="E594" s="24"/>
      <c r="F594" s="149" t="s">
        <v>197</v>
      </c>
      <c r="G594" s="150">
        <v>630</v>
      </c>
      <c r="H594" s="24" t="s">
        <v>131</v>
      </c>
      <c r="I594" s="25">
        <f>SUM(I595:I599)</f>
        <v>49838</v>
      </c>
      <c r="J594" s="25">
        <f>SUM(J595:J599)</f>
        <v>49805</v>
      </c>
      <c r="K594" s="25">
        <f>SUM(K595:K599)</f>
        <v>49805</v>
      </c>
      <c r="L594" s="620"/>
      <c r="M594" s="25"/>
      <c r="N594" s="25"/>
      <c r="O594" s="25"/>
    </row>
    <row r="595" spans="2:15" x14ac:dyDescent="0.2">
      <c r="B595" s="8">
        <f t="shared" si="30"/>
        <v>154</v>
      </c>
      <c r="C595" s="18"/>
      <c r="D595" s="18"/>
      <c r="E595" s="18"/>
      <c r="F595" s="152"/>
      <c r="G595" s="153">
        <v>632</v>
      </c>
      <c r="H595" s="18" t="s">
        <v>144</v>
      </c>
      <c r="I595" s="19">
        <v>650</v>
      </c>
      <c r="J595" s="19">
        <v>650</v>
      </c>
      <c r="K595" s="19">
        <v>650</v>
      </c>
      <c r="L595" s="621"/>
      <c r="M595" s="19"/>
      <c r="N595" s="19"/>
      <c r="O595" s="19"/>
    </row>
    <row r="596" spans="2:15" x14ac:dyDescent="0.2">
      <c r="B596" s="8">
        <f t="shared" si="30"/>
        <v>155</v>
      </c>
      <c r="C596" s="18"/>
      <c r="D596" s="18"/>
      <c r="E596" s="18"/>
      <c r="F596" s="152"/>
      <c r="G596" s="153">
        <v>633</v>
      </c>
      <c r="H596" s="18" t="s">
        <v>135</v>
      </c>
      <c r="I596" s="19">
        <f>16456-2623</f>
        <v>13833</v>
      </c>
      <c r="J596" s="19">
        <v>13800</v>
      </c>
      <c r="K596" s="19">
        <v>13800</v>
      </c>
      <c r="L596" s="621"/>
      <c r="M596" s="19"/>
      <c r="N596" s="19"/>
      <c r="O596" s="19"/>
    </row>
    <row r="597" spans="2:15" x14ac:dyDescent="0.2">
      <c r="B597" s="8">
        <f t="shared" si="30"/>
        <v>156</v>
      </c>
      <c r="C597" s="18"/>
      <c r="D597" s="18"/>
      <c r="E597" s="18"/>
      <c r="F597" s="152"/>
      <c r="G597" s="153">
        <v>635</v>
      </c>
      <c r="H597" s="18" t="s">
        <v>143</v>
      </c>
      <c r="I597" s="19">
        <v>1700</v>
      </c>
      <c r="J597" s="19">
        <v>1700</v>
      </c>
      <c r="K597" s="19">
        <v>1700</v>
      </c>
      <c r="L597" s="621"/>
      <c r="M597" s="19"/>
      <c r="N597" s="19"/>
      <c r="O597" s="19"/>
    </row>
    <row r="598" spans="2:15" x14ac:dyDescent="0.2">
      <c r="B598" s="8">
        <f t="shared" si="30"/>
        <v>157</v>
      </c>
      <c r="C598" s="18"/>
      <c r="D598" s="18"/>
      <c r="E598" s="18"/>
      <c r="F598" s="152"/>
      <c r="G598" s="153">
        <v>636</v>
      </c>
      <c r="H598" s="18" t="s">
        <v>136</v>
      </c>
      <c r="I598" s="19">
        <v>28000</v>
      </c>
      <c r="J598" s="19">
        <v>28000</v>
      </c>
      <c r="K598" s="19">
        <v>28000</v>
      </c>
      <c r="L598" s="621"/>
      <c r="M598" s="19"/>
      <c r="N598" s="19"/>
      <c r="O598" s="19"/>
    </row>
    <row r="599" spans="2:15" x14ac:dyDescent="0.2">
      <c r="B599" s="8">
        <f t="shared" si="30"/>
        <v>158</v>
      </c>
      <c r="C599" s="18"/>
      <c r="D599" s="18"/>
      <c r="E599" s="18"/>
      <c r="F599" s="152"/>
      <c r="G599" s="153">
        <v>637</v>
      </c>
      <c r="H599" s="18" t="s">
        <v>132</v>
      </c>
      <c r="I599" s="19">
        <v>5655</v>
      </c>
      <c r="J599" s="19">
        <v>5655</v>
      </c>
      <c r="K599" s="19">
        <v>5655</v>
      </c>
      <c r="L599" s="621"/>
      <c r="M599" s="19"/>
      <c r="N599" s="19"/>
      <c r="O599" s="19"/>
    </row>
    <row r="600" spans="2:15" x14ac:dyDescent="0.2">
      <c r="B600" s="8">
        <f t="shared" si="30"/>
        <v>159</v>
      </c>
      <c r="C600" s="24"/>
      <c r="D600" s="24"/>
      <c r="E600" s="24"/>
      <c r="F600" s="149" t="s">
        <v>197</v>
      </c>
      <c r="G600" s="150">
        <v>640</v>
      </c>
      <c r="H600" s="24" t="s">
        <v>139</v>
      </c>
      <c r="I600" s="25">
        <v>3826</v>
      </c>
      <c r="J600" s="25">
        <v>3800</v>
      </c>
      <c r="K600" s="25">
        <v>3800</v>
      </c>
      <c r="L600" s="620"/>
      <c r="M600" s="25"/>
      <c r="N600" s="25"/>
      <c r="O600" s="25"/>
    </row>
    <row r="601" spans="2:15" x14ac:dyDescent="0.2">
      <c r="B601" s="8">
        <f t="shared" si="30"/>
        <v>160</v>
      </c>
      <c r="C601" s="280"/>
      <c r="D601" s="280"/>
      <c r="E601" s="280" t="s">
        <v>112</v>
      </c>
      <c r="F601" s="281"/>
      <c r="G601" s="281"/>
      <c r="H601" s="280" t="s">
        <v>113</v>
      </c>
      <c r="I601" s="282">
        <f>I602+I603+I604+I610</f>
        <v>635226</v>
      </c>
      <c r="J601" s="282">
        <f>J602+J603+J604+J610</f>
        <v>639950</v>
      </c>
      <c r="K601" s="282">
        <f>K602+K603+K604+K610</f>
        <v>643250</v>
      </c>
      <c r="L601" s="620"/>
      <c r="M601" s="282">
        <f>M611</f>
        <v>22000</v>
      </c>
      <c r="N601" s="282"/>
      <c r="O601" s="282"/>
    </row>
    <row r="602" spans="2:15" x14ac:dyDescent="0.2">
      <c r="B602" s="8">
        <f t="shared" si="30"/>
        <v>161</v>
      </c>
      <c r="C602" s="24"/>
      <c r="D602" s="24"/>
      <c r="E602" s="24"/>
      <c r="F602" s="149" t="s">
        <v>197</v>
      </c>
      <c r="G602" s="150">
        <v>610</v>
      </c>
      <c r="H602" s="24" t="s">
        <v>141</v>
      </c>
      <c r="I602" s="25">
        <v>358620</v>
      </c>
      <c r="J602" s="25">
        <v>363000</v>
      </c>
      <c r="K602" s="25">
        <v>366000</v>
      </c>
      <c r="L602" s="620"/>
      <c r="M602" s="25"/>
      <c r="N602" s="25"/>
      <c r="O602" s="25"/>
    </row>
    <row r="603" spans="2:15" x14ac:dyDescent="0.2">
      <c r="B603" s="8">
        <f t="shared" si="30"/>
        <v>162</v>
      </c>
      <c r="C603" s="24"/>
      <c r="D603" s="24"/>
      <c r="E603" s="24"/>
      <c r="F603" s="149" t="s">
        <v>197</v>
      </c>
      <c r="G603" s="150">
        <v>620</v>
      </c>
      <c r="H603" s="24" t="s">
        <v>134</v>
      </c>
      <c r="I603" s="25">
        <v>132613</v>
      </c>
      <c r="J603" s="25">
        <v>133000</v>
      </c>
      <c r="K603" s="25">
        <v>133300</v>
      </c>
      <c r="L603" s="620"/>
      <c r="M603" s="25"/>
      <c r="N603" s="25"/>
      <c r="O603" s="25"/>
    </row>
    <row r="604" spans="2:15" x14ac:dyDescent="0.2">
      <c r="B604" s="8">
        <f t="shared" si="30"/>
        <v>163</v>
      </c>
      <c r="C604" s="24"/>
      <c r="D604" s="24"/>
      <c r="E604" s="24"/>
      <c r="F604" s="149" t="s">
        <v>197</v>
      </c>
      <c r="G604" s="150">
        <v>630</v>
      </c>
      <c r="H604" s="24" t="s">
        <v>131</v>
      </c>
      <c r="I604" s="25">
        <f>SUM(I605:I609)</f>
        <v>143543</v>
      </c>
      <c r="J604" s="25">
        <f>SUM(J605:J609)</f>
        <v>143500</v>
      </c>
      <c r="K604" s="25">
        <f>SUM(K605:K609)</f>
        <v>143500</v>
      </c>
      <c r="L604" s="620"/>
      <c r="M604" s="25"/>
      <c r="N604" s="25"/>
      <c r="O604" s="25"/>
    </row>
    <row r="605" spans="2:15" x14ac:dyDescent="0.2">
      <c r="B605" s="8">
        <f t="shared" si="30"/>
        <v>164</v>
      </c>
      <c r="C605" s="18"/>
      <c r="D605" s="18"/>
      <c r="E605" s="18"/>
      <c r="F605" s="152"/>
      <c r="G605" s="153">
        <v>632</v>
      </c>
      <c r="H605" s="18" t="s">
        <v>144</v>
      </c>
      <c r="I605" s="19">
        <v>44595</v>
      </c>
      <c r="J605" s="19">
        <v>44600</v>
      </c>
      <c r="K605" s="19">
        <v>44600</v>
      </c>
      <c r="L605" s="621"/>
      <c r="M605" s="19"/>
      <c r="N605" s="19"/>
      <c r="O605" s="19"/>
    </row>
    <row r="606" spans="2:15" x14ac:dyDescent="0.2">
      <c r="B606" s="8">
        <f t="shared" si="30"/>
        <v>165</v>
      </c>
      <c r="C606" s="18"/>
      <c r="D606" s="18"/>
      <c r="E606" s="18"/>
      <c r="F606" s="152"/>
      <c r="G606" s="153">
        <v>633</v>
      </c>
      <c r="H606" s="18" t="s">
        <v>135</v>
      </c>
      <c r="I606" s="19">
        <f>60306-3923</f>
        <v>56383</v>
      </c>
      <c r="J606" s="19">
        <v>56300</v>
      </c>
      <c r="K606" s="19">
        <v>56300</v>
      </c>
      <c r="L606" s="621"/>
      <c r="M606" s="19"/>
      <c r="N606" s="19"/>
      <c r="O606" s="19"/>
    </row>
    <row r="607" spans="2:15" x14ac:dyDescent="0.2">
      <c r="B607" s="8">
        <f t="shared" si="30"/>
        <v>166</v>
      </c>
      <c r="C607" s="18"/>
      <c r="D607" s="18"/>
      <c r="E607" s="18"/>
      <c r="F607" s="152"/>
      <c r="G607" s="153">
        <v>635</v>
      </c>
      <c r="H607" s="18" t="s">
        <v>143</v>
      </c>
      <c r="I607" s="19">
        <f>16300-4000</f>
        <v>12300</v>
      </c>
      <c r="J607" s="19">
        <v>12300</v>
      </c>
      <c r="K607" s="19">
        <v>12300</v>
      </c>
      <c r="L607" s="621"/>
      <c r="M607" s="19"/>
      <c r="N607" s="19"/>
      <c r="O607" s="19"/>
    </row>
    <row r="608" spans="2:15" x14ac:dyDescent="0.2">
      <c r="B608" s="8">
        <f t="shared" si="30"/>
        <v>167</v>
      </c>
      <c r="C608" s="18"/>
      <c r="D608" s="18"/>
      <c r="E608" s="18"/>
      <c r="F608" s="152"/>
      <c r="G608" s="153">
        <v>636</v>
      </c>
      <c r="H608" s="18" t="s">
        <v>136</v>
      </c>
      <c r="I608" s="19">
        <v>10000</v>
      </c>
      <c r="J608" s="19">
        <v>10000</v>
      </c>
      <c r="K608" s="19">
        <v>10000</v>
      </c>
      <c r="L608" s="621"/>
      <c r="M608" s="19"/>
      <c r="N608" s="19"/>
      <c r="O608" s="19"/>
    </row>
    <row r="609" spans="2:15" x14ac:dyDescent="0.2">
      <c r="B609" s="8">
        <f t="shared" si="30"/>
        <v>168</v>
      </c>
      <c r="C609" s="18"/>
      <c r="D609" s="18"/>
      <c r="E609" s="18"/>
      <c r="F609" s="152"/>
      <c r="G609" s="153">
        <v>637</v>
      </c>
      <c r="H609" s="18" t="s">
        <v>132</v>
      </c>
      <c r="I609" s="19">
        <v>20265</v>
      </c>
      <c r="J609" s="19">
        <v>20300</v>
      </c>
      <c r="K609" s="19">
        <v>20300</v>
      </c>
      <c r="L609" s="621"/>
      <c r="M609" s="19"/>
      <c r="N609" s="19"/>
      <c r="O609" s="19"/>
    </row>
    <row r="610" spans="2:15" x14ac:dyDescent="0.2">
      <c r="B610" s="8">
        <f t="shared" si="30"/>
        <v>169</v>
      </c>
      <c r="C610" s="24"/>
      <c r="D610" s="24"/>
      <c r="E610" s="24"/>
      <c r="F610" s="149" t="s">
        <v>197</v>
      </c>
      <c r="G610" s="150">
        <v>640</v>
      </c>
      <c r="H610" s="24" t="s">
        <v>139</v>
      </c>
      <c r="I610" s="25">
        <v>450</v>
      </c>
      <c r="J610" s="25">
        <v>450</v>
      </c>
      <c r="K610" s="25">
        <v>450</v>
      </c>
      <c r="L610" s="620"/>
      <c r="M610" s="25"/>
      <c r="N610" s="25"/>
      <c r="O610" s="25"/>
    </row>
    <row r="611" spans="2:15" x14ac:dyDescent="0.2">
      <c r="B611" s="8">
        <f t="shared" ref="B611:B613" si="31">B610+1</f>
        <v>170</v>
      </c>
      <c r="C611" s="24"/>
      <c r="D611" s="24"/>
      <c r="E611" s="24"/>
      <c r="F611" s="149" t="s">
        <v>116</v>
      </c>
      <c r="G611" s="150">
        <v>710</v>
      </c>
      <c r="H611" s="24" t="s">
        <v>185</v>
      </c>
      <c r="I611" s="25"/>
      <c r="J611" s="25"/>
      <c r="K611" s="25"/>
      <c r="L611" s="620"/>
      <c r="M611" s="25">
        <f>M612</f>
        <v>22000</v>
      </c>
      <c r="N611" s="25"/>
      <c r="O611" s="25"/>
    </row>
    <row r="612" spans="2:15" x14ac:dyDescent="0.2">
      <c r="B612" s="8">
        <f t="shared" si="31"/>
        <v>171</v>
      </c>
      <c r="C612" s="18"/>
      <c r="D612" s="18"/>
      <c r="E612" s="18"/>
      <c r="F612" s="152"/>
      <c r="G612" s="153">
        <v>717</v>
      </c>
      <c r="H612" s="18" t="s">
        <v>192</v>
      </c>
      <c r="I612" s="19"/>
      <c r="J612" s="19"/>
      <c r="K612" s="19"/>
      <c r="L612" s="621"/>
      <c r="M612" s="19">
        <f>SUM(M613:M613)</f>
        <v>22000</v>
      </c>
      <c r="N612" s="19"/>
      <c r="O612" s="19"/>
    </row>
    <row r="613" spans="2:15" s="165" customFormat="1" x14ac:dyDescent="0.2">
      <c r="B613" s="8">
        <f t="shared" si="31"/>
        <v>172</v>
      </c>
      <c r="C613" s="156"/>
      <c r="D613" s="156"/>
      <c r="E613" s="156"/>
      <c r="F613" s="272"/>
      <c r="G613" s="155"/>
      <c r="H613" s="156" t="s">
        <v>1159</v>
      </c>
      <c r="I613" s="157"/>
      <c r="J613" s="157"/>
      <c r="K613" s="157"/>
      <c r="L613" s="614"/>
      <c r="M613" s="157">
        <f>1000+21000</f>
        <v>22000</v>
      </c>
      <c r="N613" s="157"/>
      <c r="O613" s="157"/>
    </row>
    <row r="614" spans="2:15" ht="15.75" x14ac:dyDescent="0.25">
      <c r="B614" s="8">
        <f>B610+1</f>
        <v>170</v>
      </c>
      <c r="C614" s="141">
        <v>2</v>
      </c>
      <c r="D614" s="677" t="s">
        <v>191</v>
      </c>
      <c r="E614" s="678"/>
      <c r="F614" s="678"/>
      <c r="G614" s="678"/>
      <c r="H614" s="678"/>
      <c r="I614" s="142">
        <f>I615+I619+I645+I667+I688+I713+I738+I761+I785</f>
        <v>15469033</v>
      </c>
      <c r="J614" s="142">
        <f>J615+J619+J645+J667+J688+J713+J738+J761+J785</f>
        <v>15795410</v>
      </c>
      <c r="K614" s="142">
        <f>K615+K619+K645+K667+K688+K713+K738+K761+K785</f>
        <v>16132410</v>
      </c>
      <c r="L614" s="618"/>
      <c r="M614" s="142">
        <f>M619+M645+M667+M688+M713+M738+M761+M785</f>
        <v>2264461</v>
      </c>
      <c r="N614" s="142"/>
      <c r="O614" s="142"/>
    </row>
    <row r="615" spans="2:15" x14ac:dyDescent="0.2">
      <c r="B615" s="8">
        <f t="shared" ref="B615:B676" si="32">B614+1</f>
        <v>171</v>
      </c>
      <c r="C615" s="24"/>
      <c r="D615" s="24"/>
      <c r="E615" s="24"/>
      <c r="F615" s="149" t="s">
        <v>129</v>
      </c>
      <c r="G615" s="150">
        <v>630</v>
      </c>
      <c r="H615" s="24" t="s">
        <v>131</v>
      </c>
      <c r="I615" s="25">
        <f>SUM(I616:I618)</f>
        <v>68000</v>
      </c>
      <c r="J615" s="25">
        <f>SUM(J616:J618)</f>
        <v>142000</v>
      </c>
      <c r="K615" s="25">
        <f>SUM(K616:K618)</f>
        <v>222000</v>
      </c>
      <c r="L615" s="620"/>
      <c r="M615" s="25"/>
      <c r="N615" s="25"/>
      <c r="O615" s="25"/>
    </row>
    <row r="616" spans="2:15" x14ac:dyDescent="0.2">
      <c r="B616" s="8">
        <f t="shared" si="32"/>
        <v>172</v>
      </c>
      <c r="C616" s="24"/>
      <c r="D616" s="24"/>
      <c r="E616" s="24"/>
      <c r="F616" s="149"/>
      <c r="G616" s="153">
        <v>633</v>
      </c>
      <c r="H616" s="18" t="s">
        <v>135</v>
      </c>
      <c r="I616" s="19">
        <v>12000</v>
      </c>
      <c r="J616" s="19">
        <v>12000</v>
      </c>
      <c r="K616" s="19">
        <v>12000</v>
      </c>
      <c r="L616" s="620"/>
      <c r="M616" s="25"/>
      <c r="N616" s="25"/>
      <c r="O616" s="25"/>
    </row>
    <row r="617" spans="2:15" x14ac:dyDescent="0.2">
      <c r="B617" s="8">
        <f t="shared" si="32"/>
        <v>173</v>
      </c>
      <c r="C617" s="18"/>
      <c r="D617" s="18"/>
      <c r="E617" s="18"/>
      <c r="F617" s="152"/>
      <c r="G617" s="153">
        <v>635</v>
      </c>
      <c r="H617" s="18" t="s">
        <v>143</v>
      </c>
      <c r="I617" s="19">
        <v>50000</v>
      </c>
      <c r="J617" s="19">
        <v>50000</v>
      </c>
      <c r="K617" s="19">
        <v>50000</v>
      </c>
      <c r="L617" s="621"/>
      <c r="M617" s="19"/>
      <c r="N617" s="19"/>
      <c r="O617" s="19"/>
    </row>
    <row r="618" spans="2:15" x14ac:dyDescent="0.2">
      <c r="B618" s="8">
        <f t="shared" si="32"/>
        <v>174</v>
      </c>
      <c r="C618" s="18"/>
      <c r="D618" s="18"/>
      <c r="E618" s="18"/>
      <c r="F618" s="152"/>
      <c r="G618" s="153">
        <v>637</v>
      </c>
      <c r="H618" s="18" t="s">
        <v>132</v>
      </c>
      <c r="I618" s="19">
        <v>6000</v>
      </c>
      <c r="J618" s="19">
        <v>80000</v>
      </c>
      <c r="K618" s="19">
        <v>160000</v>
      </c>
      <c r="L618" s="621"/>
      <c r="M618" s="19"/>
      <c r="N618" s="19"/>
      <c r="O618" s="19"/>
    </row>
    <row r="619" spans="2:15" ht="14.25" x14ac:dyDescent="0.2">
      <c r="B619" s="8">
        <f t="shared" si="32"/>
        <v>175</v>
      </c>
      <c r="C619" s="267"/>
      <c r="D619" s="267"/>
      <c r="E619" s="267">
        <v>6</v>
      </c>
      <c r="F619" s="268"/>
      <c r="G619" s="268"/>
      <c r="H619" s="267" t="s">
        <v>339</v>
      </c>
      <c r="I619" s="269">
        <f>I620+I621+I622+I629+I630+I631+I632+I639</f>
        <v>1355126</v>
      </c>
      <c r="J619" s="269">
        <f>J620+J621+J622+J629+J630+J631+J632+J639</f>
        <v>1351250</v>
      </c>
      <c r="K619" s="269">
        <f>K620+K621+K622+K629+K630+K631+K632+K639</f>
        <v>1379250</v>
      </c>
      <c r="L619" s="619"/>
      <c r="M619" s="269">
        <f>M640</f>
        <v>21000</v>
      </c>
      <c r="N619" s="269"/>
      <c r="O619" s="269"/>
    </row>
    <row r="620" spans="2:15" x14ac:dyDescent="0.2">
      <c r="B620" s="8">
        <f t="shared" si="32"/>
        <v>176</v>
      </c>
      <c r="C620" s="24"/>
      <c r="D620" s="24"/>
      <c r="E620" s="24"/>
      <c r="F620" s="149" t="s">
        <v>129</v>
      </c>
      <c r="G620" s="150">
        <v>610</v>
      </c>
      <c r="H620" s="24" t="s">
        <v>141</v>
      </c>
      <c r="I620" s="25">
        <v>312244</v>
      </c>
      <c r="J620" s="25">
        <v>322000</v>
      </c>
      <c r="K620" s="25">
        <v>332000</v>
      </c>
      <c r="L620" s="620"/>
      <c r="M620" s="25"/>
      <c r="N620" s="25"/>
      <c r="O620" s="25"/>
    </row>
    <row r="621" spans="2:15" x14ac:dyDescent="0.2">
      <c r="B621" s="8">
        <f t="shared" si="32"/>
        <v>177</v>
      </c>
      <c r="C621" s="24"/>
      <c r="D621" s="24"/>
      <c r="E621" s="24"/>
      <c r="F621" s="149" t="s">
        <v>129</v>
      </c>
      <c r="G621" s="150">
        <v>620</v>
      </c>
      <c r="H621" s="24" t="s">
        <v>134</v>
      </c>
      <c r="I621" s="25">
        <v>108174</v>
      </c>
      <c r="J621" s="25">
        <v>110000</v>
      </c>
      <c r="K621" s="25">
        <v>115000</v>
      </c>
      <c r="L621" s="620"/>
      <c r="M621" s="25"/>
      <c r="N621" s="25"/>
      <c r="O621" s="25"/>
    </row>
    <row r="622" spans="2:15" x14ac:dyDescent="0.2">
      <c r="B622" s="8">
        <f t="shared" si="32"/>
        <v>178</v>
      </c>
      <c r="C622" s="24"/>
      <c r="D622" s="24"/>
      <c r="E622" s="24"/>
      <c r="F622" s="149" t="s">
        <v>129</v>
      </c>
      <c r="G622" s="150">
        <v>630</v>
      </c>
      <c r="H622" s="24" t="s">
        <v>131</v>
      </c>
      <c r="I622" s="25">
        <f>SUM(I623:I628)</f>
        <v>128990</v>
      </c>
      <c r="J622" s="25">
        <f>SUM(J623:J628)</f>
        <v>129750</v>
      </c>
      <c r="K622" s="25">
        <f>SUM(K623:K628)</f>
        <v>129750</v>
      </c>
      <c r="L622" s="620"/>
      <c r="M622" s="25"/>
      <c r="N622" s="25"/>
      <c r="O622" s="25"/>
    </row>
    <row r="623" spans="2:15" x14ac:dyDescent="0.2">
      <c r="B623" s="8">
        <f t="shared" si="32"/>
        <v>179</v>
      </c>
      <c r="C623" s="18"/>
      <c r="D623" s="18"/>
      <c r="E623" s="18"/>
      <c r="F623" s="152"/>
      <c r="G623" s="153">
        <v>631</v>
      </c>
      <c r="H623" s="18" t="s">
        <v>137</v>
      </c>
      <c r="I623" s="19">
        <v>433</v>
      </c>
      <c r="J623" s="19">
        <v>450</v>
      </c>
      <c r="K623" s="19">
        <v>450</v>
      </c>
      <c r="L623" s="621"/>
      <c r="M623" s="19"/>
      <c r="N623" s="19"/>
      <c r="O623" s="19"/>
    </row>
    <row r="624" spans="2:15" x14ac:dyDescent="0.2">
      <c r="B624" s="8">
        <f t="shared" si="32"/>
        <v>180</v>
      </c>
      <c r="C624" s="18"/>
      <c r="D624" s="18"/>
      <c r="E624" s="18"/>
      <c r="F624" s="152"/>
      <c r="G624" s="153">
        <v>632</v>
      </c>
      <c r="H624" s="18" t="s">
        <v>144</v>
      </c>
      <c r="I624" s="19">
        <v>73434</v>
      </c>
      <c r="J624" s="19">
        <v>74000</v>
      </c>
      <c r="K624" s="19">
        <v>74000</v>
      </c>
      <c r="L624" s="621"/>
      <c r="M624" s="19"/>
      <c r="N624" s="19"/>
      <c r="O624" s="19"/>
    </row>
    <row r="625" spans="2:15" x14ac:dyDescent="0.2">
      <c r="B625" s="8">
        <f t="shared" si="32"/>
        <v>181</v>
      </c>
      <c r="C625" s="18"/>
      <c r="D625" s="18"/>
      <c r="E625" s="18"/>
      <c r="F625" s="152"/>
      <c r="G625" s="153">
        <v>633</v>
      </c>
      <c r="H625" s="18" t="s">
        <v>135</v>
      </c>
      <c r="I625" s="19">
        <v>20400</v>
      </c>
      <c r="J625" s="19">
        <v>20400</v>
      </c>
      <c r="K625" s="19">
        <v>20400</v>
      </c>
      <c r="L625" s="621"/>
      <c r="M625" s="19"/>
      <c r="N625" s="19"/>
      <c r="O625" s="19"/>
    </row>
    <row r="626" spans="2:15" x14ac:dyDescent="0.2">
      <c r="B626" s="8">
        <f t="shared" si="32"/>
        <v>182</v>
      </c>
      <c r="C626" s="18"/>
      <c r="D626" s="18"/>
      <c r="E626" s="18"/>
      <c r="F626" s="152"/>
      <c r="G626" s="153">
        <v>634</v>
      </c>
      <c r="H626" s="18" t="s">
        <v>142</v>
      </c>
      <c r="I626" s="19">
        <v>1059</v>
      </c>
      <c r="J626" s="19">
        <v>1100</v>
      </c>
      <c r="K626" s="19">
        <v>1100</v>
      </c>
      <c r="L626" s="621"/>
      <c r="M626" s="19"/>
      <c r="N626" s="19"/>
      <c r="O626" s="19"/>
    </row>
    <row r="627" spans="2:15" x14ac:dyDescent="0.2">
      <c r="B627" s="8">
        <f t="shared" si="32"/>
        <v>183</v>
      </c>
      <c r="C627" s="18"/>
      <c r="D627" s="18"/>
      <c r="E627" s="18"/>
      <c r="F627" s="152"/>
      <c r="G627" s="153">
        <v>635</v>
      </c>
      <c r="H627" s="18" t="s">
        <v>143</v>
      </c>
      <c r="I627" s="19">
        <v>10856</v>
      </c>
      <c r="J627" s="19">
        <v>10800</v>
      </c>
      <c r="K627" s="19">
        <v>10800</v>
      </c>
      <c r="L627" s="621"/>
      <c r="M627" s="19"/>
      <c r="N627" s="19"/>
      <c r="O627" s="19"/>
    </row>
    <row r="628" spans="2:15" x14ac:dyDescent="0.2">
      <c r="B628" s="8">
        <f t="shared" si="32"/>
        <v>184</v>
      </c>
      <c r="C628" s="18"/>
      <c r="D628" s="18"/>
      <c r="E628" s="18"/>
      <c r="F628" s="152"/>
      <c r="G628" s="153">
        <v>637</v>
      </c>
      <c r="H628" s="18" t="s">
        <v>132</v>
      </c>
      <c r="I628" s="19">
        <v>22808</v>
      </c>
      <c r="J628" s="19">
        <v>23000</v>
      </c>
      <c r="K628" s="19">
        <v>23000</v>
      </c>
      <c r="L628" s="621"/>
      <c r="M628" s="19"/>
      <c r="N628" s="19"/>
      <c r="O628" s="19"/>
    </row>
    <row r="629" spans="2:15" x14ac:dyDescent="0.2">
      <c r="B629" s="8">
        <f t="shared" si="32"/>
        <v>185</v>
      </c>
      <c r="C629" s="24"/>
      <c r="D629" s="24"/>
      <c r="E629" s="24"/>
      <c r="F629" s="149" t="s">
        <v>129</v>
      </c>
      <c r="G629" s="150">
        <v>640</v>
      </c>
      <c r="H629" s="24" t="s">
        <v>139</v>
      </c>
      <c r="I629" s="25">
        <v>1903</v>
      </c>
      <c r="J629" s="25">
        <v>1900</v>
      </c>
      <c r="K629" s="25">
        <v>1900</v>
      </c>
      <c r="L629" s="620"/>
      <c r="M629" s="25"/>
      <c r="N629" s="25"/>
      <c r="O629" s="25"/>
    </row>
    <row r="630" spans="2:15" x14ac:dyDescent="0.2">
      <c r="B630" s="8">
        <f t="shared" si="32"/>
        <v>186</v>
      </c>
      <c r="C630" s="24"/>
      <c r="D630" s="24"/>
      <c r="E630" s="24"/>
      <c r="F630" s="149" t="s">
        <v>116</v>
      </c>
      <c r="G630" s="150">
        <v>610</v>
      </c>
      <c r="H630" s="24" t="s">
        <v>141</v>
      </c>
      <c r="I630" s="25">
        <v>496277</v>
      </c>
      <c r="J630" s="25">
        <v>506000</v>
      </c>
      <c r="K630" s="25">
        <v>516000</v>
      </c>
      <c r="L630" s="620"/>
      <c r="M630" s="25"/>
      <c r="N630" s="25"/>
      <c r="O630" s="25"/>
    </row>
    <row r="631" spans="2:15" x14ac:dyDescent="0.2">
      <c r="B631" s="8">
        <f t="shared" si="32"/>
        <v>187</v>
      </c>
      <c r="C631" s="24"/>
      <c r="D631" s="24"/>
      <c r="E631" s="24"/>
      <c r="F631" s="149" t="s">
        <v>116</v>
      </c>
      <c r="G631" s="150">
        <v>620</v>
      </c>
      <c r="H631" s="24" t="s">
        <v>134</v>
      </c>
      <c r="I631" s="25">
        <v>172794</v>
      </c>
      <c r="J631" s="25">
        <v>177000</v>
      </c>
      <c r="K631" s="25">
        <v>180000</v>
      </c>
      <c r="L631" s="620"/>
      <c r="M631" s="25"/>
      <c r="N631" s="25"/>
      <c r="O631" s="25"/>
    </row>
    <row r="632" spans="2:15" x14ac:dyDescent="0.2">
      <c r="B632" s="8">
        <f t="shared" si="32"/>
        <v>188</v>
      </c>
      <c r="C632" s="24"/>
      <c r="D632" s="24"/>
      <c r="E632" s="24"/>
      <c r="F632" s="149" t="s">
        <v>116</v>
      </c>
      <c r="G632" s="150">
        <v>630</v>
      </c>
      <c r="H632" s="24" t="s">
        <v>131</v>
      </c>
      <c r="I632" s="25">
        <f>SUM(I633:I638)</f>
        <v>132327</v>
      </c>
      <c r="J632" s="25">
        <f>SUM(J633:J638)</f>
        <v>102200</v>
      </c>
      <c r="K632" s="25">
        <f>SUM(K633:K638)</f>
        <v>102200</v>
      </c>
      <c r="L632" s="620"/>
      <c r="M632" s="25"/>
      <c r="N632" s="25"/>
      <c r="O632" s="25"/>
    </row>
    <row r="633" spans="2:15" x14ac:dyDescent="0.2">
      <c r="B633" s="8">
        <f t="shared" si="32"/>
        <v>189</v>
      </c>
      <c r="C633" s="18"/>
      <c r="D633" s="18"/>
      <c r="E633" s="18"/>
      <c r="F633" s="152"/>
      <c r="G633" s="153">
        <v>631</v>
      </c>
      <c r="H633" s="18" t="s">
        <v>137</v>
      </c>
      <c r="I633" s="19">
        <v>359</v>
      </c>
      <c r="J633" s="19">
        <v>400</v>
      </c>
      <c r="K633" s="19">
        <v>400</v>
      </c>
      <c r="L633" s="621"/>
      <c r="M633" s="19"/>
      <c r="N633" s="19"/>
      <c r="O633" s="19"/>
    </row>
    <row r="634" spans="2:15" x14ac:dyDescent="0.2">
      <c r="B634" s="8">
        <f t="shared" si="32"/>
        <v>190</v>
      </c>
      <c r="C634" s="18"/>
      <c r="D634" s="18"/>
      <c r="E634" s="18"/>
      <c r="F634" s="152"/>
      <c r="G634" s="153">
        <v>632</v>
      </c>
      <c r="H634" s="18" t="s">
        <v>144</v>
      </c>
      <c r="I634" s="19">
        <v>61238</v>
      </c>
      <c r="J634" s="19">
        <v>61300</v>
      </c>
      <c r="K634" s="19">
        <v>61300</v>
      </c>
      <c r="L634" s="621"/>
      <c r="M634" s="19"/>
      <c r="N634" s="19"/>
      <c r="O634" s="19"/>
    </row>
    <row r="635" spans="2:15" x14ac:dyDescent="0.2">
      <c r="B635" s="8">
        <f t="shared" si="32"/>
        <v>191</v>
      </c>
      <c r="C635" s="18"/>
      <c r="D635" s="18"/>
      <c r="E635" s="18"/>
      <c r="F635" s="152"/>
      <c r="G635" s="153">
        <v>633</v>
      </c>
      <c r="H635" s="18" t="s">
        <v>135</v>
      </c>
      <c r="I635" s="19">
        <v>24603</v>
      </c>
      <c r="J635" s="19">
        <v>25000</v>
      </c>
      <c r="K635" s="19">
        <v>25000</v>
      </c>
      <c r="L635" s="621"/>
      <c r="M635" s="19"/>
      <c r="N635" s="19"/>
      <c r="O635" s="19"/>
    </row>
    <row r="636" spans="2:15" x14ac:dyDescent="0.2">
      <c r="B636" s="8">
        <f t="shared" si="32"/>
        <v>192</v>
      </c>
      <c r="C636" s="18"/>
      <c r="D636" s="18"/>
      <c r="E636" s="18"/>
      <c r="F636" s="152"/>
      <c r="G636" s="153">
        <v>634</v>
      </c>
      <c r="H636" s="18" t="s">
        <v>142</v>
      </c>
      <c r="I636" s="19">
        <v>3609</v>
      </c>
      <c r="J636" s="19">
        <v>3600</v>
      </c>
      <c r="K636" s="19">
        <v>3600</v>
      </c>
      <c r="L636" s="621"/>
      <c r="M636" s="19"/>
      <c r="N636" s="19"/>
      <c r="O636" s="19"/>
    </row>
    <row r="637" spans="2:15" x14ac:dyDescent="0.2">
      <c r="B637" s="8">
        <f t="shared" si="32"/>
        <v>193</v>
      </c>
      <c r="C637" s="18"/>
      <c r="D637" s="18"/>
      <c r="E637" s="18"/>
      <c r="F637" s="152"/>
      <c r="G637" s="153">
        <v>635</v>
      </c>
      <c r="H637" s="18" t="s">
        <v>143</v>
      </c>
      <c r="I637" s="19">
        <v>8543</v>
      </c>
      <c r="J637" s="19">
        <v>8500</v>
      </c>
      <c r="K637" s="19">
        <v>8500</v>
      </c>
      <c r="L637" s="621"/>
      <c r="M637" s="19"/>
      <c r="N637" s="19"/>
      <c r="O637" s="19"/>
    </row>
    <row r="638" spans="2:15" x14ac:dyDescent="0.2">
      <c r="B638" s="8">
        <f t="shared" si="32"/>
        <v>194</v>
      </c>
      <c r="C638" s="18"/>
      <c r="D638" s="18"/>
      <c r="E638" s="18"/>
      <c r="F638" s="152"/>
      <c r="G638" s="153">
        <v>637</v>
      </c>
      <c r="H638" s="18" t="s">
        <v>132</v>
      </c>
      <c r="I638" s="19">
        <v>33975</v>
      </c>
      <c r="J638" s="19">
        <v>3400</v>
      </c>
      <c r="K638" s="19">
        <v>3400</v>
      </c>
      <c r="L638" s="621"/>
      <c r="M638" s="19"/>
      <c r="N638" s="19"/>
      <c r="O638" s="19"/>
    </row>
    <row r="639" spans="2:15" x14ac:dyDescent="0.2">
      <c r="B639" s="8">
        <f t="shared" si="32"/>
        <v>195</v>
      </c>
      <c r="C639" s="24"/>
      <c r="D639" s="24"/>
      <c r="E639" s="24"/>
      <c r="F639" s="149" t="s">
        <v>116</v>
      </c>
      <c r="G639" s="150">
        <v>640</v>
      </c>
      <c r="H639" s="24" t="s">
        <v>139</v>
      </c>
      <c r="I639" s="25">
        <v>2417</v>
      </c>
      <c r="J639" s="25">
        <v>2400</v>
      </c>
      <c r="K639" s="25">
        <v>2400</v>
      </c>
      <c r="L639" s="620"/>
      <c r="M639" s="25"/>
      <c r="N639" s="25"/>
      <c r="O639" s="25"/>
    </row>
    <row r="640" spans="2:15" ht="13.5" customHeight="1" x14ac:dyDescent="0.2">
      <c r="B640" s="8">
        <f t="shared" si="32"/>
        <v>196</v>
      </c>
      <c r="C640" s="24"/>
      <c r="D640" s="24"/>
      <c r="E640" s="24"/>
      <c r="F640" s="149" t="s">
        <v>116</v>
      </c>
      <c r="G640" s="150">
        <v>710</v>
      </c>
      <c r="H640" s="24" t="s">
        <v>185</v>
      </c>
      <c r="I640" s="25"/>
      <c r="J640" s="25"/>
      <c r="K640" s="25"/>
      <c r="L640" s="620"/>
      <c r="M640" s="25">
        <f>M641+M643</f>
        <v>21000</v>
      </c>
      <c r="N640" s="25"/>
      <c r="O640" s="25"/>
    </row>
    <row r="641" spans="2:15" x14ac:dyDescent="0.2">
      <c r="B641" s="8">
        <f t="shared" si="32"/>
        <v>197</v>
      </c>
      <c r="C641" s="18"/>
      <c r="D641" s="18"/>
      <c r="E641" s="18"/>
      <c r="F641" s="152"/>
      <c r="G641" s="153">
        <v>716</v>
      </c>
      <c r="H641" s="18" t="s">
        <v>226</v>
      </c>
      <c r="I641" s="19"/>
      <c r="J641" s="19"/>
      <c r="K641" s="19"/>
      <c r="L641" s="621"/>
      <c r="M641" s="19">
        <f>SUM(M642:M642)</f>
        <v>3000</v>
      </c>
      <c r="N641" s="19"/>
      <c r="O641" s="19"/>
    </row>
    <row r="642" spans="2:15" s="165" customFormat="1" x14ac:dyDescent="0.2">
      <c r="B642" s="8">
        <f t="shared" si="32"/>
        <v>198</v>
      </c>
      <c r="C642" s="156"/>
      <c r="D642" s="156"/>
      <c r="E642" s="156"/>
      <c r="F642" s="272"/>
      <c r="G642" s="155"/>
      <c r="H642" s="156" t="s">
        <v>1182</v>
      </c>
      <c r="I642" s="157"/>
      <c r="J642" s="157"/>
      <c r="K642" s="157"/>
      <c r="L642" s="614"/>
      <c r="M642" s="157">
        <v>3000</v>
      </c>
      <c r="N642" s="157"/>
      <c r="O642" s="157"/>
    </row>
    <row r="643" spans="2:15" x14ac:dyDescent="0.2">
      <c r="B643" s="8">
        <f t="shared" si="32"/>
        <v>199</v>
      </c>
      <c r="C643" s="18"/>
      <c r="D643" s="18"/>
      <c r="E643" s="18"/>
      <c r="F643" s="152"/>
      <c r="G643" s="153">
        <v>717</v>
      </c>
      <c r="H643" s="18" t="s">
        <v>192</v>
      </c>
      <c r="I643" s="19"/>
      <c r="J643" s="19"/>
      <c r="K643" s="19"/>
      <c r="L643" s="621"/>
      <c r="M643" s="19">
        <f>SUM(M644:M644)</f>
        <v>18000</v>
      </c>
      <c r="N643" s="19"/>
      <c r="O643" s="19"/>
    </row>
    <row r="644" spans="2:15" s="165" customFormat="1" x14ac:dyDescent="0.2">
      <c r="B644" s="8">
        <f t="shared" si="32"/>
        <v>200</v>
      </c>
      <c r="C644" s="156"/>
      <c r="D644" s="156"/>
      <c r="E644" s="156"/>
      <c r="F644" s="272"/>
      <c r="G644" s="155"/>
      <c r="H644" s="156" t="s">
        <v>1182</v>
      </c>
      <c r="I644" s="157"/>
      <c r="J644" s="157"/>
      <c r="K644" s="157"/>
      <c r="L644" s="614"/>
      <c r="M644" s="157">
        <v>18000</v>
      </c>
      <c r="N644" s="157"/>
      <c r="O644" s="157"/>
    </row>
    <row r="645" spans="2:15" ht="14.25" x14ac:dyDescent="0.2">
      <c r="B645" s="8">
        <f>B639+1</f>
        <v>196</v>
      </c>
      <c r="C645" s="267"/>
      <c r="D645" s="267"/>
      <c r="E645" s="267">
        <v>7</v>
      </c>
      <c r="F645" s="268"/>
      <c r="G645" s="268"/>
      <c r="H645" s="267" t="s">
        <v>341</v>
      </c>
      <c r="I645" s="269">
        <f>I646+I647+I648+I653+I654+I655+I656+I663</f>
        <v>1781069</v>
      </c>
      <c r="J645" s="269">
        <f>J646+J647+J648+J653+J654+J655+J656+J663</f>
        <v>1816850</v>
      </c>
      <c r="K645" s="269">
        <f>K646+K647+K648+K653+K654+K655+K656+K663</f>
        <v>1849850</v>
      </c>
      <c r="L645" s="619"/>
      <c r="M645" s="269">
        <f>M664</f>
        <v>1431200</v>
      </c>
      <c r="N645" s="269"/>
      <c r="O645" s="269"/>
    </row>
    <row r="646" spans="2:15" x14ac:dyDescent="0.2">
      <c r="B646" s="8">
        <f t="shared" si="32"/>
        <v>197</v>
      </c>
      <c r="C646" s="24"/>
      <c r="D646" s="24"/>
      <c r="E646" s="24"/>
      <c r="F646" s="149" t="s">
        <v>129</v>
      </c>
      <c r="G646" s="150">
        <v>610</v>
      </c>
      <c r="H646" s="24" t="s">
        <v>141</v>
      </c>
      <c r="I646" s="25">
        <v>410870</v>
      </c>
      <c r="J646" s="25">
        <v>425000</v>
      </c>
      <c r="K646" s="25">
        <v>438000</v>
      </c>
      <c r="L646" s="620"/>
      <c r="M646" s="25"/>
      <c r="N646" s="25"/>
      <c r="O646" s="25"/>
    </row>
    <row r="647" spans="2:15" x14ac:dyDescent="0.2">
      <c r="B647" s="8">
        <f t="shared" si="32"/>
        <v>198</v>
      </c>
      <c r="C647" s="24"/>
      <c r="D647" s="24"/>
      <c r="E647" s="24"/>
      <c r="F647" s="149" t="s">
        <v>129</v>
      </c>
      <c r="G647" s="150">
        <v>620</v>
      </c>
      <c r="H647" s="24" t="s">
        <v>134</v>
      </c>
      <c r="I647" s="25">
        <v>151619</v>
      </c>
      <c r="J647" s="25">
        <v>160000</v>
      </c>
      <c r="K647" s="25">
        <v>165000</v>
      </c>
      <c r="L647" s="620"/>
      <c r="M647" s="25"/>
      <c r="N647" s="25"/>
      <c r="O647" s="25"/>
    </row>
    <row r="648" spans="2:15" x14ac:dyDescent="0.2">
      <c r="B648" s="8">
        <f t="shared" si="32"/>
        <v>199</v>
      </c>
      <c r="C648" s="24"/>
      <c r="D648" s="24"/>
      <c r="E648" s="24"/>
      <c r="F648" s="149" t="s">
        <v>129</v>
      </c>
      <c r="G648" s="150">
        <v>630</v>
      </c>
      <c r="H648" s="24" t="s">
        <v>131</v>
      </c>
      <c r="I648" s="25">
        <f>I652+I651+I650+I649</f>
        <v>77010</v>
      </c>
      <c r="J648" s="25">
        <f>J652+J651+J650+J649</f>
        <v>77100</v>
      </c>
      <c r="K648" s="25">
        <f>K652+K651+K650+K649</f>
        <v>77100</v>
      </c>
      <c r="L648" s="620"/>
      <c r="M648" s="25"/>
      <c r="N648" s="25"/>
      <c r="O648" s="25"/>
    </row>
    <row r="649" spans="2:15" x14ac:dyDescent="0.2">
      <c r="B649" s="8">
        <f t="shared" si="32"/>
        <v>200</v>
      </c>
      <c r="C649" s="18"/>
      <c r="D649" s="18"/>
      <c r="E649" s="18"/>
      <c r="F649" s="152"/>
      <c r="G649" s="153">
        <v>632</v>
      </c>
      <c r="H649" s="18" t="s">
        <v>144</v>
      </c>
      <c r="I649" s="19">
        <f>500+42000+1500+800+500</f>
        <v>45300</v>
      </c>
      <c r="J649" s="19">
        <v>45300</v>
      </c>
      <c r="K649" s="19">
        <v>45300</v>
      </c>
      <c r="L649" s="621"/>
      <c r="M649" s="19"/>
      <c r="N649" s="19"/>
      <c r="O649" s="19"/>
    </row>
    <row r="650" spans="2:15" x14ac:dyDescent="0.2">
      <c r="B650" s="8">
        <f t="shared" si="32"/>
        <v>201</v>
      </c>
      <c r="C650" s="18"/>
      <c r="D650" s="18"/>
      <c r="E650" s="18"/>
      <c r="F650" s="152"/>
      <c r="G650" s="153">
        <v>633</v>
      </c>
      <c r="H650" s="18" t="s">
        <v>135</v>
      </c>
      <c r="I650" s="19">
        <f>800+600+50+5000</f>
        <v>6450</v>
      </c>
      <c r="J650" s="19">
        <v>6400</v>
      </c>
      <c r="K650" s="19">
        <v>6400</v>
      </c>
      <c r="L650" s="621"/>
      <c r="M650" s="19"/>
      <c r="N650" s="19"/>
      <c r="O650" s="19"/>
    </row>
    <row r="651" spans="2:15" x14ac:dyDescent="0.2">
      <c r="B651" s="8">
        <f t="shared" si="32"/>
        <v>202</v>
      </c>
      <c r="C651" s="18"/>
      <c r="D651" s="18"/>
      <c r="E651" s="18"/>
      <c r="F651" s="152"/>
      <c r="G651" s="153">
        <v>635</v>
      </c>
      <c r="H651" s="18" t="s">
        <v>143</v>
      </c>
      <c r="I651" s="19">
        <f>750+500+6500</f>
        <v>7750</v>
      </c>
      <c r="J651" s="19">
        <v>7800</v>
      </c>
      <c r="K651" s="19">
        <v>7800</v>
      </c>
      <c r="L651" s="621"/>
      <c r="M651" s="19"/>
      <c r="N651" s="19"/>
      <c r="O651" s="19"/>
    </row>
    <row r="652" spans="2:15" x14ac:dyDescent="0.2">
      <c r="B652" s="8">
        <f t="shared" si="32"/>
        <v>203</v>
      </c>
      <c r="C652" s="18"/>
      <c r="D652" s="18"/>
      <c r="E652" s="18"/>
      <c r="F652" s="152"/>
      <c r="G652" s="153">
        <v>637</v>
      </c>
      <c r="H652" s="18" t="s">
        <v>132</v>
      </c>
      <c r="I652" s="19">
        <f>6500+120+300+500+4300+390+180+3720+1500</f>
        <v>17510</v>
      </c>
      <c r="J652" s="19">
        <v>17600</v>
      </c>
      <c r="K652" s="19">
        <v>17600</v>
      </c>
      <c r="L652" s="621"/>
      <c r="M652" s="19"/>
      <c r="N652" s="19"/>
      <c r="O652" s="19"/>
    </row>
    <row r="653" spans="2:15" x14ac:dyDescent="0.2">
      <c r="B653" s="8">
        <f t="shared" si="32"/>
        <v>204</v>
      </c>
      <c r="C653" s="24"/>
      <c r="D653" s="24"/>
      <c r="E653" s="24"/>
      <c r="F653" s="149" t="s">
        <v>129</v>
      </c>
      <c r="G653" s="150">
        <v>640</v>
      </c>
      <c r="H653" s="24" t="s">
        <v>139</v>
      </c>
      <c r="I653" s="25">
        <v>1750</v>
      </c>
      <c r="J653" s="25">
        <v>1750</v>
      </c>
      <c r="K653" s="25">
        <v>1750</v>
      </c>
      <c r="L653" s="620"/>
      <c r="M653" s="25"/>
      <c r="N653" s="25"/>
      <c r="O653" s="25"/>
    </row>
    <row r="654" spans="2:15" x14ac:dyDescent="0.2">
      <c r="B654" s="8">
        <f t="shared" si="32"/>
        <v>205</v>
      </c>
      <c r="C654" s="24"/>
      <c r="D654" s="24"/>
      <c r="E654" s="24"/>
      <c r="F654" s="149" t="s">
        <v>116</v>
      </c>
      <c r="G654" s="150">
        <v>610</v>
      </c>
      <c r="H654" s="24" t="s">
        <v>141</v>
      </c>
      <c r="I654" s="25">
        <f>32000+500+45077+34900+21423+43000+2000+565000</f>
        <v>743900</v>
      </c>
      <c r="J654" s="25">
        <v>753000</v>
      </c>
      <c r="K654" s="25">
        <v>763000</v>
      </c>
      <c r="L654" s="620"/>
      <c r="M654" s="25"/>
      <c r="N654" s="25"/>
      <c r="O654" s="25"/>
    </row>
    <row r="655" spans="2:15" x14ac:dyDescent="0.2">
      <c r="B655" s="8">
        <f t="shared" si="32"/>
        <v>206</v>
      </c>
      <c r="C655" s="24"/>
      <c r="D655" s="24"/>
      <c r="E655" s="24"/>
      <c r="F655" s="149" t="s">
        <v>116</v>
      </c>
      <c r="G655" s="150">
        <v>620</v>
      </c>
      <c r="H655" s="24" t="s">
        <v>134</v>
      </c>
      <c r="I655" s="25">
        <f>32252+3270+20370+2100+54000+5200+13580+1380+6790+690+9506+1000+95060+9660+13900+1700+5432+550</f>
        <v>276440</v>
      </c>
      <c r="J655" s="25">
        <v>280000</v>
      </c>
      <c r="K655" s="25">
        <v>285000</v>
      </c>
      <c r="L655" s="620"/>
      <c r="M655" s="25"/>
      <c r="N655" s="25"/>
      <c r="O655" s="25"/>
    </row>
    <row r="656" spans="2:15" x14ac:dyDescent="0.2">
      <c r="B656" s="8">
        <f t="shared" si="32"/>
        <v>207</v>
      </c>
      <c r="C656" s="24"/>
      <c r="D656" s="24"/>
      <c r="E656" s="24"/>
      <c r="F656" s="149" t="s">
        <v>116</v>
      </c>
      <c r="G656" s="150">
        <v>630</v>
      </c>
      <c r="H656" s="24" t="s">
        <v>131</v>
      </c>
      <c r="I656" s="25">
        <f>I662+I661+I660+I659+I658+I657</f>
        <v>117480</v>
      </c>
      <c r="J656" s="25">
        <f>J662+J661+J660+J659+J658+J657</f>
        <v>118000</v>
      </c>
      <c r="K656" s="25">
        <f>K662+K661+K660+K659+K658+K657</f>
        <v>118000</v>
      </c>
      <c r="L656" s="620"/>
      <c r="M656" s="25"/>
      <c r="N656" s="25"/>
      <c r="O656" s="25"/>
    </row>
    <row r="657" spans="2:15" x14ac:dyDescent="0.2">
      <c r="B657" s="8">
        <f t="shared" si="32"/>
        <v>208</v>
      </c>
      <c r="C657" s="18"/>
      <c r="D657" s="18"/>
      <c r="E657" s="18"/>
      <c r="F657" s="152"/>
      <c r="G657" s="153">
        <v>631</v>
      </c>
      <c r="H657" s="18" t="s">
        <v>137</v>
      </c>
      <c r="I657" s="19">
        <v>900</v>
      </c>
      <c r="J657" s="19">
        <v>900</v>
      </c>
      <c r="K657" s="19">
        <v>900</v>
      </c>
      <c r="L657" s="621"/>
      <c r="M657" s="19"/>
      <c r="N657" s="19"/>
      <c r="O657" s="19"/>
    </row>
    <row r="658" spans="2:15" x14ac:dyDescent="0.2">
      <c r="B658" s="8">
        <f t="shared" si="32"/>
        <v>209</v>
      </c>
      <c r="C658" s="18"/>
      <c r="D658" s="18"/>
      <c r="E658" s="18"/>
      <c r="F658" s="152"/>
      <c r="G658" s="153">
        <v>632</v>
      </c>
      <c r="H658" s="18" t="s">
        <v>144</v>
      </c>
      <c r="I658" s="19">
        <f>600+40500+2200+250+300</f>
        <v>43850</v>
      </c>
      <c r="J658" s="19">
        <v>44000</v>
      </c>
      <c r="K658" s="19">
        <v>44000</v>
      </c>
      <c r="L658" s="621"/>
      <c r="M658" s="19"/>
      <c r="N658" s="19"/>
      <c r="O658" s="19"/>
    </row>
    <row r="659" spans="2:15" x14ac:dyDescent="0.2">
      <c r="B659" s="8">
        <f t="shared" si="32"/>
        <v>210</v>
      </c>
      <c r="C659" s="18"/>
      <c r="D659" s="18"/>
      <c r="E659" s="18"/>
      <c r="F659" s="152"/>
      <c r="G659" s="153">
        <v>633</v>
      </c>
      <c r="H659" s="18" t="s">
        <v>135</v>
      </c>
      <c r="I659" s="19">
        <f>50+450+1550+7500+3750+1650</f>
        <v>14950</v>
      </c>
      <c r="J659" s="19">
        <v>15000</v>
      </c>
      <c r="K659" s="19">
        <v>15000</v>
      </c>
      <c r="L659" s="621"/>
      <c r="M659" s="19"/>
      <c r="N659" s="19"/>
      <c r="O659" s="19"/>
    </row>
    <row r="660" spans="2:15" x14ac:dyDescent="0.2">
      <c r="B660" s="8">
        <f t="shared" si="32"/>
        <v>211</v>
      </c>
      <c r="C660" s="18"/>
      <c r="D660" s="18"/>
      <c r="E660" s="18"/>
      <c r="F660" s="152"/>
      <c r="G660" s="153">
        <v>634</v>
      </c>
      <c r="H660" s="18" t="s">
        <v>142</v>
      </c>
      <c r="I660" s="19">
        <v>1100</v>
      </c>
      <c r="J660" s="19">
        <v>1100</v>
      </c>
      <c r="K660" s="19">
        <v>1100</v>
      </c>
      <c r="L660" s="621"/>
      <c r="M660" s="19"/>
      <c r="N660" s="19"/>
      <c r="O660" s="19"/>
    </row>
    <row r="661" spans="2:15" x14ac:dyDescent="0.2">
      <c r="B661" s="8">
        <f t="shared" si="32"/>
        <v>212</v>
      </c>
      <c r="C661" s="18"/>
      <c r="D661" s="18"/>
      <c r="E661" s="18"/>
      <c r="F661" s="152"/>
      <c r="G661" s="153">
        <v>635</v>
      </c>
      <c r="H661" s="18" t="s">
        <v>143</v>
      </c>
      <c r="I661" s="19">
        <f>1200+780+9800+5000</f>
        <v>16780</v>
      </c>
      <c r="J661" s="19">
        <v>17000</v>
      </c>
      <c r="K661" s="19">
        <v>17000</v>
      </c>
      <c r="L661" s="621"/>
      <c r="M661" s="19"/>
      <c r="N661" s="19"/>
      <c r="O661" s="19"/>
    </row>
    <row r="662" spans="2:15" x14ac:dyDescent="0.2">
      <c r="B662" s="8">
        <f t="shared" si="32"/>
        <v>213</v>
      </c>
      <c r="C662" s="18"/>
      <c r="D662" s="18"/>
      <c r="E662" s="18"/>
      <c r="F662" s="152"/>
      <c r="G662" s="153">
        <v>637</v>
      </c>
      <c r="H662" s="18" t="s">
        <v>132</v>
      </c>
      <c r="I662" s="19">
        <f>18000+1000+120+700+700+650+8000+150+7000+380+1200+2000</f>
        <v>39900</v>
      </c>
      <c r="J662" s="19">
        <v>40000</v>
      </c>
      <c r="K662" s="19">
        <v>40000</v>
      </c>
      <c r="L662" s="621"/>
      <c r="M662" s="19"/>
      <c r="N662" s="19"/>
      <c r="O662" s="19"/>
    </row>
    <row r="663" spans="2:15" x14ac:dyDescent="0.2">
      <c r="B663" s="8">
        <f t="shared" si="32"/>
        <v>214</v>
      </c>
      <c r="C663" s="24"/>
      <c r="D663" s="24"/>
      <c r="E663" s="24"/>
      <c r="F663" s="149" t="s">
        <v>116</v>
      </c>
      <c r="G663" s="150">
        <v>640</v>
      </c>
      <c r="H663" s="24" t="s">
        <v>139</v>
      </c>
      <c r="I663" s="25">
        <v>2000</v>
      </c>
      <c r="J663" s="25">
        <v>2000</v>
      </c>
      <c r="K663" s="25">
        <v>2000</v>
      </c>
      <c r="L663" s="620"/>
      <c r="M663" s="25"/>
      <c r="N663" s="25"/>
      <c r="O663" s="25"/>
    </row>
    <row r="664" spans="2:15" x14ac:dyDescent="0.2">
      <c r="B664" s="8">
        <f t="shared" si="32"/>
        <v>215</v>
      </c>
      <c r="C664" s="24"/>
      <c r="D664" s="24"/>
      <c r="E664" s="24"/>
      <c r="F664" s="149" t="s">
        <v>116</v>
      </c>
      <c r="G664" s="150">
        <v>710</v>
      </c>
      <c r="H664" s="24" t="s">
        <v>185</v>
      </c>
      <c r="I664" s="25"/>
      <c r="J664" s="25"/>
      <c r="K664" s="25"/>
      <c r="L664" s="620"/>
      <c r="M664" s="25">
        <f>M665</f>
        <v>1431200</v>
      </c>
      <c r="N664" s="25"/>
      <c r="O664" s="25"/>
    </row>
    <row r="665" spans="2:15" x14ac:dyDescent="0.2">
      <c r="B665" s="8">
        <f t="shared" si="32"/>
        <v>216</v>
      </c>
      <c r="C665" s="18"/>
      <c r="D665" s="18"/>
      <c r="E665" s="18"/>
      <c r="F665" s="152"/>
      <c r="G665" s="153">
        <v>717</v>
      </c>
      <c r="H665" s="18" t="s">
        <v>192</v>
      </c>
      <c r="I665" s="19"/>
      <c r="J665" s="19"/>
      <c r="K665" s="19"/>
      <c r="L665" s="621"/>
      <c r="M665" s="19">
        <f>SUM(M666:M666)</f>
        <v>1431200</v>
      </c>
      <c r="N665" s="19"/>
      <c r="O665" s="19"/>
    </row>
    <row r="666" spans="2:15" s="165" customFormat="1" x14ac:dyDescent="0.2">
      <c r="B666" s="8">
        <f t="shared" si="32"/>
        <v>217</v>
      </c>
      <c r="C666" s="156"/>
      <c r="D666" s="156"/>
      <c r="E666" s="156"/>
      <c r="F666" s="272"/>
      <c r="G666" s="155"/>
      <c r="H666" s="156" t="s">
        <v>1064</v>
      </c>
      <c r="I666" s="157"/>
      <c r="J666" s="157"/>
      <c r="K666" s="157"/>
      <c r="L666" s="614"/>
      <c r="M666" s="157">
        <v>1431200</v>
      </c>
      <c r="N666" s="157"/>
      <c r="O666" s="157"/>
    </row>
    <row r="667" spans="2:15" ht="14.25" x14ac:dyDescent="0.2">
      <c r="B667" s="8">
        <f t="shared" si="32"/>
        <v>218</v>
      </c>
      <c r="C667" s="267"/>
      <c r="D667" s="267"/>
      <c r="E667" s="267">
        <v>8</v>
      </c>
      <c r="F667" s="268"/>
      <c r="G667" s="268"/>
      <c r="H667" s="267" t="s">
        <v>7</v>
      </c>
      <c r="I667" s="269">
        <f>I668+I669+I670+I677+I678+I679+I680+I687</f>
        <v>2883003</v>
      </c>
      <c r="J667" s="269">
        <f>J668+J669+J670+J677+J678+J679+J680+J687</f>
        <v>2918750</v>
      </c>
      <c r="K667" s="269">
        <f>K668+K669+K670+K677+K678+K679+K680+K687</f>
        <v>2951750</v>
      </c>
      <c r="L667" s="619"/>
      <c r="M667" s="269"/>
      <c r="N667" s="269"/>
      <c r="O667" s="269"/>
    </row>
    <row r="668" spans="2:15" x14ac:dyDescent="0.2">
      <c r="B668" s="8">
        <f t="shared" si="32"/>
        <v>219</v>
      </c>
      <c r="C668" s="24"/>
      <c r="D668" s="24"/>
      <c r="E668" s="24"/>
      <c r="F668" s="149" t="s">
        <v>129</v>
      </c>
      <c r="G668" s="150">
        <v>610</v>
      </c>
      <c r="H668" s="24" t="s">
        <v>141</v>
      </c>
      <c r="I668" s="25">
        <v>537270</v>
      </c>
      <c r="J668" s="25">
        <v>553000</v>
      </c>
      <c r="K668" s="25">
        <v>566000</v>
      </c>
      <c r="L668" s="620"/>
      <c r="M668" s="25"/>
      <c r="N668" s="25"/>
      <c r="O668" s="25"/>
    </row>
    <row r="669" spans="2:15" x14ac:dyDescent="0.2">
      <c r="B669" s="8">
        <f t="shared" si="32"/>
        <v>220</v>
      </c>
      <c r="C669" s="24"/>
      <c r="D669" s="24"/>
      <c r="E669" s="24"/>
      <c r="F669" s="149" t="s">
        <v>129</v>
      </c>
      <c r="G669" s="150">
        <v>620</v>
      </c>
      <c r="H669" s="24" t="s">
        <v>134</v>
      </c>
      <c r="I669" s="25">
        <v>189515</v>
      </c>
      <c r="J669" s="25">
        <v>195000</v>
      </c>
      <c r="K669" s="25">
        <v>200000</v>
      </c>
      <c r="L669" s="620"/>
      <c r="M669" s="25"/>
      <c r="N669" s="25"/>
      <c r="O669" s="25"/>
    </row>
    <row r="670" spans="2:15" x14ac:dyDescent="0.2">
      <c r="B670" s="8">
        <f t="shared" si="32"/>
        <v>221</v>
      </c>
      <c r="C670" s="24"/>
      <c r="D670" s="24"/>
      <c r="E670" s="24"/>
      <c r="F670" s="149" t="s">
        <v>129</v>
      </c>
      <c r="G670" s="150">
        <v>630</v>
      </c>
      <c r="H670" s="24" t="s">
        <v>131</v>
      </c>
      <c r="I670" s="25">
        <f>I676+I675+I674+I673+I672+I671</f>
        <v>95580</v>
      </c>
      <c r="J670" s="25">
        <f>J676+J675+J674+J673+J672+J671</f>
        <v>95650</v>
      </c>
      <c r="K670" s="25">
        <f>K676+K675+K674+K673+K672+K671</f>
        <v>95650</v>
      </c>
      <c r="L670" s="620"/>
      <c r="M670" s="25"/>
      <c r="N670" s="25"/>
      <c r="O670" s="25"/>
    </row>
    <row r="671" spans="2:15" x14ac:dyDescent="0.2">
      <c r="B671" s="8">
        <f t="shared" si="32"/>
        <v>222</v>
      </c>
      <c r="C671" s="18"/>
      <c r="D671" s="18"/>
      <c r="E671" s="18"/>
      <c r="F671" s="152"/>
      <c r="G671" s="153">
        <v>631</v>
      </c>
      <c r="H671" s="18" t="s">
        <v>137</v>
      </c>
      <c r="I671" s="19">
        <v>100</v>
      </c>
      <c r="J671" s="19">
        <v>100</v>
      </c>
      <c r="K671" s="19">
        <v>100</v>
      </c>
      <c r="L671" s="621"/>
      <c r="M671" s="19"/>
      <c r="N671" s="19"/>
      <c r="O671" s="19"/>
    </row>
    <row r="672" spans="2:15" x14ac:dyDescent="0.2">
      <c r="B672" s="8">
        <f t="shared" si="32"/>
        <v>223</v>
      </c>
      <c r="C672" s="18"/>
      <c r="D672" s="18"/>
      <c r="E672" s="18"/>
      <c r="F672" s="152"/>
      <c r="G672" s="153">
        <v>632</v>
      </c>
      <c r="H672" s="18" t="s">
        <v>144</v>
      </c>
      <c r="I672" s="19">
        <f>1500+10000+30000+1400+2000+1000+250</f>
        <v>46150</v>
      </c>
      <c r="J672" s="19">
        <v>46150</v>
      </c>
      <c r="K672" s="19">
        <v>46150</v>
      </c>
      <c r="L672" s="621"/>
      <c r="M672" s="19"/>
      <c r="N672" s="19"/>
      <c r="O672" s="19"/>
    </row>
    <row r="673" spans="2:15" x14ac:dyDescent="0.2">
      <c r="B673" s="8">
        <f t="shared" si="32"/>
        <v>224</v>
      </c>
      <c r="C673" s="18"/>
      <c r="D673" s="18"/>
      <c r="E673" s="18"/>
      <c r="F673" s="152"/>
      <c r="G673" s="153">
        <v>633</v>
      </c>
      <c r="H673" s="18" t="s">
        <v>135</v>
      </c>
      <c r="I673" s="19">
        <f>780+600+800+150+2000+500+200+800+300+300+250+100+1000+1200+200</f>
        <v>9180</v>
      </c>
      <c r="J673" s="19">
        <v>9200</v>
      </c>
      <c r="K673" s="19">
        <v>9200</v>
      </c>
      <c r="L673" s="621"/>
      <c r="M673" s="19"/>
      <c r="N673" s="19"/>
      <c r="O673" s="19"/>
    </row>
    <row r="674" spans="2:15" x14ac:dyDescent="0.2">
      <c r="B674" s="8">
        <f t="shared" si="32"/>
        <v>225</v>
      </c>
      <c r="C674" s="18"/>
      <c r="D674" s="18"/>
      <c r="E674" s="18"/>
      <c r="F674" s="152"/>
      <c r="G674" s="153">
        <v>635</v>
      </c>
      <c r="H674" s="18" t="s">
        <v>143</v>
      </c>
      <c r="I674" s="19">
        <f>4000+350+400+250+350</f>
        <v>5350</v>
      </c>
      <c r="J674" s="19">
        <v>5400</v>
      </c>
      <c r="K674" s="19">
        <v>5400</v>
      </c>
      <c r="L674" s="621"/>
      <c r="M674" s="19"/>
      <c r="N674" s="19"/>
      <c r="O674" s="19"/>
    </row>
    <row r="675" spans="2:15" x14ac:dyDescent="0.2">
      <c r="B675" s="8">
        <f t="shared" si="32"/>
        <v>226</v>
      </c>
      <c r="C675" s="18"/>
      <c r="D675" s="18"/>
      <c r="E675" s="18"/>
      <c r="F675" s="152"/>
      <c r="G675" s="153">
        <v>636</v>
      </c>
      <c r="H675" s="18" t="s">
        <v>136</v>
      </c>
      <c r="I675" s="19">
        <v>1600</v>
      </c>
      <c r="J675" s="19">
        <v>1600</v>
      </c>
      <c r="K675" s="19">
        <v>1600</v>
      </c>
      <c r="L675" s="621"/>
      <c r="M675" s="19"/>
      <c r="N675" s="19"/>
      <c r="O675" s="19"/>
    </row>
    <row r="676" spans="2:15" x14ac:dyDescent="0.2">
      <c r="B676" s="8">
        <f t="shared" si="32"/>
        <v>227</v>
      </c>
      <c r="C676" s="18"/>
      <c r="D676" s="18"/>
      <c r="E676" s="18"/>
      <c r="F676" s="152"/>
      <c r="G676" s="153">
        <v>637</v>
      </c>
      <c r="H676" s="18" t="s">
        <v>132</v>
      </c>
      <c r="I676" s="19">
        <f>250+450+100+350+400+150+10000+9000+1300+8000+1200+2000</f>
        <v>33200</v>
      </c>
      <c r="J676" s="19">
        <v>33200</v>
      </c>
      <c r="K676" s="19">
        <v>33200</v>
      </c>
      <c r="L676" s="621"/>
      <c r="M676" s="19"/>
      <c r="N676" s="19"/>
      <c r="O676" s="19"/>
    </row>
    <row r="677" spans="2:15" x14ac:dyDescent="0.2">
      <c r="B677" s="8">
        <f t="shared" ref="B677:B745" si="33">B676+1</f>
        <v>228</v>
      </c>
      <c r="C677" s="24"/>
      <c r="D677" s="24"/>
      <c r="E677" s="24"/>
      <c r="F677" s="149" t="s">
        <v>129</v>
      </c>
      <c r="G677" s="150">
        <v>640</v>
      </c>
      <c r="H677" s="24" t="s">
        <v>139</v>
      </c>
      <c r="I677" s="25">
        <f>9240+1200+600+4000</f>
        <v>15040</v>
      </c>
      <c r="J677" s="25">
        <v>15000</v>
      </c>
      <c r="K677" s="25">
        <v>15000</v>
      </c>
      <c r="L677" s="620"/>
      <c r="M677" s="25"/>
      <c r="N677" s="25"/>
      <c r="O677" s="25"/>
    </row>
    <row r="678" spans="2:15" x14ac:dyDescent="0.2">
      <c r="B678" s="8">
        <f t="shared" si="33"/>
        <v>229</v>
      </c>
      <c r="C678" s="24"/>
      <c r="D678" s="24"/>
      <c r="E678" s="24"/>
      <c r="F678" s="149" t="s">
        <v>116</v>
      </c>
      <c r="G678" s="150">
        <v>610</v>
      </c>
      <c r="H678" s="24" t="s">
        <v>141</v>
      </c>
      <c r="I678" s="25">
        <v>1104725</v>
      </c>
      <c r="J678" s="25">
        <v>1114000</v>
      </c>
      <c r="K678" s="25">
        <v>1124000</v>
      </c>
      <c r="L678" s="620"/>
      <c r="M678" s="25"/>
      <c r="N678" s="25"/>
      <c r="O678" s="25"/>
    </row>
    <row r="679" spans="2:15" x14ac:dyDescent="0.2">
      <c r="B679" s="8">
        <f t="shared" si="33"/>
        <v>230</v>
      </c>
      <c r="C679" s="24"/>
      <c r="D679" s="24"/>
      <c r="E679" s="24"/>
      <c r="F679" s="149" t="s">
        <v>116</v>
      </c>
      <c r="G679" s="150">
        <v>620</v>
      </c>
      <c r="H679" s="24" t="s">
        <v>134</v>
      </c>
      <c r="I679" s="25">
        <v>399295</v>
      </c>
      <c r="J679" s="25">
        <v>405000</v>
      </c>
      <c r="K679" s="25">
        <v>410000</v>
      </c>
      <c r="L679" s="620"/>
      <c r="M679" s="25"/>
      <c r="N679" s="25"/>
      <c r="O679" s="25"/>
    </row>
    <row r="680" spans="2:15" x14ac:dyDescent="0.2">
      <c r="B680" s="8">
        <f t="shared" si="33"/>
        <v>231</v>
      </c>
      <c r="C680" s="24"/>
      <c r="D680" s="24"/>
      <c r="E680" s="24"/>
      <c r="F680" s="149" t="s">
        <v>116</v>
      </c>
      <c r="G680" s="150">
        <v>630</v>
      </c>
      <c r="H680" s="24" t="s">
        <v>131</v>
      </c>
      <c r="I680" s="25">
        <f>SUM(I681:I686)</f>
        <v>517008</v>
      </c>
      <c r="J680" s="25">
        <f>SUM(J681:J686)</f>
        <v>517100</v>
      </c>
      <c r="K680" s="25">
        <f>SUM(K681:K686)</f>
        <v>517100</v>
      </c>
      <c r="L680" s="620"/>
      <c r="M680" s="25"/>
      <c r="N680" s="25"/>
      <c r="O680" s="25"/>
    </row>
    <row r="681" spans="2:15" x14ac:dyDescent="0.2">
      <c r="B681" s="8">
        <f t="shared" si="33"/>
        <v>232</v>
      </c>
      <c r="C681" s="18"/>
      <c r="D681" s="18"/>
      <c r="E681" s="18"/>
      <c r="F681" s="152"/>
      <c r="G681" s="153">
        <v>631</v>
      </c>
      <c r="H681" s="18" t="s">
        <v>137</v>
      </c>
      <c r="I681" s="19">
        <v>100</v>
      </c>
      <c r="J681" s="19">
        <v>100</v>
      </c>
      <c r="K681" s="19">
        <v>100</v>
      </c>
      <c r="L681" s="621"/>
      <c r="M681" s="19"/>
      <c r="N681" s="19"/>
      <c r="O681" s="19"/>
    </row>
    <row r="682" spans="2:15" x14ac:dyDescent="0.2">
      <c r="B682" s="8">
        <f t="shared" si="33"/>
        <v>233</v>
      </c>
      <c r="C682" s="18"/>
      <c r="D682" s="18"/>
      <c r="E682" s="18"/>
      <c r="F682" s="152"/>
      <c r="G682" s="153">
        <v>632</v>
      </c>
      <c r="H682" s="18" t="s">
        <v>144</v>
      </c>
      <c r="I682" s="19">
        <f>2600+2300+20000+6400+110000+2800+750+250+1600+93000</f>
        <v>239700</v>
      </c>
      <c r="J682" s="19">
        <v>240000</v>
      </c>
      <c r="K682" s="19">
        <v>240000</v>
      </c>
      <c r="L682" s="621"/>
      <c r="M682" s="19"/>
      <c r="N682" s="19"/>
      <c r="O682" s="19"/>
    </row>
    <row r="683" spans="2:15" x14ac:dyDescent="0.2">
      <c r="B683" s="8">
        <f t="shared" si="33"/>
        <v>234</v>
      </c>
      <c r="C683" s="18"/>
      <c r="D683" s="18"/>
      <c r="E683" s="18"/>
      <c r="F683" s="152"/>
      <c r="G683" s="153">
        <v>633</v>
      </c>
      <c r="H683" s="18" t="s">
        <v>135</v>
      </c>
      <c r="I683" s="19">
        <f>160+4000+800+800+40+300+500+200+300+100+100+139340+1000+1000+200+7753+1000</f>
        <v>157593</v>
      </c>
      <c r="J683" s="19">
        <v>158000</v>
      </c>
      <c r="K683" s="19">
        <v>158000</v>
      </c>
      <c r="L683" s="621"/>
      <c r="M683" s="19"/>
      <c r="N683" s="19"/>
      <c r="O683" s="19"/>
    </row>
    <row r="684" spans="2:15" x14ac:dyDescent="0.2">
      <c r="B684" s="8">
        <f t="shared" si="33"/>
        <v>235</v>
      </c>
      <c r="C684" s="18"/>
      <c r="D684" s="18"/>
      <c r="E684" s="18"/>
      <c r="F684" s="152"/>
      <c r="G684" s="153">
        <v>635</v>
      </c>
      <c r="H684" s="18" t="s">
        <v>143</v>
      </c>
      <c r="I684" s="19">
        <f>4000+2000+25250+2000+500+600+300+300</f>
        <v>34950</v>
      </c>
      <c r="J684" s="19">
        <v>35000</v>
      </c>
      <c r="K684" s="19">
        <v>35000</v>
      </c>
      <c r="L684" s="621"/>
      <c r="M684" s="19"/>
      <c r="N684" s="19"/>
      <c r="O684" s="19"/>
    </row>
    <row r="685" spans="2:15" x14ac:dyDescent="0.2">
      <c r="B685" s="8">
        <f t="shared" si="33"/>
        <v>236</v>
      </c>
      <c r="C685" s="18"/>
      <c r="D685" s="18"/>
      <c r="E685" s="18"/>
      <c r="F685" s="152"/>
      <c r="G685" s="153">
        <v>636</v>
      </c>
      <c r="H685" s="18" t="s">
        <v>136</v>
      </c>
      <c r="I685" s="19">
        <v>3000</v>
      </c>
      <c r="J685" s="19">
        <v>3000</v>
      </c>
      <c r="K685" s="19">
        <v>3000</v>
      </c>
      <c r="L685" s="621"/>
      <c r="M685" s="19"/>
      <c r="N685" s="19"/>
      <c r="O685" s="19"/>
    </row>
    <row r="686" spans="2:15" x14ac:dyDescent="0.2">
      <c r="B686" s="8">
        <f t="shared" si="33"/>
        <v>237</v>
      </c>
      <c r="C686" s="18"/>
      <c r="D686" s="18"/>
      <c r="E686" s="18"/>
      <c r="F686" s="152"/>
      <c r="G686" s="153">
        <v>637</v>
      </c>
      <c r="H686" s="18" t="s">
        <v>132</v>
      </c>
      <c r="I686" s="19">
        <f>300+5000+350+80+18000+465+800+560+160+13000+3500+20+13000+1400+11000+10000+1680+2350</f>
        <v>81665</v>
      </c>
      <c r="J686" s="19">
        <v>81000</v>
      </c>
      <c r="K686" s="19">
        <v>81000</v>
      </c>
      <c r="L686" s="621"/>
      <c r="M686" s="19"/>
      <c r="N686" s="19"/>
      <c r="O686" s="19"/>
    </row>
    <row r="687" spans="2:15" x14ac:dyDescent="0.2">
      <c r="B687" s="8">
        <f t="shared" si="33"/>
        <v>238</v>
      </c>
      <c r="C687" s="24"/>
      <c r="D687" s="24"/>
      <c r="E687" s="24"/>
      <c r="F687" s="149" t="s">
        <v>116</v>
      </c>
      <c r="G687" s="150">
        <v>640</v>
      </c>
      <c r="H687" s="24" t="s">
        <v>139</v>
      </c>
      <c r="I687" s="25">
        <f>15900+1600+270+800+6000</f>
        <v>24570</v>
      </c>
      <c r="J687" s="25">
        <v>24000</v>
      </c>
      <c r="K687" s="25">
        <v>24000</v>
      </c>
      <c r="L687" s="620"/>
      <c r="M687" s="25"/>
      <c r="N687" s="25"/>
      <c r="O687" s="25"/>
    </row>
    <row r="688" spans="2:15" ht="14.25" x14ac:dyDescent="0.2">
      <c r="B688" s="8">
        <f t="shared" si="33"/>
        <v>239</v>
      </c>
      <c r="C688" s="267"/>
      <c r="D688" s="267"/>
      <c r="E688" s="267">
        <v>9</v>
      </c>
      <c r="F688" s="268"/>
      <c r="G688" s="268"/>
      <c r="H688" s="267" t="s">
        <v>5</v>
      </c>
      <c r="I688" s="269">
        <f>I689+I690+I691+I699+I700+I701+I702+I709</f>
        <v>1947299</v>
      </c>
      <c r="J688" s="269">
        <f>J689+J690+J691+J699+J700+J701+J702+J709</f>
        <v>1989950</v>
      </c>
      <c r="K688" s="269">
        <f>K689+K690+K691+K699+K700+K701+K702+K709</f>
        <v>2024950</v>
      </c>
      <c r="L688" s="619"/>
      <c r="M688" s="269">
        <f>M710</f>
        <v>38000</v>
      </c>
      <c r="N688" s="269"/>
      <c r="O688" s="269"/>
    </row>
    <row r="689" spans="2:15" x14ac:dyDescent="0.2">
      <c r="B689" s="8">
        <f t="shared" si="33"/>
        <v>240</v>
      </c>
      <c r="C689" s="24"/>
      <c r="D689" s="24"/>
      <c r="E689" s="24"/>
      <c r="F689" s="149" t="s">
        <v>129</v>
      </c>
      <c r="G689" s="150">
        <v>610</v>
      </c>
      <c r="H689" s="24" t="s">
        <v>141</v>
      </c>
      <c r="I689" s="25">
        <f>404600+5400+35000+10000</f>
        <v>455000</v>
      </c>
      <c r="J689" s="25">
        <v>470000</v>
      </c>
      <c r="K689" s="25">
        <v>485000</v>
      </c>
      <c r="L689" s="620"/>
      <c r="M689" s="25"/>
      <c r="N689" s="25"/>
      <c r="O689" s="25"/>
    </row>
    <row r="690" spans="2:15" x14ac:dyDescent="0.2">
      <c r="B690" s="8">
        <f t="shared" si="33"/>
        <v>241</v>
      </c>
      <c r="C690" s="24"/>
      <c r="D690" s="24"/>
      <c r="E690" s="24"/>
      <c r="F690" s="149" t="s">
        <v>129</v>
      </c>
      <c r="G690" s="150">
        <v>620</v>
      </c>
      <c r="H690" s="24" t="s">
        <v>134</v>
      </c>
      <c r="I690" s="25">
        <f>34275+11425+6400+63980+13710+3655+4500+4570+21710</f>
        <v>164225</v>
      </c>
      <c r="J690" s="25">
        <v>170000</v>
      </c>
      <c r="K690" s="25">
        <v>175000</v>
      </c>
      <c r="L690" s="620"/>
      <c r="M690" s="25"/>
      <c r="N690" s="25"/>
      <c r="O690" s="25"/>
    </row>
    <row r="691" spans="2:15" x14ac:dyDescent="0.2">
      <c r="B691" s="8">
        <f t="shared" si="33"/>
        <v>242</v>
      </c>
      <c r="C691" s="24"/>
      <c r="D691" s="24"/>
      <c r="E691" s="24"/>
      <c r="F691" s="149" t="s">
        <v>129</v>
      </c>
      <c r="G691" s="150">
        <v>630</v>
      </c>
      <c r="H691" s="24" t="s">
        <v>131</v>
      </c>
      <c r="I691" s="25">
        <f>I698+I697+I696+I695+I694+I693+I692</f>
        <v>107200</v>
      </c>
      <c r="J691" s="25">
        <f>J698+J697+J696+J695+J694+J693+J692</f>
        <v>107300</v>
      </c>
      <c r="K691" s="25">
        <f>K698+K697+K696+K695+K694+K693+K692</f>
        <v>107300</v>
      </c>
      <c r="L691" s="620"/>
      <c r="M691" s="25"/>
      <c r="N691" s="25"/>
      <c r="O691" s="25"/>
    </row>
    <row r="692" spans="2:15" x14ac:dyDescent="0.2">
      <c r="B692" s="8">
        <f t="shared" si="33"/>
        <v>243</v>
      </c>
      <c r="C692" s="18"/>
      <c r="D692" s="18"/>
      <c r="E692" s="18"/>
      <c r="F692" s="152"/>
      <c r="G692" s="153">
        <v>631</v>
      </c>
      <c r="H692" s="18" t="s">
        <v>137</v>
      </c>
      <c r="I692" s="19">
        <v>300</v>
      </c>
      <c r="J692" s="19">
        <v>300</v>
      </c>
      <c r="K692" s="19">
        <v>300</v>
      </c>
      <c r="L692" s="621"/>
      <c r="M692" s="19"/>
      <c r="N692" s="19"/>
      <c r="O692" s="19"/>
    </row>
    <row r="693" spans="2:15" x14ac:dyDescent="0.2">
      <c r="B693" s="8">
        <f t="shared" si="33"/>
        <v>244</v>
      </c>
      <c r="C693" s="18"/>
      <c r="D693" s="18"/>
      <c r="E693" s="18"/>
      <c r="F693" s="152"/>
      <c r="G693" s="153">
        <v>632</v>
      </c>
      <c r="H693" s="18" t="s">
        <v>144</v>
      </c>
      <c r="I693" s="19">
        <f>400+1500+8000+50000+2500+500</f>
        <v>62900</v>
      </c>
      <c r="J693" s="19">
        <v>63000</v>
      </c>
      <c r="K693" s="19">
        <v>63000</v>
      </c>
      <c r="L693" s="621"/>
      <c r="M693" s="19"/>
      <c r="N693" s="19"/>
      <c r="O693" s="19"/>
    </row>
    <row r="694" spans="2:15" x14ac:dyDescent="0.2">
      <c r="B694" s="8">
        <f t="shared" si="33"/>
        <v>245</v>
      </c>
      <c r="C694" s="18"/>
      <c r="D694" s="18"/>
      <c r="E694" s="18"/>
      <c r="F694" s="152"/>
      <c r="G694" s="153">
        <v>633</v>
      </c>
      <c r="H694" s="18" t="s">
        <v>135</v>
      </c>
      <c r="I694" s="19">
        <f>6000+500+400+250</f>
        <v>7150</v>
      </c>
      <c r="J694" s="19">
        <v>7000</v>
      </c>
      <c r="K694" s="19">
        <v>7000</v>
      </c>
      <c r="L694" s="621"/>
      <c r="M694" s="19"/>
      <c r="N694" s="19"/>
      <c r="O694" s="19"/>
    </row>
    <row r="695" spans="2:15" x14ac:dyDescent="0.2">
      <c r="B695" s="8">
        <f t="shared" si="33"/>
        <v>246</v>
      </c>
      <c r="C695" s="18"/>
      <c r="D695" s="18"/>
      <c r="E695" s="18"/>
      <c r="F695" s="152"/>
      <c r="G695" s="153">
        <v>634</v>
      </c>
      <c r="H695" s="18" t="s">
        <v>142</v>
      </c>
      <c r="I695" s="19">
        <v>1500</v>
      </c>
      <c r="J695" s="19">
        <v>1500</v>
      </c>
      <c r="K695" s="19">
        <v>1500</v>
      </c>
      <c r="L695" s="621"/>
      <c r="M695" s="19"/>
      <c r="N695" s="19"/>
      <c r="O695" s="19"/>
    </row>
    <row r="696" spans="2:15" x14ac:dyDescent="0.2">
      <c r="B696" s="8">
        <f t="shared" si="33"/>
        <v>247</v>
      </c>
      <c r="C696" s="18"/>
      <c r="D696" s="18"/>
      <c r="E696" s="18"/>
      <c r="F696" s="152"/>
      <c r="G696" s="153">
        <v>635</v>
      </c>
      <c r="H696" s="18" t="s">
        <v>143</v>
      </c>
      <c r="I696" s="19">
        <v>2500</v>
      </c>
      <c r="J696" s="19">
        <v>2500</v>
      </c>
      <c r="K696" s="19">
        <v>2500</v>
      </c>
      <c r="L696" s="621"/>
      <c r="M696" s="19"/>
      <c r="N696" s="19"/>
      <c r="O696" s="19"/>
    </row>
    <row r="697" spans="2:15" x14ac:dyDescent="0.2">
      <c r="B697" s="8">
        <f t="shared" si="33"/>
        <v>248</v>
      </c>
      <c r="C697" s="18"/>
      <c r="D697" s="18"/>
      <c r="E697" s="18"/>
      <c r="F697" s="152"/>
      <c r="G697" s="153">
        <v>636</v>
      </c>
      <c r="H697" s="18" t="s">
        <v>136</v>
      </c>
      <c r="I697" s="19">
        <v>500</v>
      </c>
      <c r="J697" s="19">
        <v>500</v>
      </c>
      <c r="K697" s="19">
        <v>500</v>
      </c>
      <c r="L697" s="621"/>
      <c r="M697" s="19"/>
      <c r="N697" s="19"/>
      <c r="O697" s="19"/>
    </row>
    <row r="698" spans="2:15" x14ac:dyDescent="0.2">
      <c r="B698" s="8">
        <f t="shared" si="33"/>
        <v>249</v>
      </c>
      <c r="C698" s="18"/>
      <c r="D698" s="18"/>
      <c r="E698" s="18"/>
      <c r="F698" s="152"/>
      <c r="G698" s="153">
        <v>637</v>
      </c>
      <c r="H698" s="18" t="s">
        <v>132</v>
      </c>
      <c r="I698" s="19">
        <f>480+370+3500+200+8000+1500+4700+2000+600+1000+10000</f>
        <v>32350</v>
      </c>
      <c r="J698" s="19">
        <v>32500</v>
      </c>
      <c r="K698" s="19">
        <v>32500</v>
      </c>
      <c r="L698" s="621"/>
      <c r="M698" s="19"/>
      <c r="N698" s="19"/>
      <c r="O698" s="19"/>
    </row>
    <row r="699" spans="2:15" x14ac:dyDescent="0.2">
      <c r="B699" s="8">
        <f t="shared" si="33"/>
        <v>250</v>
      </c>
      <c r="C699" s="24"/>
      <c r="D699" s="24"/>
      <c r="E699" s="24"/>
      <c r="F699" s="149" t="s">
        <v>129</v>
      </c>
      <c r="G699" s="150">
        <v>640</v>
      </c>
      <c r="H699" s="24" t="s">
        <v>139</v>
      </c>
      <c r="I699" s="25">
        <f>3000</f>
        <v>3000</v>
      </c>
      <c r="J699" s="25">
        <v>3000</v>
      </c>
      <c r="K699" s="25">
        <v>3000</v>
      </c>
      <c r="L699" s="620"/>
      <c r="M699" s="25"/>
      <c r="N699" s="25"/>
      <c r="O699" s="25"/>
    </row>
    <row r="700" spans="2:15" x14ac:dyDescent="0.2">
      <c r="B700" s="8">
        <f t="shared" si="33"/>
        <v>251</v>
      </c>
      <c r="C700" s="24"/>
      <c r="D700" s="24"/>
      <c r="E700" s="24"/>
      <c r="F700" s="149" t="s">
        <v>116</v>
      </c>
      <c r="G700" s="150">
        <v>610</v>
      </c>
      <c r="H700" s="24" t="s">
        <v>141</v>
      </c>
      <c r="I700" s="25">
        <v>788250</v>
      </c>
      <c r="J700" s="25">
        <v>800000</v>
      </c>
      <c r="K700" s="25">
        <v>810000</v>
      </c>
      <c r="L700" s="620"/>
      <c r="M700" s="25"/>
      <c r="N700" s="25"/>
      <c r="O700" s="25"/>
    </row>
    <row r="701" spans="2:15" x14ac:dyDescent="0.2">
      <c r="B701" s="8">
        <f t="shared" si="33"/>
        <v>252</v>
      </c>
      <c r="C701" s="24"/>
      <c r="D701" s="24"/>
      <c r="E701" s="24"/>
      <c r="F701" s="149" t="s">
        <v>116</v>
      </c>
      <c r="G701" s="150">
        <v>620</v>
      </c>
      <c r="H701" s="24" t="s">
        <v>134</v>
      </c>
      <c r="I701" s="25">
        <v>282680</v>
      </c>
      <c r="J701" s="25">
        <v>290000</v>
      </c>
      <c r="K701" s="25">
        <v>295000</v>
      </c>
      <c r="L701" s="620"/>
      <c r="M701" s="25"/>
      <c r="N701" s="25"/>
      <c r="O701" s="25"/>
    </row>
    <row r="702" spans="2:15" x14ac:dyDescent="0.2">
      <c r="B702" s="8">
        <f t="shared" si="33"/>
        <v>253</v>
      </c>
      <c r="C702" s="24"/>
      <c r="D702" s="24"/>
      <c r="E702" s="24"/>
      <c r="F702" s="149" t="s">
        <v>116</v>
      </c>
      <c r="G702" s="150">
        <v>630</v>
      </c>
      <c r="H702" s="24" t="s">
        <v>131</v>
      </c>
      <c r="I702" s="25">
        <f>I708+I707+I706+I705+I704+I703</f>
        <v>143944</v>
      </c>
      <c r="J702" s="25">
        <f>J708+J707+J706+J705+J704+J703</f>
        <v>146650</v>
      </c>
      <c r="K702" s="25">
        <f>K708+K707+K706+K705+K704+K703</f>
        <v>146650</v>
      </c>
      <c r="L702" s="620"/>
      <c r="M702" s="25"/>
      <c r="N702" s="25"/>
      <c r="O702" s="25"/>
    </row>
    <row r="703" spans="2:15" x14ac:dyDescent="0.2">
      <c r="B703" s="8">
        <f t="shared" si="33"/>
        <v>254</v>
      </c>
      <c r="C703" s="18"/>
      <c r="D703" s="18"/>
      <c r="E703" s="18"/>
      <c r="F703" s="152"/>
      <c r="G703" s="153">
        <v>631</v>
      </c>
      <c r="H703" s="18" t="s">
        <v>137</v>
      </c>
      <c r="I703" s="19">
        <v>300</v>
      </c>
      <c r="J703" s="19">
        <v>3000</v>
      </c>
      <c r="K703" s="19">
        <v>3000</v>
      </c>
      <c r="L703" s="621"/>
      <c r="M703" s="19"/>
      <c r="N703" s="19"/>
      <c r="O703" s="19"/>
    </row>
    <row r="704" spans="2:15" x14ac:dyDescent="0.2">
      <c r="B704" s="8">
        <f t="shared" si="33"/>
        <v>255</v>
      </c>
      <c r="C704" s="18"/>
      <c r="D704" s="18"/>
      <c r="E704" s="18"/>
      <c r="F704" s="152"/>
      <c r="G704" s="153">
        <v>632</v>
      </c>
      <c r="H704" s="18" t="s">
        <v>144</v>
      </c>
      <c r="I704" s="19">
        <f>400+1500+7800+8000+50000+2500+500</f>
        <v>70700</v>
      </c>
      <c r="J704" s="19">
        <v>70700</v>
      </c>
      <c r="K704" s="19">
        <v>70700</v>
      </c>
      <c r="L704" s="621"/>
      <c r="M704" s="19"/>
      <c r="N704" s="19"/>
      <c r="O704" s="19"/>
    </row>
    <row r="705" spans="2:15" x14ac:dyDescent="0.2">
      <c r="B705" s="8">
        <f t="shared" si="33"/>
        <v>256</v>
      </c>
      <c r="C705" s="18"/>
      <c r="D705" s="18"/>
      <c r="E705" s="18"/>
      <c r="F705" s="152"/>
      <c r="G705" s="153">
        <v>633</v>
      </c>
      <c r="H705" s="18" t="s">
        <v>135</v>
      </c>
      <c r="I705" s="19">
        <f>8144+1000+1000+1000+3000+500+400+250</f>
        <v>15294</v>
      </c>
      <c r="J705" s="19">
        <v>15300</v>
      </c>
      <c r="K705" s="19">
        <v>15300</v>
      </c>
      <c r="L705" s="621"/>
      <c r="M705" s="19"/>
      <c r="N705" s="19"/>
      <c r="O705" s="19"/>
    </row>
    <row r="706" spans="2:15" x14ac:dyDescent="0.2">
      <c r="B706" s="8">
        <f t="shared" si="33"/>
        <v>257</v>
      </c>
      <c r="C706" s="18"/>
      <c r="D706" s="18"/>
      <c r="E706" s="18"/>
      <c r="F706" s="152"/>
      <c r="G706" s="153">
        <v>635</v>
      </c>
      <c r="H706" s="18" t="s">
        <v>143</v>
      </c>
      <c r="I706" s="19">
        <v>10000</v>
      </c>
      <c r="J706" s="19">
        <v>10000</v>
      </c>
      <c r="K706" s="19">
        <v>10000</v>
      </c>
      <c r="L706" s="621"/>
      <c r="M706" s="19"/>
      <c r="N706" s="19"/>
      <c r="O706" s="19"/>
    </row>
    <row r="707" spans="2:15" x14ac:dyDescent="0.2">
      <c r="B707" s="8">
        <f t="shared" si="33"/>
        <v>258</v>
      </c>
      <c r="C707" s="18"/>
      <c r="D707" s="18"/>
      <c r="E707" s="18"/>
      <c r="F707" s="152"/>
      <c r="G707" s="153">
        <v>636</v>
      </c>
      <c r="H707" s="18" t="s">
        <v>136</v>
      </c>
      <c r="I707" s="19">
        <v>5000</v>
      </c>
      <c r="J707" s="19">
        <v>5000</v>
      </c>
      <c r="K707" s="19">
        <v>5000</v>
      </c>
      <c r="L707" s="621"/>
      <c r="M707" s="19"/>
      <c r="N707" s="19"/>
      <c r="O707" s="19"/>
    </row>
    <row r="708" spans="2:15" x14ac:dyDescent="0.2">
      <c r="B708" s="8">
        <f t="shared" si="33"/>
        <v>259</v>
      </c>
      <c r="C708" s="18"/>
      <c r="D708" s="18"/>
      <c r="E708" s="18"/>
      <c r="F708" s="152"/>
      <c r="G708" s="153">
        <v>637</v>
      </c>
      <c r="H708" s="18" t="s">
        <v>132</v>
      </c>
      <c r="I708" s="19">
        <f>370+6050+5250+200+8000+1500+4700+2500+2000+600+1000+10000+480</f>
        <v>42650</v>
      </c>
      <c r="J708" s="19">
        <v>42650</v>
      </c>
      <c r="K708" s="19">
        <v>42650</v>
      </c>
      <c r="L708" s="621"/>
      <c r="M708" s="19"/>
      <c r="N708" s="19"/>
      <c r="O708" s="19"/>
    </row>
    <row r="709" spans="2:15" x14ac:dyDescent="0.2">
      <c r="B709" s="8">
        <f t="shared" si="33"/>
        <v>260</v>
      </c>
      <c r="C709" s="24"/>
      <c r="D709" s="24"/>
      <c r="E709" s="24"/>
      <c r="F709" s="149" t="s">
        <v>116</v>
      </c>
      <c r="G709" s="150">
        <v>640</v>
      </c>
      <c r="H709" s="24" t="s">
        <v>139</v>
      </c>
      <c r="I709" s="25">
        <v>3000</v>
      </c>
      <c r="J709" s="25">
        <v>3000</v>
      </c>
      <c r="K709" s="25">
        <v>3000</v>
      </c>
      <c r="L709" s="620"/>
      <c r="M709" s="25"/>
      <c r="N709" s="25"/>
      <c r="O709" s="25"/>
    </row>
    <row r="710" spans="2:15" x14ac:dyDescent="0.2">
      <c r="B710" s="8">
        <f t="shared" si="33"/>
        <v>261</v>
      </c>
      <c r="C710" s="24"/>
      <c r="D710" s="24"/>
      <c r="E710" s="24"/>
      <c r="F710" s="149" t="s">
        <v>116</v>
      </c>
      <c r="G710" s="150">
        <v>710</v>
      </c>
      <c r="H710" s="24" t="s">
        <v>185</v>
      </c>
      <c r="I710" s="25"/>
      <c r="J710" s="25"/>
      <c r="K710" s="25"/>
      <c r="L710" s="620"/>
      <c r="M710" s="25">
        <f t="shared" ref="M710:M711" si="34">M711</f>
        <v>38000</v>
      </c>
      <c r="N710" s="25"/>
      <c r="O710" s="25"/>
    </row>
    <row r="711" spans="2:15" x14ac:dyDescent="0.2">
      <c r="B711" s="8">
        <f t="shared" si="33"/>
        <v>262</v>
      </c>
      <c r="C711" s="18"/>
      <c r="D711" s="18"/>
      <c r="E711" s="18"/>
      <c r="F711" s="152"/>
      <c r="G711" s="153">
        <v>716</v>
      </c>
      <c r="H711" s="18" t="s">
        <v>226</v>
      </c>
      <c r="I711" s="19"/>
      <c r="J711" s="19"/>
      <c r="K711" s="19"/>
      <c r="L711" s="621"/>
      <c r="M711" s="19">
        <f t="shared" si="34"/>
        <v>38000</v>
      </c>
      <c r="N711" s="19"/>
      <c r="O711" s="19"/>
    </row>
    <row r="712" spans="2:15" s="165" customFormat="1" x14ac:dyDescent="0.2">
      <c r="B712" s="8">
        <f t="shared" si="33"/>
        <v>263</v>
      </c>
      <c r="C712" s="156"/>
      <c r="D712" s="156"/>
      <c r="E712" s="156"/>
      <c r="F712" s="272"/>
      <c r="G712" s="155"/>
      <c r="H712" s="156" t="s">
        <v>781</v>
      </c>
      <c r="I712" s="157"/>
      <c r="J712" s="157"/>
      <c r="K712" s="157"/>
      <c r="L712" s="614"/>
      <c r="M712" s="157">
        <v>38000</v>
      </c>
      <c r="N712" s="157"/>
      <c r="O712" s="157"/>
    </row>
    <row r="713" spans="2:15" ht="14.25" x14ac:dyDescent="0.2">
      <c r="B713" s="8">
        <f t="shared" si="33"/>
        <v>264</v>
      </c>
      <c r="C713" s="267"/>
      <c r="D713" s="267"/>
      <c r="E713" s="267">
        <v>10</v>
      </c>
      <c r="F713" s="268"/>
      <c r="G713" s="268"/>
      <c r="H713" s="267" t="s">
        <v>0</v>
      </c>
      <c r="I713" s="269">
        <f>I714+I715+I716+I723+I724+I726+I732+I725</f>
        <v>1561550</v>
      </c>
      <c r="J713" s="269">
        <f>J714+J715+J716+J723+J724+J726+J732+J725</f>
        <v>1592600</v>
      </c>
      <c r="K713" s="269">
        <f>K714+K715+K716+K723+K724+K726+K732+K725</f>
        <v>1622600</v>
      </c>
      <c r="L713" s="619"/>
      <c r="M713" s="269">
        <f>M733</f>
        <v>511641</v>
      </c>
      <c r="N713" s="269"/>
      <c r="O713" s="269"/>
    </row>
    <row r="714" spans="2:15" x14ac:dyDescent="0.2">
      <c r="B714" s="8">
        <f t="shared" si="33"/>
        <v>265</v>
      </c>
      <c r="C714" s="24"/>
      <c r="D714" s="24"/>
      <c r="E714" s="24"/>
      <c r="F714" s="149" t="s">
        <v>129</v>
      </c>
      <c r="G714" s="150">
        <v>610</v>
      </c>
      <c r="H714" s="24" t="s">
        <v>141</v>
      </c>
      <c r="I714" s="25">
        <v>275400</v>
      </c>
      <c r="J714" s="25">
        <v>285000</v>
      </c>
      <c r="K714" s="25">
        <v>295000</v>
      </c>
      <c r="L714" s="620"/>
      <c r="M714" s="25"/>
      <c r="N714" s="25"/>
      <c r="O714" s="25"/>
    </row>
    <row r="715" spans="2:15" x14ac:dyDescent="0.2">
      <c r="B715" s="8">
        <f t="shared" si="33"/>
        <v>266</v>
      </c>
      <c r="C715" s="24"/>
      <c r="D715" s="24"/>
      <c r="E715" s="24"/>
      <c r="F715" s="149" t="s">
        <v>129</v>
      </c>
      <c r="G715" s="150">
        <v>620</v>
      </c>
      <c r="H715" s="24" t="s">
        <v>134</v>
      </c>
      <c r="I715" s="25">
        <f>9910+3300+15690+2645+3000+46245+4625+5500+5500+22050</f>
        <v>118465</v>
      </c>
      <c r="J715" s="25">
        <v>123000</v>
      </c>
      <c r="K715" s="25">
        <v>128000</v>
      </c>
      <c r="L715" s="620"/>
      <c r="M715" s="25"/>
      <c r="N715" s="25"/>
      <c r="O715" s="25"/>
    </row>
    <row r="716" spans="2:15" x14ac:dyDescent="0.2">
      <c r="B716" s="8">
        <f t="shared" si="33"/>
        <v>267</v>
      </c>
      <c r="C716" s="24"/>
      <c r="D716" s="24"/>
      <c r="E716" s="24"/>
      <c r="F716" s="149" t="s">
        <v>129</v>
      </c>
      <c r="G716" s="150">
        <v>630</v>
      </c>
      <c r="H716" s="24" t="s">
        <v>131</v>
      </c>
      <c r="I716" s="25">
        <f>SUM(I717:I722)</f>
        <v>59380</v>
      </c>
      <c r="J716" s="25">
        <f>SUM(J717:J722)</f>
        <v>59700</v>
      </c>
      <c r="K716" s="25">
        <f>SUM(K717:K722)</f>
        <v>59700</v>
      </c>
      <c r="L716" s="620"/>
      <c r="M716" s="25"/>
      <c r="N716" s="25"/>
      <c r="O716" s="25"/>
    </row>
    <row r="717" spans="2:15" x14ac:dyDescent="0.2">
      <c r="B717" s="8">
        <f t="shared" si="33"/>
        <v>268</v>
      </c>
      <c r="C717" s="18"/>
      <c r="D717" s="18"/>
      <c r="E717" s="18"/>
      <c r="F717" s="152"/>
      <c r="G717" s="153">
        <v>631</v>
      </c>
      <c r="H717" s="18" t="s">
        <v>137</v>
      </c>
      <c r="I717" s="19">
        <v>100</v>
      </c>
      <c r="J717" s="19">
        <v>100</v>
      </c>
      <c r="K717" s="19">
        <v>100</v>
      </c>
      <c r="L717" s="621"/>
      <c r="M717" s="19"/>
      <c r="N717" s="19"/>
      <c r="O717" s="19"/>
    </row>
    <row r="718" spans="2:15" x14ac:dyDescent="0.2">
      <c r="B718" s="8">
        <f t="shared" si="33"/>
        <v>269</v>
      </c>
      <c r="C718" s="18"/>
      <c r="D718" s="18"/>
      <c r="E718" s="18"/>
      <c r="F718" s="152"/>
      <c r="G718" s="153">
        <v>632</v>
      </c>
      <c r="H718" s="18" t="s">
        <v>144</v>
      </c>
      <c r="I718" s="19">
        <v>37720</v>
      </c>
      <c r="J718" s="19">
        <v>38000</v>
      </c>
      <c r="K718" s="19">
        <v>38000</v>
      </c>
      <c r="L718" s="621"/>
      <c r="M718" s="19"/>
      <c r="N718" s="19"/>
      <c r="O718" s="19"/>
    </row>
    <row r="719" spans="2:15" x14ac:dyDescent="0.2">
      <c r="B719" s="8">
        <f t="shared" si="33"/>
        <v>270</v>
      </c>
      <c r="C719" s="18"/>
      <c r="D719" s="18"/>
      <c r="E719" s="18"/>
      <c r="F719" s="152"/>
      <c r="G719" s="153">
        <v>633</v>
      </c>
      <c r="H719" s="18" t="s">
        <v>135</v>
      </c>
      <c r="I719" s="19">
        <f>1500+1000+400+500+600+500+100+500</f>
        <v>5100</v>
      </c>
      <c r="J719" s="19">
        <v>5100</v>
      </c>
      <c r="K719" s="19">
        <v>5100</v>
      </c>
      <c r="L719" s="621"/>
      <c r="M719" s="19"/>
      <c r="N719" s="19"/>
      <c r="O719" s="19"/>
    </row>
    <row r="720" spans="2:15" x14ac:dyDescent="0.2">
      <c r="B720" s="8">
        <f t="shared" si="33"/>
        <v>271</v>
      </c>
      <c r="C720" s="18"/>
      <c r="D720" s="18"/>
      <c r="E720" s="18"/>
      <c r="F720" s="152"/>
      <c r="G720" s="153">
        <v>634</v>
      </c>
      <c r="H720" s="18" t="s">
        <v>142</v>
      </c>
      <c r="I720" s="19">
        <v>1500</v>
      </c>
      <c r="J720" s="19">
        <v>1500</v>
      </c>
      <c r="K720" s="19">
        <v>1500</v>
      </c>
      <c r="L720" s="621"/>
      <c r="M720" s="19"/>
      <c r="N720" s="19"/>
      <c r="O720" s="19"/>
    </row>
    <row r="721" spans="2:15" x14ac:dyDescent="0.2">
      <c r="B721" s="8">
        <f t="shared" si="33"/>
        <v>272</v>
      </c>
      <c r="C721" s="18"/>
      <c r="D721" s="18"/>
      <c r="E721" s="18"/>
      <c r="F721" s="152"/>
      <c r="G721" s="153">
        <v>635</v>
      </c>
      <c r="H721" s="18" t="s">
        <v>143</v>
      </c>
      <c r="I721" s="19">
        <f>100+200+1000</f>
        <v>1300</v>
      </c>
      <c r="J721" s="19">
        <v>1300</v>
      </c>
      <c r="K721" s="19">
        <v>1300</v>
      </c>
      <c r="L721" s="621"/>
      <c r="M721" s="19"/>
      <c r="N721" s="19"/>
      <c r="O721" s="19"/>
    </row>
    <row r="722" spans="2:15" x14ac:dyDescent="0.2">
      <c r="B722" s="8">
        <f t="shared" si="33"/>
        <v>273</v>
      </c>
      <c r="C722" s="18"/>
      <c r="D722" s="18"/>
      <c r="E722" s="18"/>
      <c r="F722" s="152"/>
      <c r="G722" s="153">
        <v>637</v>
      </c>
      <c r="H722" s="18" t="s">
        <v>132</v>
      </c>
      <c r="I722" s="19">
        <f>3500+600+1500+700+3500+1000+560+300+1500+500</f>
        <v>13660</v>
      </c>
      <c r="J722" s="19">
        <v>13700</v>
      </c>
      <c r="K722" s="19">
        <v>13700</v>
      </c>
      <c r="L722" s="621"/>
      <c r="M722" s="19"/>
      <c r="N722" s="19"/>
      <c r="O722" s="19"/>
    </row>
    <row r="723" spans="2:15" x14ac:dyDescent="0.2">
      <c r="B723" s="8">
        <f t="shared" si="33"/>
        <v>274</v>
      </c>
      <c r="C723" s="24"/>
      <c r="D723" s="24"/>
      <c r="E723" s="24"/>
      <c r="F723" s="149" t="s">
        <v>129</v>
      </c>
      <c r="G723" s="150">
        <v>640</v>
      </c>
      <c r="H723" s="24" t="s">
        <v>139</v>
      </c>
      <c r="I723" s="25">
        <f>500+8265</f>
        <v>8765</v>
      </c>
      <c r="J723" s="25">
        <v>8700</v>
      </c>
      <c r="K723" s="25">
        <v>8700</v>
      </c>
      <c r="L723" s="620"/>
      <c r="M723" s="25"/>
      <c r="N723" s="25"/>
      <c r="O723" s="25"/>
    </row>
    <row r="724" spans="2:15" x14ac:dyDescent="0.2">
      <c r="B724" s="8">
        <f t="shared" si="33"/>
        <v>275</v>
      </c>
      <c r="C724" s="24"/>
      <c r="D724" s="24"/>
      <c r="E724" s="24"/>
      <c r="F724" s="149" t="s">
        <v>116</v>
      </c>
      <c r="G724" s="150">
        <v>610</v>
      </c>
      <c r="H724" s="24" t="s">
        <v>141</v>
      </c>
      <c r="I724" s="25">
        <v>654915</v>
      </c>
      <c r="J724" s="25">
        <v>665000</v>
      </c>
      <c r="K724" s="25">
        <v>675000</v>
      </c>
      <c r="L724" s="620"/>
      <c r="M724" s="25"/>
      <c r="N724" s="25"/>
      <c r="O724" s="25"/>
    </row>
    <row r="725" spans="2:15" x14ac:dyDescent="0.2">
      <c r="B725" s="8">
        <f t="shared" si="33"/>
        <v>276</v>
      </c>
      <c r="C725" s="24"/>
      <c r="D725" s="24"/>
      <c r="E725" s="24"/>
      <c r="F725" s="149" t="s">
        <v>116</v>
      </c>
      <c r="G725" s="150">
        <v>620</v>
      </c>
      <c r="H725" s="24" t="s">
        <v>134</v>
      </c>
      <c r="I725" s="25">
        <v>241424</v>
      </c>
      <c r="J725" s="25">
        <v>248000</v>
      </c>
      <c r="K725" s="25">
        <v>253000</v>
      </c>
      <c r="L725" s="620"/>
      <c r="M725" s="25"/>
      <c r="N725" s="25"/>
      <c r="O725" s="25"/>
    </row>
    <row r="726" spans="2:15" x14ac:dyDescent="0.2">
      <c r="B726" s="8">
        <f t="shared" si="33"/>
        <v>277</v>
      </c>
      <c r="C726" s="24"/>
      <c r="D726" s="24"/>
      <c r="E726" s="24"/>
      <c r="F726" s="149" t="s">
        <v>116</v>
      </c>
      <c r="G726" s="150">
        <v>630</v>
      </c>
      <c r="H726" s="24" t="s">
        <v>131</v>
      </c>
      <c r="I726" s="25">
        <f>SUM(I727:I731)</f>
        <v>174401</v>
      </c>
      <c r="J726" s="25">
        <f>SUM(J727:J731)</f>
        <v>174400</v>
      </c>
      <c r="K726" s="25">
        <f>SUM(K727:K731)</f>
        <v>174400</v>
      </c>
      <c r="L726" s="620"/>
      <c r="M726" s="25"/>
      <c r="N726" s="25"/>
      <c r="O726" s="25"/>
    </row>
    <row r="727" spans="2:15" x14ac:dyDescent="0.2">
      <c r="B727" s="8">
        <f t="shared" si="33"/>
        <v>278</v>
      </c>
      <c r="C727" s="18"/>
      <c r="D727" s="18"/>
      <c r="E727" s="18"/>
      <c r="F727" s="152"/>
      <c r="G727" s="153">
        <v>631</v>
      </c>
      <c r="H727" s="18" t="s">
        <v>137</v>
      </c>
      <c r="I727" s="19">
        <v>100</v>
      </c>
      <c r="J727" s="19">
        <v>100</v>
      </c>
      <c r="K727" s="19">
        <v>100</v>
      </c>
      <c r="L727" s="621"/>
      <c r="M727" s="19"/>
      <c r="N727" s="19"/>
      <c r="O727" s="19"/>
    </row>
    <row r="728" spans="2:15" x14ac:dyDescent="0.2">
      <c r="B728" s="8">
        <f t="shared" si="33"/>
        <v>279</v>
      </c>
      <c r="C728" s="18"/>
      <c r="D728" s="18"/>
      <c r="E728" s="18"/>
      <c r="F728" s="152"/>
      <c r="G728" s="153">
        <v>632</v>
      </c>
      <c r="H728" s="18" t="s">
        <v>144</v>
      </c>
      <c r="I728" s="19">
        <f>1000+100+70000+10000+30000+4000+7100+120</f>
        <v>122320</v>
      </c>
      <c r="J728" s="19">
        <v>122300</v>
      </c>
      <c r="K728" s="19">
        <v>122300</v>
      </c>
      <c r="L728" s="621"/>
      <c r="M728" s="19"/>
      <c r="N728" s="19"/>
      <c r="O728" s="19"/>
    </row>
    <row r="729" spans="2:15" x14ac:dyDescent="0.2">
      <c r="B729" s="8">
        <f t="shared" si="33"/>
        <v>280</v>
      </c>
      <c r="C729" s="18"/>
      <c r="D729" s="18"/>
      <c r="E729" s="18"/>
      <c r="F729" s="152"/>
      <c r="G729" s="153">
        <v>633</v>
      </c>
      <c r="H729" s="18" t="s">
        <v>135</v>
      </c>
      <c r="I729" s="19">
        <v>22256</v>
      </c>
      <c r="J729" s="19">
        <v>22300</v>
      </c>
      <c r="K729" s="19">
        <v>22300</v>
      </c>
      <c r="L729" s="621"/>
      <c r="M729" s="19"/>
      <c r="N729" s="19"/>
      <c r="O729" s="19"/>
    </row>
    <row r="730" spans="2:15" x14ac:dyDescent="0.2">
      <c r="B730" s="8">
        <f t="shared" si="33"/>
        <v>281</v>
      </c>
      <c r="C730" s="18"/>
      <c r="D730" s="18"/>
      <c r="E730" s="18"/>
      <c r="F730" s="152"/>
      <c r="G730" s="153">
        <v>635</v>
      </c>
      <c r="H730" s="18" t="s">
        <v>143</v>
      </c>
      <c r="I730" s="19">
        <f>100+200+1000</f>
        <v>1300</v>
      </c>
      <c r="J730" s="19">
        <v>1300</v>
      </c>
      <c r="K730" s="19">
        <v>1300</v>
      </c>
      <c r="L730" s="621"/>
      <c r="M730" s="19"/>
      <c r="N730" s="19"/>
      <c r="O730" s="19"/>
    </row>
    <row r="731" spans="2:15" x14ac:dyDescent="0.2">
      <c r="B731" s="8">
        <f t="shared" si="33"/>
        <v>282</v>
      </c>
      <c r="C731" s="18"/>
      <c r="D731" s="18"/>
      <c r="E731" s="18"/>
      <c r="F731" s="152"/>
      <c r="G731" s="153">
        <v>637</v>
      </c>
      <c r="H731" s="18" t="s">
        <v>132</v>
      </c>
      <c r="I731" s="19">
        <f>12375+5250+600+1500+400+2000+2500+1000+500+300+1500+500</f>
        <v>28425</v>
      </c>
      <c r="J731" s="19">
        <v>28400</v>
      </c>
      <c r="K731" s="19">
        <v>28400</v>
      </c>
      <c r="L731" s="621"/>
      <c r="M731" s="19"/>
      <c r="N731" s="19"/>
      <c r="O731" s="19"/>
    </row>
    <row r="732" spans="2:15" x14ac:dyDescent="0.2">
      <c r="B732" s="8">
        <f t="shared" si="33"/>
        <v>283</v>
      </c>
      <c r="C732" s="24"/>
      <c r="D732" s="24"/>
      <c r="E732" s="24"/>
      <c r="F732" s="149" t="s">
        <v>116</v>
      </c>
      <c r="G732" s="150">
        <v>640</v>
      </c>
      <c r="H732" s="24" t="s">
        <v>139</v>
      </c>
      <c r="I732" s="25">
        <f>17900+10400+500</f>
        <v>28800</v>
      </c>
      <c r="J732" s="25">
        <v>28800</v>
      </c>
      <c r="K732" s="25">
        <v>28800</v>
      </c>
      <c r="L732" s="620"/>
      <c r="M732" s="25"/>
      <c r="N732" s="25"/>
      <c r="O732" s="25"/>
    </row>
    <row r="733" spans="2:15" x14ac:dyDescent="0.2">
      <c r="B733" s="8">
        <f t="shared" si="33"/>
        <v>284</v>
      </c>
      <c r="C733" s="24"/>
      <c r="D733" s="24"/>
      <c r="E733" s="24"/>
      <c r="F733" s="149" t="s">
        <v>116</v>
      </c>
      <c r="G733" s="150">
        <v>710</v>
      </c>
      <c r="H733" s="24" t="s">
        <v>185</v>
      </c>
      <c r="I733" s="25"/>
      <c r="J733" s="25"/>
      <c r="K733" s="25"/>
      <c r="L733" s="620"/>
      <c r="M733" s="25">
        <f>M736+M734</f>
        <v>511641</v>
      </c>
      <c r="N733" s="25"/>
      <c r="O733" s="25"/>
    </row>
    <row r="734" spans="2:15" x14ac:dyDescent="0.2">
      <c r="B734" s="8">
        <f>B731+1</f>
        <v>283</v>
      </c>
      <c r="C734" s="18"/>
      <c r="D734" s="18"/>
      <c r="E734" s="18"/>
      <c r="F734" s="152"/>
      <c r="G734" s="153">
        <v>716</v>
      </c>
      <c r="H734" s="18" t="s">
        <v>226</v>
      </c>
      <c r="I734" s="19"/>
      <c r="J734" s="19"/>
      <c r="K734" s="19"/>
      <c r="L734" s="621"/>
      <c r="M734" s="19">
        <f>SUM(M735:M735)</f>
        <v>100000</v>
      </c>
      <c r="N734" s="19"/>
      <c r="O734" s="19"/>
    </row>
    <row r="735" spans="2:15" s="165" customFormat="1" x14ac:dyDescent="0.2">
      <c r="B735" s="8">
        <f t="shared" si="33"/>
        <v>284</v>
      </c>
      <c r="C735" s="156"/>
      <c r="D735" s="156"/>
      <c r="E735" s="156"/>
      <c r="F735" s="272"/>
      <c r="G735" s="155"/>
      <c r="H735" s="156" t="s">
        <v>1198</v>
      </c>
      <c r="I735" s="157"/>
      <c r="J735" s="157"/>
      <c r="K735" s="157"/>
      <c r="L735" s="614"/>
      <c r="M735" s="157">
        <v>100000</v>
      </c>
      <c r="N735" s="157"/>
      <c r="O735" s="157"/>
    </row>
    <row r="736" spans="2:15" x14ac:dyDescent="0.2">
      <c r="B736" s="8">
        <f>B733+1</f>
        <v>285</v>
      </c>
      <c r="C736" s="18"/>
      <c r="D736" s="18"/>
      <c r="E736" s="18"/>
      <c r="F736" s="152"/>
      <c r="G736" s="153">
        <v>717</v>
      </c>
      <c r="H736" s="18" t="s">
        <v>192</v>
      </c>
      <c r="I736" s="19"/>
      <c r="J736" s="19"/>
      <c r="K736" s="19"/>
      <c r="L736" s="621"/>
      <c r="M736" s="19">
        <f>SUM(M737:M737)</f>
        <v>411641</v>
      </c>
      <c r="N736" s="19"/>
      <c r="O736" s="19"/>
    </row>
    <row r="737" spans="2:15" s="165" customFormat="1" x14ac:dyDescent="0.2">
      <c r="B737" s="8">
        <f t="shared" si="33"/>
        <v>286</v>
      </c>
      <c r="C737" s="156"/>
      <c r="D737" s="156"/>
      <c r="E737" s="156"/>
      <c r="F737" s="272"/>
      <c r="G737" s="155"/>
      <c r="H737" s="156" t="s">
        <v>913</v>
      </c>
      <c r="I737" s="157"/>
      <c r="J737" s="157"/>
      <c r="K737" s="157"/>
      <c r="L737" s="614"/>
      <c r="M737" s="157">
        <v>411641</v>
      </c>
      <c r="N737" s="157"/>
      <c r="O737" s="157"/>
    </row>
    <row r="738" spans="2:15" ht="14.25" x14ac:dyDescent="0.2">
      <c r="B738" s="8">
        <f>B732+1</f>
        <v>284</v>
      </c>
      <c r="C738" s="267"/>
      <c r="D738" s="267"/>
      <c r="E738" s="267">
        <v>11</v>
      </c>
      <c r="F738" s="268"/>
      <c r="G738" s="268"/>
      <c r="H738" s="267" t="s">
        <v>8</v>
      </c>
      <c r="I738" s="269">
        <f>I739+I740+I741+I747+I748+I749+I750+I757</f>
        <v>2517910</v>
      </c>
      <c r="J738" s="269">
        <f>J739+J740+J741+J747+J748+J749+J750+J757</f>
        <v>2554560</v>
      </c>
      <c r="K738" s="269">
        <f>K739+K740+K741+K747+K748+K749+K750+K757</f>
        <v>2590560</v>
      </c>
      <c r="L738" s="619"/>
      <c r="M738" s="269">
        <f>M758</f>
        <v>82620</v>
      </c>
      <c r="N738" s="269"/>
      <c r="O738" s="269"/>
    </row>
    <row r="739" spans="2:15" x14ac:dyDescent="0.2">
      <c r="B739" s="8">
        <f t="shared" si="33"/>
        <v>285</v>
      </c>
      <c r="C739" s="24"/>
      <c r="D739" s="24"/>
      <c r="E739" s="24"/>
      <c r="F739" s="149" t="s">
        <v>129</v>
      </c>
      <c r="G739" s="150">
        <v>610</v>
      </c>
      <c r="H739" s="24" t="s">
        <v>141</v>
      </c>
      <c r="I739" s="25">
        <v>505240</v>
      </c>
      <c r="J739" s="25">
        <v>520000</v>
      </c>
      <c r="K739" s="25">
        <v>530000</v>
      </c>
      <c r="L739" s="620"/>
      <c r="M739" s="25"/>
      <c r="N739" s="25"/>
      <c r="O739" s="25"/>
    </row>
    <row r="740" spans="2:15" x14ac:dyDescent="0.2">
      <c r="B740" s="8">
        <f t="shared" si="33"/>
        <v>286</v>
      </c>
      <c r="C740" s="24"/>
      <c r="D740" s="24"/>
      <c r="E740" s="24"/>
      <c r="F740" s="149" t="s">
        <v>129</v>
      </c>
      <c r="G740" s="150">
        <v>620</v>
      </c>
      <c r="H740" s="24" t="s">
        <v>134</v>
      </c>
      <c r="I740" s="25">
        <v>186536</v>
      </c>
      <c r="J740" s="25">
        <v>192000</v>
      </c>
      <c r="K740" s="25">
        <v>200000</v>
      </c>
      <c r="L740" s="620"/>
      <c r="M740" s="25"/>
      <c r="N740" s="25"/>
      <c r="O740" s="25"/>
    </row>
    <row r="741" spans="2:15" x14ac:dyDescent="0.2">
      <c r="B741" s="8">
        <f t="shared" si="33"/>
        <v>287</v>
      </c>
      <c r="C741" s="24"/>
      <c r="D741" s="24"/>
      <c r="E741" s="24"/>
      <c r="F741" s="149" t="s">
        <v>129</v>
      </c>
      <c r="G741" s="150">
        <v>630</v>
      </c>
      <c r="H741" s="24" t="s">
        <v>131</v>
      </c>
      <c r="I741" s="25">
        <f>SUM(I742:I746)</f>
        <v>115044</v>
      </c>
      <c r="J741" s="25">
        <f>SUM(J742:J746)</f>
        <v>115800</v>
      </c>
      <c r="K741" s="25">
        <f>SUM(K742:K746)</f>
        <v>115800</v>
      </c>
      <c r="L741" s="620"/>
      <c r="M741" s="25"/>
      <c r="N741" s="25"/>
      <c r="O741" s="25"/>
    </row>
    <row r="742" spans="2:15" x14ac:dyDescent="0.2">
      <c r="B742" s="8">
        <f t="shared" si="33"/>
        <v>288</v>
      </c>
      <c r="C742" s="18"/>
      <c r="D742" s="18"/>
      <c r="E742" s="18"/>
      <c r="F742" s="152"/>
      <c r="G742" s="153">
        <v>632</v>
      </c>
      <c r="H742" s="18" t="s">
        <v>144</v>
      </c>
      <c r="I742" s="19">
        <f>720+280+180+1280+2720+2400+2000+20000+7600</f>
        <v>37180</v>
      </c>
      <c r="J742" s="19">
        <v>38000</v>
      </c>
      <c r="K742" s="19">
        <v>38000</v>
      </c>
      <c r="L742" s="621"/>
      <c r="M742" s="19"/>
      <c r="N742" s="19"/>
      <c r="O742" s="19"/>
    </row>
    <row r="743" spans="2:15" x14ac:dyDescent="0.2">
      <c r="B743" s="8">
        <f t="shared" si="33"/>
        <v>289</v>
      </c>
      <c r="C743" s="18"/>
      <c r="D743" s="18"/>
      <c r="E743" s="18"/>
      <c r="F743" s="152"/>
      <c r="G743" s="153">
        <v>633</v>
      </c>
      <c r="H743" s="18" t="s">
        <v>135</v>
      </c>
      <c r="I743" s="19">
        <f>2800+130+100+300+650+1500+1000+2000+1000+2500+2000+500+1800+980+850+2800+300+520+2000+435</f>
        <v>24165</v>
      </c>
      <c r="J743" s="19">
        <v>24200</v>
      </c>
      <c r="K743" s="19">
        <v>24200</v>
      </c>
      <c r="L743" s="621"/>
      <c r="M743" s="19"/>
      <c r="N743" s="19"/>
      <c r="O743" s="19"/>
    </row>
    <row r="744" spans="2:15" x14ac:dyDescent="0.2">
      <c r="B744" s="8">
        <f t="shared" si="33"/>
        <v>290</v>
      </c>
      <c r="C744" s="18"/>
      <c r="D744" s="18"/>
      <c r="E744" s="18"/>
      <c r="F744" s="152"/>
      <c r="G744" s="153">
        <v>635</v>
      </c>
      <c r="H744" s="18" t="s">
        <v>143</v>
      </c>
      <c r="I744" s="19">
        <f>1680+1800+500+2400+2800+1140+100+600+350+200</f>
        <v>11570</v>
      </c>
      <c r="J744" s="19">
        <v>11500</v>
      </c>
      <c r="K744" s="19">
        <v>11500</v>
      </c>
      <c r="L744" s="621"/>
      <c r="M744" s="19"/>
      <c r="N744" s="19"/>
      <c r="O744" s="19"/>
    </row>
    <row r="745" spans="2:15" x14ac:dyDescent="0.2">
      <c r="B745" s="8">
        <f t="shared" si="33"/>
        <v>291</v>
      </c>
      <c r="C745" s="18"/>
      <c r="D745" s="18"/>
      <c r="E745" s="18"/>
      <c r="F745" s="152"/>
      <c r="G745" s="153">
        <v>636</v>
      </c>
      <c r="H745" s="18" t="s">
        <v>136</v>
      </c>
      <c r="I745" s="19">
        <v>1700</v>
      </c>
      <c r="J745" s="19">
        <v>1700</v>
      </c>
      <c r="K745" s="19">
        <v>1700</v>
      </c>
      <c r="L745" s="621"/>
      <c r="M745" s="19"/>
      <c r="N745" s="19"/>
      <c r="O745" s="19"/>
    </row>
    <row r="746" spans="2:15" x14ac:dyDescent="0.2">
      <c r="B746" s="8">
        <f t="shared" ref="B746:B772" si="35">B745+1</f>
        <v>292</v>
      </c>
      <c r="C746" s="18"/>
      <c r="D746" s="18"/>
      <c r="E746" s="18"/>
      <c r="F746" s="152"/>
      <c r="G746" s="153">
        <v>637</v>
      </c>
      <c r="H746" s="18" t="s">
        <v>132</v>
      </c>
      <c r="I746" s="19">
        <v>40429</v>
      </c>
      <c r="J746" s="19">
        <v>40400</v>
      </c>
      <c r="K746" s="19">
        <v>40400</v>
      </c>
      <c r="L746" s="621"/>
      <c r="M746" s="19"/>
      <c r="N746" s="19"/>
      <c r="O746" s="19"/>
    </row>
    <row r="747" spans="2:15" x14ac:dyDescent="0.2">
      <c r="B747" s="8">
        <f t="shared" si="35"/>
        <v>293</v>
      </c>
      <c r="C747" s="24"/>
      <c r="D747" s="24"/>
      <c r="E747" s="24"/>
      <c r="F747" s="149" t="s">
        <v>129</v>
      </c>
      <c r="G747" s="150">
        <v>640</v>
      </c>
      <c r="H747" s="24" t="s">
        <v>139</v>
      </c>
      <c r="I747" s="25">
        <f>5400+900+4000</f>
        <v>10300</v>
      </c>
      <c r="J747" s="25">
        <v>10300</v>
      </c>
      <c r="K747" s="25">
        <v>10300</v>
      </c>
      <c r="L747" s="620"/>
      <c r="M747" s="25"/>
      <c r="N747" s="25"/>
      <c r="O747" s="25"/>
    </row>
    <row r="748" spans="2:15" x14ac:dyDescent="0.2">
      <c r="B748" s="8">
        <f t="shared" si="35"/>
        <v>294</v>
      </c>
      <c r="C748" s="24"/>
      <c r="D748" s="24"/>
      <c r="E748" s="24"/>
      <c r="F748" s="149" t="s">
        <v>116</v>
      </c>
      <c r="G748" s="150">
        <v>610</v>
      </c>
      <c r="H748" s="24" t="s">
        <v>141</v>
      </c>
      <c r="I748" s="25">
        <v>904045</v>
      </c>
      <c r="J748" s="25">
        <v>914000</v>
      </c>
      <c r="K748" s="25">
        <v>924000</v>
      </c>
      <c r="L748" s="620"/>
      <c r="M748" s="25"/>
      <c r="N748" s="25"/>
      <c r="O748" s="25"/>
    </row>
    <row r="749" spans="2:15" x14ac:dyDescent="0.2">
      <c r="B749" s="8">
        <f t="shared" si="35"/>
        <v>295</v>
      </c>
      <c r="C749" s="24"/>
      <c r="D749" s="24"/>
      <c r="E749" s="24"/>
      <c r="F749" s="149" t="s">
        <v>116</v>
      </c>
      <c r="G749" s="150">
        <v>620</v>
      </c>
      <c r="H749" s="24" t="s">
        <v>134</v>
      </c>
      <c r="I749" s="25">
        <v>346433</v>
      </c>
      <c r="J749" s="25">
        <v>352000</v>
      </c>
      <c r="K749" s="25">
        <v>360000</v>
      </c>
      <c r="L749" s="620"/>
      <c r="M749" s="25"/>
      <c r="N749" s="25"/>
      <c r="O749" s="25"/>
    </row>
    <row r="750" spans="2:15" x14ac:dyDescent="0.2">
      <c r="B750" s="8">
        <f t="shared" si="35"/>
        <v>296</v>
      </c>
      <c r="C750" s="24"/>
      <c r="D750" s="24"/>
      <c r="E750" s="24"/>
      <c r="F750" s="149" t="s">
        <v>116</v>
      </c>
      <c r="G750" s="150">
        <v>630</v>
      </c>
      <c r="H750" s="24" t="s">
        <v>131</v>
      </c>
      <c r="I750" s="25">
        <f>SUM(I751:I756)</f>
        <v>438312</v>
      </c>
      <c r="J750" s="25">
        <f t="shared" ref="J750:K750" si="36">SUM(J751:J756)</f>
        <v>438460</v>
      </c>
      <c r="K750" s="25">
        <f t="shared" si="36"/>
        <v>438460</v>
      </c>
      <c r="L750" s="620"/>
      <c r="M750" s="25"/>
      <c r="N750" s="25"/>
      <c r="O750" s="25"/>
    </row>
    <row r="751" spans="2:15" x14ac:dyDescent="0.2">
      <c r="B751" s="8">
        <f t="shared" si="35"/>
        <v>297</v>
      </c>
      <c r="C751" s="18"/>
      <c r="D751" s="18"/>
      <c r="E751" s="18"/>
      <c r="F751" s="152"/>
      <c r="G751" s="153">
        <v>632</v>
      </c>
      <c r="H751" s="18" t="s">
        <v>144</v>
      </c>
      <c r="I751" s="19">
        <f>925+520+350+2000+3080+3000+20000+2422+14060+154300+30276+30000+17400</f>
        <v>278333</v>
      </c>
      <c r="J751" s="19">
        <v>278500</v>
      </c>
      <c r="K751" s="19">
        <v>278500</v>
      </c>
      <c r="L751" s="621"/>
      <c r="M751" s="19"/>
      <c r="N751" s="19"/>
      <c r="O751" s="19"/>
    </row>
    <row r="752" spans="2:15" x14ac:dyDescent="0.2">
      <c r="B752" s="8">
        <f t="shared" si="35"/>
        <v>298</v>
      </c>
      <c r="C752" s="18"/>
      <c r="D752" s="18"/>
      <c r="E752" s="18"/>
      <c r="F752" s="152"/>
      <c r="G752" s="153">
        <v>633</v>
      </c>
      <c r="H752" s="18" t="s">
        <v>135</v>
      </c>
      <c r="I752" s="19">
        <v>50160</v>
      </c>
      <c r="J752" s="19">
        <v>50160</v>
      </c>
      <c r="K752" s="19">
        <v>50160</v>
      </c>
      <c r="L752" s="621"/>
      <c r="M752" s="19"/>
      <c r="N752" s="19"/>
      <c r="O752" s="19"/>
    </row>
    <row r="753" spans="2:15" x14ac:dyDescent="0.2">
      <c r="B753" s="8">
        <f t="shared" si="35"/>
        <v>299</v>
      </c>
      <c r="C753" s="18"/>
      <c r="D753" s="18"/>
      <c r="E753" s="18"/>
      <c r="F753" s="152"/>
      <c r="G753" s="153">
        <v>634</v>
      </c>
      <c r="H753" s="18" t="s">
        <v>142</v>
      </c>
      <c r="I753" s="19">
        <v>1610</v>
      </c>
      <c r="J753" s="19">
        <v>1600</v>
      </c>
      <c r="K753" s="19">
        <v>1600</v>
      </c>
      <c r="L753" s="621"/>
      <c r="M753" s="19"/>
      <c r="N753" s="19"/>
      <c r="O753" s="19"/>
    </row>
    <row r="754" spans="2:15" x14ac:dyDescent="0.2">
      <c r="B754" s="8">
        <f t="shared" si="35"/>
        <v>300</v>
      </c>
      <c r="C754" s="18"/>
      <c r="D754" s="18"/>
      <c r="E754" s="18"/>
      <c r="F754" s="152"/>
      <c r="G754" s="153">
        <v>635</v>
      </c>
      <c r="H754" s="18" t="s">
        <v>143</v>
      </c>
      <c r="I754" s="19">
        <f>3360+4000+500+3600+4200+1900+150+800+530+300+5000</f>
        <v>24340</v>
      </c>
      <c r="J754" s="19">
        <v>24300</v>
      </c>
      <c r="K754" s="19">
        <v>24300</v>
      </c>
      <c r="L754" s="621"/>
      <c r="M754" s="19"/>
      <c r="N754" s="19"/>
      <c r="O754" s="19"/>
    </row>
    <row r="755" spans="2:15" x14ac:dyDescent="0.2">
      <c r="B755" s="8">
        <f t="shared" si="35"/>
        <v>301</v>
      </c>
      <c r="C755" s="18"/>
      <c r="D755" s="18"/>
      <c r="E755" s="18"/>
      <c r="F755" s="152"/>
      <c r="G755" s="153">
        <v>636</v>
      </c>
      <c r="H755" s="18" t="s">
        <v>136</v>
      </c>
      <c r="I755" s="19">
        <v>2600</v>
      </c>
      <c r="J755" s="19">
        <v>2600</v>
      </c>
      <c r="K755" s="19">
        <v>2600</v>
      </c>
      <c r="L755" s="621"/>
      <c r="M755" s="19"/>
      <c r="N755" s="19"/>
      <c r="O755" s="19"/>
    </row>
    <row r="756" spans="2:15" x14ac:dyDescent="0.2">
      <c r="B756" s="8">
        <f t="shared" si="35"/>
        <v>302</v>
      </c>
      <c r="C756" s="18"/>
      <c r="D756" s="18"/>
      <c r="E756" s="18"/>
      <c r="F756" s="152"/>
      <c r="G756" s="153">
        <v>637</v>
      </c>
      <c r="H756" s="18" t="s">
        <v>132</v>
      </c>
      <c r="I756" s="19">
        <v>81269</v>
      </c>
      <c r="J756" s="19">
        <v>81300</v>
      </c>
      <c r="K756" s="19">
        <v>81300</v>
      </c>
      <c r="L756" s="621"/>
      <c r="M756" s="19"/>
      <c r="N756" s="19"/>
      <c r="O756" s="19"/>
    </row>
    <row r="757" spans="2:15" x14ac:dyDescent="0.2">
      <c r="B757" s="8">
        <f t="shared" si="35"/>
        <v>303</v>
      </c>
      <c r="C757" s="24"/>
      <c r="D757" s="24"/>
      <c r="E757" s="24"/>
      <c r="F757" s="149" t="s">
        <v>116</v>
      </c>
      <c r="G757" s="150">
        <v>640</v>
      </c>
      <c r="H757" s="24" t="s">
        <v>139</v>
      </c>
      <c r="I757" s="25">
        <f>1300+4750+1250+30+470+3500+100+100+450+50</f>
        <v>12000</v>
      </c>
      <c r="J757" s="25">
        <v>12000</v>
      </c>
      <c r="K757" s="25">
        <v>12000</v>
      </c>
      <c r="L757" s="620"/>
      <c r="M757" s="25"/>
      <c r="N757" s="25"/>
      <c r="O757" s="25"/>
    </row>
    <row r="758" spans="2:15" x14ac:dyDescent="0.2">
      <c r="B758" s="8">
        <f t="shared" si="35"/>
        <v>304</v>
      </c>
      <c r="C758" s="24"/>
      <c r="D758" s="24"/>
      <c r="E758" s="24"/>
      <c r="F758" s="149" t="s">
        <v>116</v>
      </c>
      <c r="G758" s="150">
        <v>710</v>
      </c>
      <c r="H758" s="24" t="s">
        <v>185</v>
      </c>
      <c r="I758" s="25"/>
      <c r="J758" s="25"/>
      <c r="K758" s="25"/>
      <c r="L758" s="620"/>
      <c r="M758" s="25">
        <f>M759</f>
        <v>82620</v>
      </c>
      <c r="N758" s="25"/>
      <c r="O758" s="25"/>
    </row>
    <row r="759" spans="2:15" x14ac:dyDescent="0.2">
      <c r="B759" s="8">
        <f t="shared" si="35"/>
        <v>305</v>
      </c>
      <c r="C759" s="18"/>
      <c r="D759" s="18"/>
      <c r="E759" s="18"/>
      <c r="F759" s="152"/>
      <c r="G759" s="153">
        <v>717</v>
      </c>
      <c r="H759" s="18" t="s">
        <v>192</v>
      </c>
      <c r="I759" s="19"/>
      <c r="J759" s="19"/>
      <c r="K759" s="19"/>
      <c r="L759" s="621"/>
      <c r="M759" s="19">
        <f>SUM(M760:M760)</f>
        <v>82620</v>
      </c>
      <c r="N759" s="19"/>
      <c r="O759" s="19"/>
    </row>
    <row r="760" spans="2:15" s="165" customFormat="1" x14ac:dyDescent="0.2">
      <c r="B760" s="8">
        <f t="shared" si="35"/>
        <v>306</v>
      </c>
      <c r="C760" s="156"/>
      <c r="D760" s="156"/>
      <c r="E760" s="156"/>
      <c r="F760" s="272"/>
      <c r="G760" s="155"/>
      <c r="H760" s="156" t="s">
        <v>914</v>
      </c>
      <c r="I760" s="157"/>
      <c r="J760" s="157"/>
      <c r="K760" s="157"/>
      <c r="L760" s="614"/>
      <c r="M760" s="157">
        <v>82620</v>
      </c>
      <c r="N760" s="157"/>
      <c r="O760" s="157"/>
    </row>
    <row r="761" spans="2:15" ht="14.25" x14ac:dyDescent="0.2">
      <c r="B761" s="8">
        <f t="shared" si="35"/>
        <v>307</v>
      </c>
      <c r="C761" s="267"/>
      <c r="D761" s="267"/>
      <c r="E761" s="267">
        <v>12</v>
      </c>
      <c r="F761" s="268"/>
      <c r="G761" s="268"/>
      <c r="H761" s="267" t="s">
        <v>6</v>
      </c>
      <c r="I761" s="269">
        <f>I762+I763+I764+I771+I772+I773+I774+I781</f>
        <v>2370377</v>
      </c>
      <c r="J761" s="269">
        <f>J762+J763+J764+J771+J772+J773+J774+J781</f>
        <v>2410200</v>
      </c>
      <c r="K761" s="269">
        <f>K762+K763+K764+K771+K772+K773+K774+K781</f>
        <v>2442200</v>
      </c>
      <c r="L761" s="619"/>
      <c r="M761" s="269">
        <f>M782</f>
        <v>36000</v>
      </c>
      <c r="N761" s="269"/>
      <c r="O761" s="269"/>
    </row>
    <row r="762" spans="2:15" x14ac:dyDescent="0.2">
      <c r="B762" s="8">
        <f t="shared" si="35"/>
        <v>308</v>
      </c>
      <c r="C762" s="24"/>
      <c r="D762" s="24"/>
      <c r="E762" s="24"/>
      <c r="F762" s="149" t="s">
        <v>129</v>
      </c>
      <c r="G762" s="150">
        <v>610</v>
      </c>
      <c r="H762" s="24" t="s">
        <v>141</v>
      </c>
      <c r="I762" s="25">
        <f>4320+30000+38000+14000+18000+7800+7200+533000+30100</f>
        <v>682420</v>
      </c>
      <c r="J762" s="25">
        <v>695000</v>
      </c>
      <c r="K762" s="25">
        <v>707000</v>
      </c>
      <c r="L762" s="620"/>
      <c r="M762" s="25"/>
      <c r="N762" s="25"/>
      <c r="O762" s="25"/>
    </row>
    <row r="763" spans="2:15" x14ac:dyDescent="0.2">
      <c r="B763" s="8">
        <f t="shared" si="35"/>
        <v>309</v>
      </c>
      <c r="C763" s="24"/>
      <c r="D763" s="24"/>
      <c r="E763" s="24"/>
      <c r="F763" s="149" t="s">
        <v>129</v>
      </c>
      <c r="G763" s="150">
        <v>620</v>
      </c>
      <c r="H763" s="24" t="s">
        <v>134</v>
      </c>
      <c r="I763" s="25">
        <f>30000+7000+19000+7000+5000+88000+9000+51310+2000+10020</f>
        <v>228330</v>
      </c>
      <c r="J763" s="25">
        <v>235000</v>
      </c>
      <c r="K763" s="25">
        <v>240000</v>
      </c>
      <c r="L763" s="620"/>
      <c r="M763" s="25"/>
      <c r="N763" s="25"/>
      <c r="O763" s="25"/>
    </row>
    <row r="764" spans="2:15" x14ac:dyDescent="0.2">
      <c r="B764" s="8">
        <f t="shared" si="35"/>
        <v>310</v>
      </c>
      <c r="C764" s="24"/>
      <c r="D764" s="24"/>
      <c r="E764" s="24"/>
      <c r="F764" s="149" t="s">
        <v>129</v>
      </c>
      <c r="G764" s="150">
        <v>630</v>
      </c>
      <c r="H764" s="24" t="s">
        <v>131</v>
      </c>
      <c r="I764" s="25">
        <f>I770+I769+I768+I767+I766+I765</f>
        <v>94970</v>
      </c>
      <c r="J764" s="25">
        <f>J770+J769+J768+J767+J766+J765</f>
        <v>95000</v>
      </c>
      <c r="K764" s="25">
        <f>K770+K769+K768+K767+K766+K765</f>
        <v>95000</v>
      </c>
      <c r="L764" s="620"/>
      <c r="M764" s="25"/>
      <c r="N764" s="25"/>
      <c r="O764" s="25"/>
    </row>
    <row r="765" spans="2:15" x14ac:dyDescent="0.2">
      <c r="B765" s="8">
        <f t="shared" si="35"/>
        <v>311</v>
      </c>
      <c r="C765" s="18"/>
      <c r="D765" s="18"/>
      <c r="E765" s="18"/>
      <c r="F765" s="152"/>
      <c r="G765" s="153">
        <v>631</v>
      </c>
      <c r="H765" s="18" t="s">
        <v>137</v>
      </c>
      <c r="I765" s="19">
        <v>1400</v>
      </c>
      <c r="J765" s="19">
        <v>1400</v>
      </c>
      <c r="K765" s="19">
        <v>1400</v>
      </c>
      <c r="L765" s="621"/>
      <c r="M765" s="19"/>
      <c r="N765" s="19"/>
      <c r="O765" s="19"/>
    </row>
    <row r="766" spans="2:15" x14ac:dyDescent="0.2">
      <c r="B766" s="8">
        <f t="shared" si="35"/>
        <v>312</v>
      </c>
      <c r="C766" s="18"/>
      <c r="D766" s="18"/>
      <c r="E766" s="18"/>
      <c r="F766" s="152"/>
      <c r="G766" s="153">
        <v>632</v>
      </c>
      <c r="H766" s="18" t="s">
        <v>144</v>
      </c>
      <c r="I766" s="19">
        <v>39770</v>
      </c>
      <c r="J766" s="19">
        <v>39800</v>
      </c>
      <c r="K766" s="19">
        <v>39800</v>
      </c>
      <c r="L766" s="621"/>
      <c r="M766" s="19"/>
      <c r="N766" s="19"/>
      <c r="O766" s="19"/>
    </row>
    <row r="767" spans="2:15" x14ac:dyDescent="0.2">
      <c r="B767" s="8">
        <f t="shared" si="35"/>
        <v>313</v>
      </c>
      <c r="C767" s="18"/>
      <c r="D767" s="18"/>
      <c r="E767" s="18"/>
      <c r="F767" s="152"/>
      <c r="G767" s="153">
        <v>633</v>
      </c>
      <c r="H767" s="18" t="s">
        <v>135</v>
      </c>
      <c r="I767" s="19">
        <f>21850+700+300</f>
        <v>22850</v>
      </c>
      <c r="J767" s="19">
        <v>23000</v>
      </c>
      <c r="K767" s="19">
        <v>23000</v>
      </c>
      <c r="L767" s="621"/>
      <c r="M767" s="19"/>
      <c r="N767" s="19"/>
      <c r="O767" s="19"/>
    </row>
    <row r="768" spans="2:15" x14ac:dyDescent="0.2">
      <c r="B768" s="8">
        <f t="shared" si="35"/>
        <v>314</v>
      </c>
      <c r="C768" s="18"/>
      <c r="D768" s="18"/>
      <c r="E768" s="18"/>
      <c r="F768" s="152"/>
      <c r="G768" s="153">
        <v>635</v>
      </c>
      <c r="H768" s="18" t="s">
        <v>143</v>
      </c>
      <c r="I768" s="19">
        <f>700+2600</f>
        <v>3300</v>
      </c>
      <c r="J768" s="19">
        <v>3300</v>
      </c>
      <c r="K768" s="19">
        <v>3300</v>
      </c>
      <c r="L768" s="621"/>
      <c r="M768" s="19"/>
      <c r="N768" s="19"/>
      <c r="O768" s="19"/>
    </row>
    <row r="769" spans="2:15" x14ac:dyDescent="0.2">
      <c r="B769" s="8">
        <f t="shared" si="35"/>
        <v>315</v>
      </c>
      <c r="C769" s="18"/>
      <c r="D769" s="18"/>
      <c r="E769" s="18"/>
      <c r="F769" s="152"/>
      <c r="G769" s="153">
        <v>636</v>
      </c>
      <c r="H769" s="18" t="s">
        <v>136</v>
      </c>
      <c r="I769" s="19">
        <v>3500</v>
      </c>
      <c r="J769" s="19">
        <v>3500</v>
      </c>
      <c r="K769" s="19">
        <v>3500</v>
      </c>
      <c r="L769" s="621"/>
      <c r="M769" s="19"/>
      <c r="N769" s="19"/>
      <c r="O769" s="19"/>
    </row>
    <row r="770" spans="2:15" x14ac:dyDescent="0.2">
      <c r="B770" s="8">
        <f t="shared" si="35"/>
        <v>316</v>
      </c>
      <c r="C770" s="18"/>
      <c r="D770" s="18"/>
      <c r="E770" s="18"/>
      <c r="F770" s="152"/>
      <c r="G770" s="153">
        <v>637</v>
      </c>
      <c r="H770" s="18" t="s">
        <v>132</v>
      </c>
      <c r="I770" s="19">
        <f>500+800+2000+2700+6200+1400+4200+6000+350</f>
        <v>24150</v>
      </c>
      <c r="J770" s="19">
        <v>24000</v>
      </c>
      <c r="K770" s="19">
        <v>24000</v>
      </c>
      <c r="L770" s="621"/>
      <c r="M770" s="19"/>
      <c r="N770" s="19"/>
      <c r="O770" s="19"/>
    </row>
    <row r="771" spans="2:15" x14ac:dyDescent="0.2">
      <c r="B771" s="8">
        <f t="shared" si="35"/>
        <v>317</v>
      </c>
      <c r="C771" s="24"/>
      <c r="D771" s="24"/>
      <c r="E771" s="24"/>
      <c r="F771" s="149" t="s">
        <v>129</v>
      </c>
      <c r="G771" s="150">
        <v>640</v>
      </c>
      <c r="H771" s="24" t="s">
        <v>139</v>
      </c>
      <c r="I771" s="25">
        <f>7000+10000</f>
        <v>17000</v>
      </c>
      <c r="J771" s="25">
        <v>17000</v>
      </c>
      <c r="K771" s="25">
        <v>17000</v>
      </c>
      <c r="L771" s="620"/>
      <c r="M771" s="25"/>
      <c r="N771" s="25"/>
      <c r="O771" s="25"/>
    </row>
    <row r="772" spans="2:15" x14ac:dyDescent="0.2">
      <c r="B772" s="8">
        <f t="shared" si="35"/>
        <v>318</v>
      </c>
      <c r="C772" s="24"/>
      <c r="D772" s="24"/>
      <c r="E772" s="24"/>
      <c r="F772" s="149" t="s">
        <v>116</v>
      </c>
      <c r="G772" s="150">
        <v>610</v>
      </c>
      <c r="H772" s="24" t="s">
        <v>141</v>
      </c>
      <c r="I772" s="25">
        <f>75815+640000+28800+9360+18000+38000+14000+6500+4212+26400</f>
        <v>861087</v>
      </c>
      <c r="J772" s="25">
        <v>872000</v>
      </c>
      <c r="K772" s="25">
        <v>882000</v>
      </c>
      <c r="L772" s="620"/>
      <c r="M772" s="25"/>
      <c r="N772" s="25"/>
      <c r="O772" s="25"/>
    </row>
    <row r="773" spans="2:15" x14ac:dyDescent="0.2">
      <c r="B773" s="8">
        <f t="shared" ref="B773:B844" si="37">B772+1</f>
        <v>319</v>
      </c>
      <c r="C773" s="24"/>
      <c r="D773" s="24"/>
      <c r="E773" s="24"/>
      <c r="F773" s="149" t="s">
        <v>116</v>
      </c>
      <c r="G773" s="150">
        <v>620</v>
      </c>
      <c r="H773" s="24" t="s">
        <v>134</v>
      </c>
      <c r="I773" s="25">
        <f>26700+85500+2000+9000+89000+5000+19000+7000+31000+7000+9300</f>
        <v>290500</v>
      </c>
      <c r="J773" s="25">
        <v>300000</v>
      </c>
      <c r="K773" s="25">
        <v>305000</v>
      </c>
      <c r="L773" s="620"/>
      <c r="M773" s="25"/>
      <c r="N773" s="25"/>
      <c r="O773" s="25"/>
    </row>
    <row r="774" spans="2:15" x14ac:dyDescent="0.2">
      <c r="B774" s="8">
        <f t="shared" si="37"/>
        <v>320</v>
      </c>
      <c r="C774" s="24"/>
      <c r="D774" s="24"/>
      <c r="E774" s="24"/>
      <c r="F774" s="149" t="s">
        <v>116</v>
      </c>
      <c r="G774" s="150">
        <v>630</v>
      </c>
      <c r="H774" s="24" t="s">
        <v>131</v>
      </c>
      <c r="I774" s="25">
        <f>I780+I779+I778+I777+I776+I775</f>
        <v>174870</v>
      </c>
      <c r="J774" s="25">
        <f>J780+J779+J778+J777+J776+J775</f>
        <v>175200</v>
      </c>
      <c r="K774" s="25">
        <f>K780+K779+K778+K777+K776+K775</f>
        <v>175200</v>
      </c>
      <c r="L774" s="620"/>
      <c r="M774" s="25"/>
      <c r="N774" s="25"/>
      <c r="O774" s="25"/>
    </row>
    <row r="775" spans="2:15" x14ac:dyDescent="0.2">
      <c r="B775" s="8">
        <f t="shared" si="37"/>
        <v>321</v>
      </c>
      <c r="C775" s="18"/>
      <c r="D775" s="18"/>
      <c r="E775" s="18"/>
      <c r="F775" s="152"/>
      <c r="G775" s="153">
        <v>631</v>
      </c>
      <c r="H775" s="18" t="s">
        <v>137</v>
      </c>
      <c r="I775" s="19">
        <v>1400</v>
      </c>
      <c r="J775" s="19">
        <v>1400</v>
      </c>
      <c r="K775" s="19">
        <v>1400</v>
      </c>
      <c r="L775" s="621"/>
      <c r="M775" s="19"/>
      <c r="N775" s="19"/>
      <c r="O775" s="19"/>
    </row>
    <row r="776" spans="2:15" x14ac:dyDescent="0.2">
      <c r="B776" s="8">
        <f t="shared" si="37"/>
        <v>322</v>
      </c>
      <c r="C776" s="18"/>
      <c r="D776" s="18"/>
      <c r="E776" s="18"/>
      <c r="F776" s="152"/>
      <c r="G776" s="153">
        <v>632</v>
      </c>
      <c r="H776" s="18" t="s">
        <v>144</v>
      </c>
      <c r="I776" s="19">
        <v>39670</v>
      </c>
      <c r="J776" s="19">
        <v>40000</v>
      </c>
      <c r="K776" s="19">
        <v>40000</v>
      </c>
      <c r="L776" s="621"/>
      <c r="M776" s="19"/>
      <c r="N776" s="19"/>
      <c r="O776" s="19"/>
    </row>
    <row r="777" spans="2:15" x14ac:dyDescent="0.2">
      <c r="B777" s="8">
        <f t="shared" si="37"/>
        <v>323</v>
      </c>
      <c r="C777" s="18"/>
      <c r="D777" s="18"/>
      <c r="E777" s="18"/>
      <c r="F777" s="152"/>
      <c r="G777" s="153">
        <v>633</v>
      </c>
      <c r="H777" s="18" t="s">
        <v>135</v>
      </c>
      <c r="I777" s="19">
        <v>22250</v>
      </c>
      <c r="J777" s="19">
        <v>22300</v>
      </c>
      <c r="K777" s="19">
        <v>22300</v>
      </c>
      <c r="L777" s="621"/>
      <c r="M777" s="19"/>
      <c r="N777" s="19"/>
      <c r="O777" s="19"/>
    </row>
    <row r="778" spans="2:15" x14ac:dyDescent="0.2">
      <c r="B778" s="8">
        <f t="shared" si="37"/>
        <v>324</v>
      </c>
      <c r="C778" s="18"/>
      <c r="D778" s="18"/>
      <c r="E778" s="18"/>
      <c r="F778" s="152"/>
      <c r="G778" s="153">
        <v>635</v>
      </c>
      <c r="H778" s="18" t="s">
        <v>143</v>
      </c>
      <c r="I778" s="19">
        <v>18700</v>
      </c>
      <c r="J778" s="19">
        <v>18700</v>
      </c>
      <c r="K778" s="19">
        <v>18700</v>
      </c>
      <c r="L778" s="621"/>
      <c r="M778" s="19"/>
      <c r="N778" s="19"/>
      <c r="O778" s="19"/>
    </row>
    <row r="779" spans="2:15" x14ac:dyDescent="0.2">
      <c r="B779" s="8">
        <f t="shared" si="37"/>
        <v>325</v>
      </c>
      <c r="C779" s="18"/>
      <c r="D779" s="18"/>
      <c r="E779" s="18"/>
      <c r="F779" s="152"/>
      <c r="G779" s="153">
        <v>636</v>
      </c>
      <c r="H779" s="18" t="s">
        <v>136</v>
      </c>
      <c r="I779" s="19">
        <v>3000</v>
      </c>
      <c r="J779" s="19">
        <v>3000</v>
      </c>
      <c r="K779" s="19">
        <v>3000</v>
      </c>
      <c r="L779" s="621"/>
      <c r="M779" s="19"/>
      <c r="N779" s="19"/>
      <c r="O779" s="19"/>
    </row>
    <row r="780" spans="2:15" x14ac:dyDescent="0.2">
      <c r="B780" s="8">
        <f t="shared" si="37"/>
        <v>326</v>
      </c>
      <c r="C780" s="18"/>
      <c r="D780" s="18"/>
      <c r="E780" s="18"/>
      <c r="F780" s="152"/>
      <c r="G780" s="153">
        <v>637</v>
      </c>
      <c r="H780" s="18" t="s">
        <v>132</v>
      </c>
      <c r="I780" s="19">
        <f>1400+4000+700+26000+6000+400+200+17600+7000+800+1500+2000+19250+2550+450</f>
        <v>89850</v>
      </c>
      <c r="J780" s="19">
        <v>89800</v>
      </c>
      <c r="K780" s="19">
        <v>89800</v>
      </c>
      <c r="L780" s="621"/>
      <c r="M780" s="19"/>
      <c r="N780" s="19"/>
      <c r="O780" s="19"/>
    </row>
    <row r="781" spans="2:15" x14ac:dyDescent="0.2">
      <c r="B781" s="8">
        <f t="shared" si="37"/>
        <v>327</v>
      </c>
      <c r="C781" s="24"/>
      <c r="D781" s="24"/>
      <c r="E781" s="24"/>
      <c r="F781" s="149" t="s">
        <v>116</v>
      </c>
      <c r="G781" s="150">
        <v>640</v>
      </c>
      <c r="H781" s="24" t="s">
        <v>139</v>
      </c>
      <c r="I781" s="25">
        <f>3200+10500+7500</f>
        <v>21200</v>
      </c>
      <c r="J781" s="25">
        <v>21000</v>
      </c>
      <c r="K781" s="25">
        <v>21000</v>
      </c>
      <c r="L781" s="620"/>
      <c r="M781" s="25"/>
      <c r="N781" s="25"/>
      <c r="O781" s="25"/>
    </row>
    <row r="782" spans="2:15" x14ac:dyDescent="0.2">
      <c r="B782" s="8">
        <f t="shared" si="37"/>
        <v>328</v>
      </c>
      <c r="C782" s="24"/>
      <c r="D782" s="24"/>
      <c r="E782" s="24"/>
      <c r="F782" s="149" t="s">
        <v>116</v>
      </c>
      <c r="G782" s="150">
        <v>710</v>
      </c>
      <c r="H782" s="24" t="s">
        <v>185</v>
      </c>
      <c r="I782" s="25"/>
      <c r="J782" s="25"/>
      <c r="K782" s="25"/>
      <c r="L782" s="620"/>
      <c r="M782" s="25">
        <f>M783</f>
        <v>36000</v>
      </c>
      <c r="N782" s="25"/>
      <c r="O782" s="25"/>
    </row>
    <row r="783" spans="2:15" x14ac:dyDescent="0.2">
      <c r="B783" s="8">
        <f t="shared" si="37"/>
        <v>329</v>
      </c>
      <c r="C783" s="18"/>
      <c r="D783" s="18"/>
      <c r="E783" s="18"/>
      <c r="F783" s="152"/>
      <c r="G783" s="153">
        <v>717</v>
      </c>
      <c r="H783" s="18" t="s">
        <v>192</v>
      </c>
      <c r="I783" s="19"/>
      <c r="J783" s="19"/>
      <c r="K783" s="19"/>
      <c r="L783" s="621"/>
      <c r="M783" s="19">
        <f>SUM(M784:M784)</f>
        <v>36000</v>
      </c>
      <c r="N783" s="19"/>
      <c r="O783" s="19"/>
    </row>
    <row r="784" spans="2:15" s="165" customFormat="1" x14ac:dyDescent="0.2">
      <c r="B784" s="8">
        <f t="shared" si="37"/>
        <v>330</v>
      </c>
      <c r="C784" s="156"/>
      <c r="D784" s="156"/>
      <c r="E784" s="156"/>
      <c r="F784" s="272"/>
      <c r="G784" s="155"/>
      <c r="H784" s="156" t="s">
        <v>1197</v>
      </c>
      <c r="I784" s="157"/>
      <c r="J784" s="157"/>
      <c r="K784" s="157"/>
      <c r="L784" s="614"/>
      <c r="M784" s="157">
        <v>36000</v>
      </c>
      <c r="N784" s="157"/>
      <c r="O784" s="157"/>
    </row>
    <row r="785" spans="2:15" ht="14.25" x14ac:dyDescent="0.2">
      <c r="B785" s="8">
        <f>B781+1</f>
        <v>328</v>
      </c>
      <c r="C785" s="267"/>
      <c r="D785" s="267"/>
      <c r="E785" s="267">
        <v>13</v>
      </c>
      <c r="F785" s="268"/>
      <c r="G785" s="268"/>
      <c r="H785" s="267" t="s">
        <v>14</v>
      </c>
      <c r="I785" s="269">
        <f>I786+I787+I788+I793+I794+I795+I796+I801</f>
        <v>984699</v>
      </c>
      <c r="J785" s="269">
        <f>J786+J787+J788+J793+J794+J795+J796+J801</f>
        <v>1019250</v>
      </c>
      <c r="K785" s="269">
        <f>K786+K787+K788+K793+K794+K795+K796+K801</f>
        <v>1049250</v>
      </c>
      <c r="L785" s="619"/>
      <c r="M785" s="269">
        <f>M802</f>
        <v>144000</v>
      </c>
      <c r="N785" s="269"/>
      <c r="O785" s="269"/>
    </row>
    <row r="786" spans="2:15" x14ac:dyDescent="0.2">
      <c r="B786" s="8">
        <f t="shared" si="37"/>
        <v>329</v>
      </c>
      <c r="C786" s="24"/>
      <c r="D786" s="24"/>
      <c r="E786" s="24"/>
      <c r="F786" s="149" t="s">
        <v>129</v>
      </c>
      <c r="G786" s="150">
        <v>610</v>
      </c>
      <c r="H786" s="24" t="s">
        <v>141</v>
      </c>
      <c r="I786" s="25">
        <v>210436</v>
      </c>
      <c r="J786" s="25">
        <v>220000</v>
      </c>
      <c r="K786" s="25">
        <v>230000</v>
      </c>
      <c r="L786" s="620"/>
      <c r="M786" s="25"/>
      <c r="N786" s="25"/>
      <c r="O786" s="25"/>
    </row>
    <row r="787" spans="2:15" x14ac:dyDescent="0.2">
      <c r="B787" s="8">
        <f t="shared" si="37"/>
        <v>330</v>
      </c>
      <c r="C787" s="24"/>
      <c r="D787" s="24"/>
      <c r="E787" s="24"/>
      <c r="F787" s="149" t="s">
        <v>129</v>
      </c>
      <c r="G787" s="150">
        <v>620</v>
      </c>
      <c r="H787" s="24" t="s">
        <v>134</v>
      </c>
      <c r="I787" s="25">
        <v>74987</v>
      </c>
      <c r="J787" s="25">
        <v>85000</v>
      </c>
      <c r="K787" s="25">
        <v>90000</v>
      </c>
      <c r="L787" s="620"/>
      <c r="M787" s="25"/>
      <c r="N787" s="25"/>
      <c r="O787" s="25"/>
    </row>
    <row r="788" spans="2:15" x14ac:dyDescent="0.2">
      <c r="B788" s="8">
        <f t="shared" si="37"/>
        <v>331</v>
      </c>
      <c r="C788" s="24"/>
      <c r="D788" s="24"/>
      <c r="E788" s="24"/>
      <c r="F788" s="149" t="s">
        <v>129</v>
      </c>
      <c r="G788" s="150">
        <v>630</v>
      </c>
      <c r="H788" s="24" t="s">
        <v>131</v>
      </c>
      <c r="I788" s="25">
        <f>SUM(I789:I792)</f>
        <v>67510</v>
      </c>
      <c r="J788" s="25">
        <f t="shared" ref="J788:K788" si="38">SUM(J789:J792)</f>
        <v>67550</v>
      </c>
      <c r="K788" s="25">
        <f t="shared" si="38"/>
        <v>67550</v>
      </c>
      <c r="L788" s="620"/>
      <c r="M788" s="25"/>
      <c r="N788" s="25"/>
      <c r="O788" s="25"/>
    </row>
    <row r="789" spans="2:15" x14ac:dyDescent="0.2">
      <c r="B789" s="8">
        <f t="shared" si="37"/>
        <v>332</v>
      </c>
      <c r="C789" s="18"/>
      <c r="D789" s="18"/>
      <c r="E789" s="18"/>
      <c r="F789" s="152"/>
      <c r="G789" s="153">
        <v>632</v>
      </c>
      <c r="H789" s="18" t="s">
        <v>144</v>
      </c>
      <c r="I789" s="19">
        <f>150+250+250+2000+6300+35500+600+800+4000</f>
        <v>49850</v>
      </c>
      <c r="J789" s="19">
        <v>49900</v>
      </c>
      <c r="K789" s="19">
        <v>49900</v>
      </c>
      <c r="L789" s="621"/>
      <c r="M789" s="19"/>
      <c r="N789" s="19"/>
      <c r="O789" s="19"/>
    </row>
    <row r="790" spans="2:15" x14ac:dyDescent="0.2">
      <c r="B790" s="8">
        <f t="shared" si="37"/>
        <v>333</v>
      </c>
      <c r="C790" s="18"/>
      <c r="D790" s="18"/>
      <c r="E790" s="18"/>
      <c r="F790" s="152"/>
      <c r="G790" s="153">
        <v>633</v>
      </c>
      <c r="H790" s="18" t="s">
        <v>135</v>
      </c>
      <c r="I790" s="19">
        <f>300+1000+350+300+150+700+1200+600+150</f>
        <v>4750</v>
      </c>
      <c r="J790" s="19">
        <v>4750</v>
      </c>
      <c r="K790" s="19">
        <v>4750</v>
      </c>
      <c r="L790" s="621"/>
      <c r="M790" s="19"/>
      <c r="N790" s="19"/>
      <c r="O790" s="19"/>
    </row>
    <row r="791" spans="2:15" x14ac:dyDescent="0.2">
      <c r="B791" s="8">
        <f t="shared" si="37"/>
        <v>334</v>
      </c>
      <c r="C791" s="18"/>
      <c r="D791" s="18"/>
      <c r="E791" s="18"/>
      <c r="F791" s="152"/>
      <c r="G791" s="153">
        <v>634</v>
      </c>
      <c r="H791" s="18" t="s">
        <v>142</v>
      </c>
      <c r="I791" s="19">
        <v>1400</v>
      </c>
      <c r="J791" s="19">
        <v>1400</v>
      </c>
      <c r="K791" s="19">
        <v>1400</v>
      </c>
      <c r="L791" s="621"/>
      <c r="M791" s="19"/>
      <c r="N791" s="19"/>
      <c r="O791" s="19"/>
    </row>
    <row r="792" spans="2:15" x14ac:dyDescent="0.2">
      <c r="B792" s="8">
        <f t="shared" si="37"/>
        <v>335</v>
      </c>
      <c r="C792" s="18"/>
      <c r="D792" s="18"/>
      <c r="E792" s="18"/>
      <c r="F792" s="152"/>
      <c r="G792" s="153">
        <v>637</v>
      </c>
      <c r="H792" s="18" t="s">
        <v>132</v>
      </c>
      <c r="I792" s="19">
        <f>1150+6000+260+2600+600+900</f>
        <v>11510</v>
      </c>
      <c r="J792" s="19">
        <v>11500</v>
      </c>
      <c r="K792" s="19">
        <v>11500</v>
      </c>
      <c r="L792" s="621"/>
      <c r="M792" s="19"/>
      <c r="N792" s="19"/>
      <c r="O792" s="19"/>
    </row>
    <row r="793" spans="2:15" x14ac:dyDescent="0.2">
      <c r="B793" s="8">
        <f t="shared" si="37"/>
        <v>336</v>
      </c>
      <c r="C793" s="24"/>
      <c r="D793" s="24"/>
      <c r="E793" s="24"/>
      <c r="F793" s="149" t="s">
        <v>129</v>
      </c>
      <c r="G793" s="150">
        <v>640</v>
      </c>
      <c r="H793" s="24" t="s">
        <v>139</v>
      </c>
      <c r="I793" s="25">
        <f>4081+600+500</f>
        <v>5181</v>
      </c>
      <c r="J793" s="25">
        <v>5100</v>
      </c>
      <c r="K793" s="25">
        <v>5100</v>
      </c>
      <c r="L793" s="620"/>
      <c r="M793" s="25"/>
      <c r="N793" s="25"/>
      <c r="O793" s="25"/>
    </row>
    <row r="794" spans="2:15" x14ac:dyDescent="0.2">
      <c r="B794" s="8">
        <f t="shared" si="37"/>
        <v>337</v>
      </c>
      <c r="C794" s="24"/>
      <c r="D794" s="24"/>
      <c r="E794" s="24"/>
      <c r="F794" s="149" t="s">
        <v>116</v>
      </c>
      <c r="G794" s="150">
        <v>610</v>
      </c>
      <c r="H794" s="24" t="s">
        <v>141</v>
      </c>
      <c r="I794" s="25">
        <v>353116</v>
      </c>
      <c r="J794" s="25">
        <v>363000</v>
      </c>
      <c r="K794" s="25">
        <v>373000</v>
      </c>
      <c r="L794" s="620"/>
      <c r="M794" s="25"/>
      <c r="N794" s="25"/>
      <c r="O794" s="25"/>
    </row>
    <row r="795" spans="2:15" x14ac:dyDescent="0.2">
      <c r="B795" s="8">
        <f t="shared" si="37"/>
        <v>338</v>
      </c>
      <c r="C795" s="24"/>
      <c r="D795" s="24"/>
      <c r="E795" s="24"/>
      <c r="F795" s="149" t="s">
        <v>116</v>
      </c>
      <c r="G795" s="150">
        <v>620</v>
      </c>
      <c r="H795" s="24" t="s">
        <v>134</v>
      </c>
      <c r="I795" s="25">
        <v>124679</v>
      </c>
      <c r="J795" s="25">
        <v>130000</v>
      </c>
      <c r="K795" s="25">
        <v>135000</v>
      </c>
      <c r="L795" s="620"/>
      <c r="M795" s="25"/>
      <c r="N795" s="25"/>
      <c r="O795" s="25"/>
    </row>
    <row r="796" spans="2:15" x14ac:dyDescent="0.2">
      <c r="B796" s="8">
        <f t="shared" si="37"/>
        <v>339</v>
      </c>
      <c r="C796" s="24"/>
      <c r="D796" s="24"/>
      <c r="E796" s="24"/>
      <c r="F796" s="149" t="s">
        <v>116</v>
      </c>
      <c r="G796" s="150">
        <v>630</v>
      </c>
      <c r="H796" s="24" t="s">
        <v>131</v>
      </c>
      <c r="I796" s="25">
        <f>SUM(I797:I800)</f>
        <v>144300</v>
      </c>
      <c r="J796" s="25">
        <f>SUM(J797:J800)</f>
        <v>144100</v>
      </c>
      <c r="K796" s="25">
        <f>SUM(K797:K800)</f>
        <v>144100</v>
      </c>
      <c r="L796" s="620"/>
      <c r="M796" s="25"/>
      <c r="N796" s="25"/>
      <c r="O796" s="25"/>
    </row>
    <row r="797" spans="2:15" x14ac:dyDescent="0.2">
      <c r="B797" s="8">
        <f t="shared" si="37"/>
        <v>340</v>
      </c>
      <c r="C797" s="18"/>
      <c r="D797" s="18"/>
      <c r="E797" s="18"/>
      <c r="F797" s="152"/>
      <c r="G797" s="153">
        <v>632</v>
      </c>
      <c r="H797" s="18" t="s">
        <v>144</v>
      </c>
      <c r="I797" s="19">
        <f>120+300+250+5000+37500+40000+3000+600+600+1600</f>
        <v>88970</v>
      </c>
      <c r="J797" s="19">
        <v>89000</v>
      </c>
      <c r="K797" s="19">
        <v>89000</v>
      </c>
      <c r="L797" s="621"/>
      <c r="M797" s="19"/>
      <c r="N797" s="19"/>
      <c r="O797" s="19"/>
    </row>
    <row r="798" spans="2:15" x14ac:dyDescent="0.2">
      <c r="B798" s="8">
        <f t="shared" si="37"/>
        <v>341</v>
      </c>
      <c r="C798" s="18"/>
      <c r="D798" s="18"/>
      <c r="E798" s="18"/>
      <c r="F798" s="152"/>
      <c r="G798" s="153">
        <v>633</v>
      </c>
      <c r="H798" s="18" t="s">
        <v>135</v>
      </c>
      <c r="I798" s="19">
        <f>500+2000+600+400+300+250+350+1200+200+300</f>
        <v>6100</v>
      </c>
      <c r="J798" s="19">
        <v>6100</v>
      </c>
      <c r="K798" s="19">
        <v>6100</v>
      </c>
      <c r="L798" s="621"/>
      <c r="M798" s="19"/>
      <c r="N798" s="19"/>
      <c r="O798" s="19"/>
    </row>
    <row r="799" spans="2:15" x14ac:dyDescent="0.2">
      <c r="B799" s="8">
        <f t="shared" si="37"/>
        <v>342</v>
      </c>
      <c r="C799" s="18"/>
      <c r="D799" s="18"/>
      <c r="E799" s="18"/>
      <c r="F799" s="152"/>
      <c r="G799" s="153">
        <v>635</v>
      </c>
      <c r="H799" s="18" t="s">
        <v>143</v>
      </c>
      <c r="I799" s="19">
        <f>20000+4000+650</f>
        <v>24650</v>
      </c>
      <c r="J799" s="19">
        <v>25000</v>
      </c>
      <c r="K799" s="19">
        <v>25000</v>
      </c>
      <c r="L799" s="621"/>
      <c r="M799" s="19"/>
      <c r="N799" s="19"/>
      <c r="O799" s="19"/>
    </row>
    <row r="800" spans="2:15" x14ac:dyDescent="0.2">
      <c r="B800" s="8">
        <f t="shared" si="37"/>
        <v>343</v>
      </c>
      <c r="C800" s="18"/>
      <c r="D800" s="18"/>
      <c r="E800" s="18"/>
      <c r="F800" s="152"/>
      <c r="G800" s="153">
        <v>637</v>
      </c>
      <c r="H800" s="18" t="s">
        <v>132</v>
      </c>
      <c r="I800" s="19">
        <f>850+80+7000+500+1500+150+10450+1400+650+2000</f>
        <v>24580</v>
      </c>
      <c r="J800" s="19">
        <v>24000</v>
      </c>
      <c r="K800" s="19">
        <v>24000</v>
      </c>
      <c r="L800" s="621"/>
      <c r="M800" s="19"/>
      <c r="N800" s="19"/>
      <c r="O800" s="19"/>
    </row>
    <row r="801" spans="2:15" x14ac:dyDescent="0.2">
      <c r="B801" s="8">
        <f t="shared" si="37"/>
        <v>344</v>
      </c>
      <c r="C801" s="24"/>
      <c r="D801" s="24"/>
      <c r="E801" s="24"/>
      <c r="F801" s="149" t="s">
        <v>116</v>
      </c>
      <c r="G801" s="150">
        <v>640</v>
      </c>
      <c r="H801" s="24" t="s">
        <v>139</v>
      </c>
      <c r="I801" s="25">
        <f>3590+500+400</f>
        <v>4490</v>
      </c>
      <c r="J801" s="25">
        <v>4500</v>
      </c>
      <c r="K801" s="25">
        <v>4500</v>
      </c>
      <c r="L801" s="620"/>
      <c r="M801" s="25"/>
      <c r="N801" s="25"/>
      <c r="O801" s="25"/>
    </row>
    <row r="802" spans="2:15" x14ac:dyDescent="0.2">
      <c r="B802" s="8">
        <f t="shared" si="37"/>
        <v>345</v>
      </c>
      <c r="C802" s="24"/>
      <c r="D802" s="24"/>
      <c r="E802" s="24"/>
      <c r="F802" s="149" t="s">
        <v>116</v>
      </c>
      <c r="G802" s="150">
        <v>710</v>
      </c>
      <c r="H802" s="24" t="s">
        <v>185</v>
      </c>
      <c r="I802" s="25"/>
      <c r="J802" s="25"/>
      <c r="K802" s="25"/>
      <c r="L802" s="620"/>
      <c r="M802" s="25">
        <f>M803</f>
        <v>144000</v>
      </c>
      <c r="N802" s="25"/>
      <c r="O802" s="25"/>
    </row>
    <row r="803" spans="2:15" x14ac:dyDescent="0.2">
      <c r="B803" s="8">
        <f t="shared" si="37"/>
        <v>346</v>
      </c>
      <c r="C803" s="18"/>
      <c r="D803" s="18"/>
      <c r="E803" s="18"/>
      <c r="F803" s="152"/>
      <c r="G803" s="153">
        <v>717</v>
      </c>
      <c r="H803" s="18" t="s">
        <v>192</v>
      </c>
      <c r="I803" s="19"/>
      <c r="J803" s="19"/>
      <c r="K803" s="19"/>
      <c r="L803" s="621"/>
      <c r="M803" s="19">
        <f>SUM(M804:M806)</f>
        <v>144000</v>
      </c>
      <c r="N803" s="19"/>
      <c r="O803" s="19"/>
    </row>
    <row r="804" spans="2:15" s="165" customFormat="1" x14ac:dyDescent="0.2">
      <c r="B804" s="8">
        <f t="shared" si="37"/>
        <v>347</v>
      </c>
      <c r="C804" s="156"/>
      <c r="D804" s="156"/>
      <c r="E804" s="156"/>
      <c r="F804" s="272"/>
      <c r="G804" s="155"/>
      <c r="H804" s="156" t="s">
        <v>578</v>
      </c>
      <c r="I804" s="157"/>
      <c r="J804" s="157"/>
      <c r="K804" s="157"/>
      <c r="L804" s="614"/>
      <c r="M804" s="157">
        <v>65000</v>
      </c>
      <c r="N804" s="157"/>
      <c r="O804" s="157"/>
    </row>
    <row r="805" spans="2:15" x14ac:dyDescent="0.2">
      <c r="B805" s="8">
        <f t="shared" si="37"/>
        <v>348</v>
      </c>
      <c r="C805" s="24"/>
      <c r="D805" s="24"/>
      <c r="E805" s="24"/>
      <c r="F805" s="149"/>
      <c r="G805" s="150"/>
      <c r="H805" s="156" t="s">
        <v>1170</v>
      </c>
      <c r="I805" s="157"/>
      <c r="J805" s="157"/>
      <c r="K805" s="157"/>
      <c r="L805" s="614"/>
      <c r="M805" s="157">
        <v>52000</v>
      </c>
      <c r="N805" s="25"/>
      <c r="O805" s="25"/>
    </row>
    <row r="806" spans="2:15" x14ac:dyDescent="0.2">
      <c r="B806" s="8">
        <f t="shared" si="37"/>
        <v>349</v>
      </c>
      <c r="C806" s="24"/>
      <c r="D806" s="24"/>
      <c r="E806" s="24"/>
      <c r="F806" s="149"/>
      <c r="G806" s="150"/>
      <c r="H806" s="156" t="s">
        <v>1174</v>
      </c>
      <c r="I806" s="157"/>
      <c r="J806" s="157"/>
      <c r="K806" s="157"/>
      <c r="L806" s="614"/>
      <c r="M806" s="157">
        <v>27000</v>
      </c>
      <c r="N806" s="25"/>
      <c r="O806" s="25"/>
    </row>
    <row r="807" spans="2:15" ht="15.75" x14ac:dyDescent="0.25">
      <c r="B807" s="8">
        <f t="shared" si="37"/>
        <v>350</v>
      </c>
      <c r="C807" s="141">
        <v>3</v>
      </c>
      <c r="D807" s="677" t="s">
        <v>169</v>
      </c>
      <c r="E807" s="678"/>
      <c r="F807" s="678"/>
      <c r="G807" s="678"/>
      <c r="H807" s="678"/>
      <c r="I807" s="142">
        <f>I808+I818+I839+I846+I855+I864+I873+I882+I891+I900+I830</f>
        <v>5561741</v>
      </c>
      <c r="J807" s="142">
        <f>J808+J818+J839+J846+J855+J864+J873+J882+J891+J900+J830</f>
        <v>5835583</v>
      </c>
      <c r="K807" s="142">
        <f>K808+K818+K839+K846+K855+K864+K873+K882+K891+K900+K830</f>
        <v>5724283</v>
      </c>
      <c r="L807" s="618"/>
      <c r="M807" s="142">
        <f>M900</f>
        <v>60000</v>
      </c>
      <c r="N807" s="142"/>
      <c r="O807" s="142"/>
    </row>
    <row r="808" spans="2:15" x14ac:dyDescent="0.2">
      <c r="B808" s="8">
        <f t="shared" si="37"/>
        <v>351</v>
      </c>
      <c r="C808" s="24"/>
      <c r="D808" s="24"/>
      <c r="E808" s="24"/>
      <c r="F808" s="149" t="s">
        <v>168</v>
      </c>
      <c r="G808" s="150">
        <v>640</v>
      </c>
      <c r="H808" s="24" t="s">
        <v>139</v>
      </c>
      <c r="I808" s="25">
        <f>SUM(I809:I817)</f>
        <v>1223739</v>
      </c>
      <c r="J808" s="25">
        <f>SUM(J809:J817)</f>
        <v>1415800</v>
      </c>
      <c r="K808" s="25">
        <f>SUM(K809:K817)</f>
        <v>1218500</v>
      </c>
      <c r="L808" s="620"/>
      <c r="M808" s="25"/>
      <c r="N808" s="25"/>
      <c r="O808" s="25"/>
    </row>
    <row r="809" spans="2:15" x14ac:dyDescent="0.2">
      <c r="B809" s="8">
        <f t="shared" si="37"/>
        <v>352</v>
      </c>
      <c r="C809" s="120"/>
      <c r="D809" s="120"/>
      <c r="E809" s="120"/>
      <c r="F809" s="155"/>
      <c r="G809" s="155"/>
      <c r="H809" s="156" t="s">
        <v>613</v>
      </c>
      <c r="I809" s="157">
        <v>9438</v>
      </c>
      <c r="J809" s="157">
        <v>9800</v>
      </c>
      <c r="K809" s="157">
        <v>10000</v>
      </c>
      <c r="L809" s="614"/>
      <c r="M809" s="157"/>
      <c r="N809" s="157"/>
      <c r="O809" s="157"/>
    </row>
    <row r="810" spans="2:15" x14ac:dyDescent="0.2">
      <c r="B810" s="8">
        <f t="shared" si="37"/>
        <v>353</v>
      </c>
      <c r="C810" s="120"/>
      <c r="D810" s="120"/>
      <c r="E810" s="120"/>
      <c r="F810" s="155"/>
      <c r="G810" s="155"/>
      <c r="H810" s="156" t="s">
        <v>614</v>
      </c>
      <c r="I810" s="157">
        <v>51480</v>
      </c>
      <c r="J810" s="157">
        <v>55000</v>
      </c>
      <c r="K810" s="157">
        <v>59000</v>
      </c>
      <c r="L810" s="614"/>
      <c r="M810" s="157"/>
      <c r="N810" s="157"/>
      <c r="O810" s="157"/>
    </row>
    <row r="811" spans="2:15" x14ac:dyDescent="0.2">
      <c r="B811" s="8">
        <f t="shared" si="37"/>
        <v>354</v>
      </c>
      <c r="C811" s="120"/>
      <c r="D811" s="120"/>
      <c r="E811" s="120"/>
      <c r="F811" s="155"/>
      <c r="G811" s="155"/>
      <c r="H811" s="156" t="s">
        <v>616</v>
      </c>
      <c r="I811" s="157">
        <v>71280</v>
      </c>
      <c r="J811" s="157">
        <v>75000</v>
      </c>
      <c r="K811" s="157">
        <v>79000</v>
      </c>
      <c r="L811" s="614"/>
      <c r="M811" s="157"/>
      <c r="N811" s="157"/>
      <c r="O811" s="157"/>
    </row>
    <row r="812" spans="2:15" x14ac:dyDescent="0.2">
      <c r="B812" s="8">
        <f t="shared" si="37"/>
        <v>355</v>
      </c>
      <c r="C812" s="120"/>
      <c r="D812" s="120"/>
      <c r="E812" s="120"/>
      <c r="F812" s="155"/>
      <c r="G812" s="155"/>
      <c r="H812" s="156" t="s">
        <v>617</v>
      </c>
      <c r="I812" s="157">
        <v>246675</v>
      </c>
      <c r="J812" s="157">
        <v>250000</v>
      </c>
      <c r="K812" s="157">
        <v>25500</v>
      </c>
      <c r="L812" s="614"/>
      <c r="M812" s="157"/>
      <c r="N812" s="157"/>
      <c r="O812" s="157"/>
    </row>
    <row r="813" spans="2:15" x14ac:dyDescent="0.2">
      <c r="B813" s="8">
        <f t="shared" si="37"/>
        <v>356</v>
      </c>
      <c r="C813" s="120"/>
      <c r="D813" s="120"/>
      <c r="E813" s="120"/>
      <c r="F813" s="155"/>
      <c r="G813" s="155"/>
      <c r="H813" s="156" t="s">
        <v>618</v>
      </c>
      <c r="I813" s="157">
        <v>725835</v>
      </c>
      <c r="J813" s="157">
        <v>730000</v>
      </c>
      <c r="K813" s="157">
        <v>735000</v>
      </c>
      <c r="L813" s="614"/>
      <c r="M813" s="157"/>
      <c r="N813" s="157"/>
      <c r="O813" s="157"/>
    </row>
    <row r="814" spans="2:15" x14ac:dyDescent="0.2">
      <c r="B814" s="8">
        <f t="shared" si="37"/>
        <v>357</v>
      </c>
      <c r="C814" s="120"/>
      <c r="D814" s="120"/>
      <c r="E814" s="120"/>
      <c r="F814" s="155"/>
      <c r="G814" s="155"/>
      <c r="H814" s="156" t="s">
        <v>940</v>
      </c>
      <c r="I814" s="157">
        <v>0</v>
      </c>
      <c r="J814" s="157">
        <v>165000</v>
      </c>
      <c r="K814" s="157">
        <v>170000</v>
      </c>
      <c r="L814" s="614"/>
      <c r="M814" s="157"/>
      <c r="N814" s="157"/>
      <c r="O814" s="157"/>
    </row>
    <row r="815" spans="2:15" x14ac:dyDescent="0.2">
      <c r="B815" s="8">
        <f t="shared" si="37"/>
        <v>358</v>
      </c>
      <c r="C815" s="120"/>
      <c r="D815" s="120"/>
      <c r="E815" s="120"/>
      <c r="F815" s="155"/>
      <c r="G815" s="155"/>
      <c r="H815" s="156" t="s">
        <v>619</v>
      </c>
      <c r="I815" s="157">
        <v>29271</v>
      </c>
      <c r="J815" s="157">
        <v>33000</v>
      </c>
      <c r="K815" s="157">
        <v>38000</v>
      </c>
      <c r="L815" s="614"/>
      <c r="M815" s="157"/>
      <c r="N815" s="157"/>
      <c r="O815" s="157"/>
    </row>
    <row r="816" spans="2:15" x14ac:dyDescent="0.2">
      <c r="B816" s="8">
        <f t="shared" si="37"/>
        <v>359</v>
      </c>
      <c r="C816" s="120"/>
      <c r="D816" s="120"/>
      <c r="E816" s="120"/>
      <c r="F816" s="155"/>
      <c r="G816" s="155"/>
      <c r="H816" s="156" t="s">
        <v>394</v>
      </c>
      <c r="I816" s="157">
        <v>15840</v>
      </c>
      <c r="J816" s="157">
        <v>18000</v>
      </c>
      <c r="K816" s="157">
        <v>20000</v>
      </c>
      <c r="L816" s="614"/>
      <c r="M816" s="157"/>
      <c r="N816" s="157"/>
      <c r="O816" s="157"/>
    </row>
    <row r="817" spans="2:15" x14ac:dyDescent="0.2">
      <c r="B817" s="8">
        <f t="shared" si="37"/>
        <v>360</v>
      </c>
      <c r="C817" s="120"/>
      <c r="D817" s="120"/>
      <c r="E817" s="120"/>
      <c r="F817" s="155"/>
      <c r="G817" s="155"/>
      <c r="H817" s="156" t="s">
        <v>627</v>
      </c>
      <c r="I817" s="157">
        <v>73920</v>
      </c>
      <c r="J817" s="157">
        <v>80000</v>
      </c>
      <c r="K817" s="157">
        <v>82000</v>
      </c>
      <c r="L817" s="614"/>
      <c r="M817" s="157"/>
      <c r="N817" s="157"/>
      <c r="O817" s="157"/>
    </row>
    <row r="818" spans="2:15" ht="14.25" x14ac:dyDescent="0.2">
      <c r="B818" s="8">
        <f t="shared" si="37"/>
        <v>361</v>
      </c>
      <c r="C818" s="267"/>
      <c r="D818" s="267"/>
      <c r="E818" s="267">
        <v>1</v>
      </c>
      <c r="F818" s="268"/>
      <c r="G818" s="268"/>
      <c r="H818" s="267" t="s">
        <v>53</v>
      </c>
      <c r="I818" s="269">
        <f>I819+I820+I821+I829</f>
        <v>328133</v>
      </c>
      <c r="J818" s="269">
        <f>J819+J820+J821+J829</f>
        <v>341188</v>
      </c>
      <c r="K818" s="269">
        <f>K819+K820+K821+K829</f>
        <v>356188</v>
      </c>
      <c r="L818" s="619"/>
      <c r="M818" s="269"/>
      <c r="N818" s="269"/>
      <c r="O818" s="269"/>
    </row>
    <row r="819" spans="2:15" x14ac:dyDescent="0.2">
      <c r="B819" s="8">
        <f t="shared" si="37"/>
        <v>362</v>
      </c>
      <c r="C819" s="24"/>
      <c r="D819" s="24"/>
      <c r="E819" s="24"/>
      <c r="F819" s="149" t="s">
        <v>168</v>
      </c>
      <c r="G819" s="150">
        <v>610</v>
      </c>
      <c r="H819" s="24" t="s">
        <v>141</v>
      </c>
      <c r="I819" s="25">
        <f>115850+19800+14000+3300+24850</f>
        <v>177800</v>
      </c>
      <c r="J819" s="25">
        <v>187000</v>
      </c>
      <c r="K819" s="25">
        <v>197000</v>
      </c>
      <c r="L819" s="620"/>
      <c r="M819" s="25"/>
      <c r="N819" s="25"/>
      <c r="O819" s="25"/>
    </row>
    <row r="820" spans="2:15" x14ac:dyDescent="0.2">
      <c r="B820" s="8">
        <f t="shared" si="37"/>
        <v>363</v>
      </c>
      <c r="C820" s="24"/>
      <c r="D820" s="24"/>
      <c r="E820" s="24"/>
      <c r="F820" s="149" t="s">
        <v>168</v>
      </c>
      <c r="G820" s="150">
        <v>620</v>
      </c>
      <c r="H820" s="24" t="s">
        <v>134</v>
      </c>
      <c r="I820" s="25">
        <f>8230+10000+2970+26210+3180+5290+1770+8495</f>
        <v>66145</v>
      </c>
      <c r="J820" s="25">
        <v>70000</v>
      </c>
      <c r="K820" s="25">
        <v>75000</v>
      </c>
      <c r="L820" s="620"/>
      <c r="M820" s="25"/>
      <c r="N820" s="25"/>
      <c r="O820" s="25"/>
    </row>
    <row r="821" spans="2:15" x14ac:dyDescent="0.2">
      <c r="B821" s="8">
        <f t="shared" si="37"/>
        <v>364</v>
      </c>
      <c r="C821" s="24"/>
      <c r="D821" s="24"/>
      <c r="E821" s="24"/>
      <c r="F821" s="149" t="s">
        <v>168</v>
      </c>
      <c r="G821" s="150">
        <v>630</v>
      </c>
      <c r="H821" s="24" t="s">
        <v>131</v>
      </c>
      <c r="I821" s="25">
        <f>I828+I827+I826+I825+I824+I823+I822</f>
        <v>83588</v>
      </c>
      <c r="J821" s="25">
        <f>J828+J827+J826+J825+J824+J823+J822</f>
        <v>83588</v>
      </c>
      <c r="K821" s="25">
        <f>K828+K827+K826+K825+K824+K823+K822</f>
        <v>83588</v>
      </c>
      <c r="L821" s="620"/>
      <c r="M821" s="25"/>
      <c r="N821" s="25"/>
      <c r="O821" s="25"/>
    </row>
    <row r="822" spans="2:15" x14ac:dyDescent="0.2">
      <c r="B822" s="8">
        <f t="shared" si="37"/>
        <v>365</v>
      </c>
      <c r="C822" s="18"/>
      <c r="D822" s="18"/>
      <c r="E822" s="18"/>
      <c r="F822" s="152"/>
      <c r="G822" s="153">
        <v>631</v>
      </c>
      <c r="H822" s="18" t="s">
        <v>137</v>
      </c>
      <c r="I822" s="19">
        <v>200</v>
      </c>
      <c r="J822" s="19">
        <v>200</v>
      </c>
      <c r="K822" s="19">
        <v>200</v>
      </c>
      <c r="L822" s="621"/>
      <c r="M822" s="19"/>
      <c r="N822" s="19"/>
      <c r="O822" s="19"/>
    </row>
    <row r="823" spans="2:15" x14ac:dyDescent="0.2">
      <c r="B823" s="8">
        <f t="shared" si="37"/>
        <v>366</v>
      </c>
      <c r="C823" s="18"/>
      <c r="D823" s="18"/>
      <c r="E823" s="18"/>
      <c r="F823" s="152"/>
      <c r="G823" s="153">
        <v>632</v>
      </c>
      <c r="H823" s="18" t="s">
        <v>144</v>
      </c>
      <c r="I823" s="19">
        <f>9500+1500+1000</f>
        <v>12000</v>
      </c>
      <c r="J823" s="19">
        <f>9500+1500+1000</f>
        <v>12000</v>
      </c>
      <c r="K823" s="19">
        <f>9500+1500+1000</f>
        <v>12000</v>
      </c>
      <c r="L823" s="621"/>
      <c r="M823" s="19"/>
      <c r="N823" s="19"/>
      <c r="O823" s="19"/>
    </row>
    <row r="824" spans="2:15" x14ac:dyDescent="0.2">
      <c r="B824" s="8">
        <f t="shared" si="37"/>
        <v>367</v>
      </c>
      <c r="C824" s="18"/>
      <c r="D824" s="18"/>
      <c r="E824" s="18"/>
      <c r="F824" s="152"/>
      <c r="G824" s="153">
        <v>633</v>
      </c>
      <c r="H824" s="18" t="s">
        <v>135</v>
      </c>
      <c r="I824" s="19">
        <f>4000+2000+800+5000+3000+1000+500-2200</f>
        <v>14100</v>
      </c>
      <c r="J824" s="19">
        <f>4000+2000+800+5000+3000+1000+500-2200</f>
        <v>14100</v>
      </c>
      <c r="K824" s="19">
        <f>4000+2000+800+5000+3000+1000+500-2200</f>
        <v>14100</v>
      </c>
      <c r="L824" s="621"/>
      <c r="M824" s="19"/>
      <c r="N824" s="19"/>
      <c r="O824" s="19"/>
    </row>
    <row r="825" spans="2:15" x14ac:dyDescent="0.2">
      <c r="B825" s="8">
        <f t="shared" si="37"/>
        <v>368</v>
      </c>
      <c r="C825" s="18"/>
      <c r="D825" s="18"/>
      <c r="E825" s="18"/>
      <c r="F825" s="152"/>
      <c r="G825" s="153">
        <v>634</v>
      </c>
      <c r="H825" s="18" t="s">
        <v>142</v>
      </c>
      <c r="I825" s="19">
        <v>100</v>
      </c>
      <c r="J825" s="19">
        <v>100</v>
      </c>
      <c r="K825" s="19">
        <v>100</v>
      </c>
      <c r="L825" s="621"/>
      <c r="M825" s="19"/>
      <c r="N825" s="19"/>
      <c r="O825" s="19"/>
    </row>
    <row r="826" spans="2:15" x14ac:dyDescent="0.2">
      <c r="B826" s="8">
        <f t="shared" si="37"/>
        <v>369</v>
      </c>
      <c r="C826" s="18"/>
      <c r="D826" s="18"/>
      <c r="E826" s="18"/>
      <c r="F826" s="152"/>
      <c r="G826" s="153">
        <v>635</v>
      </c>
      <c r="H826" s="18" t="s">
        <v>143</v>
      </c>
      <c r="I826" s="19">
        <f>2000+500+2000</f>
        <v>4500</v>
      </c>
      <c r="J826" s="19">
        <f>2000+500+2000</f>
        <v>4500</v>
      </c>
      <c r="K826" s="19">
        <f>2000+500+2000</f>
        <v>4500</v>
      </c>
      <c r="L826" s="621"/>
      <c r="M826" s="19"/>
      <c r="N826" s="19"/>
      <c r="O826" s="19"/>
    </row>
    <row r="827" spans="2:15" x14ac:dyDescent="0.2">
      <c r="B827" s="8">
        <f t="shared" si="37"/>
        <v>370</v>
      </c>
      <c r="C827" s="18"/>
      <c r="D827" s="18"/>
      <c r="E827" s="18"/>
      <c r="F827" s="152"/>
      <c r="G827" s="153">
        <v>636</v>
      </c>
      <c r="H827" s="18" t="s">
        <v>136</v>
      </c>
      <c r="I827" s="19">
        <f>500+1500</f>
        <v>2000</v>
      </c>
      <c r="J827" s="19">
        <f>500+1500</f>
        <v>2000</v>
      </c>
      <c r="K827" s="19">
        <f>500+1500</f>
        <v>2000</v>
      </c>
      <c r="L827" s="621"/>
      <c r="M827" s="19"/>
      <c r="N827" s="19"/>
      <c r="O827" s="19"/>
    </row>
    <row r="828" spans="2:15" x14ac:dyDescent="0.2">
      <c r="B828" s="8">
        <f t="shared" si="37"/>
        <v>371</v>
      </c>
      <c r="C828" s="18"/>
      <c r="D828" s="18"/>
      <c r="E828" s="18"/>
      <c r="F828" s="152"/>
      <c r="G828" s="153">
        <v>637</v>
      </c>
      <c r="H828" s="18" t="s">
        <v>132</v>
      </c>
      <c r="I828" s="19">
        <f>1000+27000+200+4000+2888+600+5000+200+1500+10000+500-2200</f>
        <v>50688</v>
      </c>
      <c r="J828" s="19">
        <f>1000+27000+200+4000+2888+600+5000+200+1500+10000+500-2200</f>
        <v>50688</v>
      </c>
      <c r="K828" s="19">
        <f>1000+27000+200+4000+2888+600+5000+200+1500+10000+500-2200</f>
        <v>50688</v>
      </c>
      <c r="L828" s="621"/>
      <c r="M828" s="19"/>
      <c r="N828" s="19"/>
      <c r="O828" s="19"/>
    </row>
    <row r="829" spans="2:15" x14ac:dyDescent="0.2">
      <c r="B829" s="8">
        <f t="shared" si="37"/>
        <v>372</v>
      </c>
      <c r="C829" s="24"/>
      <c r="D829" s="24"/>
      <c r="E829" s="24"/>
      <c r="F829" s="149" t="s">
        <v>168</v>
      </c>
      <c r="G829" s="150">
        <v>640</v>
      </c>
      <c r="H829" s="24" t="s">
        <v>139</v>
      </c>
      <c r="I829" s="25">
        <v>600</v>
      </c>
      <c r="J829" s="25">
        <v>600</v>
      </c>
      <c r="K829" s="25">
        <v>600</v>
      </c>
      <c r="L829" s="620"/>
      <c r="M829" s="25"/>
      <c r="N829" s="25"/>
      <c r="O829" s="25"/>
    </row>
    <row r="830" spans="2:15" ht="14.25" x14ac:dyDescent="0.2">
      <c r="B830" s="8">
        <f t="shared" si="37"/>
        <v>373</v>
      </c>
      <c r="C830" s="267"/>
      <c r="D830" s="267"/>
      <c r="E830" s="267">
        <v>6</v>
      </c>
      <c r="F830" s="268"/>
      <c r="G830" s="268"/>
      <c r="H830" s="267" t="s">
        <v>339</v>
      </c>
      <c r="I830" s="269">
        <f>I831+I832+I833+I838</f>
        <v>280829</v>
      </c>
      <c r="J830" s="269">
        <f>J831+J832+J833+J838</f>
        <v>286860</v>
      </c>
      <c r="K830" s="269">
        <f>K831+K832+K833+K838</f>
        <v>292860</v>
      </c>
      <c r="L830" s="619"/>
      <c r="M830" s="269"/>
      <c r="N830" s="269"/>
      <c r="O830" s="269"/>
    </row>
    <row r="831" spans="2:15" x14ac:dyDescent="0.2">
      <c r="B831" s="8">
        <f t="shared" si="37"/>
        <v>374</v>
      </c>
      <c r="C831" s="24"/>
      <c r="D831" s="24"/>
      <c r="E831" s="24"/>
      <c r="F831" s="149" t="s">
        <v>168</v>
      </c>
      <c r="G831" s="150">
        <v>610</v>
      </c>
      <c r="H831" s="24" t="s">
        <v>141</v>
      </c>
      <c r="I831" s="25">
        <f>4000+600+1200+139589+2600</f>
        <v>147989</v>
      </c>
      <c r="J831" s="25">
        <v>153000</v>
      </c>
      <c r="K831" s="25">
        <v>158000</v>
      </c>
      <c r="L831" s="620"/>
      <c r="M831" s="25"/>
      <c r="N831" s="25"/>
      <c r="O831" s="25"/>
    </row>
    <row r="832" spans="2:15" x14ac:dyDescent="0.2">
      <c r="B832" s="8">
        <f t="shared" si="37"/>
        <v>375</v>
      </c>
      <c r="C832" s="24"/>
      <c r="D832" s="24"/>
      <c r="E832" s="24"/>
      <c r="F832" s="149" t="s">
        <v>168</v>
      </c>
      <c r="G832" s="150">
        <v>620</v>
      </c>
      <c r="H832" s="24" t="s">
        <v>134</v>
      </c>
      <c r="I832" s="25">
        <v>48982</v>
      </c>
      <c r="J832" s="25">
        <v>50000</v>
      </c>
      <c r="K832" s="25">
        <v>51000</v>
      </c>
      <c r="L832" s="620"/>
      <c r="M832" s="25"/>
      <c r="N832" s="25"/>
      <c r="O832" s="25"/>
    </row>
    <row r="833" spans="2:15" x14ac:dyDescent="0.2">
      <c r="B833" s="8">
        <f t="shared" si="37"/>
        <v>376</v>
      </c>
      <c r="C833" s="24"/>
      <c r="D833" s="24"/>
      <c r="E833" s="24"/>
      <c r="F833" s="149" t="s">
        <v>168</v>
      </c>
      <c r="G833" s="150">
        <v>630</v>
      </c>
      <c r="H833" s="24" t="s">
        <v>131</v>
      </c>
      <c r="I833" s="25">
        <f>SUM(I834:I837)</f>
        <v>83138</v>
      </c>
      <c r="J833" s="25">
        <f>SUM(J834:J837)</f>
        <v>83140</v>
      </c>
      <c r="K833" s="25">
        <f>SUM(K834:K837)</f>
        <v>83140</v>
      </c>
      <c r="L833" s="620"/>
      <c r="M833" s="25"/>
      <c r="N833" s="25"/>
      <c r="O833" s="25"/>
    </row>
    <row r="834" spans="2:15" x14ac:dyDescent="0.2">
      <c r="B834" s="8">
        <f t="shared" si="37"/>
        <v>377</v>
      </c>
      <c r="C834" s="18"/>
      <c r="D834" s="18"/>
      <c r="E834" s="18"/>
      <c r="F834" s="152"/>
      <c r="G834" s="153">
        <v>632</v>
      </c>
      <c r="H834" s="18" t="s">
        <v>144</v>
      </c>
      <c r="I834" s="19">
        <f>66139+9207+500+500+1000-3376</f>
        <v>73970</v>
      </c>
      <c r="J834" s="19">
        <f>66139+9207+500+500+1000-3376</f>
        <v>73970</v>
      </c>
      <c r="K834" s="19">
        <f>66139+9207+500+500+1000-3376</f>
        <v>73970</v>
      </c>
      <c r="L834" s="621"/>
      <c r="M834" s="19"/>
      <c r="N834" s="19"/>
      <c r="O834" s="19"/>
    </row>
    <row r="835" spans="2:15" x14ac:dyDescent="0.2">
      <c r="B835" s="8">
        <f t="shared" si="37"/>
        <v>378</v>
      </c>
      <c r="C835" s="18"/>
      <c r="D835" s="18"/>
      <c r="E835" s="18"/>
      <c r="F835" s="152"/>
      <c r="G835" s="153">
        <v>633</v>
      </c>
      <c r="H835" s="18" t="s">
        <v>135</v>
      </c>
      <c r="I835" s="19">
        <f>800+150+500+2398+1970-1000</f>
        <v>4818</v>
      </c>
      <c r="J835" s="19">
        <v>4800</v>
      </c>
      <c r="K835" s="19">
        <v>4800</v>
      </c>
      <c r="L835" s="621"/>
      <c r="M835" s="19"/>
      <c r="N835" s="19"/>
      <c r="O835" s="19"/>
    </row>
    <row r="836" spans="2:15" x14ac:dyDescent="0.2">
      <c r="B836" s="8">
        <f t="shared" si="37"/>
        <v>379</v>
      </c>
      <c r="C836" s="18"/>
      <c r="D836" s="18"/>
      <c r="E836" s="18"/>
      <c r="F836" s="152"/>
      <c r="G836" s="153">
        <v>635</v>
      </c>
      <c r="H836" s="18" t="s">
        <v>143</v>
      </c>
      <c r="I836" s="19">
        <f>871</f>
        <v>871</v>
      </c>
      <c r="J836" s="19">
        <v>870</v>
      </c>
      <c r="K836" s="19">
        <v>870</v>
      </c>
      <c r="L836" s="621"/>
      <c r="M836" s="19"/>
      <c r="N836" s="19"/>
      <c r="O836" s="19"/>
    </row>
    <row r="837" spans="2:15" x14ac:dyDescent="0.2">
      <c r="B837" s="8">
        <f t="shared" si="37"/>
        <v>380</v>
      </c>
      <c r="C837" s="18"/>
      <c r="D837" s="18"/>
      <c r="E837" s="18"/>
      <c r="F837" s="152"/>
      <c r="G837" s="153">
        <v>637</v>
      </c>
      <c r="H837" s="18" t="s">
        <v>132</v>
      </c>
      <c r="I837" s="19">
        <f>580+400+1070+1429</f>
        <v>3479</v>
      </c>
      <c r="J837" s="19">
        <v>3500</v>
      </c>
      <c r="K837" s="19">
        <v>3500</v>
      </c>
      <c r="L837" s="621"/>
      <c r="M837" s="19"/>
      <c r="N837" s="19"/>
      <c r="O837" s="19"/>
    </row>
    <row r="838" spans="2:15" x14ac:dyDescent="0.2">
      <c r="B838" s="8">
        <f t="shared" si="37"/>
        <v>381</v>
      </c>
      <c r="C838" s="24"/>
      <c r="D838" s="24"/>
      <c r="E838" s="24"/>
      <c r="F838" s="149" t="s">
        <v>168</v>
      </c>
      <c r="G838" s="150">
        <v>640</v>
      </c>
      <c r="H838" s="24" t="s">
        <v>139</v>
      </c>
      <c r="I838" s="25">
        <v>720</v>
      </c>
      <c r="J838" s="25">
        <v>720</v>
      </c>
      <c r="K838" s="25">
        <v>720</v>
      </c>
      <c r="L838" s="620"/>
      <c r="M838" s="25"/>
      <c r="N838" s="25"/>
      <c r="O838" s="25"/>
    </row>
    <row r="839" spans="2:15" ht="14.25" x14ac:dyDescent="0.2">
      <c r="B839" s="8">
        <f t="shared" si="37"/>
        <v>382</v>
      </c>
      <c r="C839" s="267"/>
      <c r="D839" s="267"/>
      <c r="E839" s="267">
        <v>7</v>
      </c>
      <c r="F839" s="268"/>
      <c r="G839" s="268"/>
      <c r="H839" s="267" t="s">
        <v>341</v>
      </c>
      <c r="I839" s="269">
        <f>I840+I841+I842</f>
        <v>227348</v>
      </c>
      <c r="J839" s="269">
        <f>J840+J841+J842</f>
        <v>233520</v>
      </c>
      <c r="K839" s="269">
        <f>K840+K841+K842</f>
        <v>240520</v>
      </c>
      <c r="L839" s="619"/>
      <c r="M839" s="269"/>
      <c r="N839" s="269"/>
      <c r="O839" s="269"/>
    </row>
    <row r="840" spans="2:15" x14ac:dyDescent="0.2">
      <c r="B840" s="8">
        <f t="shared" si="37"/>
        <v>383</v>
      </c>
      <c r="C840" s="24"/>
      <c r="D840" s="24"/>
      <c r="E840" s="24"/>
      <c r="F840" s="149" t="s">
        <v>168</v>
      </c>
      <c r="G840" s="150">
        <v>610</v>
      </c>
      <c r="H840" s="24" t="s">
        <v>141</v>
      </c>
      <c r="I840" s="25">
        <f>22400+2000+3000+129500</f>
        <v>156900</v>
      </c>
      <c r="J840" s="25">
        <v>162000</v>
      </c>
      <c r="K840" s="25">
        <v>167000</v>
      </c>
      <c r="L840" s="620"/>
      <c r="M840" s="25"/>
      <c r="N840" s="25"/>
      <c r="O840" s="25"/>
    </row>
    <row r="841" spans="2:15" x14ac:dyDescent="0.2">
      <c r="B841" s="8">
        <f t="shared" si="37"/>
        <v>384</v>
      </c>
      <c r="C841" s="24"/>
      <c r="D841" s="24"/>
      <c r="E841" s="24"/>
      <c r="F841" s="149" t="s">
        <v>168</v>
      </c>
      <c r="G841" s="150">
        <v>620</v>
      </c>
      <c r="H841" s="24" t="s">
        <v>134</v>
      </c>
      <c r="I841" s="25">
        <f>7400+4700+15690+3130+1569+21000+2200+1250</f>
        <v>56939</v>
      </c>
      <c r="J841" s="25">
        <v>58000</v>
      </c>
      <c r="K841" s="25">
        <v>60000</v>
      </c>
      <c r="L841" s="620"/>
      <c r="M841" s="25"/>
      <c r="N841" s="25"/>
      <c r="O841" s="25"/>
    </row>
    <row r="842" spans="2:15" x14ac:dyDescent="0.2">
      <c r="B842" s="8">
        <f t="shared" si="37"/>
        <v>385</v>
      </c>
      <c r="C842" s="24"/>
      <c r="D842" s="24"/>
      <c r="E842" s="24"/>
      <c r="F842" s="149" t="s">
        <v>168</v>
      </c>
      <c r="G842" s="150">
        <v>630</v>
      </c>
      <c r="H842" s="24" t="s">
        <v>131</v>
      </c>
      <c r="I842" s="25">
        <f>SUM(I843:I845)</f>
        <v>13509</v>
      </c>
      <c r="J842" s="25">
        <f>SUM(J843:J845)</f>
        <v>13520</v>
      </c>
      <c r="K842" s="25">
        <f>SUM(K843:K845)</f>
        <v>13520</v>
      </c>
      <c r="L842" s="620"/>
      <c r="M842" s="25"/>
      <c r="N842" s="25"/>
      <c r="O842" s="25"/>
    </row>
    <row r="843" spans="2:15" x14ac:dyDescent="0.2">
      <c r="B843" s="8">
        <f t="shared" si="37"/>
        <v>386</v>
      </c>
      <c r="C843" s="18"/>
      <c r="D843" s="18"/>
      <c r="E843" s="18"/>
      <c r="F843" s="152"/>
      <c r="G843" s="153">
        <v>632</v>
      </c>
      <c r="H843" s="18" t="s">
        <v>144</v>
      </c>
      <c r="I843" s="19">
        <v>5000</v>
      </c>
      <c r="J843" s="19">
        <v>5000</v>
      </c>
      <c r="K843" s="19">
        <v>5000</v>
      </c>
      <c r="L843" s="621"/>
      <c r="M843" s="19"/>
      <c r="N843" s="19"/>
      <c r="O843" s="19"/>
    </row>
    <row r="844" spans="2:15" x14ac:dyDescent="0.2">
      <c r="B844" s="8">
        <f t="shared" si="37"/>
        <v>387</v>
      </c>
      <c r="C844" s="18"/>
      <c r="D844" s="18"/>
      <c r="E844" s="18"/>
      <c r="F844" s="152"/>
      <c r="G844" s="153">
        <v>633</v>
      </c>
      <c r="H844" s="18" t="s">
        <v>135</v>
      </c>
      <c r="I844" s="19">
        <f>3500+1500-711</f>
        <v>4289</v>
      </c>
      <c r="J844" s="19">
        <v>4300</v>
      </c>
      <c r="K844" s="19">
        <v>4300</v>
      </c>
      <c r="L844" s="621"/>
      <c r="M844" s="19"/>
      <c r="N844" s="19"/>
      <c r="O844" s="19"/>
    </row>
    <row r="845" spans="2:15" x14ac:dyDescent="0.2">
      <c r="B845" s="8">
        <f t="shared" ref="B845:B853" si="39">B844+1</f>
        <v>388</v>
      </c>
      <c r="C845" s="18"/>
      <c r="D845" s="18"/>
      <c r="E845" s="18"/>
      <c r="F845" s="152"/>
      <c r="G845" s="153">
        <v>637</v>
      </c>
      <c r="H845" s="18" t="s">
        <v>132</v>
      </c>
      <c r="I845" s="19">
        <f>1500+1520+1200</f>
        <v>4220</v>
      </c>
      <c r="J845" s="19">
        <f>1500+1520+1200</f>
        <v>4220</v>
      </c>
      <c r="K845" s="19">
        <f>1500+1520+1200</f>
        <v>4220</v>
      </c>
      <c r="L845" s="621"/>
      <c r="M845" s="19"/>
      <c r="N845" s="19"/>
      <c r="O845" s="19"/>
    </row>
    <row r="846" spans="2:15" ht="14.25" x14ac:dyDescent="0.2">
      <c r="B846" s="8">
        <f t="shared" si="39"/>
        <v>389</v>
      </c>
      <c r="C846" s="267"/>
      <c r="D846" s="267"/>
      <c r="E846" s="267">
        <v>8</v>
      </c>
      <c r="F846" s="268"/>
      <c r="G846" s="268"/>
      <c r="H846" s="267" t="s">
        <v>7</v>
      </c>
      <c r="I846" s="269">
        <f>I847+I848+I849+I854</f>
        <v>452377</v>
      </c>
      <c r="J846" s="269">
        <f>J847+J848+J849+J854</f>
        <v>460300</v>
      </c>
      <c r="K846" s="269">
        <f>K847+K848+K849+K854</f>
        <v>467300</v>
      </c>
      <c r="L846" s="619"/>
      <c r="M846" s="269"/>
      <c r="N846" s="269"/>
      <c r="O846" s="269"/>
    </row>
    <row r="847" spans="2:15" x14ac:dyDescent="0.2">
      <c r="B847" s="8">
        <f t="shared" si="39"/>
        <v>390</v>
      </c>
      <c r="C847" s="24"/>
      <c r="D847" s="24"/>
      <c r="E847" s="24"/>
      <c r="F847" s="149" t="s">
        <v>168</v>
      </c>
      <c r="G847" s="150">
        <v>610</v>
      </c>
      <c r="H847" s="24" t="s">
        <v>141</v>
      </c>
      <c r="I847" s="25">
        <v>284820</v>
      </c>
      <c r="J847" s="25">
        <v>290000</v>
      </c>
      <c r="K847" s="25">
        <v>295000</v>
      </c>
      <c r="L847" s="620"/>
      <c r="M847" s="25"/>
      <c r="N847" s="25"/>
      <c r="O847" s="25"/>
    </row>
    <row r="848" spans="2:15" x14ac:dyDescent="0.2">
      <c r="B848" s="8">
        <f t="shared" si="39"/>
        <v>391</v>
      </c>
      <c r="C848" s="24"/>
      <c r="D848" s="24"/>
      <c r="E848" s="24"/>
      <c r="F848" s="149" t="s">
        <v>168</v>
      </c>
      <c r="G848" s="150">
        <v>620</v>
      </c>
      <c r="H848" s="24" t="s">
        <v>134</v>
      </c>
      <c r="I848" s="25">
        <v>101250</v>
      </c>
      <c r="J848" s="25">
        <v>104000</v>
      </c>
      <c r="K848" s="25">
        <v>106000</v>
      </c>
      <c r="L848" s="620"/>
      <c r="M848" s="25"/>
      <c r="N848" s="25"/>
      <c r="O848" s="25"/>
    </row>
    <row r="849" spans="2:15" x14ac:dyDescent="0.2">
      <c r="B849" s="8">
        <f t="shared" si="39"/>
        <v>392</v>
      </c>
      <c r="C849" s="24"/>
      <c r="D849" s="24"/>
      <c r="E849" s="24"/>
      <c r="F849" s="149" t="s">
        <v>168</v>
      </c>
      <c r="G849" s="150">
        <v>630</v>
      </c>
      <c r="H849" s="24" t="s">
        <v>131</v>
      </c>
      <c r="I849" s="25">
        <f>SUM(I850:I853)</f>
        <v>60667</v>
      </c>
      <c r="J849" s="25">
        <f>SUM(J850:J853)</f>
        <v>60660</v>
      </c>
      <c r="K849" s="25">
        <f>SUM(K850:K853)</f>
        <v>60660</v>
      </c>
      <c r="L849" s="620"/>
      <c r="M849" s="25"/>
      <c r="N849" s="25"/>
      <c r="O849" s="25"/>
    </row>
    <row r="850" spans="2:15" x14ac:dyDescent="0.2">
      <c r="B850" s="8">
        <f t="shared" si="39"/>
        <v>393</v>
      </c>
      <c r="C850" s="18"/>
      <c r="D850" s="18"/>
      <c r="E850" s="18"/>
      <c r="F850" s="152"/>
      <c r="G850" s="153">
        <v>632</v>
      </c>
      <c r="H850" s="18" t="s">
        <v>144</v>
      </c>
      <c r="I850" s="19">
        <f>50300-3193</f>
        <v>47107</v>
      </c>
      <c r="J850" s="19">
        <v>47100</v>
      </c>
      <c r="K850" s="19">
        <v>47100</v>
      </c>
      <c r="L850" s="621"/>
      <c r="M850" s="19"/>
      <c r="N850" s="19"/>
      <c r="O850" s="19"/>
    </row>
    <row r="851" spans="2:15" x14ac:dyDescent="0.2">
      <c r="B851" s="8">
        <f t="shared" si="39"/>
        <v>394</v>
      </c>
      <c r="C851" s="18"/>
      <c r="D851" s="18"/>
      <c r="E851" s="18"/>
      <c r="F851" s="152"/>
      <c r="G851" s="153">
        <v>633</v>
      </c>
      <c r="H851" s="18" t="s">
        <v>135</v>
      </c>
      <c r="I851" s="19">
        <v>2700</v>
      </c>
      <c r="J851" s="19">
        <v>2700</v>
      </c>
      <c r="K851" s="19">
        <v>2700</v>
      </c>
      <c r="L851" s="621"/>
      <c r="M851" s="19"/>
      <c r="N851" s="19"/>
      <c r="O851" s="19"/>
    </row>
    <row r="852" spans="2:15" x14ac:dyDescent="0.2">
      <c r="B852" s="8">
        <f t="shared" si="39"/>
        <v>395</v>
      </c>
      <c r="C852" s="18"/>
      <c r="D852" s="18"/>
      <c r="E852" s="18"/>
      <c r="F852" s="152"/>
      <c r="G852" s="153">
        <v>635</v>
      </c>
      <c r="H852" s="18" t="s">
        <v>143</v>
      </c>
      <c r="I852" s="19">
        <v>1000</v>
      </c>
      <c r="J852" s="19">
        <v>1000</v>
      </c>
      <c r="K852" s="19">
        <v>1000</v>
      </c>
      <c r="L852" s="621"/>
      <c r="M852" s="19"/>
      <c r="N852" s="19"/>
      <c r="O852" s="19"/>
    </row>
    <row r="853" spans="2:15" x14ac:dyDescent="0.2">
      <c r="B853" s="8">
        <f t="shared" si="39"/>
        <v>396</v>
      </c>
      <c r="C853" s="18"/>
      <c r="D853" s="18"/>
      <c r="E853" s="18"/>
      <c r="F853" s="152"/>
      <c r="G853" s="153">
        <v>637</v>
      </c>
      <c r="H853" s="18" t="s">
        <v>132</v>
      </c>
      <c r="I853" s="19">
        <v>9860</v>
      </c>
      <c r="J853" s="19">
        <v>9860</v>
      </c>
      <c r="K853" s="19">
        <v>9860</v>
      </c>
      <c r="L853" s="621"/>
      <c r="M853" s="19"/>
      <c r="N853" s="19"/>
      <c r="O853" s="19"/>
    </row>
    <row r="854" spans="2:15" x14ac:dyDescent="0.2">
      <c r="B854" s="8">
        <f t="shared" ref="B854:B855" si="40">B853+1</f>
        <v>397</v>
      </c>
      <c r="C854" s="24"/>
      <c r="D854" s="24"/>
      <c r="E854" s="24"/>
      <c r="F854" s="149" t="s">
        <v>168</v>
      </c>
      <c r="G854" s="150">
        <v>640</v>
      </c>
      <c r="H854" s="24" t="s">
        <v>139</v>
      </c>
      <c r="I854" s="25">
        <v>5640</v>
      </c>
      <c r="J854" s="25">
        <v>5640</v>
      </c>
      <c r="K854" s="25">
        <v>5640</v>
      </c>
      <c r="L854" s="620"/>
      <c r="M854" s="25"/>
      <c r="N854" s="25"/>
      <c r="O854" s="25"/>
    </row>
    <row r="855" spans="2:15" ht="14.25" x14ac:dyDescent="0.2">
      <c r="B855" s="8">
        <f t="shared" si="40"/>
        <v>398</v>
      </c>
      <c r="C855" s="267"/>
      <c r="D855" s="267"/>
      <c r="E855" s="267">
        <v>9</v>
      </c>
      <c r="F855" s="268"/>
      <c r="G855" s="268"/>
      <c r="H855" s="267" t="s">
        <v>5</v>
      </c>
      <c r="I855" s="269">
        <f>I856+I857+I858+I863</f>
        <v>309305</v>
      </c>
      <c r="J855" s="269">
        <f>J856+J857+J858+J863</f>
        <v>317700</v>
      </c>
      <c r="K855" s="269">
        <f>K856+K857+K858+K863</f>
        <v>324700</v>
      </c>
      <c r="L855" s="619"/>
      <c r="M855" s="269"/>
      <c r="N855" s="269"/>
      <c r="O855" s="269"/>
    </row>
    <row r="856" spans="2:15" x14ac:dyDescent="0.2">
      <c r="B856" s="8">
        <f t="shared" ref="B856:B919" si="41">B855+1</f>
        <v>399</v>
      </c>
      <c r="C856" s="24"/>
      <c r="D856" s="24"/>
      <c r="E856" s="24"/>
      <c r="F856" s="149" t="s">
        <v>168</v>
      </c>
      <c r="G856" s="150">
        <v>610</v>
      </c>
      <c r="H856" s="24" t="s">
        <v>141</v>
      </c>
      <c r="I856" s="25">
        <v>201975</v>
      </c>
      <c r="J856" s="25">
        <v>207000</v>
      </c>
      <c r="K856" s="25">
        <v>212000</v>
      </c>
      <c r="L856" s="620"/>
      <c r="M856" s="25"/>
      <c r="N856" s="25"/>
      <c r="O856" s="25"/>
    </row>
    <row r="857" spans="2:15" x14ac:dyDescent="0.2">
      <c r="B857" s="8">
        <f t="shared" si="41"/>
        <v>400</v>
      </c>
      <c r="C857" s="24"/>
      <c r="D857" s="24"/>
      <c r="E857" s="24"/>
      <c r="F857" s="149" t="s">
        <v>168</v>
      </c>
      <c r="G857" s="150">
        <v>620</v>
      </c>
      <c r="H857" s="24" t="s">
        <v>134</v>
      </c>
      <c r="I857" s="25">
        <v>71635</v>
      </c>
      <c r="J857" s="25">
        <v>75000</v>
      </c>
      <c r="K857" s="25">
        <v>77000</v>
      </c>
      <c r="L857" s="620"/>
      <c r="M857" s="25"/>
      <c r="N857" s="25"/>
      <c r="O857" s="25"/>
    </row>
    <row r="858" spans="2:15" x14ac:dyDescent="0.2">
      <c r="B858" s="8">
        <f t="shared" si="41"/>
        <v>401</v>
      </c>
      <c r="C858" s="24"/>
      <c r="D858" s="24"/>
      <c r="E858" s="24"/>
      <c r="F858" s="149" t="s">
        <v>168</v>
      </c>
      <c r="G858" s="150">
        <v>630</v>
      </c>
      <c r="H858" s="24" t="s">
        <v>131</v>
      </c>
      <c r="I858" s="25">
        <f>SUM(I859:I862)</f>
        <v>32395</v>
      </c>
      <c r="J858" s="25">
        <f>SUM(J859:J862)</f>
        <v>32400</v>
      </c>
      <c r="K858" s="25">
        <f>SUM(K859:K862)</f>
        <v>32400</v>
      </c>
      <c r="L858" s="620"/>
      <c r="M858" s="25"/>
      <c r="N858" s="25"/>
      <c r="O858" s="25"/>
    </row>
    <row r="859" spans="2:15" x14ac:dyDescent="0.2">
      <c r="B859" s="8">
        <f t="shared" si="41"/>
        <v>402</v>
      </c>
      <c r="C859" s="18"/>
      <c r="D859" s="18"/>
      <c r="E859" s="18"/>
      <c r="F859" s="152"/>
      <c r="G859" s="153">
        <v>632</v>
      </c>
      <c r="H859" s="18" t="s">
        <v>144</v>
      </c>
      <c r="I859" s="19">
        <v>16000</v>
      </c>
      <c r="J859" s="19">
        <v>16000</v>
      </c>
      <c r="K859" s="19">
        <v>16000</v>
      </c>
      <c r="L859" s="621"/>
      <c r="M859" s="19"/>
      <c r="N859" s="19"/>
      <c r="O859" s="19"/>
    </row>
    <row r="860" spans="2:15" x14ac:dyDescent="0.2">
      <c r="B860" s="8">
        <f t="shared" si="41"/>
        <v>403</v>
      </c>
      <c r="C860" s="18"/>
      <c r="D860" s="18"/>
      <c r="E860" s="18"/>
      <c r="F860" s="152"/>
      <c r="G860" s="153">
        <v>633</v>
      </c>
      <c r="H860" s="18" t="s">
        <v>135</v>
      </c>
      <c r="I860" s="19">
        <v>2600</v>
      </c>
      <c r="J860" s="19">
        <v>2600</v>
      </c>
      <c r="K860" s="19">
        <v>2600</v>
      </c>
      <c r="L860" s="621"/>
      <c r="M860" s="19"/>
      <c r="N860" s="19"/>
      <c r="O860" s="19"/>
    </row>
    <row r="861" spans="2:15" x14ac:dyDescent="0.2">
      <c r="B861" s="8">
        <f t="shared" si="41"/>
        <v>404</v>
      </c>
      <c r="C861" s="18"/>
      <c r="D861" s="18"/>
      <c r="E861" s="18"/>
      <c r="F861" s="152"/>
      <c r="G861" s="153">
        <v>635</v>
      </c>
      <c r="H861" s="18" t="s">
        <v>143</v>
      </c>
      <c r="I861" s="19">
        <f>10000-1705</f>
        <v>8295</v>
      </c>
      <c r="J861" s="19">
        <v>8300</v>
      </c>
      <c r="K861" s="19">
        <v>8300</v>
      </c>
      <c r="L861" s="621"/>
      <c r="M861" s="19"/>
      <c r="N861" s="19"/>
      <c r="O861" s="19"/>
    </row>
    <row r="862" spans="2:15" x14ac:dyDescent="0.2">
      <c r="B862" s="8">
        <f t="shared" si="41"/>
        <v>405</v>
      </c>
      <c r="C862" s="18"/>
      <c r="D862" s="18"/>
      <c r="E862" s="18"/>
      <c r="F862" s="152"/>
      <c r="G862" s="153">
        <v>637</v>
      </c>
      <c r="H862" s="18" t="s">
        <v>132</v>
      </c>
      <c r="I862" s="19">
        <v>5500</v>
      </c>
      <c r="J862" s="19">
        <v>5500</v>
      </c>
      <c r="K862" s="19">
        <v>5500</v>
      </c>
      <c r="L862" s="621"/>
      <c r="M862" s="19"/>
      <c r="N862" s="19"/>
      <c r="O862" s="19"/>
    </row>
    <row r="863" spans="2:15" x14ac:dyDescent="0.2">
      <c r="B863" s="8">
        <f t="shared" si="41"/>
        <v>406</v>
      </c>
      <c r="C863" s="24"/>
      <c r="D863" s="24"/>
      <c r="E863" s="24"/>
      <c r="F863" s="149" t="s">
        <v>168</v>
      </c>
      <c r="G863" s="150">
        <v>640</v>
      </c>
      <c r="H863" s="24" t="s">
        <v>139</v>
      </c>
      <c r="I863" s="25">
        <v>3300</v>
      </c>
      <c r="J863" s="25">
        <v>3300</v>
      </c>
      <c r="K863" s="25">
        <v>3300</v>
      </c>
      <c r="L863" s="620"/>
      <c r="M863" s="25"/>
      <c r="N863" s="25"/>
      <c r="O863" s="25"/>
    </row>
    <row r="864" spans="2:15" ht="14.25" x14ac:dyDescent="0.2">
      <c r="B864" s="8">
        <f t="shared" si="41"/>
        <v>407</v>
      </c>
      <c r="C864" s="267"/>
      <c r="D864" s="267"/>
      <c r="E864" s="267">
        <v>10</v>
      </c>
      <c r="F864" s="268"/>
      <c r="G864" s="268"/>
      <c r="H864" s="267" t="s">
        <v>0</v>
      </c>
      <c r="I864" s="269">
        <f>SUM(I865+I866+I867+I872)</f>
        <v>153331</v>
      </c>
      <c r="J864" s="269">
        <f>SUM(J865+J866+J867+J872)</f>
        <v>161075</v>
      </c>
      <c r="K864" s="269">
        <f>SUM(K865+K866+K867+K872)</f>
        <v>168075</v>
      </c>
      <c r="L864" s="619"/>
      <c r="M864" s="269"/>
      <c r="N864" s="269"/>
      <c r="O864" s="269"/>
    </row>
    <row r="865" spans="2:15" x14ac:dyDescent="0.2">
      <c r="B865" s="8">
        <f t="shared" si="41"/>
        <v>408</v>
      </c>
      <c r="C865" s="24"/>
      <c r="D865" s="24"/>
      <c r="E865" s="24"/>
      <c r="F865" s="149" t="s">
        <v>168</v>
      </c>
      <c r="G865" s="150">
        <v>610</v>
      </c>
      <c r="H865" s="24" t="s">
        <v>141</v>
      </c>
      <c r="I865" s="25">
        <v>102200</v>
      </c>
      <c r="J865" s="25">
        <v>108000</v>
      </c>
      <c r="K865" s="25">
        <v>113000</v>
      </c>
      <c r="L865" s="620"/>
      <c r="M865" s="25"/>
      <c r="N865" s="25"/>
      <c r="O865" s="25"/>
    </row>
    <row r="866" spans="2:15" x14ac:dyDescent="0.2">
      <c r="B866" s="8">
        <f t="shared" si="41"/>
        <v>409</v>
      </c>
      <c r="C866" s="24"/>
      <c r="D866" s="24"/>
      <c r="E866" s="24"/>
      <c r="F866" s="149" t="s">
        <v>168</v>
      </c>
      <c r="G866" s="150">
        <v>620</v>
      </c>
      <c r="H866" s="24" t="s">
        <v>134</v>
      </c>
      <c r="I866" s="25">
        <v>36120</v>
      </c>
      <c r="J866" s="25">
        <v>38000</v>
      </c>
      <c r="K866" s="25">
        <v>40000</v>
      </c>
      <c r="L866" s="620"/>
      <c r="M866" s="25"/>
      <c r="N866" s="25"/>
      <c r="O866" s="25"/>
    </row>
    <row r="867" spans="2:15" x14ac:dyDescent="0.2">
      <c r="B867" s="8">
        <f t="shared" si="41"/>
        <v>410</v>
      </c>
      <c r="C867" s="24"/>
      <c r="D867" s="24"/>
      <c r="E867" s="24"/>
      <c r="F867" s="149" t="s">
        <v>168</v>
      </c>
      <c r="G867" s="150">
        <v>630</v>
      </c>
      <c r="H867" s="24" t="s">
        <v>131</v>
      </c>
      <c r="I867" s="25">
        <f>SUM(I868:I871)</f>
        <v>14511</v>
      </c>
      <c r="J867" s="25">
        <f>SUM(J868:J871)</f>
        <v>14575</v>
      </c>
      <c r="K867" s="25">
        <f>SUM(K868:K871)</f>
        <v>14575</v>
      </c>
      <c r="L867" s="620"/>
      <c r="M867" s="25"/>
      <c r="N867" s="25"/>
      <c r="O867" s="25"/>
    </row>
    <row r="868" spans="2:15" x14ac:dyDescent="0.2">
      <c r="B868" s="8">
        <f t="shared" si="41"/>
        <v>411</v>
      </c>
      <c r="C868" s="18"/>
      <c r="D868" s="18"/>
      <c r="E868" s="18"/>
      <c r="F868" s="152"/>
      <c r="G868" s="153">
        <v>632</v>
      </c>
      <c r="H868" s="18" t="s">
        <v>144</v>
      </c>
      <c r="I868" s="19">
        <v>3800</v>
      </c>
      <c r="J868" s="19">
        <v>3800</v>
      </c>
      <c r="K868" s="19">
        <v>3800</v>
      </c>
      <c r="L868" s="621"/>
      <c r="M868" s="19"/>
      <c r="N868" s="19"/>
      <c r="O868" s="19"/>
    </row>
    <row r="869" spans="2:15" x14ac:dyDescent="0.2">
      <c r="B869" s="8">
        <f t="shared" si="41"/>
        <v>412</v>
      </c>
      <c r="C869" s="18"/>
      <c r="D869" s="18"/>
      <c r="E869" s="18"/>
      <c r="F869" s="152"/>
      <c r="G869" s="153">
        <v>633</v>
      </c>
      <c r="H869" s="18" t="s">
        <v>135</v>
      </c>
      <c r="I869" s="19">
        <f>8000-764</f>
        <v>7236</v>
      </c>
      <c r="J869" s="19">
        <v>7300</v>
      </c>
      <c r="K869" s="19">
        <v>7300</v>
      </c>
      <c r="L869" s="621"/>
      <c r="M869" s="19"/>
      <c r="N869" s="19"/>
      <c r="O869" s="19"/>
    </row>
    <row r="870" spans="2:15" x14ac:dyDescent="0.2">
      <c r="B870" s="8">
        <f t="shared" si="41"/>
        <v>413</v>
      </c>
      <c r="C870" s="18"/>
      <c r="D870" s="18"/>
      <c r="E870" s="18"/>
      <c r="F870" s="152"/>
      <c r="G870" s="153">
        <v>635</v>
      </c>
      <c r="H870" s="18" t="s">
        <v>143</v>
      </c>
      <c r="I870" s="19">
        <v>1000</v>
      </c>
      <c r="J870" s="19">
        <v>1000</v>
      </c>
      <c r="K870" s="19">
        <v>1000</v>
      </c>
      <c r="L870" s="621"/>
      <c r="M870" s="19"/>
      <c r="N870" s="19"/>
      <c r="O870" s="19"/>
    </row>
    <row r="871" spans="2:15" x14ac:dyDescent="0.2">
      <c r="B871" s="8">
        <f t="shared" si="41"/>
        <v>414</v>
      </c>
      <c r="C871" s="18"/>
      <c r="D871" s="18"/>
      <c r="E871" s="18"/>
      <c r="F871" s="152"/>
      <c r="G871" s="153">
        <v>637</v>
      </c>
      <c r="H871" s="18" t="s">
        <v>132</v>
      </c>
      <c r="I871" s="19">
        <v>2475</v>
      </c>
      <c r="J871" s="19">
        <v>2475</v>
      </c>
      <c r="K871" s="19">
        <v>2475</v>
      </c>
      <c r="L871" s="621"/>
      <c r="M871" s="19"/>
      <c r="N871" s="19"/>
      <c r="O871" s="19"/>
    </row>
    <row r="872" spans="2:15" x14ac:dyDescent="0.2">
      <c r="B872" s="8">
        <f t="shared" si="41"/>
        <v>415</v>
      </c>
      <c r="C872" s="24"/>
      <c r="D872" s="24"/>
      <c r="E872" s="24"/>
      <c r="F872" s="149" t="s">
        <v>168</v>
      </c>
      <c r="G872" s="150">
        <v>640</v>
      </c>
      <c r="H872" s="24" t="s">
        <v>139</v>
      </c>
      <c r="I872" s="25">
        <v>500</v>
      </c>
      <c r="J872" s="25">
        <v>500</v>
      </c>
      <c r="K872" s="25">
        <v>500</v>
      </c>
      <c r="L872" s="620"/>
      <c r="M872" s="25"/>
      <c r="N872" s="25"/>
      <c r="O872" s="25"/>
    </row>
    <row r="873" spans="2:15" ht="14.25" x14ac:dyDescent="0.2">
      <c r="B873" s="8">
        <f t="shared" si="41"/>
        <v>416</v>
      </c>
      <c r="C873" s="267"/>
      <c r="D873" s="267"/>
      <c r="E873" s="267">
        <v>11</v>
      </c>
      <c r="F873" s="268"/>
      <c r="G873" s="268"/>
      <c r="H873" s="267" t="s">
        <v>8</v>
      </c>
      <c r="I873" s="269">
        <f>I874+I875+I876+I881</f>
        <v>387567</v>
      </c>
      <c r="J873" s="269">
        <f>J874+J875+J876+J881</f>
        <v>395200</v>
      </c>
      <c r="K873" s="269">
        <f>K874+K875+K876+K881</f>
        <v>403200</v>
      </c>
      <c r="L873" s="619"/>
      <c r="M873" s="269"/>
      <c r="N873" s="269"/>
      <c r="O873" s="269"/>
    </row>
    <row r="874" spans="2:15" x14ac:dyDescent="0.2">
      <c r="B874" s="8">
        <f t="shared" si="41"/>
        <v>417</v>
      </c>
      <c r="C874" s="24"/>
      <c r="D874" s="24"/>
      <c r="E874" s="24"/>
      <c r="F874" s="149" t="s">
        <v>168</v>
      </c>
      <c r="G874" s="150">
        <v>610</v>
      </c>
      <c r="H874" s="24" t="s">
        <v>141</v>
      </c>
      <c r="I874" s="25">
        <v>252970</v>
      </c>
      <c r="J874" s="25">
        <v>258000</v>
      </c>
      <c r="K874" s="25">
        <v>263000</v>
      </c>
      <c r="L874" s="620"/>
      <c r="M874" s="25"/>
      <c r="N874" s="25"/>
      <c r="O874" s="25"/>
    </row>
    <row r="875" spans="2:15" x14ac:dyDescent="0.2">
      <c r="B875" s="8">
        <f t="shared" si="41"/>
        <v>418</v>
      </c>
      <c r="C875" s="24"/>
      <c r="D875" s="24"/>
      <c r="E875" s="24"/>
      <c r="F875" s="149" t="s">
        <v>168</v>
      </c>
      <c r="G875" s="150">
        <v>620</v>
      </c>
      <c r="H875" s="24" t="s">
        <v>134</v>
      </c>
      <c r="I875" s="25">
        <v>95435</v>
      </c>
      <c r="J875" s="25">
        <v>98000</v>
      </c>
      <c r="K875" s="25">
        <v>101000</v>
      </c>
      <c r="L875" s="620"/>
      <c r="M875" s="25"/>
      <c r="N875" s="25"/>
      <c r="O875" s="25"/>
    </row>
    <row r="876" spans="2:15" x14ac:dyDescent="0.2">
      <c r="B876" s="8">
        <f t="shared" si="41"/>
        <v>419</v>
      </c>
      <c r="C876" s="24"/>
      <c r="D876" s="24"/>
      <c r="E876" s="24"/>
      <c r="F876" s="149" t="s">
        <v>168</v>
      </c>
      <c r="G876" s="150">
        <v>630</v>
      </c>
      <c r="H876" s="24" t="s">
        <v>131</v>
      </c>
      <c r="I876" s="25">
        <f>SUM(I877:I880)</f>
        <v>34162</v>
      </c>
      <c r="J876" s="25">
        <f>SUM(J877:J880)</f>
        <v>34200</v>
      </c>
      <c r="K876" s="25">
        <f>SUM(K877:K880)</f>
        <v>34200</v>
      </c>
      <c r="L876" s="620"/>
      <c r="M876" s="25"/>
      <c r="N876" s="25"/>
      <c r="O876" s="25"/>
    </row>
    <row r="877" spans="2:15" x14ac:dyDescent="0.2">
      <c r="B877" s="8">
        <f t="shared" si="41"/>
        <v>420</v>
      </c>
      <c r="C877" s="18"/>
      <c r="D877" s="18"/>
      <c r="E877" s="18"/>
      <c r="F877" s="152"/>
      <c r="G877" s="153">
        <v>632</v>
      </c>
      <c r="H877" s="18" t="s">
        <v>144</v>
      </c>
      <c r="I877" s="19">
        <v>16100</v>
      </c>
      <c r="J877" s="19">
        <v>16100</v>
      </c>
      <c r="K877" s="19">
        <v>16100</v>
      </c>
      <c r="L877" s="621"/>
      <c r="M877" s="19"/>
      <c r="N877" s="19"/>
      <c r="O877" s="19"/>
    </row>
    <row r="878" spans="2:15" x14ac:dyDescent="0.2">
      <c r="B878" s="8">
        <f t="shared" si="41"/>
        <v>421</v>
      </c>
      <c r="C878" s="18"/>
      <c r="D878" s="18"/>
      <c r="E878" s="18"/>
      <c r="F878" s="152"/>
      <c r="G878" s="153">
        <v>633</v>
      </c>
      <c r="H878" s="18" t="s">
        <v>135</v>
      </c>
      <c r="I878" s="19">
        <f>7260-1798</f>
        <v>5462</v>
      </c>
      <c r="J878" s="19">
        <v>5500</v>
      </c>
      <c r="K878" s="19">
        <v>5500</v>
      </c>
      <c r="L878" s="621"/>
      <c r="M878" s="19"/>
      <c r="N878" s="19"/>
      <c r="O878" s="19"/>
    </row>
    <row r="879" spans="2:15" x14ac:dyDescent="0.2">
      <c r="B879" s="8">
        <f t="shared" si="41"/>
        <v>422</v>
      </c>
      <c r="C879" s="18"/>
      <c r="D879" s="18"/>
      <c r="E879" s="18"/>
      <c r="F879" s="152"/>
      <c r="G879" s="153">
        <v>635</v>
      </c>
      <c r="H879" s="18" t="s">
        <v>143</v>
      </c>
      <c r="I879" s="19">
        <v>3000</v>
      </c>
      <c r="J879" s="19">
        <v>3000</v>
      </c>
      <c r="K879" s="19">
        <v>3000</v>
      </c>
      <c r="L879" s="621"/>
      <c r="M879" s="19"/>
      <c r="N879" s="19"/>
      <c r="O879" s="19"/>
    </row>
    <row r="880" spans="2:15" x14ac:dyDescent="0.2">
      <c r="B880" s="8">
        <f t="shared" si="41"/>
        <v>423</v>
      </c>
      <c r="C880" s="18"/>
      <c r="D880" s="18"/>
      <c r="E880" s="18"/>
      <c r="F880" s="152"/>
      <c r="G880" s="153">
        <v>637</v>
      </c>
      <c r="H880" s="18" t="s">
        <v>132</v>
      </c>
      <c r="I880" s="19">
        <v>9600</v>
      </c>
      <c r="J880" s="19">
        <v>9600</v>
      </c>
      <c r="K880" s="19">
        <v>9600</v>
      </c>
      <c r="L880" s="621"/>
      <c r="M880" s="19"/>
      <c r="N880" s="19"/>
      <c r="O880" s="19"/>
    </row>
    <row r="881" spans="2:15" x14ac:dyDescent="0.2">
      <c r="B881" s="8">
        <f t="shared" si="41"/>
        <v>424</v>
      </c>
      <c r="C881" s="24"/>
      <c r="D881" s="24"/>
      <c r="E881" s="24"/>
      <c r="F881" s="149" t="s">
        <v>168</v>
      </c>
      <c r="G881" s="150">
        <v>640</v>
      </c>
      <c r="H881" s="24" t="s">
        <v>139</v>
      </c>
      <c r="I881" s="25">
        <v>5000</v>
      </c>
      <c r="J881" s="25">
        <v>5000</v>
      </c>
      <c r="K881" s="25">
        <v>5000</v>
      </c>
      <c r="L881" s="620"/>
      <c r="M881" s="25"/>
      <c r="N881" s="25"/>
      <c r="O881" s="25"/>
    </row>
    <row r="882" spans="2:15" ht="14.25" x14ac:dyDescent="0.2">
      <c r="B882" s="8">
        <f t="shared" si="41"/>
        <v>425</v>
      </c>
      <c r="C882" s="267"/>
      <c r="D882" s="267"/>
      <c r="E882" s="267">
        <v>12</v>
      </c>
      <c r="F882" s="268"/>
      <c r="G882" s="268"/>
      <c r="H882" s="267" t="s">
        <v>6</v>
      </c>
      <c r="I882" s="269">
        <f>I883+I884+I885+I890</f>
        <v>330400</v>
      </c>
      <c r="J882" s="269">
        <f>J883+J884+J885+J890</f>
        <v>336960</v>
      </c>
      <c r="K882" s="269">
        <f>K883+K884+K885+K890</f>
        <v>343960</v>
      </c>
      <c r="L882" s="619"/>
      <c r="M882" s="269"/>
      <c r="N882" s="269"/>
      <c r="O882" s="269"/>
    </row>
    <row r="883" spans="2:15" x14ac:dyDescent="0.2">
      <c r="B883" s="8">
        <f t="shared" si="41"/>
        <v>426</v>
      </c>
      <c r="C883" s="24"/>
      <c r="D883" s="24"/>
      <c r="E883" s="24"/>
      <c r="F883" s="149" t="s">
        <v>168</v>
      </c>
      <c r="G883" s="150">
        <v>610</v>
      </c>
      <c r="H883" s="24" t="s">
        <v>141</v>
      </c>
      <c r="I883" s="25">
        <v>220640</v>
      </c>
      <c r="J883" s="25">
        <v>225000</v>
      </c>
      <c r="K883" s="25">
        <v>230000</v>
      </c>
      <c r="L883" s="620"/>
      <c r="M883" s="25"/>
      <c r="N883" s="25"/>
      <c r="O883" s="25"/>
    </row>
    <row r="884" spans="2:15" x14ac:dyDescent="0.2">
      <c r="B884" s="8">
        <f t="shared" si="41"/>
        <v>427</v>
      </c>
      <c r="C884" s="24"/>
      <c r="D884" s="24"/>
      <c r="E884" s="24"/>
      <c r="F884" s="149" t="s">
        <v>168</v>
      </c>
      <c r="G884" s="150">
        <v>620</v>
      </c>
      <c r="H884" s="24" t="s">
        <v>134</v>
      </c>
      <c r="I884" s="25">
        <v>76800</v>
      </c>
      <c r="J884" s="25">
        <v>79000</v>
      </c>
      <c r="K884" s="25">
        <v>81000</v>
      </c>
      <c r="L884" s="620"/>
      <c r="M884" s="25"/>
      <c r="N884" s="25"/>
      <c r="O884" s="25"/>
    </row>
    <row r="885" spans="2:15" x14ac:dyDescent="0.2">
      <c r="B885" s="8">
        <f t="shared" si="41"/>
        <v>428</v>
      </c>
      <c r="C885" s="24"/>
      <c r="D885" s="24"/>
      <c r="E885" s="24"/>
      <c r="F885" s="149" t="s">
        <v>168</v>
      </c>
      <c r="G885" s="150">
        <v>630</v>
      </c>
      <c r="H885" s="24" t="s">
        <v>131</v>
      </c>
      <c r="I885" s="25">
        <f>SUM(I886:I889)</f>
        <v>25460</v>
      </c>
      <c r="J885" s="25">
        <f>SUM(J886:J889)</f>
        <v>25460</v>
      </c>
      <c r="K885" s="25">
        <f>SUM(K886:K889)</f>
        <v>25460</v>
      </c>
      <c r="L885" s="620"/>
      <c r="M885" s="25"/>
      <c r="N885" s="25"/>
      <c r="O885" s="25"/>
    </row>
    <row r="886" spans="2:15" x14ac:dyDescent="0.2">
      <c r="B886" s="8">
        <f t="shared" si="41"/>
        <v>429</v>
      </c>
      <c r="C886" s="18"/>
      <c r="D886" s="18"/>
      <c r="E886" s="18"/>
      <c r="F886" s="152"/>
      <c r="G886" s="153">
        <v>631</v>
      </c>
      <c r="H886" s="18" t="s">
        <v>137</v>
      </c>
      <c r="I886" s="19">
        <v>100</v>
      </c>
      <c r="J886" s="19">
        <v>100</v>
      </c>
      <c r="K886" s="19">
        <v>100</v>
      </c>
      <c r="L886" s="621"/>
      <c r="M886" s="19"/>
      <c r="N886" s="19"/>
      <c r="O886" s="19"/>
    </row>
    <row r="887" spans="2:15" x14ac:dyDescent="0.2">
      <c r="B887" s="8">
        <f t="shared" si="41"/>
        <v>430</v>
      </c>
      <c r="C887" s="18"/>
      <c r="D887" s="18"/>
      <c r="E887" s="18"/>
      <c r="F887" s="152"/>
      <c r="G887" s="153">
        <v>632</v>
      </c>
      <c r="H887" s="18" t="s">
        <v>144</v>
      </c>
      <c r="I887" s="19">
        <v>11000</v>
      </c>
      <c r="J887" s="19">
        <v>11000</v>
      </c>
      <c r="K887" s="19">
        <v>11000</v>
      </c>
      <c r="L887" s="621"/>
      <c r="M887" s="19"/>
      <c r="N887" s="19"/>
      <c r="O887" s="19"/>
    </row>
    <row r="888" spans="2:15" x14ac:dyDescent="0.2">
      <c r="B888" s="8">
        <f t="shared" si="41"/>
        <v>431</v>
      </c>
      <c r="C888" s="18"/>
      <c r="D888" s="18"/>
      <c r="E888" s="18"/>
      <c r="F888" s="152"/>
      <c r="G888" s="153">
        <v>633</v>
      </c>
      <c r="H888" s="18" t="s">
        <v>135</v>
      </c>
      <c r="I888" s="19">
        <f>11100-1340</f>
        <v>9760</v>
      </c>
      <c r="J888" s="19">
        <f>11100-1340</f>
        <v>9760</v>
      </c>
      <c r="K888" s="19">
        <f>11100-1340</f>
        <v>9760</v>
      </c>
      <c r="L888" s="621"/>
      <c r="M888" s="19"/>
      <c r="N888" s="19"/>
      <c r="O888" s="19"/>
    </row>
    <row r="889" spans="2:15" x14ac:dyDescent="0.2">
      <c r="B889" s="8">
        <f t="shared" si="41"/>
        <v>432</v>
      </c>
      <c r="C889" s="18"/>
      <c r="D889" s="18"/>
      <c r="E889" s="18"/>
      <c r="F889" s="152"/>
      <c r="G889" s="153">
        <v>637</v>
      </c>
      <c r="H889" s="18" t="s">
        <v>132</v>
      </c>
      <c r="I889" s="19">
        <v>4600</v>
      </c>
      <c r="J889" s="19">
        <v>4600</v>
      </c>
      <c r="K889" s="19">
        <v>4600</v>
      </c>
      <c r="L889" s="621"/>
      <c r="M889" s="19"/>
      <c r="N889" s="19"/>
      <c r="O889" s="19"/>
    </row>
    <row r="890" spans="2:15" x14ac:dyDescent="0.2">
      <c r="B890" s="8">
        <f t="shared" si="41"/>
        <v>433</v>
      </c>
      <c r="C890" s="24"/>
      <c r="D890" s="24"/>
      <c r="E890" s="24"/>
      <c r="F890" s="149" t="s">
        <v>168</v>
      </c>
      <c r="G890" s="150">
        <v>640</v>
      </c>
      <c r="H890" s="24" t="s">
        <v>139</v>
      </c>
      <c r="I890" s="25">
        <v>7500</v>
      </c>
      <c r="J890" s="25">
        <v>7500</v>
      </c>
      <c r="K890" s="25">
        <v>7500</v>
      </c>
      <c r="L890" s="620"/>
      <c r="M890" s="25"/>
      <c r="N890" s="25"/>
      <c r="O890" s="25"/>
    </row>
    <row r="891" spans="2:15" ht="14.25" x14ac:dyDescent="0.2">
      <c r="B891" s="8">
        <f t="shared" si="41"/>
        <v>434</v>
      </c>
      <c r="C891" s="267"/>
      <c r="D891" s="267"/>
      <c r="E891" s="267">
        <v>13</v>
      </c>
      <c r="F891" s="268"/>
      <c r="G891" s="268"/>
      <c r="H891" s="267" t="s">
        <v>14</v>
      </c>
      <c r="I891" s="269">
        <f>I892+I893+I894+I899</f>
        <v>115627</v>
      </c>
      <c r="J891" s="269">
        <f>J892+J893+J894+J899</f>
        <v>121880</v>
      </c>
      <c r="K891" s="269">
        <f>K892+K893+K894+K899</f>
        <v>128880</v>
      </c>
      <c r="L891" s="619"/>
      <c r="M891" s="269"/>
      <c r="N891" s="269"/>
      <c r="O891" s="269"/>
    </row>
    <row r="892" spans="2:15" x14ac:dyDescent="0.2">
      <c r="B892" s="8">
        <f t="shared" si="41"/>
        <v>435</v>
      </c>
      <c r="C892" s="24"/>
      <c r="D892" s="24"/>
      <c r="E892" s="24"/>
      <c r="F892" s="149" t="s">
        <v>168</v>
      </c>
      <c r="G892" s="150">
        <v>610</v>
      </c>
      <c r="H892" s="24" t="s">
        <v>141</v>
      </c>
      <c r="I892" s="25">
        <v>67340</v>
      </c>
      <c r="J892" s="25">
        <v>71000</v>
      </c>
      <c r="K892" s="25">
        <v>76000</v>
      </c>
      <c r="L892" s="620"/>
      <c r="M892" s="25"/>
      <c r="N892" s="25"/>
      <c r="O892" s="25"/>
    </row>
    <row r="893" spans="2:15" x14ac:dyDescent="0.2">
      <c r="B893" s="8">
        <f t="shared" si="41"/>
        <v>436</v>
      </c>
      <c r="C893" s="24"/>
      <c r="D893" s="24"/>
      <c r="E893" s="24"/>
      <c r="F893" s="149" t="s">
        <v>168</v>
      </c>
      <c r="G893" s="150">
        <v>620</v>
      </c>
      <c r="H893" s="24" t="s">
        <v>134</v>
      </c>
      <c r="I893" s="25">
        <v>24410</v>
      </c>
      <c r="J893" s="25">
        <v>27000</v>
      </c>
      <c r="K893" s="25">
        <v>29000</v>
      </c>
      <c r="L893" s="620"/>
      <c r="M893" s="25"/>
      <c r="N893" s="25"/>
      <c r="O893" s="25"/>
    </row>
    <row r="894" spans="2:15" x14ac:dyDescent="0.2">
      <c r="B894" s="8">
        <f t="shared" si="41"/>
        <v>437</v>
      </c>
      <c r="C894" s="24"/>
      <c r="D894" s="24"/>
      <c r="E894" s="24"/>
      <c r="F894" s="149" t="s">
        <v>168</v>
      </c>
      <c r="G894" s="150">
        <v>630</v>
      </c>
      <c r="H894" s="24" t="s">
        <v>131</v>
      </c>
      <c r="I894" s="25">
        <f>SUM(I895:I898)</f>
        <v>20976</v>
      </c>
      <c r="J894" s="25">
        <f>SUM(J895:J898)</f>
        <v>20980</v>
      </c>
      <c r="K894" s="25">
        <f>SUM(K895:K898)</f>
        <v>20980</v>
      </c>
      <c r="L894" s="620"/>
      <c r="M894" s="25"/>
      <c r="N894" s="25"/>
      <c r="O894" s="25"/>
    </row>
    <row r="895" spans="2:15" x14ac:dyDescent="0.2">
      <c r="B895" s="8">
        <f t="shared" si="41"/>
        <v>438</v>
      </c>
      <c r="C895" s="18"/>
      <c r="D895" s="18"/>
      <c r="E895" s="18"/>
      <c r="F895" s="152"/>
      <c r="G895" s="153">
        <v>632</v>
      </c>
      <c r="H895" s="18" t="s">
        <v>144</v>
      </c>
      <c r="I895" s="19">
        <v>12900</v>
      </c>
      <c r="J895" s="19">
        <v>12900</v>
      </c>
      <c r="K895" s="19">
        <v>12900</v>
      </c>
      <c r="L895" s="621"/>
      <c r="M895" s="19"/>
      <c r="N895" s="19"/>
      <c r="O895" s="19"/>
    </row>
    <row r="896" spans="2:15" x14ac:dyDescent="0.2">
      <c r="B896" s="8">
        <f t="shared" si="41"/>
        <v>439</v>
      </c>
      <c r="C896" s="18"/>
      <c r="D896" s="18"/>
      <c r="E896" s="18"/>
      <c r="F896" s="152"/>
      <c r="G896" s="153">
        <v>633</v>
      </c>
      <c r="H896" s="18" t="s">
        <v>135</v>
      </c>
      <c r="I896" s="19">
        <f>4500-1104</f>
        <v>3396</v>
      </c>
      <c r="J896" s="19">
        <v>3400</v>
      </c>
      <c r="K896" s="19">
        <v>3400</v>
      </c>
      <c r="L896" s="621"/>
      <c r="M896" s="19"/>
      <c r="N896" s="19"/>
      <c r="O896" s="19"/>
    </row>
    <row r="897" spans="2:15" x14ac:dyDescent="0.2">
      <c r="B897" s="8">
        <f t="shared" si="41"/>
        <v>440</v>
      </c>
      <c r="C897" s="18"/>
      <c r="D897" s="18"/>
      <c r="E897" s="18"/>
      <c r="F897" s="152"/>
      <c r="G897" s="153">
        <v>635</v>
      </c>
      <c r="H897" s="18" t="s">
        <v>143</v>
      </c>
      <c r="I897" s="19">
        <v>3500</v>
      </c>
      <c r="J897" s="19">
        <v>3500</v>
      </c>
      <c r="K897" s="19">
        <v>3500</v>
      </c>
      <c r="L897" s="621"/>
      <c r="M897" s="19"/>
      <c r="N897" s="19"/>
      <c r="O897" s="19"/>
    </row>
    <row r="898" spans="2:15" x14ac:dyDescent="0.2">
      <c r="B898" s="8">
        <f t="shared" si="41"/>
        <v>441</v>
      </c>
      <c r="C898" s="18"/>
      <c r="D898" s="18"/>
      <c r="E898" s="18"/>
      <c r="F898" s="152"/>
      <c r="G898" s="153">
        <v>637</v>
      </c>
      <c r="H898" s="18" t="s">
        <v>132</v>
      </c>
      <c r="I898" s="19">
        <v>1180</v>
      </c>
      <c r="J898" s="19">
        <v>1180</v>
      </c>
      <c r="K898" s="19">
        <v>1180</v>
      </c>
      <c r="L898" s="621"/>
      <c r="M898" s="19"/>
      <c r="N898" s="19"/>
      <c r="O898" s="19"/>
    </row>
    <row r="899" spans="2:15" x14ac:dyDescent="0.2">
      <c r="B899" s="8">
        <f t="shared" si="41"/>
        <v>442</v>
      </c>
      <c r="C899" s="24"/>
      <c r="D899" s="24"/>
      <c r="E899" s="24"/>
      <c r="F899" s="149" t="s">
        <v>168</v>
      </c>
      <c r="G899" s="150">
        <v>640</v>
      </c>
      <c r="H899" s="24" t="s">
        <v>139</v>
      </c>
      <c r="I899" s="25">
        <v>2901</v>
      </c>
      <c r="J899" s="25">
        <v>2900</v>
      </c>
      <c r="K899" s="25">
        <v>2900</v>
      </c>
      <c r="L899" s="620"/>
      <c r="M899" s="25"/>
      <c r="N899" s="25"/>
      <c r="O899" s="25"/>
    </row>
    <row r="900" spans="2:15" ht="14.25" x14ac:dyDescent="0.2">
      <c r="B900" s="8">
        <f t="shared" si="41"/>
        <v>443</v>
      </c>
      <c r="C900" s="267"/>
      <c r="D900" s="267"/>
      <c r="E900" s="267">
        <v>14</v>
      </c>
      <c r="F900" s="268"/>
      <c r="G900" s="268"/>
      <c r="H900" s="267" t="s">
        <v>1</v>
      </c>
      <c r="I900" s="269">
        <f>I901+I902+I903+I910</f>
        <v>1753085</v>
      </c>
      <c r="J900" s="269">
        <f>J901+J902+J903+J910</f>
        <v>1765100</v>
      </c>
      <c r="K900" s="269">
        <f>K901+K902+K903+K910</f>
        <v>1780100</v>
      </c>
      <c r="L900" s="619"/>
      <c r="M900" s="269">
        <f>M911</f>
        <v>60000</v>
      </c>
      <c r="N900" s="269"/>
      <c r="O900" s="269"/>
    </row>
    <row r="901" spans="2:15" x14ac:dyDescent="0.2">
      <c r="B901" s="8">
        <f t="shared" si="41"/>
        <v>444</v>
      </c>
      <c r="C901" s="24"/>
      <c r="D901" s="24"/>
      <c r="E901" s="24"/>
      <c r="F901" s="149" t="s">
        <v>168</v>
      </c>
      <c r="G901" s="150">
        <v>610</v>
      </c>
      <c r="H901" s="24" t="s">
        <v>141</v>
      </c>
      <c r="I901" s="25">
        <f>828100+48600+84900+10800+156000</f>
        <v>1128400</v>
      </c>
      <c r="J901" s="25">
        <v>1138000</v>
      </c>
      <c r="K901" s="25">
        <v>1148000</v>
      </c>
      <c r="L901" s="620"/>
      <c r="M901" s="25"/>
      <c r="N901" s="25"/>
      <c r="O901" s="25"/>
    </row>
    <row r="902" spans="2:15" x14ac:dyDescent="0.2">
      <c r="B902" s="8">
        <f t="shared" si="41"/>
        <v>445</v>
      </c>
      <c r="C902" s="24"/>
      <c r="D902" s="24"/>
      <c r="E902" s="24"/>
      <c r="F902" s="149" t="s">
        <v>168</v>
      </c>
      <c r="G902" s="150">
        <v>620</v>
      </c>
      <c r="H902" s="24" t="s">
        <v>134</v>
      </c>
      <c r="I902" s="25">
        <f>63408+9984+5616+34992+13774+2184+137676+21840+7870+1248+29010+4608+9770+1460+46750+7410</f>
        <v>397600</v>
      </c>
      <c r="J902" s="25">
        <v>400000</v>
      </c>
      <c r="K902" s="25">
        <v>405000</v>
      </c>
      <c r="L902" s="620"/>
      <c r="M902" s="25"/>
      <c r="N902" s="25"/>
      <c r="O902" s="25"/>
    </row>
    <row r="903" spans="2:15" x14ac:dyDescent="0.2">
      <c r="B903" s="8">
        <f t="shared" si="41"/>
        <v>446</v>
      </c>
      <c r="C903" s="24"/>
      <c r="D903" s="24"/>
      <c r="E903" s="24"/>
      <c r="F903" s="149" t="s">
        <v>168</v>
      </c>
      <c r="G903" s="150">
        <v>630</v>
      </c>
      <c r="H903" s="24" t="s">
        <v>131</v>
      </c>
      <c r="I903" s="25">
        <f>SUM(I904:I909)</f>
        <v>209285</v>
      </c>
      <c r="J903" s="25">
        <f>SUM(J904:J909)</f>
        <v>209300</v>
      </c>
      <c r="K903" s="25">
        <f>SUM(K904:K909)</f>
        <v>209300</v>
      </c>
      <c r="L903" s="620"/>
      <c r="M903" s="25"/>
      <c r="N903" s="25"/>
      <c r="O903" s="25"/>
    </row>
    <row r="904" spans="2:15" x14ac:dyDescent="0.2">
      <c r="B904" s="8">
        <f t="shared" si="41"/>
        <v>447</v>
      </c>
      <c r="C904" s="18"/>
      <c r="D904" s="18"/>
      <c r="E904" s="18"/>
      <c r="F904" s="152"/>
      <c r="G904" s="153">
        <v>631</v>
      </c>
      <c r="H904" s="18" t="s">
        <v>137</v>
      </c>
      <c r="I904" s="19">
        <v>600</v>
      </c>
      <c r="J904" s="19">
        <v>600</v>
      </c>
      <c r="K904" s="19">
        <v>600</v>
      </c>
      <c r="L904" s="621"/>
      <c r="M904" s="19"/>
      <c r="N904" s="19"/>
      <c r="O904" s="19"/>
    </row>
    <row r="905" spans="2:15" x14ac:dyDescent="0.2">
      <c r="B905" s="8">
        <f t="shared" si="41"/>
        <v>448</v>
      </c>
      <c r="C905" s="18"/>
      <c r="D905" s="18"/>
      <c r="E905" s="18"/>
      <c r="F905" s="152"/>
      <c r="G905" s="153">
        <v>632</v>
      </c>
      <c r="H905" s="18" t="s">
        <v>144</v>
      </c>
      <c r="I905" s="19">
        <f>9300+73500+700+900+900+400+300+2700-3000</f>
        <v>85700</v>
      </c>
      <c r="J905" s="19">
        <f>9300+73500+700+900+900+400+300+2700-3000</f>
        <v>85700</v>
      </c>
      <c r="K905" s="19">
        <f>9300+73500+700+900+900+400+300+2700-3000</f>
        <v>85700</v>
      </c>
      <c r="L905" s="621"/>
      <c r="M905" s="19"/>
      <c r="N905" s="19"/>
      <c r="O905" s="19"/>
    </row>
    <row r="906" spans="2:15" x14ac:dyDescent="0.2">
      <c r="B906" s="8">
        <f t="shared" si="41"/>
        <v>449</v>
      </c>
      <c r="C906" s="18"/>
      <c r="D906" s="18"/>
      <c r="E906" s="18"/>
      <c r="F906" s="152"/>
      <c r="G906" s="153">
        <v>633</v>
      </c>
      <c r="H906" s="18" t="s">
        <v>135</v>
      </c>
      <c r="I906" s="19">
        <f>3000+6000+1000+800+4600+1500+1200+300+1000+500+100-5000</f>
        <v>15000</v>
      </c>
      <c r="J906" s="19">
        <f>3000+6000+1000+800+4600+1500+1200+300+1000+500+100-5000</f>
        <v>15000</v>
      </c>
      <c r="K906" s="19">
        <f>3000+6000+1000+800+4600+1500+1200+300+1000+500+100-5000</f>
        <v>15000</v>
      </c>
      <c r="L906" s="621"/>
      <c r="M906" s="19"/>
      <c r="N906" s="19"/>
      <c r="O906" s="19"/>
    </row>
    <row r="907" spans="2:15" x14ac:dyDescent="0.2">
      <c r="B907" s="8">
        <f t="shared" si="41"/>
        <v>450</v>
      </c>
      <c r="C907" s="18"/>
      <c r="D907" s="18"/>
      <c r="E907" s="18"/>
      <c r="F907" s="152"/>
      <c r="G907" s="153">
        <v>635</v>
      </c>
      <c r="H907" s="18" t="s">
        <v>143</v>
      </c>
      <c r="I907" s="19">
        <f>100+10000+10000</f>
        <v>20100</v>
      </c>
      <c r="J907" s="19">
        <f>100+10000+10000</f>
        <v>20100</v>
      </c>
      <c r="K907" s="19">
        <f>100+10000+10000</f>
        <v>20100</v>
      </c>
      <c r="L907" s="621"/>
      <c r="M907" s="19"/>
      <c r="N907" s="19"/>
      <c r="O907" s="19"/>
    </row>
    <row r="908" spans="2:15" x14ac:dyDescent="0.2">
      <c r="B908" s="8">
        <f t="shared" si="41"/>
        <v>451</v>
      </c>
      <c r="C908" s="18"/>
      <c r="D908" s="18"/>
      <c r="E908" s="18"/>
      <c r="F908" s="152"/>
      <c r="G908" s="153">
        <v>636</v>
      </c>
      <c r="H908" s="18" t="s">
        <v>136</v>
      </c>
      <c r="I908" s="19">
        <v>2500</v>
      </c>
      <c r="J908" s="19">
        <v>2500</v>
      </c>
      <c r="K908" s="19">
        <v>2500</v>
      </c>
      <c r="L908" s="621"/>
      <c r="M908" s="19"/>
      <c r="N908" s="19"/>
      <c r="O908" s="19"/>
    </row>
    <row r="909" spans="2:15" x14ac:dyDescent="0.2">
      <c r="B909" s="8">
        <f t="shared" si="41"/>
        <v>452</v>
      </c>
      <c r="C909" s="18"/>
      <c r="D909" s="18"/>
      <c r="E909" s="18"/>
      <c r="F909" s="152"/>
      <c r="G909" s="153">
        <v>637</v>
      </c>
      <c r="H909" s="18" t="s">
        <v>132</v>
      </c>
      <c r="I909" s="19">
        <f>200+200+200+10000+800+200+13000+500+46700+900+11000+2000+2700-3015</f>
        <v>85385</v>
      </c>
      <c r="J909" s="19">
        <v>85400</v>
      </c>
      <c r="K909" s="19">
        <v>85400</v>
      </c>
      <c r="L909" s="621"/>
      <c r="M909" s="19"/>
      <c r="N909" s="19"/>
      <c r="O909" s="19"/>
    </row>
    <row r="910" spans="2:15" x14ac:dyDescent="0.2">
      <c r="B910" s="8">
        <f t="shared" si="41"/>
        <v>453</v>
      </c>
      <c r="C910" s="24"/>
      <c r="D910" s="24"/>
      <c r="E910" s="24"/>
      <c r="F910" s="149" t="s">
        <v>168</v>
      </c>
      <c r="G910" s="150">
        <v>640</v>
      </c>
      <c r="H910" s="24" t="s">
        <v>139</v>
      </c>
      <c r="I910" s="25">
        <f>200+4500+10400+2700</f>
        <v>17800</v>
      </c>
      <c r="J910" s="25">
        <f>200+4500+10400+2700</f>
        <v>17800</v>
      </c>
      <c r="K910" s="25">
        <f>200+4500+10400+2700</f>
        <v>17800</v>
      </c>
      <c r="L910" s="620"/>
      <c r="M910" s="25"/>
      <c r="N910" s="25"/>
      <c r="O910" s="25"/>
    </row>
    <row r="911" spans="2:15" x14ac:dyDescent="0.2">
      <c r="B911" s="8">
        <f t="shared" si="41"/>
        <v>454</v>
      </c>
      <c r="C911" s="24"/>
      <c r="D911" s="24"/>
      <c r="E911" s="24"/>
      <c r="F911" s="149" t="s">
        <v>168</v>
      </c>
      <c r="G911" s="150">
        <v>710</v>
      </c>
      <c r="H911" s="24" t="s">
        <v>185</v>
      </c>
      <c r="I911" s="25"/>
      <c r="J911" s="25"/>
      <c r="K911" s="25"/>
      <c r="L911" s="620"/>
      <c r="M911" s="25">
        <f t="shared" ref="M911:M912" si="42">M912</f>
        <v>60000</v>
      </c>
      <c r="N911" s="25"/>
      <c r="O911" s="25"/>
    </row>
    <row r="912" spans="2:15" x14ac:dyDescent="0.2">
      <c r="B912" s="8">
        <f t="shared" si="41"/>
        <v>455</v>
      </c>
      <c r="C912" s="24"/>
      <c r="D912" s="24"/>
      <c r="E912" s="24"/>
      <c r="F912" s="149"/>
      <c r="G912" s="153">
        <v>713</v>
      </c>
      <c r="H912" s="18" t="s">
        <v>230</v>
      </c>
      <c r="I912" s="25"/>
      <c r="J912" s="25"/>
      <c r="K912" s="25"/>
      <c r="L912" s="620"/>
      <c r="M912" s="19">
        <f t="shared" si="42"/>
        <v>60000</v>
      </c>
      <c r="N912" s="19"/>
      <c r="O912" s="19"/>
    </row>
    <row r="913" spans="2:15" x14ac:dyDescent="0.2">
      <c r="B913" s="8">
        <f t="shared" si="41"/>
        <v>456</v>
      </c>
      <c r="C913" s="24"/>
      <c r="D913" s="24"/>
      <c r="E913" s="24"/>
      <c r="F913" s="149"/>
      <c r="G913" s="155"/>
      <c r="H913" s="156" t="s">
        <v>1089</v>
      </c>
      <c r="I913" s="25"/>
      <c r="J913" s="25"/>
      <c r="K913" s="25"/>
      <c r="L913" s="620"/>
      <c r="M913" s="157">
        <v>60000</v>
      </c>
      <c r="N913" s="157"/>
      <c r="O913" s="157"/>
    </row>
    <row r="914" spans="2:15" ht="15.75" x14ac:dyDescent="0.25">
      <c r="B914" s="8">
        <f t="shared" si="41"/>
        <v>457</v>
      </c>
      <c r="C914" s="141">
        <v>4</v>
      </c>
      <c r="D914" s="677" t="s">
        <v>171</v>
      </c>
      <c r="E914" s="678"/>
      <c r="F914" s="678"/>
      <c r="G914" s="678"/>
      <c r="H914" s="678"/>
      <c r="I914" s="142">
        <f>I915+I922+I1036+I1053+I1068+I1085+I1104+I1121+I1139</f>
        <v>5182187</v>
      </c>
      <c r="J914" s="142">
        <f>J915+J922+J1036+J1053+J1068+J1085+J1104+J1121+J1139</f>
        <v>5255177</v>
      </c>
      <c r="K914" s="142">
        <f>K915+K922+K1036+K1053+K1068+K1085+K1104+K1121+K1139</f>
        <v>5321777</v>
      </c>
      <c r="L914" s="618"/>
      <c r="M914" s="142"/>
      <c r="N914" s="142"/>
      <c r="O914" s="142"/>
    </row>
    <row r="915" spans="2:15" x14ac:dyDescent="0.2">
      <c r="B915" s="8">
        <f t="shared" si="41"/>
        <v>458</v>
      </c>
      <c r="C915" s="24"/>
      <c r="D915" s="24"/>
      <c r="E915" s="24"/>
      <c r="F915" s="149" t="s">
        <v>170</v>
      </c>
      <c r="G915" s="150">
        <v>640</v>
      </c>
      <c r="H915" s="24" t="s">
        <v>139</v>
      </c>
      <c r="I915" s="25">
        <f>SUM(I916:I921)</f>
        <v>275220</v>
      </c>
      <c r="J915" s="25">
        <f>SUM(J916:J921)</f>
        <v>294000</v>
      </c>
      <c r="K915" s="25">
        <f>SUM(K916:K921)</f>
        <v>311000</v>
      </c>
      <c r="L915" s="620"/>
      <c r="M915" s="25"/>
      <c r="N915" s="25"/>
      <c r="O915" s="25"/>
    </row>
    <row r="916" spans="2:15" x14ac:dyDescent="0.2">
      <c r="B916" s="8">
        <f t="shared" si="41"/>
        <v>459</v>
      </c>
      <c r="C916" s="120"/>
      <c r="D916" s="120"/>
      <c r="E916" s="120"/>
      <c r="F916" s="155"/>
      <c r="G916" s="155"/>
      <c r="H916" s="156" t="s">
        <v>609</v>
      </c>
      <c r="I916" s="157">
        <v>28116</v>
      </c>
      <c r="J916" s="157">
        <v>32000</v>
      </c>
      <c r="K916" s="157">
        <v>35000</v>
      </c>
      <c r="L916" s="614"/>
      <c r="M916" s="157"/>
      <c r="N916" s="157"/>
      <c r="O916" s="157"/>
    </row>
    <row r="917" spans="2:15" x14ac:dyDescent="0.2">
      <c r="B917" s="8">
        <f t="shared" si="41"/>
        <v>460</v>
      </c>
      <c r="C917" s="120"/>
      <c r="D917" s="120"/>
      <c r="E917" s="120"/>
      <c r="F917" s="155"/>
      <c r="G917" s="155"/>
      <c r="H917" s="156" t="s">
        <v>610</v>
      </c>
      <c r="I917" s="157">
        <v>33858</v>
      </c>
      <c r="J917" s="157">
        <v>36000</v>
      </c>
      <c r="K917" s="157">
        <v>39000</v>
      </c>
      <c r="L917" s="614"/>
      <c r="M917" s="157"/>
      <c r="N917" s="157"/>
      <c r="O917" s="157"/>
    </row>
    <row r="918" spans="2:15" x14ac:dyDescent="0.2">
      <c r="B918" s="8">
        <f t="shared" si="41"/>
        <v>461</v>
      </c>
      <c r="C918" s="120"/>
      <c r="D918" s="120"/>
      <c r="E918" s="120"/>
      <c r="F918" s="155"/>
      <c r="G918" s="155"/>
      <c r="H918" s="156" t="s">
        <v>611</v>
      </c>
      <c r="I918" s="157">
        <v>30690</v>
      </c>
      <c r="J918" s="157">
        <v>35000</v>
      </c>
      <c r="K918" s="157">
        <v>38000</v>
      </c>
      <c r="L918" s="614"/>
      <c r="M918" s="157"/>
      <c r="N918" s="157"/>
      <c r="O918" s="157"/>
    </row>
    <row r="919" spans="2:15" x14ac:dyDescent="0.2">
      <c r="B919" s="8">
        <f t="shared" si="41"/>
        <v>462</v>
      </c>
      <c r="C919" s="120"/>
      <c r="D919" s="120"/>
      <c r="E919" s="120"/>
      <c r="F919" s="155"/>
      <c r="G919" s="155"/>
      <c r="H919" s="156" t="s">
        <v>612</v>
      </c>
      <c r="I919" s="157">
        <v>9900</v>
      </c>
      <c r="J919" s="157">
        <v>13000</v>
      </c>
      <c r="K919" s="157">
        <v>15000</v>
      </c>
      <c r="L919" s="614"/>
      <c r="M919" s="157"/>
      <c r="N919" s="157"/>
      <c r="O919" s="157"/>
    </row>
    <row r="920" spans="2:15" x14ac:dyDescent="0.2">
      <c r="B920" s="8">
        <f t="shared" ref="B920:B929" si="43">B919+1</f>
        <v>463</v>
      </c>
      <c r="C920" s="120"/>
      <c r="D920" s="120"/>
      <c r="E920" s="120"/>
      <c r="F920" s="155"/>
      <c r="G920" s="155"/>
      <c r="H920" s="156" t="s">
        <v>308</v>
      </c>
      <c r="I920" s="157">
        <v>166518</v>
      </c>
      <c r="J920" s="157">
        <v>170000</v>
      </c>
      <c r="K920" s="157">
        <v>175000</v>
      </c>
      <c r="L920" s="614"/>
      <c r="M920" s="157"/>
      <c r="N920" s="157"/>
      <c r="O920" s="157"/>
    </row>
    <row r="921" spans="2:15" x14ac:dyDescent="0.2">
      <c r="B921" s="8">
        <f t="shared" si="43"/>
        <v>464</v>
      </c>
      <c r="C921" s="120"/>
      <c r="D921" s="120"/>
      <c r="E921" s="120"/>
      <c r="F921" s="155"/>
      <c r="G921" s="155"/>
      <c r="H921" s="156" t="s">
        <v>395</v>
      </c>
      <c r="I921" s="157">
        <v>6138</v>
      </c>
      <c r="J921" s="157">
        <v>8000</v>
      </c>
      <c r="K921" s="157">
        <v>9000</v>
      </c>
      <c r="L921" s="614"/>
      <c r="M921" s="157"/>
      <c r="N921" s="157"/>
      <c r="O921" s="157"/>
    </row>
    <row r="922" spans="2:15" ht="14.25" x14ac:dyDescent="0.2">
      <c r="B922" s="8">
        <f t="shared" si="43"/>
        <v>465</v>
      </c>
      <c r="C922" s="267"/>
      <c r="D922" s="267"/>
      <c r="E922" s="267">
        <v>4</v>
      </c>
      <c r="F922" s="268"/>
      <c r="G922" s="268"/>
      <c r="H922" s="267" t="s">
        <v>89</v>
      </c>
      <c r="I922" s="269">
        <f>I1027+I1019+I1011+I1003+I995+I987+I979+I971+I963+I955+I947+I939+I931+I923</f>
        <v>1615210</v>
      </c>
      <c r="J922" s="269">
        <f>J1027+J1019+J1011+J1003+J995+J987+J979+J971+J963+J955+J947+J939+J931+J923</f>
        <v>1633580</v>
      </c>
      <c r="K922" s="269">
        <f>K1027+K1019+K1011+K1003+K995+K987+K979+K971+K963+K955+K947+K939+K931+K923</f>
        <v>1650480</v>
      </c>
      <c r="L922" s="619"/>
      <c r="M922" s="269"/>
      <c r="N922" s="269"/>
      <c r="O922" s="269"/>
    </row>
    <row r="923" spans="2:15" x14ac:dyDescent="0.2">
      <c r="B923" s="8">
        <f t="shared" si="43"/>
        <v>466</v>
      </c>
      <c r="C923" s="280"/>
      <c r="D923" s="280"/>
      <c r="E923" s="280" t="s">
        <v>99</v>
      </c>
      <c r="F923" s="281"/>
      <c r="G923" s="281"/>
      <c r="H923" s="280" t="s">
        <v>70</v>
      </c>
      <c r="I923" s="282">
        <f>I930+I926+I925+I924</f>
        <v>88627</v>
      </c>
      <c r="J923" s="282">
        <f>J930+J926+J925+J924</f>
        <v>89700</v>
      </c>
      <c r="K923" s="282">
        <f>K930+K926+K925+K924</f>
        <v>90900</v>
      </c>
      <c r="L923" s="620"/>
      <c r="M923" s="282"/>
      <c r="N923" s="282"/>
      <c r="O923" s="282"/>
    </row>
    <row r="924" spans="2:15" x14ac:dyDescent="0.2">
      <c r="B924" s="8">
        <f t="shared" si="43"/>
        <v>467</v>
      </c>
      <c r="C924" s="24"/>
      <c r="D924" s="24"/>
      <c r="E924" s="24"/>
      <c r="F924" s="149" t="s">
        <v>170</v>
      </c>
      <c r="G924" s="150">
        <v>610</v>
      </c>
      <c r="H924" s="24" t="s">
        <v>141</v>
      </c>
      <c r="I924" s="25">
        <f>726+360+4155+23841</f>
        <v>29082</v>
      </c>
      <c r="J924" s="25">
        <v>30000</v>
      </c>
      <c r="K924" s="25">
        <v>31000</v>
      </c>
      <c r="L924" s="620"/>
      <c r="M924" s="25"/>
      <c r="N924" s="25"/>
      <c r="O924" s="25"/>
    </row>
    <row r="925" spans="2:15" x14ac:dyDescent="0.2">
      <c r="B925" s="8">
        <f t="shared" si="43"/>
        <v>468</v>
      </c>
      <c r="C925" s="24"/>
      <c r="D925" s="24"/>
      <c r="E925" s="24"/>
      <c r="F925" s="149" t="s">
        <v>170</v>
      </c>
      <c r="G925" s="150">
        <v>620</v>
      </c>
      <c r="H925" s="24" t="s">
        <v>134</v>
      </c>
      <c r="I925" s="25">
        <f>1472+310+930+582+248+4338+434+3098</f>
        <v>11412</v>
      </c>
      <c r="J925" s="25">
        <v>11600</v>
      </c>
      <c r="K925" s="25">
        <v>11800</v>
      </c>
      <c r="L925" s="620"/>
      <c r="M925" s="25"/>
      <c r="N925" s="25"/>
      <c r="O925" s="25"/>
    </row>
    <row r="926" spans="2:15" x14ac:dyDescent="0.2">
      <c r="B926" s="8">
        <f t="shared" si="43"/>
        <v>469</v>
      </c>
      <c r="C926" s="24"/>
      <c r="D926" s="24"/>
      <c r="E926" s="24"/>
      <c r="F926" s="149" t="s">
        <v>170</v>
      </c>
      <c r="G926" s="150">
        <v>630</v>
      </c>
      <c r="H926" s="24" t="s">
        <v>131</v>
      </c>
      <c r="I926" s="25">
        <f>I929+I928+I927</f>
        <v>45881</v>
      </c>
      <c r="J926" s="25">
        <f>J929+J928+J927</f>
        <v>45900</v>
      </c>
      <c r="K926" s="25">
        <f>K929+K928+K927</f>
        <v>45900</v>
      </c>
      <c r="L926" s="620"/>
      <c r="M926" s="25"/>
      <c r="N926" s="25"/>
      <c r="O926" s="25"/>
    </row>
    <row r="927" spans="2:15" x14ac:dyDescent="0.2">
      <c r="B927" s="8">
        <f t="shared" si="43"/>
        <v>470</v>
      </c>
      <c r="C927" s="18"/>
      <c r="D927" s="18"/>
      <c r="E927" s="18"/>
      <c r="F927" s="152"/>
      <c r="G927" s="153">
        <v>633</v>
      </c>
      <c r="H927" s="18" t="s">
        <v>135</v>
      </c>
      <c r="I927" s="19">
        <f>150+500+2000+29282+2000+280+6174</f>
        <v>40386</v>
      </c>
      <c r="J927" s="19">
        <v>40400</v>
      </c>
      <c r="K927" s="19">
        <v>40400</v>
      </c>
      <c r="L927" s="621"/>
      <c r="M927" s="19"/>
      <c r="N927" s="19"/>
      <c r="O927" s="19"/>
    </row>
    <row r="928" spans="2:15" x14ac:dyDescent="0.2">
      <c r="B928" s="8">
        <f t="shared" si="43"/>
        <v>471</v>
      </c>
      <c r="C928" s="18"/>
      <c r="D928" s="18"/>
      <c r="E928" s="18"/>
      <c r="F928" s="152"/>
      <c r="G928" s="153">
        <v>635</v>
      </c>
      <c r="H928" s="18" t="s">
        <v>143</v>
      </c>
      <c r="I928" s="19">
        <f>100+3400</f>
        <v>3500</v>
      </c>
      <c r="J928" s="19">
        <v>3500</v>
      </c>
      <c r="K928" s="19">
        <v>3500</v>
      </c>
      <c r="L928" s="621"/>
      <c r="M928" s="19"/>
      <c r="N928" s="19"/>
      <c r="O928" s="19"/>
    </row>
    <row r="929" spans="2:15" x14ac:dyDescent="0.2">
      <c r="B929" s="8">
        <f t="shared" si="43"/>
        <v>472</v>
      </c>
      <c r="C929" s="18"/>
      <c r="D929" s="18"/>
      <c r="E929" s="18"/>
      <c r="F929" s="152"/>
      <c r="G929" s="153">
        <v>637</v>
      </c>
      <c r="H929" s="18" t="s">
        <v>132</v>
      </c>
      <c r="I929" s="19">
        <f>100+436+1459</f>
        <v>1995</v>
      </c>
      <c r="J929" s="19">
        <v>2000</v>
      </c>
      <c r="K929" s="19">
        <v>2000</v>
      </c>
      <c r="L929" s="621"/>
      <c r="M929" s="19"/>
      <c r="N929" s="19"/>
      <c r="O929" s="19"/>
    </row>
    <row r="930" spans="2:15" x14ac:dyDescent="0.2">
      <c r="B930" s="8">
        <f t="shared" ref="B930:B977" si="44">B929+1</f>
        <v>473</v>
      </c>
      <c r="C930" s="24"/>
      <c r="D930" s="24"/>
      <c r="E930" s="24"/>
      <c r="F930" s="149" t="s">
        <v>170</v>
      </c>
      <c r="G930" s="150">
        <v>640</v>
      </c>
      <c r="H930" s="24" t="s">
        <v>139</v>
      </c>
      <c r="I930" s="25">
        <f>1802+450</f>
        <v>2252</v>
      </c>
      <c r="J930" s="25">
        <v>2200</v>
      </c>
      <c r="K930" s="25">
        <v>2200</v>
      </c>
      <c r="L930" s="620"/>
      <c r="M930" s="25"/>
      <c r="N930" s="25"/>
      <c r="O930" s="25"/>
    </row>
    <row r="931" spans="2:15" x14ac:dyDescent="0.2">
      <c r="B931" s="8">
        <f t="shared" si="44"/>
        <v>474</v>
      </c>
      <c r="C931" s="280"/>
      <c r="D931" s="280"/>
      <c r="E931" s="280" t="s">
        <v>98</v>
      </c>
      <c r="F931" s="281"/>
      <c r="G931" s="281"/>
      <c r="H931" s="280" t="s">
        <v>238</v>
      </c>
      <c r="I931" s="282">
        <f>I938+I934+I933+I932</f>
        <v>141772</v>
      </c>
      <c r="J931" s="282">
        <f>J938+J934+J933+J932</f>
        <v>142770</v>
      </c>
      <c r="K931" s="282">
        <f>K938+K934+K933+K932</f>
        <v>143970</v>
      </c>
      <c r="L931" s="620"/>
      <c r="M931" s="282"/>
      <c r="N931" s="282"/>
      <c r="O931" s="282"/>
    </row>
    <row r="932" spans="2:15" x14ac:dyDescent="0.2">
      <c r="B932" s="8">
        <f t="shared" si="44"/>
        <v>475</v>
      </c>
      <c r="C932" s="24"/>
      <c r="D932" s="24"/>
      <c r="E932" s="24"/>
      <c r="F932" s="149" t="s">
        <v>170</v>
      </c>
      <c r="G932" s="150">
        <v>610</v>
      </c>
      <c r="H932" s="24" t="s">
        <v>141</v>
      </c>
      <c r="I932" s="25">
        <f>810+600+6314+36471</f>
        <v>44195</v>
      </c>
      <c r="J932" s="25">
        <v>45000</v>
      </c>
      <c r="K932" s="25">
        <v>46000</v>
      </c>
      <c r="L932" s="620"/>
      <c r="M932" s="25"/>
      <c r="N932" s="25"/>
      <c r="O932" s="25"/>
    </row>
    <row r="933" spans="2:15" x14ac:dyDescent="0.2">
      <c r="B933" s="8">
        <f t="shared" si="44"/>
        <v>476</v>
      </c>
      <c r="C933" s="24"/>
      <c r="D933" s="24"/>
      <c r="E933" s="24"/>
      <c r="F933" s="149" t="s">
        <v>170</v>
      </c>
      <c r="G933" s="150">
        <v>620</v>
      </c>
      <c r="H933" s="24" t="s">
        <v>134</v>
      </c>
      <c r="I933" s="25">
        <f>2104+442+1329+884+354+6201+620+4430</f>
        <v>16364</v>
      </c>
      <c r="J933" s="25">
        <v>16600</v>
      </c>
      <c r="K933" s="25">
        <v>16800</v>
      </c>
      <c r="L933" s="620"/>
      <c r="M933" s="25"/>
      <c r="N933" s="25"/>
      <c r="O933" s="25"/>
    </row>
    <row r="934" spans="2:15" x14ac:dyDescent="0.2">
      <c r="B934" s="8">
        <f t="shared" si="44"/>
        <v>477</v>
      </c>
      <c r="C934" s="24"/>
      <c r="D934" s="24"/>
      <c r="E934" s="24"/>
      <c r="F934" s="149" t="s">
        <v>170</v>
      </c>
      <c r="G934" s="150">
        <v>630</v>
      </c>
      <c r="H934" s="24" t="s">
        <v>131</v>
      </c>
      <c r="I934" s="25">
        <f>I937+I936+I935</f>
        <v>80763</v>
      </c>
      <c r="J934" s="25">
        <f>J937+J936+J935</f>
        <v>80720</v>
      </c>
      <c r="K934" s="25">
        <f>K937+K936+K935</f>
        <v>80720</v>
      </c>
      <c r="L934" s="620"/>
      <c r="M934" s="25"/>
      <c r="N934" s="25"/>
      <c r="O934" s="25"/>
    </row>
    <row r="935" spans="2:15" x14ac:dyDescent="0.2">
      <c r="B935" s="8">
        <f t="shared" si="44"/>
        <v>478</v>
      </c>
      <c r="C935" s="18"/>
      <c r="D935" s="18"/>
      <c r="E935" s="18"/>
      <c r="F935" s="152"/>
      <c r="G935" s="153">
        <v>633</v>
      </c>
      <c r="H935" s="18" t="s">
        <v>135</v>
      </c>
      <c r="I935" s="19">
        <f>200+1200+63085+1400+1000+280+9878</f>
        <v>77043</v>
      </c>
      <c r="J935" s="19">
        <v>77000</v>
      </c>
      <c r="K935" s="19">
        <v>77000</v>
      </c>
      <c r="L935" s="621"/>
      <c r="M935" s="19"/>
      <c r="N935" s="19"/>
      <c r="O935" s="19"/>
    </row>
    <row r="936" spans="2:15" x14ac:dyDescent="0.2">
      <c r="B936" s="8">
        <f t="shared" si="44"/>
        <v>479</v>
      </c>
      <c r="C936" s="18"/>
      <c r="D936" s="18"/>
      <c r="E936" s="18"/>
      <c r="F936" s="152"/>
      <c r="G936" s="153">
        <v>635</v>
      </c>
      <c r="H936" s="18" t="s">
        <v>143</v>
      </c>
      <c r="I936" s="19">
        <f>100+2000</f>
        <v>2100</v>
      </c>
      <c r="J936" s="19">
        <f>100+2000</f>
        <v>2100</v>
      </c>
      <c r="K936" s="19">
        <f>100+2000</f>
        <v>2100</v>
      </c>
      <c r="L936" s="621"/>
      <c r="M936" s="19"/>
      <c r="N936" s="19"/>
      <c r="O936" s="19"/>
    </row>
    <row r="937" spans="2:15" x14ac:dyDescent="0.2">
      <c r="B937" s="8">
        <f t="shared" si="44"/>
        <v>480</v>
      </c>
      <c r="C937" s="18"/>
      <c r="D937" s="18"/>
      <c r="E937" s="18"/>
      <c r="F937" s="152"/>
      <c r="G937" s="153">
        <v>637</v>
      </c>
      <c r="H937" s="18" t="s">
        <v>132</v>
      </c>
      <c r="I937" s="19">
        <f>100+663+857</f>
        <v>1620</v>
      </c>
      <c r="J937" s="19">
        <f>100+663+857</f>
        <v>1620</v>
      </c>
      <c r="K937" s="19">
        <f>100+663+857</f>
        <v>1620</v>
      </c>
      <c r="L937" s="621"/>
      <c r="M937" s="19"/>
      <c r="N937" s="19"/>
      <c r="O937" s="19"/>
    </row>
    <row r="938" spans="2:15" x14ac:dyDescent="0.2">
      <c r="B938" s="8">
        <f t="shared" si="44"/>
        <v>481</v>
      </c>
      <c r="C938" s="24"/>
      <c r="D938" s="24"/>
      <c r="E938" s="24"/>
      <c r="F938" s="149" t="s">
        <v>170</v>
      </c>
      <c r="G938" s="150">
        <v>640</v>
      </c>
      <c r="H938" s="24" t="s">
        <v>139</v>
      </c>
      <c r="I938" s="25">
        <v>450</v>
      </c>
      <c r="J938" s="25">
        <v>450</v>
      </c>
      <c r="K938" s="25">
        <v>450</v>
      </c>
      <c r="L938" s="620"/>
      <c r="M938" s="25"/>
      <c r="N938" s="25"/>
      <c r="O938" s="25"/>
    </row>
    <row r="939" spans="2:15" x14ac:dyDescent="0.2">
      <c r="B939" s="8">
        <f t="shared" si="44"/>
        <v>482</v>
      </c>
      <c r="C939" s="280"/>
      <c r="D939" s="280"/>
      <c r="E939" s="280" t="s">
        <v>92</v>
      </c>
      <c r="F939" s="281"/>
      <c r="G939" s="281"/>
      <c r="H939" s="280" t="s">
        <v>69</v>
      </c>
      <c r="I939" s="282">
        <f>I946+I942+I941+I940</f>
        <v>90264</v>
      </c>
      <c r="J939" s="282">
        <f>J946+J942+J941+J940</f>
        <v>91390</v>
      </c>
      <c r="K939" s="282">
        <f>K946+K942+K941+K940</f>
        <v>92590</v>
      </c>
      <c r="L939" s="620"/>
      <c r="M939" s="282"/>
      <c r="N939" s="282"/>
      <c r="O939" s="282"/>
    </row>
    <row r="940" spans="2:15" x14ac:dyDescent="0.2">
      <c r="B940" s="8">
        <f t="shared" si="44"/>
        <v>483</v>
      </c>
      <c r="C940" s="24"/>
      <c r="D940" s="24"/>
      <c r="E940" s="24"/>
      <c r="F940" s="149" t="s">
        <v>170</v>
      </c>
      <c r="G940" s="150">
        <v>610</v>
      </c>
      <c r="H940" s="24" t="s">
        <v>141</v>
      </c>
      <c r="I940" s="25">
        <f>726+360+4155+23841</f>
        <v>29082</v>
      </c>
      <c r="J940" s="25">
        <v>30000</v>
      </c>
      <c r="K940" s="25">
        <v>31000</v>
      </c>
      <c r="L940" s="620"/>
      <c r="M940" s="25"/>
      <c r="N940" s="25"/>
      <c r="O940" s="25"/>
    </row>
    <row r="941" spans="2:15" x14ac:dyDescent="0.2">
      <c r="B941" s="8">
        <f t="shared" si="44"/>
        <v>484</v>
      </c>
      <c r="C941" s="24"/>
      <c r="D941" s="24"/>
      <c r="E941" s="24"/>
      <c r="F941" s="149" t="s">
        <v>170</v>
      </c>
      <c r="G941" s="150">
        <v>620</v>
      </c>
      <c r="H941" s="24" t="s">
        <v>134</v>
      </c>
      <c r="I941" s="25">
        <f>1386+292+875+582+233+4085+409+2918</f>
        <v>10780</v>
      </c>
      <c r="J941" s="25">
        <v>11000</v>
      </c>
      <c r="K941" s="25">
        <v>11200</v>
      </c>
      <c r="L941" s="620"/>
      <c r="M941" s="25"/>
      <c r="N941" s="25"/>
      <c r="O941" s="25"/>
    </row>
    <row r="942" spans="2:15" x14ac:dyDescent="0.2">
      <c r="B942" s="8">
        <f t="shared" si="44"/>
        <v>485</v>
      </c>
      <c r="C942" s="24"/>
      <c r="D942" s="24"/>
      <c r="E942" s="24"/>
      <c r="F942" s="149" t="s">
        <v>170</v>
      </c>
      <c r="G942" s="150">
        <v>630</v>
      </c>
      <c r="H942" s="24" t="s">
        <v>131</v>
      </c>
      <c r="I942" s="25">
        <f>I945+I944+I943</f>
        <v>49952</v>
      </c>
      <c r="J942" s="25">
        <f>J945+J944+J943</f>
        <v>49940</v>
      </c>
      <c r="K942" s="25">
        <f>K945+K944+K943</f>
        <v>49940</v>
      </c>
      <c r="L942" s="620"/>
      <c r="M942" s="25"/>
      <c r="N942" s="25"/>
      <c r="O942" s="25"/>
    </row>
    <row r="943" spans="2:15" x14ac:dyDescent="0.2">
      <c r="B943" s="8">
        <f t="shared" si="44"/>
        <v>486</v>
      </c>
      <c r="C943" s="18"/>
      <c r="D943" s="18"/>
      <c r="E943" s="18"/>
      <c r="F943" s="152"/>
      <c r="G943" s="153">
        <v>633</v>
      </c>
      <c r="H943" s="18" t="s">
        <v>135</v>
      </c>
      <c r="I943" s="19">
        <f>700+150+1500+29062+2350+280+9570</f>
        <v>43612</v>
      </c>
      <c r="J943" s="19">
        <v>43600</v>
      </c>
      <c r="K943" s="19">
        <v>43600</v>
      </c>
      <c r="L943" s="621"/>
      <c r="M943" s="19"/>
      <c r="N943" s="19"/>
      <c r="O943" s="19"/>
    </row>
    <row r="944" spans="2:15" x14ac:dyDescent="0.2">
      <c r="B944" s="8">
        <f t="shared" si="44"/>
        <v>487</v>
      </c>
      <c r="C944" s="18"/>
      <c r="D944" s="18"/>
      <c r="E944" s="18"/>
      <c r="F944" s="152"/>
      <c r="G944" s="153">
        <v>635</v>
      </c>
      <c r="H944" s="18" t="s">
        <v>143</v>
      </c>
      <c r="I944" s="19">
        <f>100+4900</f>
        <v>5000</v>
      </c>
      <c r="J944" s="19">
        <f>100+4900</f>
        <v>5000</v>
      </c>
      <c r="K944" s="19">
        <f>100+4900</f>
        <v>5000</v>
      </c>
      <c r="L944" s="621"/>
      <c r="M944" s="19"/>
      <c r="N944" s="19"/>
      <c r="O944" s="19"/>
    </row>
    <row r="945" spans="2:15" x14ac:dyDescent="0.2">
      <c r="B945" s="8">
        <f t="shared" si="44"/>
        <v>488</v>
      </c>
      <c r="C945" s="18"/>
      <c r="D945" s="18"/>
      <c r="E945" s="18"/>
      <c r="F945" s="152"/>
      <c r="G945" s="153">
        <v>637</v>
      </c>
      <c r="H945" s="18" t="s">
        <v>132</v>
      </c>
      <c r="I945" s="19">
        <f>440+100+800</f>
        <v>1340</v>
      </c>
      <c r="J945" s="19">
        <f>440+100+800</f>
        <v>1340</v>
      </c>
      <c r="K945" s="19">
        <f>440+100+800</f>
        <v>1340</v>
      </c>
      <c r="L945" s="621"/>
      <c r="M945" s="19"/>
      <c r="N945" s="19"/>
      <c r="O945" s="19"/>
    </row>
    <row r="946" spans="2:15" x14ac:dyDescent="0.2">
      <c r="B946" s="8">
        <f t="shared" si="44"/>
        <v>489</v>
      </c>
      <c r="C946" s="24"/>
      <c r="D946" s="24"/>
      <c r="E946" s="24"/>
      <c r="F946" s="149" t="s">
        <v>170</v>
      </c>
      <c r="G946" s="150">
        <v>640</v>
      </c>
      <c r="H946" s="24" t="s">
        <v>139</v>
      </c>
      <c r="I946" s="25">
        <v>450</v>
      </c>
      <c r="J946" s="25">
        <v>450</v>
      </c>
      <c r="K946" s="25">
        <v>450</v>
      </c>
      <c r="L946" s="620"/>
      <c r="M946" s="25"/>
      <c r="N946" s="25"/>
      <c r="O946" s="25"/>
    </row>
    <row r="947" spans="2:15" x14ac:dyDescent="0.2">
      <c r="B947" s="8">
        <f t="shared" si="44"/>
        <v>490</v>
      </c>
      <c r="C947" s="280"/>
      <c r="D947" s="280"/>
      <c r="E947" s="280" t="s">
        <v>102</v>
      </c>
      <c r="F947" s="281"/>
      <c r="G947" s="281"/>
      <c r="H947" s="280" t="s">
        <v>103</v>
      </c>
      <c r="I947" s="282">
        <f>I954+I950+I949+I948</f>
        <v>103519</v>
      </c>
      <c r="J947" s="282">
        <f>J954+J950+J949+J948</f>
        <v>104730</v>
      </c>
      <c r="K947" s="282">
        <f>K954+K950+K949+K948</f>
        <v>105930</v>
      </c>
      <c r="L947" s="620"/>
      <c r="M947" s="282"/>
      <c r="N947" s="282"/>
      <c r="O947" s="282"/>
    </row>
    <row r="948" spans="2:15" x14ac:dyDescent="0.2">
      <c r="B948" s="8">
        <f t="shared" si="44"/>
        <v>491</v>
      </c>
      <c r="C948" s="24"/>
      <c r="D948" s="24"/>
      <c r="E948" s="24"/>
      <c r="F948" s="149" t="s">
        <v>170</v>
      </c>
      <c r="G948" s="150">
        <v>610</v>
      </c>
      <c r="H948" s="24" t="s">
        <v>141</v>
      </c>
      <c r="I948" s="25">
        <f>768+480+4418+25260</f>
        <v>30926</v>
      </c>
      <c r="J948" s="25">
        <v>32000</v>
      </c>
      <c r="K948" s="25">
        <v>33000</v>
      </c>
      <c r="L948" s="620"/>
      <c r="M948" s="25"/>
      <c r="N948" s="25"/>
      <c r="O948" s="25"/>
    </row>
    <row r="949" spans="2:15" x14ac:dyDescent="0.2">
      <c r="B949" s="8">
        <f t="shared" si="44"/>
        <v>492</v>
      </c>
      <c r="C949" s="24"/>
      <c r="D949" s="24"/>
      <c r="E949" s="24"/>
      <c r="F949" s="149" t="s">
        <v>170</v>
      </c>
      <c r="G949" s="150">
        <v>620</v>
      </c>
      <c r="H949" s="24" t="s">
        <v>134</v>
      </c>
      <c r="I949" s="25">
        <f>1474+310+931+619+248+4344+434+3103</f>
        <v>11463</v>
      </c>
      <c r="J949" s="25">
        <v>11600</v>
      </c>
      <c r="K949" s="25">
        <v>11800</v>
      </c>
      <c r="L949" s="620"/>
      <c r="M949" s="25"/>
      <c r="N949" s="25"/>
      <c r="O949" s="25"/>
    </row>
    <row r="950" spans="2:15" x14ac:dyDescent="0.2">
      <c r="B950" s="8">
        <f t="shared" si="44"/>
        <v>493</v>
      </c>
      <c r="C950" s="24"/>
      <c r="D950" s="24"/>
      <c r="E950" s="24"/>
      <c r="F950" s="149" t="s">
        <v>170</v>
      </c>
      <c r="G950" s="150">
        <v>630</v>
      </c>
      <c r="H950" s="24" t="s">
        <v>131</v>
      </c>
      <c r="I950" s="25">
        <f>I953+I952+I951</f>
        <v>60680</v>
      </c>
      <c r="J950" s="25">
        <f>J953+J952+J951</f>
        <v>60680</v>
      </c>
      <c r="K950" s="25">
        <f>K953+K952+K951</f>
        <v>60680</v>
      </c>
      <c r="L950" s="620"/>
      <c r="M950" s="25"/>
      <c r="N950" s="25"/>
      <c r="O950" s="25"/>
    </row>
    <row r="951" spans="2:15" x14ac:dyDescent="0.2">
      <c r="B951" s="8">
        <f t="shared" si="44"/>
        <v>494</v>
      </c>
      <c r="C951" s="18"/>
      <c r="D951" s="18"/>
      <c r="E951" s="18"/>
      <c r="F951" s="152"/>
      <c r="G951" s="153">
        <v>633</v>
      </c>
      <c r="H951" s="18" t="s">
        <v>135</v>
      </c>
      <c r="I951" s="19">
        <f>500+150+2000+39823+2500+280+10187</f>
        <v>55440</v>
      </c>
      <c r="J951" s="19">
        <f>500+150+2000+39823+2500+280+10187</f>
        <v>55440</v>
      </c>
      <c r="K951" s="19">
        <f>500+150+2000+39823+2500+280+10187</f>
        <v>55440</v>
      </c>
      <c r="L951" s="621"/>
      <c r="M951" s="19"/>
      <c r="N951" s="19"/>
      <c r="O951" s="19"/>
    </row>
    <row r="952" spans="2:15" x14ac:dyDescent="0.2">
      <c r="B952" s="8">
        <f t="shared" si="44"/>
        <v>495</v>
      </c>
      <c r="C952" s="18"/>
      <c r="D952" s="18"/>
      <c r="E952" s="18"/>
      <c r="F952" s="152"/>
      <c r="G952" s="153">
        <v>635</v>
      </c>
      <c r="H952" s="18" t="s">
        <v>143</v>
      </c>
      <c r="I952" s="19">
        <f>100+3900</f>
        <v>4000</v>
      </c>
      <c r="J952" s="19">
        <f>100+3900</f>
        <v>4000</v>
      </c>
      <c r="K952" s="19">
        <f>100+3900</f>
        <v>4000</v>
      </c>
      <c r="L952" s="621"/>
      <c r="M952" s="19"/>
      <c r="N952" s="19"/>
      <c r="O952" s="19"/>
    </row>
    <row r="953" spans="2:15" x14ac:dyDescent="0.2">
      <c r="B953" s="8">
        <f t="shared" si="44"/>
        <v>496</v>
      </c>
      <c r="C953" s="18"/>
      <c r="D953" s="18"/>
      <c r="E953" s="18"/>
      <c r="F953" s="152"/>
      <c r="G953" s="153">
        <v>637</v>
      </c>
      <c r="H953" s="18" t="s">
        <v>132</v>
      </c>
      <c r="I953" s="19">
        <f>100+464+676</f>
        <v>1240</v>
      </c>
      <c r="J953" s="19">
        <f>100+464+676</f>
        <v>1240</v>
      </c>
      <c r="K953" s="19">
        <f>100+464+676</f>
        <v>1240</v>
      </c>
      <c r="L953" s="621"/>
      <c r="M953" s="19"/>
      <c r="N953" s="19"/>
      <c r="O953" s="19"/>
    </row>
    <row r="954" spans="2:15" x14ac:dyDescent="0.2">
      <c r="B954" s="8">
        <f t="shared" si="44"/>
        <v>497</v>
      </c>
      <c r="C954" s="24"/>
      <c r="D954" s="24"/>
      <c r="E954" s="24"/>
      <c r="F954" s="149" t="s">
        <v>170</v>
      </c>
      <c r="G954" s="150">
        <v>640</v>
      </c>
      <c r="H954" s="24" t="s">
        <v>139</v>
      </c>
      <c r="I954" s="25">
        <v>450</v>
      </c>
      <c r="J954" s="25">
        <v>450</v>
      </c>
      <c r="K954" s="25">
        <v>450</v>
      </c>
      <c r="L954" s="620"/>
      <c r="M954" s="25"/>
      <c r="N954" s="25"/>
      <c r="O954" s="25"/>
    </row>
    <row r="955" spans="2:15" x14ac:dyDescent="0.2">
      <c r="B955" s="8">
        <f t="shared" si="44"/>
        <v>498</v>
      </c>
      <c r="C955" s="280"/>
      <c r="D955" s="280"/>
      <c r="E955" s="280" t="s">
        <v>105</v>
      </c>
      <c r="F955" s="281"/>
      <c r="G955" s="281"/>
      <c r="H955" s="280" t="s">
        <v>106</v>
      </c>
      <c r="I955" s="282">
        <f>I962+I958+I957+I956</f>
        <v>95760</v>
      </c>
      <c r="J955" s="282">
        <f>J962+J958+J957+J956</f>
        <v>97200</v>
      </c>
      <c r="K955" s="282">
        <f>K962+K958+K957+K956</f>
        <v>98400</v>
      </c>
      <c r="L955" s="620"/>
      <c r="M955" s="282"/>
      <c r="N955" s="282"/>
      <c r="O955" s="282"/>
    </row>
    <row r="956" spans="2:15" x14ac:dyDescent="0.2">
      <c r="B956" s="8">
        <f t="shared" si="44"/>
        <v>499</v>
      </c>
      <c r="C956" s="24"/>
      <c r="D956" s="24"/>
      <c r="E956" s="24"/>
      <c r="F956" s="149" t="s">
        <v>170</v>
      </c>
      <c r="G956" s="150">
        <v>610</v>
      </c>
      <c r="H956" s="24" t="s">
        <v>141</v>
      </c>
      <c r="I956" s="25">
        <f>810+600+4612+26259</f>
        <v>32281</v>
      </c>
      <c r="J956" s="25">
        <v>33500</v>
      </c>
      <c r="K956" s="25">
        <v>34500</v>
      </c>
      <c r="L956" s="620"/>
      <c r="M956" s="25"/>
      <c r="N956" s="25"/>
      <c r="O956" s="25"/>
    </row>
    <row r="957" spans="2:15" x14ac:dyDescent="0.2">
      <c r="B957" s="8">
        <f t="shared" si="44"/>
        <v>500</v>
      </c>
      <c r="C957" s="24"/>
      <c r="D957" s="24"/>
      <c r="E957" s="24"/>
      <c r="F957" s="149" t="s">
        <v>170</v>
      </c>
      <c r="G957" s="150">
        <v>620</v>
      </c>
      <c r="H957" s="24" t="s">
        <v>134</v>
      </c>
      <c r="I957" s="25">
        <v>11962</v>
      </c>
      <c r="J957" s="25">
        <v>12200</v>
      </c>
      <c r="K957" s="25">
        <v>12400</v>
      </c>
      <c r="L957" s="620"/>
      <c r="M957" s="25"/>
      <c r="N957" s="25"/>
      <c r="O957" s="25"/>
    </row>
    <row r="958" spans="2:15" x14ac:dyDescent="0.2">
      <c r="B958" s="8">
        <f t="shared" si="44"/>
        <v>501</v>
      </c>
      <c r="C958" s="24"/>
      <c r="D958" s="24"/>
      <c r="E958" s="24"/>
      <c r="F958" s="149" t="s">
        <v>170</v>
      </c>
      <c r="G958" s="150">
        <v>630</v>
      </c>
      <c r="H958" s="24" t="s">
        <v>131</v>
      </c>
      <c r="I958" s="25">
        <f>I961+I960+I959</f>
        <v>51067</v>
      </c>
      <c r="J958" s="25">
        <f>J961+J960+J959</f>
        <v>51050</v>
      </c>
      <c r="K958" s="25">
        <f>K961+K960+K959</f>
        <v>51050</v>
      </c>
      <c r="L958" s="620"/>
      <c r="M958" s="25"/>
      <c r="N958" s="25"/>
      <c r="O958" s="25"/>
    </row>
    <row r="959" spans="2:15" x14ac:dyDescent="0.2">
      <c r="B959" s="8">
        <f t="shared" si="44"/>
        <v>502</v>
      </c>
      <c r="C959" s="18"/>
      <c r="D959" s="18"/>
      <c r="E959" s="18"/>
      <c r="F959" s="152"/>
      <c r="G959" s="153">
        <v>633</v>
      </c>
      <c r="H959" s="18" t="s">
        <v>135</v>
      </c>
      <c r="I959" s="19">
        <f>150+36978+1500+1500+280+7409</f>
        <v>47817</v>
      </c>
      <c r="J959" s="19">
        <v>47800</v>
      </c>
      <c r="K959" s="19">
        <v>47800</v>
      </c>
      <c r="L959" s="621"/>
      <c r="M959" s="19"/>
      <c r="N959" s="19"/>
      <c r="O959" s="19"/>
    </row>
    <row r="960" spans="2:15" x14ac:dyDescent="0.2">
      <c r="B960" s="8">
        <f t="shared" si="44"/>
        <v>503</v>
      </c>
      <c r="C960" s="18"/>
      <c r="D960" s="18"/>
      <c r="E960" s="18"/>
      <c r="F960" s="152"/>
      <c r="G960" s="153">
        <v>635</v>
      </c>
      <c r="H960" s="18" t="s">
        <v>143</v>
      </c>
      <c r="I960" s="19">
        <f>100+1900</f>
        <v>2000</v>
      </c>
      <c r="J960" s="19">
        <f>100+1900</f>
        <v>2000</v>
      </c>
      <c r="K960" s="19">
        <f>100+1900</f>
        <v>2000</v>
      </c>
      <c r="L960" s="621"/>
      <c r="M960" s="19"/>
      <c r="N960" s="19"/>
      <c r="O960" s="19"/>
    </row>
    <row r="961" spans="2:15" x14ac:dyDescent="0.2">
      <c r="B961" s="8">
        <f t="shared" si="44"/>
        <v>504</v>
      </c>
      <c r="C961" s="18"/>
      <c r="D961" s="18"/>
      <c r="E961" s="18"/>
      <c r="F961" s="152"/>
      <c r="G961" s="153">
        <v>637</v>
      </c>
      <c r="H961" s="18" t="s">
        <v>132</v>
      </c>
      <c r="I961" s="19">
        <f>484+100+666</f>
        <v>1250</v>
      </c>
      <c r="J961" s="19">
        <f>484+100+666</f>
        <v>1250</v>
      </c>
      <c r="K961" s="19">
        <f>484+100+666</f>
        <v>1250</v>
      </c>
      <c r="L961" s="621"/>
      <c r="M961" s="19"/>
      <c r="N961" s="19"/>
      <c r="O961" s="19"/>
    </row>
    <row r="962" spans="2:15" x14ac:dyDescent="0.2">
      <c r="B962" s="8">
        <f t="shared" si="44"/>
        <v>505</v>
      </c>
      <c r="C962" s="24"/>
      <c r="D962" s="24"/>
      <c r="E962" s="24"/>
      <c r="F962" s="149" t="s">
        <v>170</v>
      </c>
      <c r="G962" s="150">
        <v>640</v>
      </c>
      <c r="H962" s="24" t="s">
        <v>139</v>
      </c>
      <c r="I962" s="25">
        <v>450</v>
      </c>
      <c r="J962" s="25">
        <v>450</v>
      </c>
      <c r="K962" s="25">
        <v>450</v>
      </c>
      <c r="L962" s="620"/>
      <c r="M962" s="25"/>
      <c r="N962" s="25"/>
      <c r="O962" s="25"/>
    </row>
    <row r="963" spans="2:15" x14ac:dyDescent="0.2">
      <c r="B963" s="8">
        <f t="shared" si="44"/>
        <v>506</v>
      </c>
      <c r="C963" s="280"/>
      <c r="D963" s="280"/>
      <c r="E963" s="280" t="s">
        <v>90</v>
      </c>
      <c r="F963" s="281"/>
      <c r="G963" s="281"/>
      <c r="H963" s="280" t="s">
        <v>91</v>
      </c>
      <c r="I963" s="282">
        <f>I970+I966+I965+I964</f>
        <v>148092</v>
      </c>
      <c r="J963" s="282">
        <f>J970+J966+J965+J964</f>
        <v>150330</v>
      </c>
      <c r="K963" s="282">
        <f>K970+K966+K965+K964</f>
        <v>151530</v>
      </c>
      <c r="L963" s="620"/>
      <c r="M963" s="282"/>
      <c r="N963" s="282"/>
      <c r="O963" s="282"/>
    </row>
    <row r="964" spans="2:15" x14ac:dyDescent="0.2">
      <c r="B964" s="8">
        <f t="shared" si="44"/>
        <v>507</v>
      </c>
      <c r="C964" s="24"/>
      <c r="D964" s="24"/>
      <c r="E964" s="24"/>
      <c r="F964" s="149" t="s">
        <v>170</v>
      </c>
      <c r="G964" s="150">
        <v>610</v>
      </c>
      <c r="H964" s="24" t="s">
        <v>141</v>
      </c>
      <c r="I964" s="25">
        <f>810+600+7147+41472</f>
        <v>50029</v>
      </c>
      <c r="J964" s="25">
        <v>52000</v>
      </c>
      <c r="K964" s="25">
        <v>53000</v>
      </c>
      <c r="L964" s="620"/>
      <c r="M964" s="25"/>
      <c r="N964" s="25"/>
      <c r="O964" s="25"/>
    </row>
    <row r="965" spans="2:15" x14ac:dyDescent="0.2">
      <c r="B965" s="8">
        <f t="shared" si="44"/>
        <v>508</v>
      </c>
      <c r="C965" s="24"/>
      <c r="D965" s="24"/>
      <c r="E965" s="24"/>
      <c r="F965" s="149" t="s">
        <v>170</v>
      </c>
      <c r="G965" s="150">
        <v>620</v>
      </c>
      <c r="H965" s="24" t="s">
        <v>134</v>
      </c>
      <c r="I965" s="25">
        <f>2376+500+1501+1001+400+7004+700+5003</f>
        <v>18485</v>
      </c>
      <c r="J965" s="25">
        <v>18800</v>
      </c>
      <c r="K965" s="25">
        <v>19000</v>
      </c>
      <c r="L965" s="620"/>
      <c r="M965" s="25"/>
      <c r="N965" s="25"/>
      <c r="O965" s="25"/>
    </row>
    <row r="966" spans="2:15" x14ac:dyDescent="0.2">
      <c r="B966" s="8">
        <f t="shared" si="44"/>
        <v>509</v>
      </c>
      <c r="C966" s="24"/>
      <c r="D966" s="24"/>
      <c r="E966" s="24"/>
      <c r="F966" s="149" t="s">
        <v>170</v>
      </c>
      <c r="G966" s="150">
        <v>630</v>
      </c>
      <c r="H966" s="24" t="s">
        <v>131</v>
      </c>
      <c r="I966" s="25">
        <f>I969+I968+I967</f>
        <v>79128</v>
      </c>
      <c r="J966" s="25">
        <f>J969+J968+J967</f>
        <v>79080</v>
      </c>
      <c r="K966" s="25">
        <f>K969+K968+K967</f>
        <v>79080</v>
      </c>
      <c r="L966" s="620"/>
      <c r="M966" s="25"/>
      <c r="N966" s="25"/>
      <c r="O966" s="25"/>
    </row>
    <row r="967" spans="2:15" x14ac:dyDescent="0.2">
      <c r="B967" s="8">
        <f t="shared" si="44"/>
        <v>510</v>
      </c>
      <c r="C967" s="18"/>
      <c r="D967" s="18"/>
      <c r="E967" s="18"/>
      <c r="F967" s="152"/>
      <c r="G967" s="153">
        <v>633</v>
      </c>
      <c r="H967" s="18" t="s">
        <v>135</v>
      </c>
      <c r="I967" s="19">
        <f>300+3500+56029+280+12039</f>
        <v>72148</v>
      </c>
      <c r="J967" s="19">
        <v>72100</v>
      </c>
      <c r="K967" s="19">
        <v>72100</v>
      </c>
      <c r="L967" s="621"/>
      <c r="M967" s="19"/>
      <c r="N967" s="19"/>
      <c r="O967" s="19"/>
    </row>
    <row r="968" spans="2:15" x14ac:dyDescent="0.2">
      <c r="B968" s="8">
        <f t="shared" si="44"/>
        <v>511</v>
      </c>
      <c r="C968" s="18"/>
      <c r="D968" s="18"/>
      <c r="E968" s="18"/>
      <c r="F968" s="152"/>
      <c r="G968" s="153">
        <v>635</v>
      </c>
      <c r="H968" s="18" t="s">
        <v>143</v>
      </c>
      <c r="I968" s="19">
        <f>100+5100</f>
        <v>5200</v>
      </c>
      <c r="J968" s="19">
        <f>100+5100</f>
        <v>5200</v>
      </c>
      <c r="K968" s="19">
        <f>100+5100</f>
        <v>5200</v>
      </c>
      <c r="L968" s="621"/>
      <c r="M968" s="19"/>
      <c r="N968" s="19"/>
      <c r="O968" s="19"/>
    </row>
    <row r="969" spans="2:15" x14ac:dyDescent="0.2">
      <c r="B969" s="8">
        <f t="shared" si="44"/>
        <v>512</v>
      </c>
      <c r="C969" s="18"/>
      <c r="D969" s="18"/>
      <c r="E969" s="18"/>
      <c r="F969" s="152"/>
      <c r="G969" s="153">
        <v>637</v>
      </c>
      <c r="H969" s="18" t="s">
        <v>132</v>
      </c>
      <c r="I969" s="19">
        <f>750+1030</f>
        <v>1780</v>
      </c>
      <c r="J969" s="19">
        <f>750+1030</f>
        <v>1780</v>
      </c>
      <c r="K969" s="19">
        <f>750+1030</f>
        <v>1780</v>
      </c>
      <c r="L969" s="621"/>
      <c r="M969" s="19"/>
      <c r="N969" s="19"/>
      <c r="O969" s="19"/>
    </row>
    <row r="970" spans="2:15" x14ac:dyDescent="0.2">
      <c r="B970" s="8">
        <f t="shared" si="44"/>
        <v>513</v>
      </c>
      <c r="C970" s="24"/>
      <c r="D970" s="24"/>
      <c r="E970" s="24"/>
      <c r="F970" s="149" t="s">
        <v>170</v>
      </c>
      <c r="G970" s="150">
        <v>640</v>
      </c>
      <c r="H970" s="24" t="s">
        <v>139</v>
      </c>
      <c r="I970" s="25">
        <v>450</v>
      </c>
      <c r="J970" s="25">
        <v>450</v>
      </c>
      <c r="K970" s="25">
        <v>450</v>
      </c>
      <c r="L970" s="620"/>
      <c r="M970" s="25"/>
      <c r="N970" s="25"/>
      <c r="O970" s="25"/>
    </row>
    <row r="971" spans="2:15" x14ac:dyDescent="0.2">
      <c r="B971" s="8">
        <f t="shared" si="44"/>
        <v>514</v>
      </c>
      <c r="C971" s="280"/>
      <c r="D971" s="280"/>
      <c r="E971" s="280" t="s">
        <v>87</v>
      </c>
      <c r="F971" s="281"/>
      <c r="G971" s="281"/>
      <c r="H971" s="280" t="s">
        <v>88</v>
      </c>
      <c r="I971" s="282">
        <f>I978+I974+I973+I972</f>
        <v>158769</v>
      </c>
      <c r="J971" s="282">
        <f>J978+J974+J973+J972</f>
        <v>160665</v>
      </c>
      <c r="K971" s="282">
        <f>K978+K974+K973+K972</f>
        <v>161865</v>
      </c>
      <c r="L971" s="620"/>
      <c r="M971" s="282"/>
      <c r="N971" s="282"/>
      <c r="O971" s="282"/>
    </row>
    <row r="972" spans="2:15" x14ac:dyDescent="0.2">
      <c r="B972" s="8">
        <f t="shared" si="44"/>
        <v>515</v>
      </c>
      <c r="C972" s="24"/>
      <c r="D972" s="24"/>
      <c r="E972" s="24"/>
      <c r="F972" s="149" t="s">
        <v>170</v>
      </c>
      <c r="G972" s="150">
        <v>610</v>
      </c>
      <c r="H972" s="24" t="s">
        <v>141</v>
      </c>
      <c r="I972" s="25">
        <f>894+840+8490+44100</f>
        <v>54324</v>
      </c>
      <c r="J972" s="25">
        <v>56000</v>
      </c>
      <c r="K972" s="25">
        <v>57000</v>
      </c>
      <c r="L972" s="620"/>
      <c r="M972" s="25"/>
      <c r="N972" s="25"/>
      <c r="O972" s="25"/>
    </row>
    <row r="973" spans="2:15" x14ac:dyDescent="0.2">
      <c r="B973" s="8">
        <f t="shared" si="44"/>
        <v>516</v>
      </c>
      <c r="C973" s="24"/>
      <c r="D973" s="24"/>
      <c r="E973" s="24"/>
      <c r="F973" s="149" t="s">
        <v>170</v>
      </c>
      <c r="G973" s="150">
        <v>620</v>
      </c>
      <c r="H973" s="24" t="s">
        <v>134</v>
      </c>
      <c r="I973" s="25">
        <f>2585+544+1633+1086+435+7619+762+5442</f>
        <v>20106</v>
      </c>
      <c r="J973" s="25">
        <v>20300</v>
      </c>
      <c r="K973" s="25">
        <v>20500</v>
      </c>
      <c r="L973" s="620"/>
      <c r="M973" s="25"/>
      <c r="N973" s="25"/>
      <c r="O973" s="25"/>
    </row>
    <row r="974" spans="2:15" x14ac:dyDescent="0.2">
      <c r="B974" s="8">
        <f t="shared" si="44"/>
        <v>517</v>
      </c>
      <c r="C974" s="24"/>
      <c r="D974" s="24"/>
      <c r="E974" s="24"/>
      <c r="F974" s="149" t="s">
        <v>170</v>
      </c>
      <c r="G974" s="150">
        <v>630</v>
      </c>
      <c r="H974" s="24" t="s">
        <v>131</v>
      </c>
      <c r="I974" s="25">
        <f>I977+I976+I975</f>
        <v>83889</v>
      </c>
      <c r="J974" s="25">
        <f>J977+J976+J975</f>
        <v>83915</v>
      </c>
      <c r="K974" s="25">
        <f>K977+K976+K975</f>
        <v>83915</v>
      </c>
      <c r="L974" s="620"/>
      <c r="M974" s="25"/>
      <c r="N974" s="25"/>
      <c r="O974" s="25"/>
    </row>
    <row r="975" spans="2:15" x14ac:dyDescent="0.2">
      <c r="B975" s="8">
        <f t="shared" si="44"/>
        <v>518</v>
      </c>
      <c r="C975" s="18"/>
      <c r="D975" s="18"/>
      <c r="E975" s="18"/>
      <c r="F975" s="152"/>
      <c r="G975" s="153">
        <v>633</v>
      </c>
      <c r="H975" s="18" t="s">
        <v>135</v>
      </c>
      <c r="I975" s="19">
        <f>200+250+500+59513+3500+2000+280+11731</f>
        <v>77974</v>
      </c>
      <c r="J975" s="19">
        <v>78000</v>
      </c>
      <c r="K975" s="19">
        <v>78000</v>
      </c>
      <c r="L975" s="621"/>
      <c r="M975" s="19"/>
      <c r="N975" s="19"/>
      <c r="O975" s="19"/>
    </row>
    <row r="976" spans="2:15" x14ac:dyDescent="0.2">
      <c r="B976" s="8">
        <f t="shared" si="44"/>
        <v>519</v>
      </c>
      <c r="C976" s="18"/>
      <c r="D976" s="18"/>
      <c r="E976" s="18"/>
      <c r="F976" s="152"/>
      <c r="G976" s="153">
        <v>635</v>
      </c>
      <c r="H976" s="18" t="s">
        <v>143</v>
      </c>
      <c r="I976" s="19">
        <f>1000+2500</f>
        <v>3500</v>
      </c>
      <c r="J976" s="19">
        <f>1000+2500</f>
        <v>3500</v>
      </c>
      <c r="K976" s="19">
        <f>1000+2500</f>
        <v>3500</v>
      </c>
      <c r="L976" s="621"/>
      <c r="M976" s="19"/>
      <c r="N976" s="19"/>
      <c r="O976" s="19"/>
    </row>
    <row r="977" spans="2:15" x14ac:dyDescent="0.2">
      <c r="B977" s="8">
        <f t="shared" si="44"/>
        <v>520</v>
      </c>
      <c r="C977" s="18"/>
      <c r="D977" s="18"/>
      <c r="E977" s="18"/>
      <c r="F977" s="152"/>
      <c r="G977" s="153">
        <v>637</v>
      </c>
      <c r="H977" s="18" t="s">
        <v>132</v>
      </c>
      <c r="I977" s="19">
        <f>100+815+1500</f>
        <v>2415</v>
      </c>
      <c r="J977" s="19">
        <f>100+815+1500</f>
        <v>2415</v>
      </c>
      <c r="K977" s="19">
        <f>100+815+1500</f>
        <v>2415</v>
      </c>
      <c r="L977" s="621"/>
      <c r="M977" s="19"/>
      <c r="N977" s="19"/>
      <c r="O977" s="19"/>
    </row>
    <row r="978" spans="2:15" x14ac:dyDescent="0.2">
      <c r="B978" s="8">
        <f t="shared" ref="B978:B1036" si="45">B977+1</f>
        <v>521</v>
      </c>
      <c r="C978" s="24"/>
      <c r="D978" s="24"/>
      <c r="E978" s="24"/>
      <c r="F978" s="149" t="s">
        <v>170</v>
      </c>
      <c r="G978" s="150">
        <v>640</v>
      </c>
      <c r="H978" s="24" t="s">
        <v>139</v>
      </c>
      <c r="I978" s="25">
        <v>450</v>
      </c>
      <c r="J978" s="25">
        <v>450</v>
      </c>
      <c r="K978" s="25">
        <v>450</v>
      </c>
      <c r="L978" s="620"/>
      <c r="M978" s="25"/>
      <c r="N978" s="25"/>
      <c r="O978" s="25"/>
    </row>
    <row r="979" spans="2:15" x14ac:dyDescent="0.2">
      <c r="B979" s="8">
        <f t="shared" si="45"/>
        <v>522</v>
      </c>
      <c r="C979" s="280"/>
      <c r="D979" s="280"/>
      <c r="E979" s="280" t="s">
        <v>109</v>
      </c>
      <c r="F979" s="281"/>
      <c r="G979" s="281"/>
      <c r="H979" s="280" t="s">
        <v>110</v>
      </c>
      <c r="I979" s="282">
        <f>I986+I982+I981+I980</f>
        <v>93604</v>
      </c>
      <c r="J979" s="282">
        <f>J986+J982+J981+J980</f>
        <v>94000</v>
      </c>
      <c r="K979" s="282">
        <f>K986+K982+K981+K980</f>
        <v>95200</v>
      </c>
      <c r="L979" s="620"/>
      <c r="M979" s="282"/>
      <c r="N979" s="282"/>
      <c r="O979" s="282"/>
    </row>
    <row r="980" spans="2:15" x14ac:dyDescent="0.2">
      <c r="B980" s="8">
        <f t="shared" si="45"/>
        <v>523</v>
      </c>
      <c r="C980" s="24"/>
      <c r="D980" s="24"/>
      <c r="E980" s="24"/>
      <c r="F980" s="149" t="s">
        <v>170</v>
      </c>
      <c r="G980" s="150">
        <v>610</v>
      </c>
      <c r="H980" s="24" t="s">
        <v>141</v>
      </c>
      <c r="I980" s="25">
        <f>810+600+4612+26259</f>
        <v>32281</v>
      </c>
      <c r="J980" s="25">
        <v>33500</v>
      </c>
      <c r="K980" s="25">
        <v>34500</v>
      </c>
      <c r="L980" s="620"/>
      <c r="M980" s="25"/>
      <c r="N980" s="25"/>
      <c r="O980" s="25"/>
    </row>
    <row r="981" spans="2:15" x14ac:dyDescent="0.2">
      <c r="B981" s="8">
        <f t="shared" si="45"/>
        <v>524</v>
      </c>
      <c r="C981" s="24"/>
      <c r="D981" s="24"/>
      <c r="E981" s="24"/>
      <c r="F981" s="149" t="s">
        <v>170</v>
      </c>
      <c r="G981" s="150">
        <v>620</v>
      </c>
      <c r="H981" s="24" t="s">
        <v>134</v>
      </c>
      <c r="I981" s="25">
        <f>1538+322+971+646+259+4533+453+3238</f>
        <v>11960</v>
      </c>
      <c r="J981" s="25">
        <v>11200</v>
      </c>
      <c r="K981" s="25">
        <v>11400</v>
      </c>
      <c r="L981" s="620"/>
      <c r="M981" s="25"/>
      <c r="N981" s="25"/>
      <c r="O981" s="25"/>
    </row>
    <row r="982" spans="2:15" x14ac:dyDescent="0.2">
      <c r="B982" s="8">
        <f t="shared" si="45"/>
        <v>525</v>
      </c>
      <c r="C982" s="24"/>
      <c r="D982" s="24"/>
      <c r="E982" s="24"/>
      <c r="F982" s="149" t="s">
        <v>170</v>
      </c>
      <c r="G982" s="150">
        <v>630</v>
      </c>
      <c r="H982" s="24" t="s">
        <v>131</v>
      </c>
      <c r="I982" s="25">
        <f>I985+I984+I983</f>
        <v>48913</v>
      </c>
      <c r="J982" s="25">
        <f>J985+J984+J983</f>
        <v>48850</v>
      </c>
      <c r="K982" s="25">
        <f>K985+K984+K983</f>
        <v>48850</v>
      </c>
      <c r="L982" s="620"/>
      <c r="M982" s="25"/>
      <c r="N982" s="25"/>
      <c r="O982" s="25"/>
    </row>
    <row r="983" spans="2:15" x14ac:dyDescent="0.2">
      <c r="B983" s="8">
        <f t="shared" si="45"/>
        <v>526</v>
      </c>
      <c r="C983" s="18"/>
      <c r="D983" s="18"/>
      <c r="E983" s="18"/>
      <c r="F983" s="152"/>
      <c r="G983" s="153">
        <v>633</v>
      </c>
      <c r="H983" s="18" t="s">
        <v>135</v>
      </c>
      <c r="I983" s="19">
        <f>100+2000+34818+1500+280+5865</f>
        <v>44563</v>
      </c>
      <c r="J983" s="19">
        <v>44500</v>
      </c>
      <c r="K983" s="19">
        <v>44500</v>
      </c>
      <c r="L983" s="621"/>
      <c r="M983" s="19"/>
      <c r="N983" s="19"/>
      <c r="O983" s="19"/>
    </row>
    <row r="984" spans="2:15" x14ac:dyDescent="0.2">
      <c r="B984" s="8">
        <f t="shared" si="45"/>
        <v>527</v>
      </c>
      <c r="C984" s="18"/>
      <c r="D984" s="18"/>
      <c r="E984" s="18"/>
      <c r="F984" s="152"/>
      <c r="G984" s="153">
        <v>635</v>
      </c>
      <c r="H984" s="18" t="s">
        <v>143</v>
      </c>
      <c r="I984" s="19">
        <f>100+2900</f>
        <v>3000</v>
      </c>
      <c r="J984" s="19">
        <f>100+2900</f>
        <v>3000</v>
      </c>
      <c r="K984" s="19">
        <f>100+2900</f>
        <v>3000</v>
      </c>
      <c r="L984" s="621"/>
      <c r="M984" s="19"/>
      <c r="N984" s="19"/>
      <c r="O984" s="19"/>
    </row>
    <row r="985" spans="2:15" x14ac:dyDescent="0.2">
      <c r="B985" s="8">
        <f t="shared" si="45"/>
        <v>528</v>
      </c>
      <c r="C985" s="18"/>
      <c r="D985" s="18"/>
      <c r="E985" s="18"/>
      <c r="F985" s="152"/>
      <c r="G985" s="153">
        <v>637</v>
      </c>
      <c r="H985" s="18" t="s">
        <v>132</v>
      </c>
      <c r="I985" s="19">
        <f>100+490+760</f>
        <v>1350</v>
      </c>
      <c r="J985" s="19">
        <f>100+490+760</f>
        <v>1350</v>
      </c>
      <c r="K985" s="19">
        <f>100+490+760</f>
        <v>1350</v>
      </c>
      <c r="L985" s="621"/>
      <c r="M985" s="19"/>
      <c r="N985" s="19"/>
      <c r="O985" s="19"/>
    </row>
    <row r="986" spans="2:15" x14ac:dyDescent="0.2">
      <c r="B986" s="8">
        <f t="shared" si="45"/>
        <v>529</v>
      </c>
      <c r="C986" s="24"/>
      <c r="D986" s="24"/>
      <c r="E986" s="24"/>
      <c r="F986" s="149" t="s">
        <v>170</v>
      </c>
      <c r="G986" s="150">
        <v>640</v>
      </c>
      <c r="H986" s="24" t="s">
        <v>139</v>
      </c>
      <c r="I986" s="25">
        <v>450</v>
      </c>
      <c r="J986" s="25">
        <v>450</v>
      </c>
      <c r="K986" s="25">
        <v>450</v>
      </c>
      <c r="L986" s="620"/>
      <c r="M986" s="25"/>
      <c r="N986" s="25"/>
      <c r="O986" s="25"/>
    </row>
    <row r="987" spans="2:15" x14ac:dyDescent="0.2">
      <c r="B987" s="8">
        <f t="shared" si="45"/>
        <v>530</v>
      </c>
      <c r="C987" s="280"/>
      <c r="D987" s="280"/>
      <c r="E987" s="280" t="s">
        <v>108</v>
      </c>
      <c r="F987" s="281"/>
      <c r="G987" s="281"/>
      <c r="H987" s="280" t="s">
        <v>65</v>
      </c>
      <c r="I987" s="282">
        <f>I994+I990+I989+I988</f>
        <v>137307</v>
      </c>
      <c r="J987" s="282">
        <f>J994+J990+J989+J988</f>
        <v>138555</v>
      </c>
      <c r="K987" s="282">
        <f>K994+K990+K989+K988</f>
        <v>139855</v>
      </c>
      <c r="L987" s="620"/>
      <c r="M987" s="282"/>
      <c r="N987" s="282"/>
      <c r="O987" s="282"/>
    </row>
    <row r="988" spans="2:15" x14ac:dyDescent="0.2">
      <c r="B988" s="8">
        <f t="shared" si="45"/>
        <v>531</v>
      </c>
      <c r="C988" s="24"/>
      <c r="D988" s="24"/>
      <c r="E988" s="24"/>
      <c r="F988" s="149" t="s">
        <v>170</v>
      </c>
      <c r="G988" s="150">
        <v>610</v>
      </c>
      <c r="H988" s="24" t="s">
        <v>141</v>
      </c>
      <c r="I988" s="25">
        <f>768+480+6050+35052</f>
        <v>42350</v>
      </c>
      <c r="J988" s="25">
        <v>43500</v>
      </c>
      <c r="K988" s="25">
        <v>44500</v>
      </c>
      <c r="L988" s="620"/>
      <c r="M988" s="25"/>
      <c r="N988" s="25"/>
      <c r="O988" s="25"/>
    </row>
    <row r="989" spans="2:15" x14ac:dyDescent="0.2">
      <c r="B989" s="8">
        <f t="shared" si="45"/>
        <v>532</v>
      </c>
      <c r="C989" s="24"/>
      <c r="D989" s="24"/>
      <c r="E989" s="24"/>
      <c r="F989" s="149" t="s">
        <v>170</v>
      </c>
      <c r="G989" s="150">
        <v>620</v>
      </c>
      <c r="H989" s="24" t="s">
        <v>134</v>
      </c>
      <c r="I989" s="25">
        <f>2097+442+1325+847+353+6181+618+4415</f>
        <v>16278</v>
      </c>
      <c r="J989" s="25">
        <v>16500</v>
      </c>
      <c r="K989" s="25">
        <v>16800</v>
      </c>
      <c r="L989" s="620"/>
      <c r="M989" s="25"/>
      <c r="N989" s="25"/>
      <c r="O989" s="25"/>
    </row>
    <row r="990" spans="2:15" x14ac:dyDescent="0.2">
      <c r="B990" s="8">
        <f t="shared" si="45"/>
        <v>533</v>
      </c>
      <c r="C990" s="24"/>
      <c r="D990" s="24"/>
      <c r="E990" s="24"/>
      <c r="F990" s="149" t="s">
        <v>170</v>
      </c>
      <c r="G990" s="150">
        <v>630</v>
      </c>
      <c r="H990" s="24" t="s">
        <v>131</v>
      </c>
      <c r="I990" s="25">
        <f>I993+I992+I991</f>
        <v>76427</v>
      </c>
      <c r="J990" s="25">
        <f>J993+J992+J991</f>
        <v>76355</v>
      </c>
      <c r="K990" s="25">
        <f>K993+K992+K991</f>
        <v>76355</v>
      </c>
      <c r="L990" s="620"/>
      <c r="M990" s="25"/>
      <c r="N990" s="25"/>
      <c r="O990" s="25"/>
    </row>
    <row r="991" spans="2:15" x14ac:dyDescent="0.2">
      <c r="B991" s="8">
        <f t="shared" si="45"/>
        <v>534</v>
      </c>
      <c r="C991" s="18"/>
      <c r="D991" s="18"/>
      <c r="E991" s="18"/>
      <c r="F991" s="152"/>
      <c r="G991" s="153">
        <v>633</v>
      </c>
      <c r="H991" s="18" t="s">
        <v>135</v>
      </c>
      <c r="I991" s="19">
        <f>50+54287+4450+2000+10805+280</f>
        <v>71872</v>
      </c>
      <c r="J991" s="19">
        <v>71800</v>
      </c>
      <c r="K991" s="19">
        <v>71800</v>
      </c>
      <c r="L991" s="621"/>
      <c r="M991" s="19"/>
      <c r="N991" s="19"/>
      <c r="O991" s="19"/>
    </row>
    <row r="992" spans="2:15" x14ac:dyDescent="0.2">
      <c r="B992" s="8">
        <f t="shared" si="45"/>
        <v>535</v>
      </c>
      <c r="C992" s="18"/>
      <c r="D992" s="18"/>
      <c r="E992" s="18"/>
      <c r="F992" s="152"/>
      <c r="G992" s="153">
        <v>635</v>
      </c>
      <c r="H992" s="18" t="s">
        <v>143</v>
      </c>
      <c r="I992" s="19">
        <f>500+2500</f>
        <v>3000</v>
      </c>
      <c r="J992" s="19">
        <f>500+2500</f>
        <v>3000</v>
      </c>
      <c r="K992" s="19">
        <f>500+2500</f>
        <v>3000</v>
      </c>
      <c r="L992" s="621"/>
      <c r="M992" s="19"/>
      <c r="N992" s="19"/>
      <c r="O992" s="19"/>
    </row>
    <row r="993" spans="2:15" x14ac:dyDescent="0.2">
      <c r="B993" s="8">
        <f t="shared" si="45"/>
        <v>536</v>
      </c>
      <c r="C993" s="18"/>
      <c r="D993" s="18"/>
      <c r="E993" s="18"/>
      <c r="F993" s="152"/>
      <c r="G993" s="153">
        <v>637</v>
      </c>
      <c r="H993" s="18" t="s">
        <v>132</v>
      </c>
      <c r="I993" s="19">
        <f>635+920</f>
        <v>1555</v>
      </c>
      <c r="J993" s="19">
        <f>635+920</f>
        <v>1555</v>
      </c>
      <c r="K993" s="19">
        <f>635+920</f>
        <v>1555</v>
      </c>
      <c r="L993" s="621"/>
      <c r="M993" s="19"/>
      <c r="N993" s="19"/>
      <c r="O993" s="19"/>
    </row>
    <row r="994" spans="2:15" x14ac:dyDescent="0.2">
      <c r="B994" s="8">
        <f t="shared" si="45"/>
        <v>537</v>
      </c>
      <c r="C994" s="24"/>
      <c r="D994" s="24"/>
      <c r="E994" s="24"/>
      <c r="F994" s="149" t="s">
        <v>170</v>
      </c>
      <c r="G994" s="150">
        <v>640</v>
      </c>
      <c r="H994" s="24" t="s">
        <v>139</v>
      </c>
      <c r="I994" s="25">
        <f>450+1802</f>
        <v>2252</v>
      </c>
      <c r="J994" s="25">
        <v>2200</v>
      </c>
      <c r="K994" s="25">
        <v>2200</v>
      </c>
      <c r="L994" s="620"/>
      <c r="M994" s="25"/>
      <c r="N994" s="25"/>
      <c r="O994" s="25"/>
    </row>
    <row r="995" spans="2:15" x14ac:dyDescent="0.2">
      <c r="B995" s="8">
        <f t="shared" si="45"/>
        <v>538</v>
      </c>
      <c r="C995" s="280"/>
      <c r="D995" s="280"/>
      <c r="E995" s="280" t="s">
        <v>104</v>
      </c>
      <c r="F995" s="281"/>
      <c r="G995" s="281"/>
      <c r="H995" s="280" t="s">
        <v>71</v>
      </c>
      <c r="I995" s="282">
        <f>I1002+I998+I997+I996</f>
        <v>137027</v>
      </c>
      <c r="J995" s="282">
        <f>J1002+J998+J997+J996</f>
        <v>138735</v>
      </c>
      <c r="K995" s="282">
        <f>K1002+K998+K997+K996</f>
        <v>139935</v>
      </c>
      <c r="L995" s="620"/>
      <c r="M995" s="282"/>
      <c r="N995" s="282"/>
      <c r="O995" s="282"/>
    </row>
    <row r="996" spans="2:15" x14ac:dyDescent="0.2">
      <c r="B996" s="8">
        <f t="shared" si="45"/>
        <v>539</v>
      </c>
      <c r="C996" s="24"/>
      <c r="D996" s="24"/>
      <c r="E996" s="24"/>
      <c r="F996" s="149" t="s">
        <v>170</v>
      </c>
      <c r="G996" s="150">
        <v>610</v>
      </c>
      <c r="H996" s="24" t="s">
        <v>141</v>
      </c>
      <c r="I996" s="25">
        <f>768+480+6919+35262</f>
        <v>43429</v>
      </c>
      <c r="J996" s="25">
        <v>45000</v>
      </c>
      <c r="K996" s="25">
        <v>46000</v>
      </c>
      <c r="L996" s="620"/>
      <c r="M996" s="25"/>
      <c r="N996" s="25"/>
      <c r="O996" s="25"/>
    </row>
    <row r="997" spans="2:15" x14ac:dyDescent="0.2">
      <c r="B997" s="8">
        <f t="shared" si="45"/>
        <v>540</v>
      </c>
      <c r="C997" s="24"/>
      <c r="D997" s="24"/>
      <c r="E997" s="24"/>
      <c r="F997" s="149" t="s">
        <v>170</v>
      </c>
      <c r="G997" s="150">
        <v>620</v>
      </c>
      <c r="H997" s="24" t="s">
        <v>134</v>
      </c>
      <c r="I997" s="25">
        <f>2068+434+1306+869+348+6094+609+4353</f>
        <v>16081</v>
      </c>
      <c r="J997" s="25">
        <v>16300</v>
      </c>
      <c r="K997" s="25">
        <v>16500</v>
      </c>
      <c r="L997" s="620"/>
      <c r="M997" s="25"/>
      <c r="N997" s="25"/>
      <c r="O997" s="25"/>
    </row>
    <row r="998" spans="2:15" x14ac:dyDescent="0.2">
      <c r="B998" s="8">
        <f t="shared" si="45"/>
        <v>541</v>
      </c>
      <c r="C998" s="24"/>
      <c r="D998" s="24"/>
      <c r="E998" s="24"/>
      <c r="F998" s="149" t="s">
        <v>170</v>
      </c>
      <c r="G998" s="150">
        <v>630</v>
      </c>
      <c r="H998" s="24" t="s">
        <v>131</v>
      </c>
      <c r="I998" s="25">
        <f>I1001+I1000+I999</f>
        <v>77067</v>
      </c>
      <c r="J998" s="25">
        <f>J1001+J1000+J999</f>
        <v>76985</v>
      </c>
      <c r="K998" s="25">
        <f>K1001+K1000+K999</f>
        <v>76985</v>
      </c>
      <c r="L998" s="620"/>
      <c r="M998" s="25"/>
      <c r="N998" s="25"/>
      <c r="O998" s="25"/>
    </row>
    <row r="999" spans="2:15" x14ac:dyDescent="0.2">
      <c r="B999" s="8">
        <f t="shared" si="45"/>
        <v>542</v>
      </c>
      <c r="C999" s="18"/>
      <c r="D999" s="18"/>
      <c r="E999" s="18"/>
      <c r="F999" s="152"/>
      <c r="G999" s="153">
        <v>633</v>
      </c>
      <c r="H999" s="18" t="s">
        <v>135</v>
      </c>
      <c r="I999" s="19">
        <f>900+100+53493+2200+280+14509</f>
        <v>71482</v>
      </c>
      <c r="J999" s="19">
        <v>71400</v>
      </c>
      <c r="K999" s="19">
        <v>71400</v>
      </c>
      <c r="L999" s="621"/>
      <c r="M999" s="19"/>
      <c r="N999" s="19"/>
      <c r="O999" s="19"/>
    </row>
    <row r="1000" spans="2:15" x14ac:dyDescent="0.2">
      <c r="B1000" s="8">
        <f t="shared" si="45"/>
        <v>543</v>
      </c>
      <c r="C1000" s="18"/>
      <c r="D1000" s="18"/>
      <c r="E1000" s="18"/>
      <c r="F1000" s="152"/>
      <c r="G1000" s="153">
        <v>635</v>
      </c>
      <c r="H1000" s="18" t="s">
        <v>143</v>
      </c>
      <c r="I1000" s="19">
        <f>100+2400</f>
        <v>2500</v>
      </c>
      <c r="J1000" s="19">
        <f>100+2400</f>
        <v>2500</v>
      </c>
      <c r="K1000" s="19">
        <f>100+2400</f>
        <v>2500</v>
      </c>
      <c r="L1000" s="621"/>
      <c r="M1000" s="19"/>
      <c r="N1000" s="19"/>
      <c r="O1000" s="19"/>
    </row>
    <row r="1001" spans="2:15" x14ac:dyDescent="0.2">
      <c r="B1001" s="8">
        <f t="shared" si="45"/>
        <v>544</v>
      </c>
      <c r="C1001" s="18"/>
      <c r="D1001" s="18"/>
      <c r="E1001" s="18"/>
      <c r="F1001" s="152"/>
      <c r="G1001" s="153">
        <v>637</v>
      </c>
      <c r="H1001" s="18" t="s">
        <v>132</v>
      </c>
      <c r="I1001" s="19">
        <f>652+103+2330</f>
        <v>3085</v>
      </c>
      <c r="J1001" s="19">
        <f>652+103+2330</f>
        <v>3085</v>
      </c>
      <c r="K1001" s="19">
        <f>652+103+2330</f>
        <v>3085</v>
      </c>
      <c r="L1001" s="621"/>
      <c r="M1001" s="19"/>
      <c r="N1001" s="19"/>
      <c r="O1001" s="19"/>
    </row>
    <row r="1002" spans="2:15" x14ac:dyDescent="0.2">
      <c r="B1002" s="8">
        <f t="shared" si="45"/>
        <v>545</v>
      </c>
      <c r="C1002" s="24"/>
      <c r="D1002" s="24"/>
      <c r="E1002" s="24"/>
      <c r="F1002" s="149" t="s">
        <v>170</v>
      </c>
      <c r="G1002" s="150">
        <v>640</v>
      </c>
      <c r="H1002" s="24" t="s">
        <v>139</v>
      </c>
      <c r="I1002" s="25">
        <v>450</v>
      </c>
      <c r="J1002" s="25">
        <v>450</v>
      </c>
      <c r="K1002" s="25">
        <v>450</v>
      </c>
      <c r="L1002" s="620"/>
      <c r="M1002" s="25"/>
      <c r="N1002" s="25"/>
      <c r="O1002" s="25"/>
    </row>
    <row r="1003" spans="2:15" x14ac:dyDescent="0.2">
      <c r="B1003" s="8">
        <f t="shared" si="45"/>
        <v>546</v>
      </c>
      <c r="C1003" s="280"/>
      <c r="D1003" s="280"/>
      <c r="E1003" s="280" t="s">
        <v>107</v>
      </c>
      <c r="F1003" s="281"/>
      <c r="G1003" s="281"/>
      <c r="H1003" s="280" t="s">
        <v>72</v>
      </c>
      <c r="I1003" s="282">
        <f>I1010+I1006+I1005+I1004</f>
        <v>117750</v>
      </c>
      <c r="J1003" s="282">
        <f>J1010+J1006+J1005+J1004</f>
        <v>119055</v>
      </c>
      <c r="K1003" s="282">
        <f>K1010+K1006+K1005+K1004</f>
        <v>120255</v>
      </c>
      <c r="L1003" s="620"/>
      <c r="M1003" s="282"/>
      <c r="N1003" s="282"/>
      <c r="O1003" s="282"/>
    </row>
    <row r="1004" spans="2:15" x14ac:dyDescent="0.2">
      <c r="B1004" s="8">
        <f t="shared" si="45"/>
        <v>547</v>
      </c>
      <c r="C1004" s="24"/>
      <c r="D1004" s="24"/>
      <c r="E1004" s="24"/>
      <c r="F1004" s="149" t="s">
        <v>170</v>
      </c>
      <c r="G1004" s="150">
        <v>610</v>
      </c>
      <c r="H1004" s="24" t="s">
        <v>141</v>
      </c>
      <c r="I1004" s="25">
        <f>810+600+6349+36681</f>
        <v>44440</v>
      </c>
      <c r="J1004" s="25">
        <v>45500</v>
      </c>
      <c r="K1004" s="25">
        <v>46500</v>
      </c>
      <c r="L1004" s="620"/>
      <c r="M1004" s="25"/>
      <c r="N1004" s="25"/>
      <c r="O1004" s="25"/>
    </row>
    <row r="1005" spans="2:15" x14ac:dyDescent="0.2">
      <c r="B1005" s="8">
        <f t="shared" si="45"/>
        <v>548</v>
      </c>
      <c r="C1005" s="24"/>
      <c r="D1005" s="24"/>
      <c r="E1005" s="24"/>
      <c r="F1005" s="149" t="s">
        <v>170</v>
      </c>
      <c r="G1005" s="150">
        <v>620</v>
      </c>
      <c r="H1005" s="24" t="s">
        <v>134</v>
      </c>
      <c r="I1005" s="25">
        <f>2116+444+1336+889+356+6236+624+4454</f>
        <v>16455</v>
      </c>
      <c r="J1005" s="25">
        <v>16700</v>
      </c>
      <c r="K1005" s="25">
        <v>16900</v>
      </c>
      <c r="L1005" s="620"/>
      <c r="M1005" s="25"/>
      <c r="N1005" s="25"/>
      <c r="O1005" s="25"/>
    </row>
    <row r="1006" spans="2:15" x14ac:dyDescent="0.2">
      <c r="B1006" s="8">
        <f t="shared" si="45"/>
        <v>549</v>
      </c>
      <c r="C1006" s="24"/>
      <c r="D1006" s="24"/>
      <c r="E1006" s="24"/>
      <c r="F1006" s="149" t="s">
        <v>170</v>
      </c>
      <c r="G1006" s="150">
        <v>630</v>
      </c>
      <c r="H1006" s="24" t="s">
        <v>131</v>
      </c>
      <c r="I1006" s="25">
        <f>I1009+I1008+I1007</f>
        <v>56405</v>
      </c>
      <c r="J1006" s="25">
        <f>J1009+J1008+J1007</f>
        <v>56405</v>
      </c>
      <c r="K1006" s="25">
        <f>K1009+K1008+K1007</f>
        <v>56405</v>
      </c>
      <c r="L1006" s="620"/>
      <c r="M1006" s="25"/>
      <c r="N1006" s="25"/>
      <c r="O1006" s="25"/>
    </row>
    <row r="1007" spans="2:15" x14ac:dyDescent="0.2">
      <c r="B1007" s="8">
        <f t="shared" si="45"/>
        <v>550</v>
      </c>
      <c r="C1007" s="18"/>
      <c r="D1007" s="18"/>
      <c r="E1007" s="18"/>
      <c r="F1007" s="152"/>
      <c r="G1007" s="153">
        <v>633</v>
      </c>
      <c r="H1007" s="18" t="s">
        <v>135</v>
      </c>
      <c r="I1007" s="19">
        <f>150+1000+42094+1800+200+6791+280</f>
        <v>52315</v>
      </c>
      <c r="J1007" s="19">
        <f>150+1000+42094+1800+200+6791+280</f>
        <v>52315</v>
      </c>
      <c r="K1007" s="19">
        <f>150+1000+42094+1800+200+6791+280</f>
        <v>52315</v>
      </c>
      <c r="L1007" s="621"/>
      <c r="M1007" s="19"/>
      <c r="N1007" s="19"/>
      <c r="O1007" s="19"/>
    </row>
    <row r="1008" spans="2:15" x14ac:dyDescent="0.2">
      <c r="B1008" s="8">
        <f t="shared" si="45"/>
        <v>551</v>
      </c>
      <c r="C1008" s="18"/>
      <c r="D1008" s="18"/>
      <c r="E1008" s="18"/>
      <c r="F1008" s="152"/>
      <c r="G1008" s="153">
        <v>635</v>
      </c>
      <c r="H1008" s="18" t="s">
        <v>143</v>
      </c>
      <c r="I1008" s="19">
        <v>2500</v>
      </c>
      <c r="J1008" s="19">
        <v>2500</v>
      </c>
      <c r="K1008" s="19">
        <v>2500</v>
      </c>
      <c r="L1008" s="621"/>
      <c r="M1008" s="19"/>
      <c r="N1008" s="19"/>
      <c r="O1008" s="19"/>
    </row>
    <row r="1009" spans="2:15" x14ac:dyDescent="0.2">
      <c r="B1009" s="8">
        <f t="shared" si="45"/>
        <v>552</v>
      </c>
      <c r="C1009" s="18"/>
      <c r="D1009" s="18"/>
      <c r="E1009" s="18"/>
      <c r="F1009" s="152"/>
      <c r="G1009" s="153">
        <v>637</v>
      </c>
      <c r="H1009" s="18" t="s">
        <v>132</v>
      </c>
      <c r="I1009" s="19">
        <f>100+670+820</f>
        <v>1590</v>
      </c>
      <c r="J1009" s="19">
        <f>100+670+820</f>
        <v>1590</v>
      </c>
      <c r="K1009" s="19">
        <f>100+670+820</f>
        <v>1590</v>
      </c>
      <c r="L1009" s="621"/>
      <c r="M1009" s="19"/>
      <c r="N1009" s="19"/>
      <c r="O1009" s="19"/>
    </row>
    <row r="1010" spans="2:15" x14ac:dyDescent="0.2">
      <c r="B1010" s="8">
        <f t="shared" si="45"/>
        <v>553</v>
      </c>
      <c r="C1010" s="24"/>
      <c r="D1010" s="24"/>
      <c r="E1010" s="24"/>
      <c r="F1010" s="149" t="s">
        <v>170</v>
      </c>
      <c r="G1010" s="150">
        <v>640</v>
      </c>
      <c r="H1010" s="24" t="s">
        <v>139</v>
      </c>
      <c r="I1010" s="25">
        <v>450</v>
      </c>
      <c r="J1010" s="25">
        <v>450</v>
      </c>
      <c r="K1010" s="25">
        <v>450</v>
      </c>
      <c r="L1010" s="620"/>
      <c r="M1010" s="25"/>
      <c r="N1010" s="25"/>
      <c r="O1010" s="25"/>
    </row>
    <row r="1011" spans="2:15" x14ac:dyDescent="0.2">
      <c r="B1011" s="8">
        <f t="shared" si="45"/>
        <v>554</v>
      </c>
      <c r="C1011" s="280"/>
      <c r="D1011" s="280"/>
      <c r="E1011" s="280" t="s">
        <v>100</v>
      </c>
      <c r="F1011" s="281"/>
      <c r="G1011" s="281"/>
      <c r="H1011" s="280" t="s">
        <v>101</v>
      </c>
      <c r="I1011" s="282">
        <f>I1018+I1014+I1013+I1012</f>
        <v>60493</v>
      </c>
      <c r="J1011" s="282">
        <f>J1018+J1014+J1013+J1012</f>
        <v>61650</v>
      </c>
      <c r="K1011" s="282">
        <f>K1018+K1014+K1013+K1012</f>
        <v>62850</v>
      </c>
      <c r="L1011" s="620"/>
      <c r="M1011" s="282"/>
      <c r="N1011" s="282"/>
      <c r="O1011" s="282"/>
    </row>
    <row r="1012" spans="2:15" x14ac:dyDescent="0.2">
      <c r="B1012" s="8">
        <f t="shared" si="45"/>
        <v>555</v>
      </c>
      <c r="C1012" s="24"/>
      <c r="D1012" s="24"/>
      <c r="E1012" s="24"/>
      <c r="F1012" s="149" t="s">
        <v>170</v>
      </c>
      <c r="G1012" s="150">
        <v>610</v>
      </c>
      <c r="H1012" s="24" t="s">
        <v>141</v>
      </c>
      <c r="I1012" s="25">
        <f>726+360+3321+18840</f>
        <v>23247</v>
      </c>
      <c r="J1012" s="25">
        <v>24200</v>
      </c>
      <c r="K1012" s="25">
        <v>25200</v>
      </c>
      <c r="L1012" s="620"/>
      <c r="M1012" s="25"/>
      <c r="N1012" s="25"/>
      <c r="O1012" s="25"/>
    </row>
    <row r="1013" spans="2:15" x14ac:dyDescent="0.2">
      <c r="B1013" s="8">
        <f t="shared" si="45"/>
        <v>556</v>
      </c>
      <c r="C1013" s="24"/>
      <c r="D1013" s="24"/>
      <c r="E1013" s="24"/>
      <c r="F1013" s="149" t="s">
        <v>170</v>
      </c>
      <c r="G1013" s="150">
        <v>620</v>
      </c>
      <c r="H1013" s="24" t="s">
        <v>134</v>
      </c>
      <c r="I1013" s="25">
        <f>1195+250+754+465+201+3521+352+2515</f>
        <v>9253</v>
      </c>
      <c r="J1013" s="25">
        <v>9500</v>
      </c>
      <c r="K1013" s="25">
        <v>9700</v>
      </c>
      <c r="L1013" s="620"/>
      <c r="M1013" s="25"/>
      <c r="N1013" s="25"/>
      <c r="O1013" s="25"/>
    </row>
    <row r="1014" spans="2:15" x14ac:dyDescent="0.2">
      <c r="B1014" s="8">
        <f t="shared" si="45"/>
        <v>557</v>
      </c>
      <c r="C1014" s="24"/>
      <c r="D1014" s="24"/>
      <c r="E1014" s="24"/>
      <c r="F1014" s="149" t="s">
        <v>170</v>
      </c>
      <c r="G1014" s="150">
        <v>630</v>
      </c>
      <c r="H1014" s="24" t="s">
        <v>131</v>
      </c>
      <c r="I1014" s="25">
        <f>I1017+I1016+I1015</f>
        <v>25741</v>
      </c>
      <c r="J1014" s="25">
        <f>J1017+J1016+J1015</f>
        <v>25750</v>
      </c>
      <c r="K1014" s="25">
        <f>K1017+K1016+K1015</f>
        <v>25750</v>
      </c>
      <c r="L1014" s="620"/>
      <c r="M1014" s="25"/>
      <c r="N1014" s="25"/>
      <c r="O1014" s="25"/>
    </row>
    <row r="1015" spans="2:15" x14ac:dyDescent="0.2">
      <c r="B1015" s="8">
        <f t="shared" si="45"/>
        <v>558</v>
      </c>
      <c r="C1015" s="18"/>
      <c r="D1015" s="18"/>
      <c r="E1015" s="18"/>
      <c r="F1015" s="152"/>
      <c r="G1015" s="153">
        <v>633</v>
      </c>
      <c r="H1015" s="18" t="s">
        <v>135</v>
      </c>
      <c r="I1015" s="19">
        <f>200+100+16515+1200+1800+3396+280</f>
        <v>23491</v>
      </c>
      <c r="J1015" s="19">
        <v>23500</v>
      </c>
      <c r="K1015" s="19">
        <v>23500</v>
      </c>
      <c r="L1015" s="621"/>
      <c r="M1015" s="19"/>
      <c r="N1015" s="19"/>
      <c r="O1015" s="19"/>
    </row>
    <row r="1016" spans="2:15" x14ac:dyDescent="0.2">
      <c r="B1016" s="8">
        <f t="shared" si="45"/>
        <v>559</v>
      </c>
      <c r="C1016" s="18"/>
      <c r="D1016" s="18"/>
      <c r="E1016" s="18"/>
      <c r="F1016" s="152"/>
      <c r="G1016" s="153">
        <v>635</v>
      </c>
      <c r="H1016" s="18" t="s">
        <v>143</v>
      </c>
      <c r="I1016" s="19">
        <v>800</v>
      </c>
      <c r="J1016" s="19">
        <v>800</v>
      </c>
      <c r="K1016" s="19">
        <v>800</v>
      </c>
      <c r="L1016" s="621"/>
      <c r="M1016" s="19"/>
      <c r="N1016" s="19"/>
      <c r="O1016" s="19"/>
    </row>
    <row r="1017" spans="2:15" x14ac:dyDescent="0.2">
      <c r="B1017" s="8">
        <f t="shared" si="45"/>
        <v>560</v>
      </c>
      <c r="C1017" s="18"/>
      <c r="D1017" s="18"/>
      <c r="E1017" s="18"/>
      <c r="F1017" s="152"/>
      <c r="G1017" s="153">
        <v>637</v>
      </c>
      <c r="H1017" s="18" t="s">
        <v>132</v>
      </c>
      <c r="I1017" s="19">
        <f>350+100+1000</f>
        <v>1450</v>
      </c>
      <c r="J1017" s="19">
        <f>350+100+1000</f>
        <v>1450</v>
      </c>
      <c r="K1017" s="19">
        <f>350+100+1000</f>
        <v>1450</v>
      </c>
      <c r="L1017" s="621"/>
      <c r="M1017" s="19"/>
      <c r="N1017" s="19"/>
      <c r="O1017" s="19"/>
    </row>
    <row r="1018" spans="2:15" x14ac:dyDescent="0.2">
      <c r="B1018" s="8">
        <f t="shared" si="45"/>
        <v>561</v>
      </c>
      <c r="C1018" s="24"/>
      <c r="D1018" s="24"/>
      <c r="E1018" s="24"/>
      <c r="F1018" s="149" t="s">
        <v>170</v>
      </c>
      <c r="G1018" s="150">
        <v>640</v>
      </c>
      <c r="H1018" s="24" t="s">
        <v>139</v>
      </c>
      <c r="I1018" s="25">
        <f>450+1802</f>
        <v>2252</v>
      </c>
      <c r="J1018" s="25">
        <v>2200</v>
      </c>
      <c r="K1018" s="25">
        <v>2200</v>
      </c>
      <c r="L1018" s="620"/>
      <c r="M1018" s="25"/>
      <c r="N1018" s="25"/>
      <c r="O1018" s="25"/>
    </row>
    <row r="1019" spans="2:15" x14ac:dyDescent="0.2">
      <c r="B1019" s="8">
        <f t="shared" si="45"/>
        <v>562</v>
      </c>
      <c r="C1019" s="280"/>
      <c r="D1019" s="280"/>
      <c r="E1019" s="280" t="s">
        <v>93</v>
      </c>
      <c r="F1019" s="281"/>
      <c r="G1019" s="281"/>
      <c r="H1019" s="280" t="s">
        <v>206</v>
      </c>
      <c r="I1019" s="282">
        <f>I1026+I1022+I1021+I1020</f>
        <v>73849</v>
      </c>
      <c r="J1019" s="282">
        <f>J1026+J1022+J1021+J1020</f>
        <v>75080</v>
      </c>
      <c r="K1019" s="282">
        <f>K1026+K1022+K1021+K1020</f>
        <v>76280</v>
      </c>
      <c r="L1019" s="620"/>
      <c r="M1019" s="282"/>
      <c r="N1019" s="282"/>
      <c r="O1019" s="282"/>
    </row>
    <row r="1020" spans="2:15" x14ac:dyDescent="0.2">
      <c r="B1020" s="8">
        <f t="shared" si="45"/>
        <v>563</v>
      </c>
      <c r="C1020" s="24"/>
      <c r="D1020" s="24"/>
      <c r="E1020" s="24"/>
      <c r="F1020" s="149" t="s">
        <v>170</v>
      </c>
      <c r="G1020" s="150">
        <v>610</v>
      </c>
      <c r="H1020" s="24" t="s">
        <v>141</v>
      </c>
      <c r="I1020" s="25">
        <f>684+240+3926+22632</f>
        <v>27482</v>
      </c>
      <c r="J1020" s="25">
        <v>28500</v>
      </c>
      <c r="K1020" s="25">
        <v>29500</v>
      </c>
      <c r="L1020" s="620"/>
      <c r="M1020" s="25"/>
      <c r="N1020" s="25"/>
      <c r="O1020" s="25"/>
    </row>
    <row r="1021" spans="2:15" x14ac:dyDescent="0.2">
      <c r="B1021" s="8">
        <f t="shared" si="45"/>
        <v>564</v>
      </c>
      <c r="C1021" s="24"/>
      <c r="D1021" s="24"/>
      <c r="E1021" s="24"/>
      <c r="F1021" s="149" t="s">
        <v>170</v>
      </c>
      <c r="G1021" s="150">
        <v>620</v>
      </c>
      <c r="H1021" s="24" t="s">
        <v>134</v>
      </c>
      <c r="I1021" s="25">
        <v>11368</v>
      </c>
      <c r="J1021" s="25">
        <v>11600</v>
      </c>
      <c r="K1021" s="25">
        <v>11800</v>
      </c>
      <c r="L1021" s="620"/>
      <c r="M1021" s="25"/>
      <c r="N1021" s="25"/>
      <c r="O1021" s="25"/>
    </row>
    <row r="1022" spans="2:15" x14ac:dyDescent="0.2">
      <c r="B1022" s="8">
        <f t="shared" si="45"/>
        <v>565</v>
      </c>
      <c r="C1022" s="24"/>
      <c r="D1022" s="24"/>
      <c r="E1022" s="24"/>
      <c r="F1022" s="149" t="s">
        <v>170</v>
      </c>
      <c r="G1022" s="150">
        <v>630</v>
      </c>
      <c r="H1022" s="24" t="s">
        <v>131</v>
      </c>
      <c r="I1022" s="25">
        <f>I1025+I1024+I1023</f>
        <v>31080</v>
      </c>
      <c r="J1022" s="25">
        <f>J1025+J1024+J1023</f>
        <v>31080</v>
      </c>
      <c r="K1022" s="25">
        <f>K1025+K1024+K1023</f>
        <v>31080</v>
      </c>
      <c r="L1022" s="620"/>
      <c r="M1022" s="25"/>
      <c r="N1022" s="25"/>
      <c r="O1022" s="25"/>
    </row>
    <row r="1023" spans="2:15" x14ac:dyDescent="0.2">
      <c r="B1023" s="8">
        <f t="shared" si="45"/>
        <v>566</v>
      </c>
      <c r="C1023" s="18"/>
      <c r="D1023" s="18"/>
      <c r="E1023" s="18"/>
      <c r="F1023" s="152"/>
      <c r="G1023" s="153">
        <v>633</v>
      </c>
      <c r="H1023" s="18" t="s">
        <v>135</v>
      </c>
      <c r="I1023" s="19">
        <f>100+16802+2900+6483+280</f>
        <v>26565</v>
      </c>
      <c r="J1023" s="19">
        <f>100+16802+2900+6483+280</f>
        <v>26565</v>
      </c>
      <c r="K1023" s="19">
        <f>100+16802+2900+6483+280</f>
        <v>26565</v>
      </c>
      <c r="L1023" s="621"/>
      <c r="M1023" s="19"/>
      <c r="N1023" s="19"/>
      <c r="O1023" s="19"/>
    </row>
    <row r="1024" spans="2:15" x14ac:dyDescent="0.2">
      <c r="B1024" s="8">
        <f t="shared" si="45"/>
        <v>567</v>
      </c>
      <c r="C1024" s="18"/>
      <c r="D1024" s="18"/>
      <c r="E1024" s="18"/>
      <c r="F1024" s="152"/>
      <c r="G1024" s="153">
        <v>635</v>
      </c>
      <c r="H1024" s="18" t="s">
        <v>143</v>
      </c>
      <c r="I1024" s="19">
        <f>500+2500</f>
        <v>3000</v>
      </c>
      <c r="J1024" s="19">
        <f>500+2500</f>
        <v>3000</v>
      </c>
      <c r="K1024" s="19">
        <f>500+2500</f>
        <v>3000</v>
      </c>
      <c r="L1024" s="621"/>
      <c r="M1024" s="19"/>
      <c r="N1024" s="19"/>
      <c r="O1024" s="19"/>
    </row>
    <row r="1025" spans="2:15" x14ac:dyDescent="0.2">
      <c r="B1025" s="8">
        <f t="shared" si="45"/>
        <v>568</v>
      </c>
      <c r="C1025" s="18"/>
      <c r="D1025" s="18"/>
      <c r="E1025" s="18"/>
      <c r="F1025" s="152"/>
      <c r="G1025" s="153">
        <v>637</v>
      </c>
      <c r="H1025" s="18" t="s">
        <v>132</v>
      </c>
      <c r="I1025" s="19">
        <f>415+1100</f>
        <v>1515</v>
      </c>
      <c r="J1025" s="19">
        <f>415+1100</f>
        <v>1515</v>
      </c>
      <c r="K1025" s="19">
        <f>415+1100</f>
        <v>1515</v>
      </c>
      <c r="L1025" s="621"/>
      <c r="M1025" s="19"/>
      <c r="N1025" s="19"/>
      <c r="O1025" s="19"/>
    </row>
    <row r="1026" spans="2:15" x14ac:dyDescent="0.2">
      <c r="B1026" s="8">
        <f t="shared" si="45"/>
        <v>569</v>
      </c>
      <c r="C1026" s="24"/>
      <c r="D1026" s="24"/>
      <c r="E1026" s="24"/>
      <c r="F1026" s="149" t="s">
        <v>170</v>
      </c>
      <c r="G1026" s="150">
        <v>640</v>
      </c>
      <c r="H1026" s="24" t="s">
        <v>139</v>
      </c>
      <c r="I1026" s="25">
        <f>450+3469</f>
        <v>3919</v>
      </c>
      <c r="J1026" s="25">
        <v>3900</v>
      </c>
      <c r="K1026" s="25">
        <v>3900</v>
      </c>
      <c r="L1026" s="620"/>
      <c r="M1026" s="25"/>
      <c r="N1026" s="25"/>
      <c r="O1026" s="25"/>
    </row>
    <row r="1027" spans="2:15" x14ac:dyDescent="0.2">
      <c r="B1027" s="8">
        <f t="shared" si="45"/>
        <v>570</v>
      </c>
      <c r="C1027" s="280"/>
      <c r="D1027" s="280"/>
      <c r="E1027" s="280" t="s">
        <v>94</v>
      </c>
      <c r="F1027" s="281"/>
      <c r="G1027" s="281"/>
      <c r="H1027" s="280" t="s">
        <v>95</v>
      </c>
      <c r="I1027" s="282">
        <f>I1035+I1030+I1029+I1028</f>
        <v>168377</v>
      </c>
      <c r="J1027" s="282">
        <f>J1035+J1030+J1029+J1028</f>
        <v>169720</v>
      </c>
      <c r="K1027" s="282">
        <f>K1035+K1030+K1029+K1028</f>
        <v>170920</v>
      </c>
      <c r="L1027" s="620"/>
      <c r="M1027" s="282"/>
      <c r="N1027" s="282"/>
      <c r="O1027" s="282"/>
    </row>
    <row r="1028" spans="2:15" x14ac:dyDescent="0.2">
      <c r="B1028" s="8">
        <f t="shared" si="45"/>
        <v>571</v>
      </c>
      <c r="C1028" s="24"/>
      <c r="D1028" s="24"/>
      <c r="E1028" s="24"/>
      <c r="F1028" s="149" t="s">
        <v>170</v>
      </c>
      <c r="G1028" s="150">
        <v>610</v>
      </c>
      <c r="H1028" s="24" t="s">
        <v>141</v>
      </c>
      <c r="I1028" s="25">
        <f>810+600+7981+46473</f>
        <v>55864</v>
      </c>
      <c r="J1028" s="25">
        <v>57000</v>
      </c>
      <c r="K1028" s="25">
        <v>58000</v>
      </c>
      <c r="L1028" s="620"/>
      <c r="M1028" s="25"/>
      <c r="N1028" s="25"/>
      <c r="O1028" s="25"/>
    </row>
    <row r="1029" spans="2:15" x14ac:dyDescent="0.2">
      <c r="B1029" s="8">
        <f t="shared" si="45"/>
        <v>572</v>
      </c>
      <c r="C1029" s="24"/>
      <c r="D1029" s="24"/>
      <c r="E1029" s="24"/>
      <c r="F1029" s="149" t="s">
        <v>170</v>
      </c>
      <c r="G1029" s="150">
        <v>620</v>
      </c>
      <c r="H1029" s="24" t="s">
        <v>134</v>
      </c>
      <c r="I1029" s="25">
        <v>21566</v>
      </c>
      <c r="J1029" s="25">
        <v>21800</v>
      </c>
      <c r="K1029" s="25">
        <v>22000</v>
      </c>
      <c r="L1029" s="620"/>
      <c r="M1029" s="25"/>
      <c r="N1029" s="25"/>
      <c r="O1029" s="25"/>
    </row>
    <row r="1030" spans="2:15" x14ac:dyDescent="0.2">
      <c r="B1030" s="8">
        <f t="shared" si="45"/>
        <v>573</v>
      </c>
      <c r="C1030" s="24"/>
      <c r="D1030" s="24"/>
      <c r="E1030" s="24"/>
      <c r="F1030" s="149" t="s">
        <v>170</v>
      </c>
      <c r="G1030" s="150">
        <v>630</v>
      </c>
      <c r="H1030" s="24" t="s">
        <v>131</v>
      </c>
      <c r="I1030" s="25">
        <f>I1034+I1033+I1032+I1031</f>
        <v>89354</v>
      </c>
      <c r="J1030" s="25">
        <f>J1034+J1033+J1032+J1031</f>
        <v>89320</v>
      </c>
      <c r="K1030" s="25">
        <f>K1034+K1033+K1032+K1031</f>
        <v>89320</v>
      </c>
      <c r="L1030" s="620"/>
      <c r="M1030" s="25"/>
      <c r="N1030" s="25"/>
      <c r="O1030" s="25"/>
    </row>
    <row r="1031" spans="2:15" x14ac:dyDescent="0.2">
      <c r="B1031" s="8">
        <f t="shared" si="45"/>
        <v>574</v>
      </c>
      <c r="C1031" s="18"/>
      <c r="D1031" s="18"/>
      <c r="E1031" s="18"/>
      <c r="F1031" s="152"/>
      <c r="G1031" s="153">
        <v>632</v>
      </c>
      <c r="H1031" s="18" t="s">
        <v>144</v>
      </c>
      <c r="I1031" s="19">
        <v>1310</v>
      </c>
      <c r="J1031" s="19">
        <v>1310</v>
      </c>
      <c r="K1031" s="19">
        <v>1310</v>
      </c>
      <c r="L1031" s="621"/>
      <c r="M1031" s="19"/>
      <c r="N1031" s="19"/>
      <c r="O1031" s="19"/>
    </row>
    <row r="1032" spans="2:15" x14ac:dyDescent="0.2">
      <c r="B1032" s="8">
        <f t="shared" si="45"/>
        <v>575</v>
      </c>
      <c r="C1032" s="18"/>
      <c r="D1032" s="18"/>
      <c r="E1032" s="18"/>
      <c r="F1032" s="152"/>
      <c r="G1032" s="153">
        <v>633</v>
      </c>
      <c r="H1032" s="18" t="s">
        <v>135</v>
      </c>
      <c r="I1032" s="19">
        <f>500+500+62556+2720+9878+280</f>
        <v>76434</v>
      </c>
      <c r="J1032" s="19">
        <v>76400</v>
      </c>
      <c r="K1032" s="19">
        <v>76400</v>
      </c>
      <c r="L1032" s="621"/>
      <c r="M1032" s="19"/>
      <c r="N1032" s="19"/>
      <c r="O1032" s="19"/>
    </row>
    <row r="1033" spans="2:15" x14ac:dyDescent="0.2">
      <c r="B1033" s="8">
        <f t="shared" si="45"/>
        <v>576</v>
      </c>
      <c r="C1033" s="18"/>
      <c r="D1033" s="18"/>
      <c r="E1033" s="18"/>
      <c r="F1033" s="152"/>
      <c r="G1033" s="153">
        <v>635</v>
      </c>
      <c r="H1033" s="18" t="s">
        <v>143</v>
      </c>
      <c r="I1033" s="19">
        <f>500+5500</f>
        <v>6000</v>
      </c>
      <c r="J1033" s="19">
        <f>500+5500</f>
        <v>6000</v>
      </c>
      <c r="K1033" s="19">
        <f>500+5500</f>
        <v>6000</v>
      </c>
      <c r="L1033" s="621"/>
      <c r="M1033" s="19"/>
      <c r="N1033" s="19"/>
      <c r="O1033" s="19"/>
    </row>
    <row r="1034" spans="2:15" x14ac:dyDescent="0.2">
      <c r="B1034" s="8">
        <f t="shared" si="45"/>
        <v>577</v>
      </c>
      <c r="C1034" s="18"/>
      <c r="D1034" s="18"/>
      <c r="E1034" s="18"/>
      <c r="F1034" s="152"/>
      <c r="G1034" s="153">
        <v>637</v>
      </c>
      <c r="H1034" s="18" t="s">
        <v>132</v>
      </c>
      <c r="I1034" s="19">
        <f>838+1500+984+1550+18+720</f>
        <v>5610</v>
      </c>
      <c r="J1034" s="19">
        <f>838+1500+984+1550+18+720</f>
        <v>5610</v>
      </c>
      <c r="K1034" s="19">
        <f>838+1500+984+1550+18+720</f>
        <v>5610</v>
      </c>
      <c r="L1034" s="621"/>
      <c r="M1034" s="19"/>
      <c r="N1034" s="19"/>
      <c r="O1034" s="19"/>
    </row>
    <row r="1035" spans="2:15" x14ac:dyDescent="0.2">
      <c r="B1035" s="8">
        <f t="shared" si="45"/>
        <v>578</v>
      </c>
      <c r="C1035" s="24"/>
      <c r="D1035" s="24"/>
      <c r="E1035" s="24"/>
      <c r="F1035" s="149" t="s">
        <v>170</v>
      </c>
      <c r="G1035" s="150">
        <v>640</v>
      </c>
      <c r="H1035" s="24" t="s">
        <v>139</v>
      </c>
      <c r="I1035" s="25">
        <f>450+1143</f>
        <v>1593</v>
      </c>
      <c r="J1035" s="25">
        <v>1600</v>
      </c>
      <c r="K1035" s="25">
        <v>1600</v>
      </c>
      <c r="L1035" s="620"/>
      <c r="M1035" s="25"/>
      <c r="N1035" s="25"/>
      <c r="O1035" s="25"/>
    </row>
    <row r="1036" spans="2:15" ht="14.25" x14ac:dyDescent="0.2">
      <c r="B1036" s="8">
        <f t="shared" si="45"/>
        <v>579</v>
      </c>
      <c r="C1036" s="267"/>
      <c r="D1036" s="267"/>
      <c r="E1036" s="267">
        <v>6</v>
      </c>
      <c r="F1036" s="268"/>
      <c r="G1036" s="268"/>
      <c r="H1036" s="267" t="s">
        <v>339</v>
      </c>
      <c r="I1036" s="269">
        <f>I1037+I1038+I1039+I1044+I1045+I1046+I1047+I1052</f>
        <v>418201</v>
      </c>
      <c r="J1036" s="269">
        <f>J1037+J1038+J1039+J1044+J1045+J1046+J1047+J1052</f>
        <v>422300</v>
      </c>
      <c r="K1036" s="269">
        <f>K1037+K1038+K1039+K1044+K1045+K1046+K1047+K1052</f>
        <v>426900</v>
      </c>
      <c r="L1036" s="619"/>
      <c r="M1036" s="269"/>
      <c r="N1036" s="269"/>
      <c r="O1036" s="269"/>
    </row>
    <row r="1037" spans="2:15" x14ac:dyDescent="0.2">
      <c r="B1037" s="8">
        <f t="shared" ref="B1037:B1086" si="46">B1036+1</f>
        <v>580</v>
      </c>
      <c r="C1037" s="24"/>
      <c r="D1037" s="24"/>
      <c r="E1037" s="24"/>
      <c r="F1037" s="149" t="s">
        <v>85</v>
      </c>
      <c r="G1037" s="150">
        <v>610</v>
      </c>
      <c r="H1037" s="24" t="s">
        <v>141</v>
      </c>
      <c r="I1037" s="25">
        <f>2000+7000+32982+6420</f>
        <v>48402</v>
      </c>
      <c r="J1037" s="25">
        <v>51000</v>
      </c>
      <c r="K1037" s="25">
        <v>53000</v>
      </c>
      <c r="L1037" s="620"/>
      <c r="M1037" s="25"/>
      <c r="N1037" s="25"/>
      <c r="O1037" s="25"/>
    </row>
    <row r="1038" spans="2:15" x14ac:dyDescent="0.2">
      <c r="B1038" s="8">
        <f t="shared" si="46"/>
        <v>581</v>
      </c>
      <c r="C1038" s="24"/>
      <c r="D1038" s="24"/>
      <c r="E1038" s="24"/>
      <c r="F1038" s="149" t="s">
        <v>85</v>
      </c>
      <c r="G1038" s="150">
        <v>620</v>
      </c>
      <c r="H1038" s="24" t="s">
        <v>134</v>
      </c>
      <c r="I1038" s="25">
        <v>18822</v>
      </c>
      <c r="J1038" s="25">
        <v>19100</v>
      </c>
      <c r="K1038" s="25">
        <v>19500</v>
      </c>
      <c r="L1038" s="620"/>
      <c r="M1038" s="25"/>
      <c r="N1038" s="25"/>
      <c r="O1038" s="25"/>
    </row>
    <row r="1039" spans="2:15" x14ac:dyDescent="0.2">
      <c r="B1039" s="8">
        <f t="shared" si="46"/>
        <v>582</v>
      </c>
      <c r="C1039" s="24"/>
      <c r="D1039" s="24"/>
      <c r="E1039" s="24"/>
      <c r="F1039" s="149" t="s">
        <v>85</v>
      </c>
      <c r="G1039" s="150">
        <v>630</v>
      </c>
      <c r="H1039" s="24" t="s">
        <v>131</v>
      </c>
      <c r="I1039" s="25">
        <f>I1043+I1042+I1041+I1040</f>
        <v>137463</v>
      </c>
      <c r="J1039" s="25">
        <f>J1043+J1042+J1041+J1040</f>
        <v>137400</v>
      </c>
      <c r="K1039" s="25">
        <f>K1043+K1042+K1041+K1040</f>
        <v>137400</v>
      </c>
      <c r="L1039" s="620"/>
      <c r="M1039" s="25"/>
      <c r="N1039" s="25"/>
      <c r="O1039" s="25"/>
    </row>
    <row r="1040" spans="2:15" x14ac:dyDescent="0.2">
      <c r="B1040" s="8">
        <f t="shared" si="46"/>
        <v>583</v>
      </c>
      <c r="C1040" s="18"/>
      <c r="D1040" s="18"/>
      <c r="E1040" s="18"/>
      <c r="F1040" s="152"/>
      <c r="G1040" s="153">
        <v>632</v>
      </c>
      <c r="H1040" s="18" t="s">
        <v>144</v>
      </c>
      <c r="I1040" s="19">
        <f>3069+22046+2207+269+250+250+400+22</f>
        <v>28513</v>
      </c>
      <c r="J1040" s="19">
        <v>28500</v>
      </c>
      <c r="K1040" s="19">
        <v>28500</v>
      </c>
      <c r="L1040" s="621"/>
      <c r="M1040" s="19"/>
      <c r="N1040" s="19"/>
      <c r="O1040" s="19"/>
    </row>
    <row r="1041" spans="2:15" x14ac:dyDescent="0.2">
      <c r="B1041" s="8">
        <f t="shared" si="46"/>
        <v>584</v>
      </c>
      <c r="C1041" s="18"/>
      <c r="D1041" s="18"/>
      <c r="E1041" s="18"/>
      <c r="F1041" s="152"/>
      <c r="G1041" s="153">
        <v>633</v>
      </c>
      <c r="H1041" s="18" t="s">
        <v>135</v>
      </c>
      <c r="I1041" s="19">
        <f>1900+81060+7500+2901+7170</f>
        <v>100531</v>
      </c>
      <c r="J1041" s="19">
        <v>100500</v>
      </c>
      <c r="K1041" s="19">
        <v>100500</v>
      </c>
      <c r="L1041" s="621"/>
      <c r="M1041" s="19"/>
      <c r="N1041" s="19"/>
      <c r="O1041" s="19"/>
    </row>
    <row r="1042" spans="2:15" x14ac:dyDescent="0.2">
      <c r="B1042" s="8">
        <f t="shared" si="46"/>
        <v>585</v>
      </c>
      <c r="C1042" s="18"/>
      <c r="D1042" s="18"/>
      <c r="E1042" s="18"/>
      <c r="F1042" s="152"/>
      <c r="G1042" s="153">
        <v>635</v>
      </c>
      <c r="H1042" s="18" t="s">
        <v>143</v>
      </c>
      <c r="I1042" s="19">
        <v>5544</v>
      </c>
      <c r="J1042" s="19">
        <v>5500</v>
      </c>
      <c r="K1042" s="19">
        <v>5500</v>
      </c>
      <c r="L1042" s="621"/>
      <c r="M1042" s="19"/>
      <c r="N1042" s="19"/>
      <c r="O1042" s="19"/>
    </row>
    <row r="1043" spans="2:15" x14ac:dyDescent="0.2">
      <c r="B1043" s="8">
        <f t="shared" si="46"/>
        <v>586</v>
      </c>
      <c r="C1043" s="18"/>
      <c r="D1043" s="18"/>
      <c r="E1043" s="18"/>
      <c r="F1043" s="152"/>
      <c r="G1043" s="153">
        <v>637</v>
      </c>
      <c r="H1043" s="18" t="s">
        <v>132</v>
      </c>
      <c r="I1043" s="19">
        <f>812+394+1019+650</f>
        <v>2875</v>
      </c>
      <c r="J1043" s="19">
        <v>2900</v>
      </c>
      <c r="K1043" s="19">
        <v>2900</v>
      </c>
      <c r="L1043" s="621"/>
      <c r="M1043" s="19"/>
      <c r="N1043" s="19"/>
      <c r="O1043" s="19"/>
    </row>
    <row r="1044" spans="2:15" x14ac:dyDescent="0.2">
      <c r="B1044" s="8">
        <f t="shared" si="46"/>
        <v>587</v>
      </c>
      <c r="C1044" s="24"/>
      <c r="D1044" s="24"/>
      <c r="E1044" s="24"/>
      <c r="F1044" s="149" t="s">
        <v>85</v>
      </c>
      <c r="G1044" s="150">
        <v>640</v>
      </c>
      <c r="H1044" s="24" t="s">
        <v>139</v>
      </c>
      <c r="I1044" s="25">
        <v>250</v>
      </c>
      <c r="J1044" s="25">
        <v>250</v>
      </c>
      <c r="K1044" s="25">
        <v>250</v>
      </c>
      <c r="L1044" s="620"/>
      <c r="M1044" s="25"/>
      <c r="N1044" s="25"/>
      <c r="O1044" s="25"/>
    </row>
    <row r="1045" spans="2:15" x14ac:dyDescent="0.2">
      <c r="B1045" s="8">
        <f t="shared" si="46"/>
        <v>588</v>
      </c>
      <c r="C1045" s="24"/>
      <c r="D1045" s="24"/>
      <c r="E1045" s="24"/>
      <c r="F1045" s="149" t="s">
        <v>54</v>
      </c>
      <c r="G1045" s="150">
        <v>610</v>
      </c>
      <c r="H1045" s="24" t="s">
        <v>141</v>
      </c>
      <c r="I1045" s="25">
        <f>1850+2500+4476+37298+6787</f>
        <v>52911</v>
      </c>
      <c r="J1045" s="25">
        <v>54000</v>
      </c>
      <c r="K1045" s="25">
        <v>56000</v>
      </c>
      <c r="L1045" s="620"/>
      <c r="M1045" s="25"/>
      <c r="N1045" s="25"/>
      <c r="O1045" s="25"/>
    </row>
    <row r="1046" spans="2:15" x14ac:dyDescent="0.2">
      <c r="B1046" s="8">
        <f t="shared" si="46"/>
        <v>589</v>
      </c>
      <c r="C1046" s="24"/>
      <c r="D1046" s="24"/>
      <c r="E1046" s="24"/>
      <c r="F1046" s="149" t="s">
        <v>54</v>
      </c>
      <c r="G1046" s="150">
        <v>620</v>
      </c>
      <c r="H1046" s="24" t="s">
        <v>134</v>
      </c>
      <c r="I1046" s="25">
        <f>195+675+224+1225+5520+1150+295+10235</f>
        <v>19519</v>
      </c>
      <c r="J1046" s="25">
        <v>19800</v>
      </c>
      <c r="K1046" s="25">
        <v>20000</v>
      </c>
      <c r="L1046" s="620"/>
      <c r="M1046" s="25"/>
      <c r="N1046" s="25"/>
      <c r="O1046" s="25"/>
    </row>
    <row r="1047" spans="2:15" x14ac:dyDescent="0.2">
      <c r="B1047" s="8">
        <f t="shared" si="46"/>
        <v>590</v>
      </c>
      <c r="C1047" s="24"/>
      <c r="D1047" s="24"/>
      <c r="E1047" s="24"/>
      <c r="F1047" s="149" t="s">
        <v>54</v>
      </c>
      <c r="G1047" s="150">
        <v>630</v>
      </c>
      <c r="H1047" s="24" t="s">
        <v>131</v>
      </c>
      <c r="I1047" s="25">
        <f>I1051+I1050+I1049+I1048</f>
        <v>140584</v>
      </c>
      <c r="J1047" s="25">
        <f>J1051+J1050+J1049+J1048</f>
        <v>140500</v>
      </c>
      <c r="K1047" s="25">
        <f>K1051+K1050+K1049+K1048</f>
        <v>140500</v>
      </c>
      <c r="L1047" s="620"/>
      <c r="M1047" s="25"/>
      <c r="N1047" s="25"/>
      <c r="O1047" s="25"/>
    </row>
    <row r="1048" spans="2:15" x14ac:dyDescent="0.2">
      <c r="B1048" s="8">
        <f t="shared" si="46"/>
        <v>591</v>
      </c>
      <c r="C1048" s="18"/>
      <c r="D1048" s="18"/>
      <c r="E1048" s="18"/>
      <c r="F1048" s="152"/>
      <c r="G1048" s="153">
        <v>632</v>
      </c>
      <c r="H1048" s="18" t="s">
        <v>144</v>
      </c>
      <c r="I1048" s="19">
        <f>3069+22047+2207+269+250+250+400+22</f>
        <v>28514</v>
      </c>
      <c r="J1048" s="19">
        <v>28500</v>
      </c>
      <c r="K1048" s="19">
        <v>28500</v>
      </c>
      <c r="L1048" s="621"/>
      <c r="M1048" s="19"/>
      <c r="N1048" s="19"/>
      <c r="O1048" s="19"/>
    </row>
    <row r="1049" spans="2:15" x14ac:dyDescent="0.2">
      <c r="B1049" s="8">
        <f t="shared" si="46"/>
        <v>592</v>
      </c>
      <c r="C1049" s="18"/>
      <c r="D1049" s="18"/>
      <c r="E1049" s="18"/>
      <c r="F1049" s="152"/>
      <c r="G1049" s="153">
        <v>633</v>
      </c>
      <c r="H1049" s="18" t="s">
        <v>135</v>
      </c>
      <c r="I1049" s="19">
        <f>1895+84180+7500+2906+7170</f>
        <v>103651</v>
      </c>
      <c r="J1049" s="19">
        <v>103600</v>
      </c>
      <c r="K1049" s="19">
        <v>103600</v>
      </c>
      <c r="L1049" s="621"/>
      <c r="M1049" s="19"/>
      <c r="N1049" s="19"/>
      <c r="O1049" s="19"/>
    </row>
    <row r="1050" spans="2:15" x14ac:dyDescent="0.2">
      <c r="B1050" s="8">
        <f t="shared" si="46"/>
        <v>593</v>
      </c>
      <c r="C1050" s="18"/>
      <c r="D1050" s="18"/>
      <c r="E1050" s="18"/>
      <c r="F1050" s="152"/>
      <c r="G1050" s="153">
        <v>635</v>
      </c>
      <c r="H1050" s="18" t="s">
        <v>143</v>
      </c>
      <c r="I1050" s="19">
        <v>5544</v>
      </c>
      <c r="J1050" s="19">
        <v>5500</v>
      </c>
      <c r="K1050" s="19">
        <v>5500</v>
      </c>
      <c r="L1050" s="621"/>
      <c r="M1050" s="19"/>
      <c r="N1050" s="19"/>
      <c r="O1050" s="19"/>
    </row>
    <row r="1051" spans="2:15" x14ac:dyDescent="0.2">
      <c r="B1051" s="8">
        <f t="shared" si="46"/>
        <v>594</v>
      </c>
      <c r="C1051" s="18"/>
      <c r="D1051" s="18"/>
      <c r="E1051" s="18"/>
      <c r="F1051" s="152"/>
      <c r="G1051" s="153">
        <v>637</v>
      </c>
      <c r="H1051" s="18" t="s">
        <v>132</v>
      </c>
      <c r="I1051" s="19">
        <f>812+415+998+650</f>
        <v>2875</v>
      </c>
      <c r="J1051" s="19">
        <v>2900</v>
      </c>
      <c r="K1051" s="19">
        <v>2900</v>
      </c>
      <c r="L1051" s="621"/>
      <c r="M1051" s="19"/>
      <c r="N1051" s="19"/>
      <c r="O1051" s="19"/>
    </row>
    <row r="1052" spans="2:15" x14ac:dyDescent="0.2">
      <c r="B1052" s="8">
        <f t="shared" si="46"/>
        <v>595</v>
      </c>
      <c r="C1052" s="24"/>
      <c r="D1052" s="24"/>
      <c r="E1052" s="24"/>
      <c r="F1052" s="149" t="s">
        <v>54</v>
      </c>
      <c r="G1052" s="150">
        <v>640</v>
      </c>
      <c r="H1052" s="24" t="s">
        <v>139</v>
      </c>
      <c r="I1052" s="25">
        <v>250</v>
      </c>
      <c r="J1052" s="25">
        <v>250</v>
      </c>
      <c r="K1052" s="25">
        <v>250</v>
      </c>
      <c r="L1052" s="620"/>
      <c r="M1052" s="25"/>
      <c r="N1052" s="25"/>
      <c r="O1052" s="25"/>
    </row>
    <row r="1053" spans="2:15" ht="14.25" x14ac:dyDescent="0.2">
      <c r="B1053" s="8">
        <f t="shared" si="46"/>
        <v>596</v>
      </c>
      <c r="C1053" s="267"/>
      <c r="D1053" s="267"/>
      <c r="E1053" s="267">
        <v>7</v>
      </c>
      <c r="F1053" s="268"/>
      <c r="G1053" s="268"/>
      <c r="H1053" s="267" t="s">
        <v>341</v>
      </c>
      <c r="I1053" s="269">
        <f>I1054+I1055+I1056+I1060+I1061+I1062+I1063</f>
        <v>470664</v>
      </c>
      <c r="J1053" s="269">
        <f t="shared" ref="J1053:K1053" si="47">J1054+J1055+J1056+J1060+J1061+J1062+J1063</f>
        <v>475500</v>
      </c>
      <c r="K1053" s="269">
        <f t="shared" si="47"/>
        <v>479900</v>
      </c>
      <c r="L1053" s="619"/>
      <c r="M1053" s="269"/>
      <c r="N1053" s="269"/>
      <c r="O1053" s="269"/>
    </row>
    <row r="1054" spans="2:15" x14ac:dyDescent="0.2">
      <c r="B1054" s="8">
        <f t="shared" si="46"/>
        <v>597</v>
      </c>
      <c r="C1054" s="24"/>
      <c r="D1054" s="24"/>
      <c r="E1054" s="24"/>
      <c r="F1054" s="149" t="s">
        <v>85</v>
      </c>
      <c r="G1054" s="150">
        <v>610</v>
      </c>
      <c r="H1054" s="24" t="s">
        <v>141</v>
      </c>
      <c r="I1054" s="25">
        <f>9300+2700+43000</f>
        <v>55000</v>
      </c>
      <c r="J1054" s="25">
        <v>57000</v>
      </c>
      <c r="K1054" s="25">
        <v>59000</v>
      </c>
      <c r="L1054" s="620"/>
      <c r="M1054" s="25"/>
      <c r="N1054" s="25"/>
      <c r="O1054" s="25"/>
    </row>
    <row r="1055" spans="2:15" x14ac:dyDescent="0.2">
      <c r="B1055" s="8">
        <f t="shared" si="46"/>
        <v>598</v>
      </c>
      <c r="C1055" s="24"/>
      <c r="D1055" s="24"/>
      <c r="E1055" s="24"/>
      <c r="F1055" s="149" t="s">
        <v>85</v>
      </c>
      <c r="G1055" s="150">
        <v>620</v>
      </c>
      <c r="H1055" s="24" t="s">
        <v>134</v>
      </c>
      <c r="I1055" s="25">
        <f>2600+1600+4000+900+790+550+7700+770+470</f>
        <v>19380</v>
      </c>
      <c r="J1055" s="25">
        <v>19600</v>
      </c>
      <c r="K1055" s="25">
        <v>19800</v>
      </c>
      <c r="L1055" s="620"/>
      <c r="M1055" s="25"/>
      <c r="N1055" s="25"/>
      <c r="O1055" s="25"/>
    </row>
    <row r="1056" spans="2:15" x14ac:dyDescent="0.2">
      <c r="B1056" s="8">
        <f t="shared" si="46"/>
        <v>599</v>
      </c>
      <c r="C1056" s="24"/>
      <c r="D1056" s="24"/>
      <c r="E1056" s="24"/>
      <c r="F1056" s="149" t="s">
        <v>85</v>
      </c>
      <c r="G1056" s="150">
        <v>630</v>
      </c>
      <c r="H1056" s="24" t="s">
        <v>131</v>
      </c>
      <c r="I1056" s="25">
        <f>I1059+I1058+I1057</f>
        <v>112400</v>
      </c>
      <c r="J1056" s="25">
        <f t="shared" ref="J1056:K1056" si="48">J1059+J1058+J1057</f>
        <v>112400</v>
      </c>
      <c r="K1056" s="25">
        <f t="shared" si="48"/>
        <v>112400</v>
      </c>
      <c r="L1056" s="620"/>
      <c r="M1056" s="25"/>
      <c r="N1056" s="25"/>
      <c r="O1056" s="25"/>
    </row>
    <row r="1057" spans="2:15" x14ac:dyDescent="0.2">
      <c r="B1057" s="8">
        <f t="shared" si="46"/>
        <v>600</v>
      </c>
      <c r="C1057" s="18"/>
      <c r="D1057" s="18"/>
      <c r="E1057" s="18"/>
      <c r="F1057" s="152"/>
      <c r="G1057" s="153">
        <v>633</v>
      </c>
      <c r="H1057" s="18" t="s">
        <v>135</v>
      </c>
      <c r="I1057" s="19">
        <f>4200+81000+15500</f>
        <v>100700</v>
      </c>
      <c r="J1057" s="19">
        <v>100700</v>
      </c>
      <c r="K1057" s="19">
        <v>100700</v>
      </c>
      <c r="L1057" s="621"/>
      <c r="M1057" s="19"/>
      <c r="N1057" s="19"/>
      <c r="O1057" s="19"/>
    </row>
    <row r="1058" spans="2:15" x14ac:dyDescent="0.2">
      <c r="B1058" s="8">
        <f t="shared" si="46"/>
        <v>601</v>
      </c>
      <c r="C1058" s="18"/>
      <c r="D1058" s="18"/>
      <c r="E1058" s="18"/>
      <c r="F1058" s="152"/>
      <c r="G1058" s="153">
        <v>635</v>
      </c>
      <c r="H1058" s="18" t="s">
        <v>143</v>
      </c>
      <c r="I1058" s="19">
        <f>2500+3100</f>
        <v>5600</v>
      </c>
      <c r="J1058" s="19">
        <v>5600</v>
      </c>
      <c r="K1058" s="19">
        <v>5600</v>
      </c>
      <c r="L1058" s="621"/>
      <c r="M1058" s="19"/>
      <c r="N1058" s="19"/>
      <c r="O1058" s="19"/>
    </row>
    <row r="1059" spans="2:15" x14ac:dyDescent="0.2">
      <c r="B1059" s="8">
        <f t="shared" si="46"/>
        <v>602</v>
      </c>
      <c r="C1059" s="18"/>
      <c r="D1059" s="18"/>
      <c r="E1059" s="18"/>
      <c r="F1059" s="152"/>
      <c r="G1059" s="153">
        <v>637</v>
      </c>
      <c r="H1059" s="18" t="s">
        <v>132</v>
      </c>
      <c r="I1059" s="19">
        <f>4200+1200+700</f>
        <v>6100</v>
      </c>
      <c r="J1059" s="19">
        <v>6100</v>
      </c>
      <c r="K1059" s="19">
        <v>6100</v>
      </c>
      <c r="L1059" s="621"/>
      <c r="M1059" s="19"/>
      <c r="N1059" s="19"/>
      <c r="O1059" s="19"/>
    </row>
    <row r="1060" spans="2:15" x14ac:dyDescent="0.2">
      <c r="B1060" s="8">
        <f t="shared" si="46"/>
        <v>603</v>
      </c>
      <c r="C1060" s="24"/>
      <c r="D1060" s="24"/>
      <c r="E1060" s="24"/>
      <c r="F1060" s="149" t="s">
        <v>85</v>
      </c>
      <c r="G1060" s="150">
        <v>640</v>
      </c>
      <c r="H1060" s="24" t="s">
        <v>139</v>
      </c>
      <c r="I1060" s="25">
        <v>1200</v>
      </c>
      <c r="J1060" s="25">
        <v>1200</v>
      </c>
      <c r="K1060" s="25">
        <v>1200</v>
      </c>
      <c r="L1060" s="620"/>
      <c r="M1060" s="25"/>
      <c r="N1060" s="25"/>
      <c r="O1060" s="25"/>
    </row>
    <row r="1061" spans="2:15" x14ac:dyDescent="0.2">
      <c r="B1061" s="8">
        <f t="shared" si="46"/>
        <v>604</v>
      </c>
      <c r="C1061" s="24"/>
      <c r="D1061" s="24"/>
      <c r="E1061" s="24"/>
      <c r="F1061" s="149" t="s">
        <v>54</v>
      </c>
      <c r="G1061" s="150">
        <v>610</v>
      </c>
      <c r="H1061" s="24" t="s">
        <v>141</v>
      </c>
      <c r="I1061" s="25">
        <v>91679</v>
      </c>
      <c r="J1061" s="25">
        <v>94000</v>
      </c>
      <c r="K1061" s="25">
        <v>96000</v>
      </c>
      <c r="L1061" s="620"/>
      <c r="M1061" s="25"/>
      <c r="N1061" s="25"/>
      <c r="O1061" s="25"/>
    </row>
    <row r="1062" spans="2:15" x14ac:dyDescent="0.2">
      <c r="B1062" s="8">
        <f t="shared" si="46"/>
        <v>605</v>
      </c>
      <c r="C1062" s="24"/>
      <c r="D1062" s="24"/>
      <c r="E1062" s="24"/>
      <c r="F1062" s="149" t="s">
        <v>54</v>
      </c>
      <c r="G1062" s="150">
        <v>620</v>
      </c>
      <c r="H1062" s="24" t="s">
        <v>134</v>
      </c>
      <c r="I1062" s="25">
        <v>32105</v>
      </c>
      <c r="J1062" s="25">
        <v>32400</v>
      </c>
      <c r="K1062" s="25">
        <v>32600</v>
      </c>
      <c r="L1062" s="620"/>
      <c r="M1062" s="25"/>
      <c r="N1062" s="25"/>
      <c r="O1062" s="25"/>
    </row>
    <row r="1063" spans="2:15" x14ac:dyDescent="0.2">
      <c r="B1063" s="8">
        <f t="shared" si="46"/>
        <v>606</v>
      </c>
      <c r="C1063" s="24"/>
      <c r="D1063" s="24"/>
      <c r="E1063" s="24"/>
      <c r="F1063" s="149" t="s">
        <v>54</v>
      </c>
      <c r="G1063" s="150">
        <v>630</v>
      </c>
      <c r="H1063" s="24" t="s">
        <v>131</v>
      </c>
      <c r="I1063" s="25">
        <f>I1067+I1066+I1065+I1064</f>
        <v>158900</v>
      </c>
      <c r="J1063" s="25">
        <f>J1067+J1066+J1065+J1064</f>
        <v>158900</v>
      </c>
      <c r="K1063" s="25">
        <f>K1067+K1066+K1065+K1064</f>
        <v>158900</v>
      </c>
      <c r="L1063" s="620"/>
      <c r="M1063" s="25"/>
      <c r="N1063" s="25"/>
      <c r="O1063" s="25"/>
    </row>
    <row r="1064" spans="2:15" x14ac:dyDescent="0.2">
      <c r="B1064" s="8">
        <f t="shared" si="46"/>
        <v>607</v>
      </c>
      <c r="C1064" s="18"/>
      <c r="D1064" s="18"/>
      <c r="E1064" s="18"/>
      <c r="F1064" s="152"/>
      <c r="G1064" s="153">
        <v>632</v>
      </c>
      <c r="H1064" s="18" t="s">
        <v>144</v>
      </c>
      <c r="I1064" s="19">
        <v>4200</v>
      </c>
      <c r="J1064" s="19">
        <v>4200</v>
      </c>
      <c r="K1064" s="19">
        <v>4200</v>
      </c>
      <c r="L1064" s="621"/>
      <c r="M1064" s="19"/>
      <c r="N1064" s="19"/>
      <c r="O1064" s="19"/>
    </row>
    <row r="1065" spans="2:15" x14ac:dyDescent="0.2">
      <c r="B1065" s="8">
        <f t="shared" si="46"/>
        <v>608</v>
      </c>
      <c r="C1065" s="18"/>
      <c r="D1065" s="18"/>
      <c r="E1065" s="18"/>
      <c r="F1065" s="152"/>
      <c r="G1065" s="153">
        <v>633</v>
      </c>
      <c r="H1065" s="18" t="s">
        <v>135</v>
      </c>
      <c r="I1065" s="19">
        <f>115000+24200+3700+3500</f>
        <v>146400</v>
      </c>
      <c r="J1065" s="19">
        <f>115000+24200+3700+3500</f>
        <v>146400</v>
      </c>
      <c r="K1065" s="19">
        <f>115000+24200+3700+3500</f>
        <v>146400</v>
      </c>
      <c r="L1065" s="621"/>
      <c r="M1065" s="19"/>
      <c r="N1065" s="19"/>
      <c r="O1065" s="19"/>
    </row>
    <row r="1066" spans="2:15" x14ac:dyDescent="0.2">
      <c r="B1066" s="8">
        <f t="shared" si="46"/>
        <v>609</v>
      </c>
      <c r="C1066" s="18"/>
      <c r="D1066" s="18"/>
      <c r="E1066" s="18"/>
      <c r="F1066" s="152"/>
      <c r="G1066" s="153">
        <v>635</v>
      </c>
      <c r="H1066" s="18" t="s">
        <v>143</v>
      </c>
      <c r="I1066" s="19">
        <v>2500</v>
      </c>
      <c r="J1066" s="19">
        <v>2500</v>
      </c>
      <c r="K1066" s="19">
        <v>2500</v>
      </c>
      <c r="L1066" s="621"/>
      <c r="M1066" s="19"/>
      <c r="N1066" s="19"/>
      <c r="O1066" s="19"/>
    </row>
    <row r="1067" spans="2:15" x14ac:dyDescent="0.2">
      <c r="B1067" s="8">
        <f t="shared" si="46"/>
        <v>610</v>
      </c>
      <c r="C1067" s="18"/>
      <c r="D1067" s="18"/>
      <c r="E1067" s="18"/>
      <c r="F1067" s="152"/>
      <c r="G1067" s="153">
        <v>637</v>
      </c>
      <c r="H1067" s="18" t="s">
        <v>132</v>
      </c>
      <c r="I1067" s="19">
        <f>1950+1000+2850</f>
        <v>5800</v>
      </c>
      <c r="J1067" s="19">
        <f>1950+1000+2850</f>
        <v>5800</v>
      </c>
      <c r="K1067" s="19">
        <f>1950+1000+2850</f>
        <v>5800</v>
      </c>
      <c r="L1067" s="621"/>
      <c r="M1067" s="19"/>
      <c r="N1067" s="19"/>
      <c r="O1067" s="19"/>
    </row>
    <row r="1068" spans="2:15" ht="14.25" x14ac:dyDescent="0.2">
      <c r="B1068" s="8">
        <f t="shared" si="46"/>
        <v>611</v>
      </c>
      <c r="C1068" s="267"/>
      <c r="D1068" s="267"/>
      <c r="E1068" s="267">
        <v>9</v>
      </c>
      <c r="F1068" s="268"/>
      <c r="G1068" s="268"/>
      <c r="H1068" s="267" t="s">
        <v>5</v>
      </c>
      <c r="I1068" s="269">
        <f>I1069+I1070+I1071+I1076+I1077+I1078+I1079+I1084</f>
        <v>474722</v>
      </c>
      <c r="J1068" s="269">
        <f>J1069+J1070+J1071+J1076+J1077+J1078+J1079+J1084</f>
        <v>478650</v>
      </c>
      <c r="K1068" s="269">
        <f>K1069+K1070+K1071+K1076+K1077+K1078+K1079+K1084</f>
        <v>483050</v>
      </c>
      <c r="L1068" s="619"/>
      <c r="M1068" s="269"/>
      <c r="N1068" s="269"/>
      <c r="O1068" s="269"/>
    </row>
    <row r="1069" spans="2:15" x14ac:dyDescent="0.2">
      <c r="B1069" s="8">
        <f t="shared" si="46"/>
        <v>612</v>
      </c>
      <c r="C1069" s="24"/>
      <c r="D1069" s="24"/>
      <c r="E1069" s="24"/>
      <c r="F1069" s="149" t="s">
        <v>85</v>
      </c>
      <c r="G1069" s="150">
        <v>610</v>
      </c>
      <c r="H1069" s="24" t="s">
        <v>141</v>
      </c>
      <c r="I1069" s="25">
        <v>57290</v>
      </c>
      <c r="J1069" s="25">
        <v>59000</v>
      </c>
      <c r="K1069" s="25">
        <v>61000</v>
      </c>
      <c r="L1069" s="620"/>
      <c r="M1069" s="25"/>
      <c r="N1069" s="25"/>
      <c r="O1069" s="25"/>
    </row>
    <row r="1070" spans="2:15" x14ac:dyDescent="0.2">
      <c r="B1070" s="8">
        <f t="shared" si="46"/>
        <v>613</v>
      </c>
      <c r="C1070" s="24"/>
      <c r="D1070" s="24"/>
      <c r="E1070" s="24"/>
      <c r="F1070" s="149" t="s">
        <v>85</v>
      </c>
      <c r="G1070" s="150">
        <v>620</v>
      </c>
      <c r="H1070" s="24" t="s">
        <v>134</v>
      </c>
      <c r="I1070" s="25">
        <v>20590</v>
      </c>
      <c r="J1070" s="25">
        <v>20800</v>
      </c>
      <c r="K1070" s="25">
        <v>21000</v>
      </c>
      <c r="L1070" s="620"/>
      <c r="M1070" s="25"/>
      <c r="N1070" s="25"/>
      <c r="O1070" s="25"/>
    </row>
    <row r="1071" spans="2:15" x14ac:dyDescent="0.2">
      <c r="B1071" s="8">
        <f t="shared" si="46"/>
        <v>614</v>
      </c>
      <c r="C1071" s="24"/>
      <c r="D1071" s="24"/>
      <c r="E1071" s="24"/>
      <c r="F1071" s="149" t="s">
        <v>85</v>
      </c>
      <c r="G1071" s="150">
        <v>630</v>
      </c>
      <c r="H1071" s="24" t="s">
        <v>131</v>
      </c>
      <c r="I1071" s="25">
        <f>I1075+I1074+I1073+I1072</f>
        <v>155629</v>
      </c>
      <c r="J1071" s="25">
        <f>J1075+J1074+J1073+J1072</f>
        <v>155725</v>
      </c>
      <c r="K1071" s="25">
        <f>K1075+K1074+K1073+K1072</f>
        <v>155725</v>
      </c>
      <c r="L1071" s="620"/>
      <c r="M1071" s="25"/>
      <c r="N1071" s="25"/>
      <c r="O1071" s="25"/>
    </row>
    <row r="1072" spans="2:15" x14ac:dyDescent="0.2">
      <c r="B1072" s="8">
        <f t="shared" si="46"/>
        <v>615</v>
      </c>
      <c r="C1072" s="18"/>
      <c r="D1072" s="18"/>
      <c r="E1072" s="18"/>
      <c r="F1072" s="152"/>
      <c r="G1072" s="153">
        <v>632</v>
      </c>
      <c r="H1072" s="18" t="s">
        <v>144</v>
      </c>
      <c r="I1072" s="19">
        <f>1000+200+6000+15000</f>
        <v>22200</v>
      </c>
      <c r="J1072" s="19">
        <f>1000+200+6000+15000</f>
        <v>22200</v>
      </c>
      <c r="K1072" s="19">
        <f>1000+200+6000+15000</f>
        <v>22200</v>
      </c>
      <c r="L1072" s="621"/>
      <c r="M1072" s="19"/>
      <c r="N1072" s="19"/>
      <c r="O1072" s="19"/>
    </row>
    <row r="1073" spans="2:15" x14ac:dyDescent="0.2">
      <c r="B1073" s="8">
        <f t="shared" si="46"/>
        <v>616</v>
      </c>
      <c r="C1073" s="18"/>
      <c r="D1073" s="18"/>
      <c r="E1073" s="18"/>
      <c r="F1073" s="152"/>
      <c r="G1073" s="153">
        <v>633</v>
      </c>
      <c r="H1073" s="18" t="s">
        <v>135</v>
      </c>
      <c r="I1073" s="19">
        <f>110704+1500+500</f>
        <v>112704</v>
      </c>
      <c r="J1073" s="19">
        <v>112800</v>
      </c>
      <c r="K1073" s="19">
        <v>112800</v>
      </c>
      <c r="L1073" s="621"/>
      <c r="M1073" s="19"/>
      <c r="N1073" s="19"/>
      <c r="O1073" s="19"/>
    </row>
    <row r="1074" spans="2:15" x14ac:dyDescent="0.2">
      <c r="B1074" s="8">
        <f t="shared" si="46"/>
        <v>617</v>
      </c>
      <c r="C1074" s="18"/>
      <c r="D1074" s="18"/>
      <c r="E1074" s="18"/>
      <c r="F1074" s="152"/>
      <c r="G1074" s="153">
        <v>635</v>
      </c>
      <c r="H1074" s="18" t="s">
        <v>143</v>
      </c>
      <c r="I1074" s="19">
        <v>11000</v>
      </c>
      <c r="J1074" s="19">
        <v>11000</v>
      </c>
      <c r="K1074" s="19">
        <v>11000</v>
      </c>
      <c r="L1074" s="621"/>
      <c r="M1074" s="19"/>
      <c r="N1074" s="19"/>
      <c r="O1074" s="19"/>
    </row>
    <row r="1075" spans="2:15" x14ac:dyDescent="0.2">
      <c r="B1075" s="8">
        <f t="shared" si="46"/>
        <v>618</v>
      </c>
      <c r="C1075" s="18"/>
      <c r="D1075" s="18"/>
      <c r="E1075" s="18"/>
      <c r="F1075" s="152"/>
      <c r="G1075" s="153">
        <v>637</v>
      </c>
      <c r="H1075" s="18" t="s">
        <v>132</v>
      </c>
      <c r="I1075" s="19">
        <v>9725</v>
      </c>
      <c r="J1075" s="19">
        <v>9725</v>
      </c>
      <c r="K1075" s="19">
        <v>9725</v>
      </c>
      <c r="L1075" s="621"/>
      <c r="M1075" s="19"/>
      <c r="N1075" s="19"/>
      <c r="O1075" s="19"/>
    </row>
    <row r="1076" spans="2:15" x14ac:dyDescent="0.2">
      <c r="B1076" s="8">
        <f t="shared" si="46"/>
        <v>619</v>
      </c>
      <c r="C1076" s="24"/>
      <c r="D1076" s="24"/>
      <c r="E1076" s="24"/>
      <c r="F1076" s="149" t="s">
        <v>85</v>
      </c>
      <c r="G1076" s="150">
        <v>640</v>
      </c>
      <c r="H1076" s="24" t="s">
        <v>139</v>
      </c>
      <c r="I1076" s="25">
        <v>500</v>
      </c>
      <c r="J1076" s="25">
        <v>500</v>
      </c>
      <c r="K1076" s="25">
        <v>500</v>
      </c>
      <c r="L1076" s="620"/>
      <c r="M1076" s="25"/>
      <c r="N1076" s="25"/>
      <c r="O1076" s="25"/>
    </row>
    <row r="1077" spans="2:15" x14ac:dyDescent="0.2">
      <c r="B1077" s="8">
        <f t="shared" si="46"/>
        <v>620</v>
      </c>
      <c r="C1077" s="24"/>
      <c r="D1077" s="24"/>
      <c r="E1077" s="24"/>
      <c r="F1077" s="149" t="s">
        <v>54</v>
      </c>
      <c r="G1077" s="150">
        <v>610</v>
      </c>
      <c r="H1077" s="24" t="s">
        <v>141</v>
      </c>
      <c r="I1077" s="25">
        <v>57290</v>
      </c>
      <c r="J1077" s="25">
        <v>59000</v>
      </c>
      <c r="K1077" s="25">
        <v>61000</v>
      </c>
      <c r="L1077" s="620"/>
      <c r="M1077" s="25"/>
      <c r="N1077" s="25"/>
      <c r="O1077" s="25"/>
    </row>
    <row r="1078" spans="2:15" x14ac:dyDescent="0.2">
      <c r="B1078" s="8">
        <f t="shared" si="46"/>
        <v>621</v>
      </c>
      <c r="C1078" s="24"/>
      <c r="D1078" s="24"/>
      <c r="E1078" s="24"/>
      <c r="F1078" s="149" t="s">
        <v>54</v>
      </c>
      <c r="G1078" s="150">
        <v>620</v>
      </c>
      <c r="H1078" s="24" t="s">
        <v>134</v>
      </c>
      <c r="I1078" s="25">
        <v>20590</v>
      </c>
      <c r="J1078" s="25">
        <v>20800</v>
      </c>
      <c r="K1078" s="25">
        <v>21000</v>
      </c>
      <c r="L1078" s="620"/>
      <c r="M1078" s="25"/>
      <c r="N1078" s="25"/>
      <c r="O1078" s="25"/>
    </row>
    <row r="1079" spans="2:15" x14ac:dyDescent="0.2">
      <c r="B1079" s="8">
        <f t="shared" si="46"/>
        <v>622</v>
      </c>
      <c r="C1079" s="24"/>
      <c r="D1079" s="24"/>
      <c r="E1079" s="24"/>
      <c r="F1079" s="149" t="s">
        <v>54</v>
      </c>
      <c r="G1079" s="150">
        <v>630</v>
      </c>
      <c r="H1079" s="24" t="s">
        <v>131</v>
      </c>
      <c r="I1079" s="25">
        <f>I1083+I1082+I1081+I1080</f>
        <v>162333</v>
      </c>
      <c r="J1079" s="25">
        <f>J1083+J1082+J1081+J1080</f>
        <v>162325</v>
      </c>
      <c r="K1079" s="25">
        <f>K1083+K1082+K1081+K1080</f>
        <v>162325</v>
      </c>
      <c r="L1079" s="620"/>
      <c r="M1079" s="25"/>
      <c r="N1079" s="25"/>
      <c r="O1079" s="25"/>
    </row>
    <row r="1080" spans="2:15" x14ac:dyDescent="0.2">
      <c r="B1080" s="8">
        <f t="shared" si="46"/>
        <v>623</v>
      </c>
      <c r="C1080" s="18"/>
      <c r="D1080" s="18"/>
      <c r="E1080" s="18"/>
      <c r="F1080" s="152"/>
      <c r="G1080" s="153">
        <v>632</v>
      </c>
      <c r="H1080" s="18" t="s">
        <v>144</v>
      </c>
      <c r="I1080" s="19">
        <f>200+15000+6000+1000</f>
        <v>22200</v>
      </c>
      <c r="J1080" s="19">
        <f>200+15000+6000+1000</f>
        <v>22200</v>
      </c>
      <c r="K1080" s="19">
        <f>200+15000+6000+1000</f>
        <v>22200</v>
      </c>
      <c r="L1080" s="621"/>
      <c r="M1080" s="19"/>
      <c r="N1080" s="19"/>
      <c r="O1080" s="19"/>
    </row>
    <row r="1081" spans="2:15" x14ac:dyDescent="0.2">
      <c r="B1081" s="8">
        <f t="shared" si="46"/>
        <v>624</v>
      </c>
      <c r="C1081" s="18"/>
      <c r="D1081" s="18"/>
      <c r="E1081" s="18"/>
      <c r="F1081" s="152"/>
      <c r="G1081" s="153">
        <v>633</v>
      </c>
      <c r="H1081" s="18" t="s">
        <v>135</v>
      </c>
      <c r="I1081" s="19">
        <f>83028+1500+500+34380</f>
        <v>119408</v>
      </c>
      <c r="J1081" s="19">
        <v>119400</v>
      </c>
      <c r="K1081" s="19">
        <v>119400</v>
      </c>
      <c r="L1081" s="621"/>
      <c r="M1081" s="19"/>
      <c r="N1081" s="19"/>
      <c r="O1081" s="19"/>
    </row>
    <row r="1082" spans="2:15" x14ac:dyDescent="0.2">
      <c r="B1082" s="8">
        <f t="shared" si="46"/>
        <v>625</v>
      </c>
      <c r="C1082" s="18"/>
      <c r="D1082" s="18"/>
      <c r="E1082" s="18"/>
      <c r="F1082" s="152"/>
      <c r="G1082" s="153">
        <v>635</v>
      </c>
      <c r="H1082" s="18" t="s">
        <v>143</v>
      </c>
      <c r="I1082" s="19">
        <v>11000</v>
      </c>
      <c r="J1082" s="19">
        <v>11000</v>
      </c>
      <c r="K1082" s="19">
        <v>11000</v>
      </c>
      <c r="L1082" s="621"/>
      <c r="M1082" s="19"/>
      <c r="N1082" s="19"/>
      <c r="O1082" s="19"/>
    </row>
    <row r="1083" spans="2:15" x14ac:dyDescent="0.2">
      <c r="B1083" s="8">
        <f t="shared" si="46"/>
        <v>626</v>
      </c>
      <c r="C1083" s="18"/>
      <c r="D1083" s="18"/>
      <c r="E1083" s="18"/>
      <c r="F1083" s="152"/>
      <c r="G1083" s="153">
        <v>637</v>
      </c>
      <c r="H1083" s="18" t="s">
        <v>132</v>
      </c>
      <c r="I1083" s="19">
        <f>150+2875+600+100+6000</f>
        <v>9725</v>
      </c>
      <c r="J1083" s="19">
        <f>150+2875+600+100+6000</f>
        <v>9725</v>
      </c>
      <c r="K1083" s="19">
        <f>150+2875+600+100+6000</f>
        <v>9725</v>
      </c>
      <c r="L1083" s="621"/>
      <c r="M1083" s="19"/>
      <c r="N1083" s="19"/>
      <c r="O1083" s="19"/>
    </row>
    <row r="1084" spans="2:15" x14ac:dyDescent="0.2">
      <c r="B1084" s="8">
        <f t="shared" si="46"/>
        <v>627</v>
      </c>
      <c r="C1084" s="24"/>
      <c r="D1084" s="24"/>
      <c r="E1084" s="24"/>
      <c r="F1084" s="149" t="s">
        <v>54</v>
      </c>
      <c r="G1084" s="150">
        <v>640</v>
      </c>
      <c r="H1084" s="24" t="s">
        <v>139</v>
      </c>
      <c r="I1084" s="25">
        <v>500</v>
      </c>
      <c r="J1084" s="25">
        <v>500</v>
      </c>
      <c r="K1084" s="25">
        <v>500</v>
      </c>
      <c r="L1084" s="620"/>
      <c r="M1084" s="25"/>
      <c r="N1084" s="25"/>
      <c r="O1084" s="25"/>
    </row>
    <row r="1085" spans="2:15" ht="14.25" x14ac:dyDescent="0.2">
      <c r="B1085" s="8">
        <f t="shared" si="46"/>
        <v>628</v>
      </c>
      <c r="C1085" s="267"/>
      <c r="D1085" s="267"/>
      <c r="E1085" s="267">
        <v>10</v>
      </c>
      <c r="F1085" s="268"/>
      <c r="G1085" s="268"/>
      <c r="H1085" s="267" t="s">
        <v>0</v>
      </c>
      <c r="I1085" s="269">
        <f>I1086+I1088+I1089+I1090+I1095+I1096+I1097+I1098+I1103</f>
        <v>489714</v>
      </c>
      <c r="J1085" s="269">
        <f>J1086+J1088+J1089+J1090+J1095+J1096+J1097+J1098+J1103</f>
        <v>495735</v>
      </c>
      <c r="K1085" s="269">
        <f>K1086+K1088+K1089+K1090+K1095+K1096+K1097+K1098+K1103</f>
        <v>500835</v>
      </c>
      <c r="L1085" s="619"/>
      <c r="M1085" s="269"/>
      <c r="N1085" s="269"/>
      <c r="O1085" s="269"/>
    </row>
    <row r="1086" spans="2:15" x14ac:dyDescent="0.2">
      <c r="B1086" s="8">
        <f t="shared" si="46"/>
        <v>629</v>
      </c>
      <c r="C1086" s="24"/>
      <c r="D1086" s="24"/>
      <c r="E1086" s="24"/>
      <c r="F1086" s="149" t="s">
        <v>170</v>
      </c>
      <c r="G1086" s="150">
        <v>630</v>
      </c>
      <c r="H1086" s="24" t="s">
        <v>131</v>
      </c>
      <c r="I1086" s="25">
        <f>I1087</f>
        <v>75891</v>
      </c>
      <c r="J1086" s="25">
        <v>78000</v>
      </c>
      <c r="K1086" s="25">
        <v>80000</v>
      </c>
      <c r="L1086" s="620"/>
      <c r="M1086" s="25"/>
      <c r="N1086" s="25"/>
      <c r="O1086" s="25"/>
    </row>
    <row r="1087" spans="2:15" x14ac:dyDescent="0.2">
      <c r="B1087" s="8">
        <f t="shared" ref="B1087:B1128" si="49">B1086+1</f>
        <v>630</v>
      </c>
      <c r="C1087" s="18"/>
      <c r="D1087" s="18"/>
      <c r="E1087" s="18"/>
      <c r="F1087" s="152"/>
      <c r="G1087" s="153">
        <v>633</v>
      </c>
      <c r="H1087" s="18" t="s">
        <v>135</v>
      </c>
      <c r="I1087" s="19">
        <v>75891</v>
      </c>
      <c r="J1087" s="19">
        <v>76000</v>
      </c>
      <c r="K1087" s="19">
        <v>76000</v>
      </c>
      <c r="L1087" s="621"/>
      <c r="M1087" s="19"/>
      <c r="N1087" s="19"/>
      <c r="O1087" s="19"/>
    </row>
    <row r="1088" spans="2:15" x14ac:dyDescent="0.2">
      <c r="B1088" s="8">
        <f t="shared" si="49"/>
        <v>631</v>
      </c>
      <c r="C1088" s="24"/>
      <c r="D1088" s="24"/>
      <c r="E1088" s="24"/>
      <c r="F1088" s="149" t="s">
        <v>85</v>
      </c>
      <c r="G1088" s="150">
        <v>610</v>
      </c>
      <c r="H1088" s="24" t="s">
        <v>141</v>
      </c>
      <c r="I1088" s="25">
        <v>53200</v>
      </c>
      <c r="J1088" s="25">
        <v>53800</v>
      </c>
      <c r="K1088" s="25">
        <v>54300</v>
      </c>
      <c r="L1088" s="620"/>
      <c r="M1088" s="25"/>
      <c r="N1088" s="25"/>
      <c r="O1088" s="25"/>
    </row>
    <row r="1089" spans="2:15" x14ac:dyDescent="0.2">
      <c r="B1089" s="8">
        <f t="shared" si="49"/>
        <v>632</v>
      </c>
      <c r="C1089" s="24"/>
      <c r="D1089" s="24"/>
      <c r="E1089" s="24"/>
      <c r="F1089" s="149" t="s">
        <v>85</v>
      </c>
      <c r="G1089" s="150">
        <v>620</v>
      </c>
      <c r="H1089" s="24" t="s">
        <v>134</v>
      </c>
      <c r="I1089" s="25">
        <v>18944</v>
      </c>
      <c r="J1089" s="25">
        <v>19200</v>
      </c>
      <c r="K1089" s="25">
        <v>19400</v>
      </c>
      <c r="L1089" s="620"/>
      <c r="M1089" s="25"/>
      <c r="N1089" s="25"/>
      <c r="O1089" s="25"/>
    </row>
    <row r="1090" spans="2:15" x14ac:dyDescent="0.2">
      <c r="B1090" s="8">
        <f t="shared" si="49"/>
        <v>633</v>
      </c>
      <c r="C1090" s="24"/>
      <c r="D1090" s="24"/>
      <c r="E1090" s="24"/>
      <c r="F1090" s="149" t="s">
        <v>85</v>
      </c>
      <c r="G1090" s="150">
        <v>630</v>
      </c>
      <c r="H1090" s="24" t="s">
        <v>131</v>
      </c>
      <c r="I1090" s="25">
        <f>SUM(I1091:I1094)</f>
        <v>126252</v>
      </c>
      <c r="J1090" s="25">
        <f t="shared" ref="J1090:K1090" si="50">SUM(J1091:J1094)</f>
        <v>126300</v>
      </c>
      <c r="K1090" s="25">
        <f t="shared" si="50"/>
        <v>126300</v>
      </c>
      <c r="L1090" s="620"/>
      <c r="M1090" s="25"/>
      <c r="N1090" s="25"/>
      <c r="O1090" s="25"/>
    </row>
    <row r="1091" spans="2:15" x14ac:dyDescent="0.2">
      <c r="B1091" s="8">
        <f t="shared" si="49"/>
        <v>634</v>
      </c>
      <c r="C1091" s="18"/>
      <c r="D1091" s="18"/>
      <c r="E1091" s="18"/>
      <c r="F1091" s="152"/>
      <c r="G1091" s="153">
        <v>632</v>
      </c>
      <c r="H1091" s="18" t="s">
        <v>144</v>
      </c>
      <c r="I1091" s="19">
        <f>500+1000+1095+7905+1800</f>
        <v>12300</v>
      </c>
      <c r="J1091" s="19">
        <v>12300</v>
      </c>
      <c r="K1091" s="19">
        <v>12300</v>
      </c>
      <c r="L1091" s="621"/>
      <c r="M1091" s="19"/>
      <c r="N1091" s="19"/>
      <c r="O1091" s="19"/>
    </row>
    <row r="1092" spans="2:15" x14ac:dyDescent="0.2">
      <c r="B1092" s="8">
        <f t="shared" si="49"/>
        <v>635</v>
      </c>
      <c r="C1092" s="18"/>
      <c r="D1092" s="18"/>
      <c r="E1092" s="18"/>
      <c r="F1092" s="152"/>
      <c r="G1092" s="153">
        <v>633</v>
      </c>
      <c r="H1092" s="18" t="s">
        <v>135</v>
      </c>
      <c r="I1092" s="19">
        <f>2000+500+1000+500+3500+500+91852</f>
        <v>99852</v>
      </c>
      <c r="J1092" s="19">
        <v>99900</v>
      </c>
      <c r="K1092" s="19">
        <v>99900</v>
      </c>
      <c r="L1092" s="621"/>
      <c r="M1092" s="19"/>
      <c r="N1092" s="19"/>
      <c r="O1092" s="19"/>
    </row>
    <row r="1093" spans="2:15" x14ac:dyDescent="0.2">
      <c r="B1093" s="8">
        <f t="shared" si="49"/>
        <v>636</v>
      </c>
      <c r="C1093" s="18"/>
      <c r="D1093" s="18"/>
      <c r="E1093" s="18"/>
      <c r="F1093" s="152"/>
      <c r="G1093" s="153">
        <v>635</v>
      </c>
      <c r="H1093" s="18" t="s">
        <v>143</v>
      </c>
      <c r="I1093" s="19">
        <v>7500</v>
      </c>
      <c r="J1093" s="19">
        <v>7500</v>
      </c>
      <c r="K1093" s="19">
        <v>7500</v>
      </c>
      <c r="L1093" s="621"/>
      <c r="M1093" s="19"/>
      <c r="N1093" s="19"/>
      <c r="O1093" s="19"/>
    </row>
    <row r="1094" spans="2:15" x14ac:dyDescent="0.2">
      <c r="B1094" s="8">
        <f t="shared" si="49"/>
        <v>637</v>
      </c>
      <c r="C1094" s="18"/>
      <c r="D1094" s="18"/>
      <c r="E1094" s="18"/>
      <c r="F1094" s="152"/>
      <c r="G1094" s="153">
        <v>637</v>
      </c>
      <c r="H1094" s="18" t="s">
        <v>132</v>
      </c>
      <c r="I1094" s="19">
        <v>6600</v>
      </c>
      <c r="J1094" s="19">
        <v>6600</v>
      </c>
      <c r="K1094" s="19">
        <v>6600</v>
      </c>
      <c r="L1094" s="621"/>
      <c r="M1094" s="19"/>
      <c r="N1094" s="19"/>
      <c r="O1094" s="19"/>
    </row>
    <row r="1095" spans="2:15" x14ac:dyDescent="0.2">
      <c r="B1095" s="8">
        <f t="shared" si="49"/>
        <v>638</v>
      </c>
      <c r="C1095" s="24"/>
      <c r="D1095" s="24"/>
      <c r="E1095" s="24"/>
      <c r="F1095" s="149" t="s">
        <v>85</v>
      </c>
      <c r="G1095" s="150">
        <v>640</v>
      </c>
      <c r="H1095" s="24" t="s">
        <v>139</v>
      </c>
      <c r="I1095" s="25">
        <v>250</v>
      </c>
      <c r="J1095" s="25">
        <v>250</v>
      </c>
      <c r="K1095" s="25">
        <v>250</v>
      </c>
      <c r="L1095" s="620"/>
      <c r="M1095" s="25"/>
      <c r="N1095" s="25"/>
      <c r="O1095" s="25"/>
    </row>
    <row r="1096" spans="2:15" x14ac:dyDescent="0.2">
      <c r="B1096" s="8">
        <f t="shared" si="49"/>
        <v>639</v>
      </c>
      <c r="C1096" s="24"/>
      <c r="D1096" s="24"/>
      <c r="E1096" s="24"/>
      <c r="F1096" s="149" t="s">
        <v>54</v>
      </c>
      <c r="G1096" s="150">
        <v>610</v>
      </c>
      <c r="H1096" s="24" t="s">
        <v>141</v>
      </c>
      <c r="I1096" s="25">
        <v>53258</v>
      </c>
      <c r="J1096" s="25">
        <v>56000</v>
      </c>
      <c r="K1096" s="25">
        <v>58000</v>
      </c>
      <c r="L1096" s="620"/>
      <c r="M1096" s="25"/>
      <c r="N1096" s="25"/>
      <c r="O1096" s="25"/>
    </row>
    <row r="1097" spans="2:15" x14ac:dyDescent="0.2">
      <c r="B1097" s="8">
        <f t="shared" si="49"/>
        <v>640</v>
      </c>
      <c r="C1097" s="24"/>
      <c r="D1097" s="24"/>
      <c r="E1097" s="24"/>
      <c r="F1097" s="149" t="s">
        <v>54</v>
      </c>
      <c r="G1097" s="150">
        <v>620</v>
      </c>
      <c r="H1097" s="24" t="s">
        <v>134</v>
      </c>
      <c r="I1097" s="25">
        <v>19634</v>
      </c>
      <c r="J1097" s="25">
        <v>19900</v>
      </c>
      <c r="K1097" s="25">
        <v>20300</v>
      </c>
      <c r="L1097" s="620"/>
      <c r="M1097" s="25"/>
      <c r="N1097" s="25"/>
      <c r="O1097" s="25"/>
    </row>
    <row r="1098" spans="2:15" x14ac:dyDescent="0.2">
      <c r="B1098" s="8">
        <f t="shared" si="49"/>
        <v>641</v>
      </c>
      <c r="C1098" s="24"/>
      <c r="D1098" s="24"/>
      <c r="E1098" s="24"/>
      <c r="F1098" s="149" t="s">
        <v>54</v>
      </c>
      <c r="G1098" s="150">
        <v>630</v>
      </c>
      <c r="H1098" s="24" t="s">
        <v>131</v>
      </c>
      <c r="I1098" s="25">
        <f>SUM(I1099:I1102)</f>
        <v>139125</v>
      </c>
      <c r="J1098" s="25">
        <f t="shared" ref="J1098:L1098" si="51">SUM(J1099:J1102)</f>
        <v>139125</v>
      </c>
      <c r="K1098" s="25">
        <f t="shared" si="51"/>
        <v>139125</v>
      </c>
      <c r="L1098" s="25">
        <f t="shared" si="51"/>
        <v>0</v>
      </c>
      <c r="M1098" s="25"/>
      <c r="N1098" s="25"/>
      <c r="O1098" s="25"/>
    </row>
    <row r="1099" spans="2:15" x14ac:dyDescent="0.2">
      <c r="B1099" s="8">
        <f t="shared" si="49"/>
        <v>642</v>
      </c>
      <c r="C1099" s="18"/>
      <c r="D1099" s="18"/>
      <c r="E1099" s="18"/>
      <c r="F1099" s="152"/>
      <c r="G1099" s="153">
        <v>632</v>
      </c>
      <c r="H1099" s="18" t="s">
        <v>144</v>
      </c>
      <c r="I1099" s="19">
        <f>500+1800+1000+2105+6895</f>
        <v>12300</v>
      </c>
      <c r="J1099" s="19">
        <v>12300</v>
      </c>
      <c r="K1099" s="19">
        <v>12300</v>
      </c>
      <c r="L1099" s="621"/>
      <c r="M1099" s="19"/>
      <c r="N1099" s="19"/>
      <c r="O1099" s="19"/>
    </row>
    <row r="1100" spans="2:15" x14ac:dyDescent="0.2">
      <c r="B1100" s="8">
        <f t="shared" si="49"/>
        <v>643</v>
      </c>
      <c r="C1100" s="18"/>
      <c r="D1100" s="18"/>
      <c r="E1100" s="18"/>
      <c r="F1100" s="152"/>
      <c r="G1100" s="153">
        <v>633</v>
      </c>
      <c r="H1100" s="18" t="s">
        <v>135</v>
      </c>
      <c r="I1100" s="19">
        <f>2000+500+1000+500+3500+500+35755+68970</f>
        <v>112725</v>
      </c>
      <c r="J1100" s="19">
        <v>112725</v>
      </c>
      <c r="K1100" s="19">
        <v>112725</v>
      </c>
      <c r="L1100" s="621"/>
      <c r="M1100" s="19"/>
      <c r="N1100" s="19"/>
      <c r="O1100" s="19"/>
    </row>
    <row r="1101" spans="2:15" x14ac:dyDescent="0.2">
      <c r="B1101" s="8">
        <f t="shared" si="49"/>
        <v>644</v>
      </c>
      <c r="C1101" s="18"/>
      <c r="D1101" s="18"/>
      <c r="E1101" s="18"/>
      <c r="F1101" s="152"/>
      <c r="G1101" s="153">
        <v>635</v>
      </c>
      <c r="H1101" s="18" t="s">
        <v>143</v>
      </c>
      <c r="I1101" s="19">
        <v>7500</v>
      </c>
      <c r="J1101" s="19">
        <v>7500</v>
      </c>
      <c r="K1101" s="19">
        <v>7500</v>
      </c>
      <c r="L1101" s="621"/>
      <c r="M1101" s="19"/>
      <c r="N1101" s="19"/>
      <c r="O1101" s="19"/>
    </row>
    <row r="1102" spans="2:15" x14ac:dyDescent="0.2">
      <c r="B1102" s="8">
        <f t="shared" si="49"/>
        <v>645</v>
      </c>
      <c r="C1102" s="18"/>
      <c r="D1102" s="18"/>
      <c r="E1102" s="18"/>
      <c r="F1102" s="152"/>
      <c r="G1102" s="153">
        <v>637</v>
      </c>
      <c r="H1102" s="18" t="s">
        <v>132</v>
      </c>
      <c r="I1102" s="19">
        <f>200+1650+550+400+3800</f>
        <v>6600</v>
      </c>
      <c r="J1102" s="19">
        <v>6600</v>
      </c>
      <c r="K1102" s="19">
        <v>6600</v>
      </c>
      <c r="L1102" s="621"/>
      <c r="M1102" s="19"/>
      <c r="N1102" s="19"/>
      <c r="O1102" s="19"/>
    </row>
    <row r="1103" spans="2:15" x14ac:dyDescent="0.2">
      <c r="B1103" s="8">
        <f t="shared" si="49"/>
        <v>646</v>
      </c>
      <c r="C1103" s="24"/>
      <c r="D1103" s="24"/>
      <c r="E1103" s="24"/>
      <c r="F1103" s="149" t="s">
        <v>54</v>
      </c>
      <c r="G1103" s="150">
        <v>640</v>
      </c>
      <c r="H1103" s="24" t="s">
        <v>139</v>
      </c>
      <c r="I1103" s="25">
        <f>2910+250</f>
        <v>3160</v>
      </c>
      <c r="J1103" s="25">
        <v>3160</v>
      </c>
      <c r="K1103" s="25">
        <v>3160</v>
      </c>
      <c r="L1103" s="620"/>
      <c r="M1103" s="25"/>
      <c r="N1103" s="25"/>
      <c r="O1103" s="25"/>
    </row>
    <row r="1104" spans="2:15" ht="14.25" x14ac:dyDescent="0.2">
      <c r="B1104" s="8">
        <f t="shared" si="49"/>
        <v>647</v>
      </c>
      <c r="C1104" s="267"/>
      <c r="D1104" s="267"/>
      <c r="E1104" s="267">
        <v>11</v>
      </c>
      <c r="F1104" s="268"/>
      <c r="G1104" s="268"/>
      <c r="H1104" s="267" t="s">
        <v>8</v>
      </c>
      <c r="I1104" s="269">
        <f>I1105+I1106+I1107+I1112+I1113+I1114+I1115+I1120</f>
        <v>617860</v>
      </c>
      <c r="J1104" s="269">
        <f>J1105+J1106+J1107+J1112+J1113+J1114+J1115+J1120</f>
        <v>623030</v>
      </c>
      <c r="K1104" s="269">
        <f>K1105+K1106+K1107+K1112+K1113+K1114+K1115+K1120</f>
        <v>627730</v>
      </c>
      <c r="L1104" s="619"/>
      <c r="M1104" s="269"/>
      <c r="N1104" s="269"/>
      <c r="O1104" s="269"/>
    </row>
    <row r="1105" spans="2:15" x14ac:dyDescent="0.2">
      <c r="B1105" s="8">
        <f t="shared" si="49"/>
        <v>648</v>
      </c>
      <c r="C1105" s="24"/>
      <c r="D1105" s="24"/>
      <c r="E1105" s="24"/>
      <c r="F1105" s="149" t="s">
        <v>85</v>
      </c>
      <c r="G1105" s="150">
        <v>610</v>
      </c>
      <c r="H1105" s="24" t="s">
        <v>141</v>
      </c>
      <c r="I1105" s="25">
        <v>73100</v>
      </c>
      <c r="J1105" s="25">
        <v>75000</v>
      </c>
      <c r="K1105" s="25">
        <v>77000</v>
      </c>
      <c r="L1105" s="620"/>
      <c r="M1105" s="25"/>
      <c r="N1105" s="25"/>
      <c r="O1105" s="25"/>
    </row>
    <row r="1106" spans="2:15" x14ac:dyDescent="0.2">
      <c r="B1106" s="8">
        <f t="shared" si="49"/>
        <v>649</v>
      </c>
      <c r="C1106" s="24"/>
      <c r="D1106" s="24"/>
      <c r="E1106" s="24"/>
      <c r="F1106" s="149" t="s">
        <v>85</v>
      </c>
      <c r="G1106" s="150">
        <v>620</v>
      </c>
      <c r="H1106" s="24" t="s">
        <v>134</v>
      </c>
      <c r="I1106" s="25">
        <v>27645</v>
      </c>
      <c r="J1106" s="25">
        <v>28000</v>
      </c>
      <c r="K1106" s="25">
        <v>28300</v>
      </c>
      <c r="L1106" s="620"/>
      <c r="M1106" s="25"/>
      <c r="N1106" s="25"/>
      <c r="O1106" s="25"/>
    </row>
    <row r="1107" spans="2:15" x14ac:dyDescent="0.2">
      <c r="B1107" s="8">
        <f t="shared" si="49"/>
        <v>650</v>
      </c>
      <c r="C1107" s="24"/>
      <c r="D1107" s="24"/>
      <c r="E1107" s="24"/>
      <c r="F1107" s="149" t="s">
        <v>85</v>
      </c>
      <c r="G1107" s="150">
        <v>630</v>
      </c>
      <c r="H1107" s="24" t="s">
        <v>131</v>
      </c>
      <c r="I1107" s="25">
        <f>SUM(I1108:I1111)</f>
        <v>31880</v>
      </c>
      <c r="J1107" s="25">
        <f t="shared" ref="J1107:K1107" si="52">SUM(J1108:J1111)</f>
        <v>31880</v>
      </c>
      <c r="K1107" s="25">
        <f t="shared" si="52"/>
        <v>31880</v>
      </c>
      <c r="L1107" s="620"/>
      <c r="M1107" s="25"/>
      <c r="N1107" s="25"/>
      <c r="O1107" s="25"/>
    </row>
    <row r="1108" spans="2:15" x14ac:dyDescent="0.2">
      <c r="B1108" s="8">
        <f t="shared" si="49"/>
        <v>651</v>
      </c>
      <c r="C1108" s="18"/>
      <c r="D1108" s="18"/>
      <c r="E1108" s="18"/>
      <c r="F1108" s="152"/>
      <c r="G1108" s="153">
        <v>632</v>
      </c>
      <c r="H1108" s="18" t="s">
        <v>144</v>
      </c>
      <c r="I1108" s="19">
        <f>170+1500+2000+8100+3500</f>
        <v>15270</v>
      </c>
      <c r="J1108" s="19">
        <f>170+1500+2000+8100+3500</f>
        <v>15270</v>
      </c>
      <c r="K1108" s="19">
        <f>170+1500+2000+8100+3500</f>
        <v>15270</v>
      </c>
      <c r="L1108" s="621"/>
      <c r="M1108" s="19"/>
      <c r="N1108" s="19"/>
      <c r="O1108" s="19"/>
    </row>
    <row r="1109" spans="2:15" x14ac:dyDescent="0.2">
      <c r="B1109" s="8">
        <f t="shared" si="49"/>
        <v>652</v>
      </c>
      <c r="C1109" s="18"/>
      <c r="D1109" s="18"/>
      <c r="E1109" s="18"/>
      <c r="F1109" s="152"/>
      <c r="G1109" s="153">
        <v>633</v>
      </c>
      <c r="H1109" s="18" t="s">
        <v>135</v>
      </c>
      <c r="I1109" s="19">
        <f>200+800+500+920+300+1000+150+400+200+100+2500+200</f>
        <v>7270</v>
      </c>
      <c r="J1109" s="19">
        <f>200+800+500+920+300+1000+150+400+200+100+2500+200</f>
        <v>7270</v>
      </c>
      <c r="K1109" s="19">
        <f>200+800+500+920+300+1000+150+400+200+100+2500+200</f>
        <v>7270</v>
      </c>
      <c r="L1109" s="621"/>
      <c r="M1109" s="19"/>
      <c r="N1109" s="19"/>
      <c r="O1109" s="19"/>
    </row>
    <row r="1110" spans="2:15" x14ac:dyDescent="0.2">
      <c r="B1110" s="8">
        <f t="shared" si="49"/>
        <v>653</v>
      </c>
      <c r="C1110" s="18"/>
      <c r="D1110" s="18"/>
      <c r="E1110" s="18"/>
      <c r="F1110" s="152"/>
      <c r="G1110" s="153">
        <v>635</v>
      </c>
      <c r="H1110" s="18" t="s">
        <v>143</v>
      </c>
      <c r="I1110" s="19">
        <f>1500+1300</f>
        <v>2800</v>
      </c>
      <c r="J1110" s="19">
        <f>1500+1300</f>
        <v>2800</v>
      </c>
      <c r="K1110" s="19">
        <f>1500+1300</f>
        <v>2800</v>
      </c>
      <c r="L1110" s="621"/>
      <c r="M1110" s="19"/>
      <c r="N1110" s="19"/>
      <c r="O1110" s="19"/>
    </row>
    <row r="1111" spans="2:15" x14ac:dyDescent="0.2">
      <c r="B1111" s="8">
        <f t="shared" si="49"/>
        <v>654</v>
      </c>
      <c r="C1111" s="18"/>
      <c r="D1111" s="18"/>
      <c r="E1111" s="18"/>
      <c r="F1111" s="152"/>
      <c r="G1111" s="153">
        <v>637</v>
      </c>
      <c r="H1111" s="18" t="s">
        <v>132</v>
      </c>
      <c r="I1111" s="19">
        <f>100+300+100+910+200+1000+110+320+100+1000+2000+400</f>
        <v>6540</v>
      </c>
      <c r="J1111" s="19">
        <f>100+300+100+910+200+1000+110+320+100+1000+2000+400</f>
        <v>6540</v>
      </c>
      <c r="K1111" s="19">
        <f>100+300+100+910+200+1000+110+320+100+1000+2000+400</f>
        <v>6540</v>
      </c>
      <c r="L1111" s="621"/>
      <c r="M1111" s="19"/>
      <c r="N1111" s="19"/>
      <c r="O1111" s="19"/>
    </row>
    <row r="1112" spans="2:15" x14ac:dyDescent="0.2">
      <c r="B1112" s="8">
        <f t="shared" si="49"/>
        <v>655</v>
      </c>
      <c r="C1112" s="24"/>
      <c r="D1112" s="24"/>
      <c r="E1112" s="24"/>
      <c r="F1112" s="149" t="s">
        <v>85</v>
      </c>
      <c r="G1112" s="150">
        <v>640</v>
      </c>
      <c r="H1112" s="24" t="s">
        <v>139</v>
      </c>
      <c r="I1112" s="25">
        <f>1000+600</f>
        <v>1600</v>
      </c>
      <c r="J1112" s="25">
        <f>1000+600</f>
        <v>1600</v>
      </c>
      <c r="K1112" s="25">
        <f>1000+600</f>
        <v>1600</v>
      </c>
      <c r="L1112" s="620"/>
      <c r="M1112" s="25"/>
      <c r="N1112" s="25"/>
      <c r="O1112" s="25"/>
    </row>
    <row r="1113" spans="2:15" x14ac:dyDescent="0.2">
      <c r="B1113" s="8">
        <f t="shared" si="49"/>
        <v>656</v>
      </c>
      <c r="C1113" s="24"/>
      <c r="D1113" s="24"/>
      <c r="E1113" s="24"/>
      <c r="F1113" s="149" t="s">
        <v>54</v>
      </c>
      <c r="G1113" s="150">
        <v>610</v>
      </c>
      <c r="H1113" s="24" t="s">
        <v>141</v>
      </c>
      <c r="I1113" s="25">
        <v>99380</v>
      </c>
      <c r="J1113" s="25">
        <v>102000</v>
      </c>
      <c r="K1113" s="25">
        <v>104000</v>
      </c>
      <c r="L1113" s="620"/>
      <c r="M1113" s="25"/>
      <c r="N1113" s="25"/>
      <c r="O1113" s="25"/>
    </row>
    <row r="1114" spans="2:15" x14ac:dyDescent="0.2">
      <c r="B1114" s="8">
        <f t="shared" si="49"/>
        <v>657</v>
      </c>
      <c r="C1114" s="24"/>
      <c r="D1114" s="24"/>
      <c r="E1114" s="24"/>
      <c r="F1114" s="149" t="s">
        <v>54</v>
      </c>
      <c r="G1114" s="150">
        <v>620</v>
      </c>
      <c r="H1114" s="24" t="s">
        <v>134</v>
      </c>
      <c r="I1114" s="25">
        <v>37805</v>
      </c>
      <c r="J1114" s="25">
        <v>38100</v>
      </c>
      <c r="K1114" s="25">
        <v>38500</v>
      </c>
      <c r="L1114" s="620"/>
      <c r="M1114" s="25"/>
      <c r="N1114" s="25"/>
      <c r="O1114" s="25"/>
    </row>
    <row r="1115" spans="2:15" x14ac:dyDescent="0.2">
      <c r="B1115" s="8">
        <f t="shared" si="49"/>
        <v>658</v>
      </c>
      <c r="C1115" s="24"/>
      <c r="D1115" s="24"/>
      <c r="E1115" s="24"/>
      <c r="F1115" s="149" t="s">
        <v>54</v>
      </c>
      <c r="G1115" s="150">
        <v>630</v>
      </c>
      <c r="H1115" s="24" t="s">
        <v>131</v>
      </c>
      <c r="I1115" s="25">
        <f>SUM(I1116:I1119)</f>
        <v>339650</v>
      </c>
      <c r="J1115" s="25">
        <f t="shared" ref="J1115:K1115" si="53">SUM(J1116:J1119)</f>
        <v>339650</v>
      </c>
      <c r="K1115" s="25">
        <f t="shared" si="53"/>
        <v>339650</v>
      </c>
      <c r="L1115" s="620"/>
      <c r="M1115" s="25"/>
      <c r="N1115" s="25"/>
      <c r="O1115" s="25"/>
    </row>
    <row r="1116" spans="2:15" x14ac:dyDescent="0.2">
      <c r="B1116" s="8">
        <f t="shared" si="49"/>
        <v>659</v>
      </c>
      <c r="C1116" s="18"/>
      <c r="D1116" s="18"/>
      <c r="E1116" s="18"/>
      <c r="F1116" s="152"/>
      <c r="G1116" s="153">
        <v>632</v>
      </c>
      <c r="H1116" s="18" t="s">
        <v>144</v>
      </c>
      <c r="I1116" s="19">
        <f>260+2500+2000+10500+5000</f>
        <v>20260</v>
      </c>
      <c r="J1116" s="19">
        <f>260+2500+2000+10500+5000</f>
        <v>20260</v>
      </c>
      <c r="K1116" s="19">
        <f>260+2500+2000+10500+5000</f>
        <v>20260</v>
      </c>
      <c r="L1116" s="621"/>
      <c r="M1116" s="19"/>
      <c r="N1116" s="19"/>
      <c r="O1116" s="19"/>
    </row>
    <row r="1117" spans="2:15" x14ac:dyDescent="0.2">
      <c r="B1117" s="8">
        <f t="shared" si="49"/>
        <v>660</v>
      </c>
      <c r="C1117" s="18"/>
      <c r="D1117" s="18"/>
      <c r="E1117" s="18"/>
      <c r="F1117" s="152"/>
      <c r="G1117" s="153">
        <v>633</v>
      </c>
      <c r="H1117" s="18" t="s">
        <v>135</v>
      </c>
      <c r="I1117" s="19">
        <f>300+1200+40000+250000+1120+700+520+300+2000+1600+200+600+300+200+3500</f>
        <v>302540</v>
      </c>
      <c r="J1117" s="19">
        <f>300+1200+40000+250000+1120+700+520+300+2000+1600+200+600+300+200+3500</f>
        <v>302540</v>
      </c>
      <c r="K1117" s="19">
        <f>300+1200+40000+250000+1120+700+520+300+2000+1600+200+600+300+200+3500</f>
        <v>302540</v>
      </c>
      <c r="L1117" s="621"/>
      <c r="M1117" s="19"/>
      <c r="N1117" s="19"/>
      <c r="O1117" s="19"/>
    </row>
    <row r="1118" spans="2:15" x14ac:dyDescent="0.2">
      <c r="B1118" s="8">
        <f t="shared" si="49"/>
        <v>661</v>
      </c>
      <c r="C1118" s="18"/>
      <c r="D1118" s="18"/>
      <c r="E1118" s="18"/>
      <c r="F1118" s="152"/>
      <c r="G1118" s="153">
        <v>635</v>
      </c>
      <c r="H1118" s="18" t="s">
        <v>143</v>
      </c>
      <c r="I1118" s="19">
        <f>2300+1800</f>
        <v>4100</v>
      </c>
      <c r="J1118" s="19">
        <f>2300+1800</f>
        <v>4100</v>
      </c>
      <c r="K1118" s="19">
        <f>2300+1800</f>
        <v>4100</v>
      </c>
      <c r="L1118" s="621"/>
      <c r="M1118" s="19"/>
      <c r="N1118" s="19"/>
      <c r="O1118" s="19"/>
    </row>
    <row r="1119" spans="2:15" x14ac:dyDescent="0.2">
      <c r="B1119" s="8">
        <f t="shared" si="49"/>
        <v>662</v>
      </c>
      <c r="C1119" s="18"/>
      <c r="D1119" s="18"/>
      <c r="E1119" s="18"/>
      <c r="F1119" s="152"/>
      <c r="G1119" s="153">
        <v>637</v>
      </c>
      <c r="H1119" s="18" t="s">
        <v>132</v>
      </c>
      <c r="I1119" s="19">
        <f>2500+250+500+200+1250+500+1500+400+800+250+1500+2500+600</f>
        <v>12750</v>
      </c>
      <c r="J1119" s="19">
        <f>2500+250+500+200+1250+500+1500+400+800+250+1500+2500+600</f>
        <v>12750</v>
      </c>
      <c r="K1119" s="19">
        <f>2500+250+500+200+1250+500+1500+400+800+250+1500+2500+600</f>
        <v>12750</v>
      </c>
      <c r="L1119" s="621"/>
      <c r="M1119" s="19"/>
      <c r="N1119" s="19"/>
      <c r="O1119" s="19"/>
    </row>
    <row r="1120" spans="2:15" x14ac:dyDescent="0.2">
      <c r="B1120" s="8">
        <f t="shared" si="49"/>
        <v>663</v>
      </c>
      <c r="C1120" s="24"/>
      <c r="D1120" s="24"/>
      <c r="E1120" s="24"/>
      <c r="F1120" s="149" t="s">
        <v>54</v>
      </c>
      <c r="G1120" s="150">
        <v>640</v>
      </c>
      <c r="H1120" s="24" t="s">
        <v>139</v>
      </c>
      <c r="I1120" s="25">
        <f>2000+600+4200</f>
        <v>6800</v>
      </c>
      <c r="J1120" s="25">
        <f>2000+600+4200</f>
        <v>6800</v>
      </c>
      <c r="K1120" s="25">
        <f>2000+600+4200</f>
        <v>6800</v>
      </c>
      <c r="L1120" s="620"/>
      <c r="M1120" s="25"/>
      <c r="N1120" s="25"/>
      <c r="O1120" s="25"/>
    </row>
    <row r="1121" spans="2:15" ht="14.25" x14ac:dyDescent="0.2">
      <c r="B1121" s="8">
        <f t="shared" si="49"/>
        <v>664</v>
      </c>
      <c r="C1121" s="267"/>
      <c r="D1121" s="267"/>
      <c r="E1121" s="267">
        <v>12</v>
      </c>
      <c r="F1121" s="268"/>
      <c r="G1121" s="268"/>
      <c r="H1121" s="267" t="s">
        <v>6</v>
      </c>
      <c r="I1121" s="269">
        <f>I1122+I1123+I1124+I1129+I1130+I1131+I1132+I1138</f>
        <v>521744</v>
      </c>
      <c r="J1121" s="269">
        <f>J1122+J1123+J1124+J1129+J1130+J1131+J1132+J1138</f>
        <v>526310</v>
      </c>
      <c r="K1121" s="269">
        <f>K1122+K1123+K1124+K1129+K1130+K1131+K1132+K1138</f>
        <v>531010</v>
      </c>
      <c r="L1121" s="619"/>
      <c r="M1121" s="269"/>
      <c r="N1121" s="269"/>
      <c r="O1121" s="269"/>
    </row>
    <row r="1122" spans="2:15" x14ac:dyDescent="0.2">
      <c r="B1122" s="8">
        <f t="shared" si="49"/>
        <v>665</v>
      </c>
      <c r="C1122" s="24"/>
      <c r="D1122" s="24"/>
      <c r="E1122" s="24"/>
      <c r="F1122" s="149" t="s">
        <v>85</v>
      </c>
      <c r="G1122" s="150">
        <v>610</v>
      </c>
      <c r="H1122" s="24" t="s">
        <v>141</v>
      </c>
      <c r="I1122" s="25">
        <v>66062</v>
      </c>
      <c r="J1122" s="25">
        <v>68000</v>
      </c>
      <c r="K1122" s="25">
        <v>70000</v>
      </c>
      <c r="L1122" s="620"/>
      <c r="M1122" s="25"/>
      <c r="N1122" s="25"/>
      <c r="O1122" s="25"/>
    </row>
    <row r="1123" spans="2:15" x14ac:dyDescent="0.2">
      <c r="B1123" s="8">
        <f t="shared" si="49"/>
        <v>666</v>
      </c>
      <c r="C1123" s="24"/>
      <c r="D1123" s="24"/>
      <c r="E1123" s="24"/>
      <c r="F1123" s="149" t="s">
        <v>85</v>
      </c>
      <c r="G1123" s="150">
        <v>620</v>
      </c>
      <c r="H1123" s="24" t="s">
        <v>134</v>
      </c>
      <c r="I1123" s="25">
        <v>23245</v>
      </c>
      <c r="J1123" s="25">
        <v>23600</v>
      </c>
      <c r="K1123" s="25">
        <v>24000</v>
      </c>
      <c r="L1123" s="620"/>
      <c r="M1123" s="25"/>
      <c r="N1123" s="25"/>
      <c r="O1123" s="25"/>
    </row>
    <row r="1124" spans="2:15" x14ac:dyDescent="0.2">
      <c r="B1124" s="8">
        <f t="shared" si="49"/>
        <v>667</v>
      </c>
      <c r="C1124" s="24"/>
      <c r="D1124" s="24"/>
      <c r="E1124" s="24"/>
      <c r="F1124" s="149" t="s">
        <v>85</v>
      </c>
      <c r="G1124" s="150">
        <v>630</v>
      </c>
      <c r="H1124" s="24" t="s">
        <v>131</v>
      </c>
      <c r="I1124" s="25">
        <f>I1128+I1127+I1126+I1125</f>
        <v>198105</v>
      </c>
      <c r="J1124" s="25">
        <f>J1128+J1127+J1126+J1125</f>
        <v>198105</v>
      </c>
      <c r="K1124" s="25">
        <f>K1128+K1127+K1126+K1125</f>
        <v>198105</v>
      </c>
      <c r="L1124" s="620"/>
      <c r="M1124" s="25"/>
      <c r="N1124" s="25"/>
      <c r="O1124" s="25"/>
    </row>
    <row r="1125" spans="2:15" x14ac:dyDescent="0.2">
      <c r="B1125" s="8">
        <f t="shared" si="49"/>
        <v>668</v>
      </c>
      <c r="C1125" s="18"/>
      <c r="D1125" s="18"/>
      <c r="E1125" s="18"/>
      <c r="F1125" s="152"/>
      <c r="G1125" s="153">
        <v>632</v>
      </c>
      <c r="H1125" s="18" t="s">
        <v>144</v>
      </c>
      <c r="I1125" s="19">
        <f>7800+7360+3200+600</f>
        <v>18960</v>
      </c>
      <c r="J1125" s="19">
        <f>7800+7360+3200+600</f>
        <v>18960</v>
      </c>
      <c r="K1125" s="19">
        <f>7800+7360+3200+600</f>
        <v>18960</v>
      </c>
      <c r="L1125" s="621"/>
      <c r="M1125" s="19"/>
      <c r="N1125" s="19"/>
      <c r="O1125" s="19"/>
    </row>
    <row r="1126" spans="2:15" x14ac:dyDescent="0.2">
      <c r="B1126" s="8">
        <f t="shared" si="49"/>
        <v>669</v>
      </c>
      <c r="C1126" s="18"/>
      <c r="D1126" s="18"/>
      <c r="E1126" s="18"/>
      <c r="F1126" s="152"/>
      <c r="G1126" s="153">
        <v>633</v>
      </c>
      <c r="H1126" s="18" t="s">
        <v>135</v>
      </c>
      <c r="I1126" s="19">
        <v>141700</v>
      </c>
      <c r="J1126" s="19">
        <v>141700</v>
      </c>
      <c r="K1126" s="19">
        <v>141700</v>
      </c>
      <c r="L1126" s="621"/>
      <c r="M1126" s="19"/>
      <c r="N1126" s="19"/>
      <c r="O1126" s="19"/>
    </row>
    <row r="1127" spans="2:15" x14ac:dyDescent="0.2">
      <c r="B1127" s="8">
        <f t="shared" si="49"/>
        <v>670</v>
      </c>
      <c r="C1127" s="18"/>
      <c r="D1127" s="18"/>
      <c r="E1127" s="18"/>
      <c r="F1127" s="152"/>
      <c r="G1127" s="153">
        <v>635</v>
      </c>
      <c r="H1127" s="18" t="s">
        <v>143</v>
      </c>
      <c r="I1127" s="19">
        <f>2000+1000</f>
        <v>3000</v>
      </c>
      <c r="J1127" s="19">
        <f>2000+1000</f>
        <v>3000</v>
      </c>
      <c r="K1127" s="19">
        <f>2000+1000</f>
        <v>3000</v>
      </c>
      <c r="L1127" s="621"/>
      <c r="M1127" s="19"/>
      <c r="N1127" s="19"/>
      <c r="O1127" s="19"/>
    </row>
    <row r="1128" spans="2:15" x14ac:dyDescent="0.2">
      <c r="B1128" s="8">
        <f t="shared" si="49"/>
        <v>671</v>
      </c>
      <c r="C1128" s="18"/>
      <c r="D1128" s="18"/>
      <c r="E1128" s="18"/>
      <c r="F1128" s="152"/>
      <c r="G1128" s="153">
        <v>637</v>
      </c>
      <c r="H1128" s="18" t="s">
        <v>132</v>
      </c>
      <c r="I1128" s="19">
        <f>50+1400+55+30000+1100+960+880</f>
        <v>34445</v>
      </c>
      <c r="J1128" s="19">
        <f>50+1400+55+30000+1100+960+880</f>
        <v>34445</v>
      </c>
      <c r="K1128" s="19">
        <f>50+1400+55+30000+1100+960+880</f>
        <v>34445</v>
      </c>
      <c r="L1128" s="621"/>
      <c r="M1128" s="19"/>
      <c r="N1128" s="19"/>
      <c r="O1128" s="19"/>
    </row>
    <row r="1129" spans="2:15" x14ac:dyDescent="0.2">
      <c r="B1129" s="8">
        <f t="shared" ref="B1129:B1183" si="54">B1128+1</f>
        <v>672</v>
      </c>
      <c r="C1129" s="24"/>
      <c r="D1129" s="24"/>
      <c r="E1129" s="24"/>
      <c r="F1129" s="149" t="s">
        <v>85</v>
      </c>
      <c r="G1129" s="150">
        <v>640</v>
      </c>
      <c r="H1129" s="24" t="s">
        <v>139</v>
      </c>
      <c r="I1129" s="25">
        <v>1440</v>
      </c>
      <c r="J1129" s="25">
        <v>1440</v>
      </c>
      <c r="K1129" s="25">
        <v>1440</v>
      </c>
      <c r="L1129" s="620"/>
      <c r="M1129" s="25"/>
      <c r="N1129" s="25"/>
      <c r="O1129" s="25"/>
    </row>
    <row r="1130" spans="2:15" x14ac:dyDescent="0.2">
      <c r="B1130" s="8">
        <f t="shared" si="54"/>
        <v>673</v>
      </c>
      <c r="C1130" s="24"/>
      <c r="D1130" s="24"/>
      <c r="E1130" s="24"/>
      <c r="F1130" s="149" t="s">
        <v>54</v>
      </c>
      <c r="G1130" s="150">
        <v>610</v>
      </c>
      <c r="H1130" s="24" t="s">
        <v>141</v>
      </c>
      <c r="I1130" s="25">
        <v>66062</v>
      </c>
      <c r="J1130" s="25">
        <v>68000</v>
      </c>
      <c r="K1130" s="25">
        <v>70000</v>
      </c>
      <c r="L1130" s="620"/>
      <c r="M1130" s="25"/>
      <c r="N1130" s="25"/>
      <c r="O1130" s="25"/>
    </row>
    <row r="1131" spans="2:15" x14ac:dyDescent="0.2">
      <c r="B1131" s="8">
        <f t="shared" si="54"/>
        <v>674</v>
      </c>
      <c r="C1131" s="24"/>
      <c r="D1131" s="24"/>
      <c r="E1131" s="24"/>
      <c r="F1131" s="149" t="s">
        <v>54</v>
      </c>
      <c r="G1131" s="150">
        <v>620</v>
      </c>
      <c r="H1131" s="24" t="s">
        <v>134</v>
      </c>
      <c r="I1131" s="25">
        <v>23565</v>
      </c>
      <c r="J1131" s="25">
        <v>23900</v>
      </c>
      <c r="K1131" s="25">
        <v>24200</v>
      </c>
      <c r="L1131" s="620"/>
      <c r="M1131" s="25"/>
      <c r="N1131" s="25"/>
      <c r="O1131" s="25"/>
    </row>
    <row r="1132" spans="2:15" x14ac:dyDescent="0.2">
      <c r="B1132" s="8">
        <f t="shared" si="54"/>
        <v>675</v>
      </c>
      <c r="C1132" s="24"/>
      <c r="D1132" s="24"/>
      <c r="E1132" s="24"/>
      <c r="F1132" s="149" t="s">
        <v>54</v>
      </c>
      <c r="G1132" s="150">
        <v>630</v>
      </c>
      <c r="H1132" s="24" t="s">
        <v>131</v>
      </c>
      <c r="I1132" s="25">
        <f>I1137+I1136+I1135+I1134+I1133</f>
        <v>138825</v>
      </c>
      <c r="J1132" s="25">
        <f>J1137+J1136+J1135+J1134+J1133</f>
        <v>138825</v>
      </c>
      <c r="K1132" s="25">
        <f>K1137+K1136+K1135+K1134+K1133</f>
        <v>138825</v>
      </c>
      <c r="L1132" s="620"/>
      <c r="M1132" s="25"/>
      <c r="N1132" s="25"/>
      <c r="O1132" s="25"/>
    </row>
    <row r="1133" spans="2:15" x14ac:dyDescent="0.2">
      <c r="B1133" s="8">
        <f t="shared" si="54"/>
        <v>676</v>
      </c>
      <c r="C1133" s="18"/>
      <c r="D1133" s="18"/>
      <c r="E1133" s="18"/>
      <c r="F1133" s="152"/>
      <c r="G1133" s="153">
        <v>631</v>
      </c>
      <c r="H1133" s="18" t="s">
        <v>137</v>
      </c>
      <c r="I1133" s="19">
        <v>55</v>
      </c>
      <c r="J1133" s="19">
        <v>55</v>
      </c>
      <c r="K1133" s="19">
        <v>55</v>
      </c>
      <c r="L1133" s="621"/>
      <c r="M1133" s="19"/>
      <c r="N1133" s="19"/>
      <c r="O1133" s="19"/>
    </row>
    <row r="1134" spans="2:15" x14ac:dyDescent="0.2">
      <c r="B1134" s="8">
        <f t="shared" si="54"/>
        <v>677</v>
      </c>
      <c r="C1134" s="18"/>
      <c r="D1134" s="18"/>
      <c r="E1134" s="18"/>
      <c r="F1134" s="152"/>
      <c r="G1134" s="153">
        <v>632</v>
      </c>
      <c r="H1134" s="18" t="s">
        <v>144</v>
      </c>
      <c r="I1134" s="19">
        <f>7800+7360+3200+600</f>
        <v>18960</v>
      </c>
      <c r="J1134" s="19">
        <f>7800+7360+3200+600</f>
        <v>18960</v>
      </c>
      <c r="K1134" s="19">
        <f>7800+7360+3200+600</f>
        <v>18960</v>
      </c>
      <c r="L1134" s="621"/>
      <c r="M1134" s="19"/>
      <c r="N1134" s="19"/>
      <c r="O1134" s="19"/>
    </row>
    <row r="1135" spans="2:15" x14ac:dyDescent="0.2">
      <c r="B1135" s="8">
        <f t="shared" si="54"/>
        <v>678</v>
      </c>
      <c r="C1135" s="18"/>
      <c r="D1135" s="18"/>
      <c r="E1135" s="18"/>
      <c r="F1135" s="152"/>
      <c r="G1135" s="153">
        <v>633</v>
      </c>
      <c r="H1135" s="18" t="s">
        <v>135</v>
      </c>
      <c r="I1135" s="19">
        <v>109050</v>
      </c>
      <c r="J1135" s="19">
        <v>109050</v>
      </c>
      <c r="K1135" s="19">
        <v>109050</v>
      </c>
      <c r="L1135" s="621"/>
      <c r="M1135" s="19"/>
      <c r="N1135" s="19"/>
      <c r="O1135" s="19"/>
    </row>
    <row r="1136" spans="2:15" x14ac:dyDescent="0.2">
      <c r="B1136" s="8">
        <f t="shared" si="54"/>
        <v>679</v>
      </c>
      <c r="C1136" s="18"/>
      <c r="D1136" s="18"/>
      <c r="E1136" s="18"/>
      <c r="F1136" s="152"/>
      <c r="G1136" s="153">
        <v>635</v>
      </c>
      <c r="H1136" s="18" t="s">
        <v>143</v>
      </c>
      <c r="I1136" s="19">
        <f>3000+3150</f>
        <v>6150</v>
      </c>
      <c r="J1136" s="19">
        <f>3000+3150</f>
        <v>6150</v>
      </c>
      <c r="K1136" s="19">
        <f>3000+3150</f>
        <v>6150</v>
      </c>
      <c r="L1136" s="621"/>
      <c r="M1136" s="19"/>
      <c r="N1136" s="19"/>
      <c r="O1136" s="19"/>
    </row>
    <row r="1137" spans="2:15" x14ac:dyDescent="0.2">
      <c r="B1137" s="8">
        <f t="shared" si="54"/>
        <v>680</v>
      </c>
      <c r="C1137" s="18"/>
      <c r="D1137" s="18"/>
      <c r="E1137" s="18"/>
      <c r="F1137" s="152"/>
      <c r="G1137" s="153">
        <v>637</v>
      </c>
      <c r="H1137" s="18" t="s">
        <v>132</v>
      </c>
      <c r="I1137" s="19">
        <f>50+1400+1200+960+1000</f>
        <v>4610</v>
      </c>
      <c r="J1137" s="19">
        <f>50+1400+1200+960+1000</f>
        <v>4610</v>
      </c>
      <c r="K1137" s="19">
        <f>50+1400+1200+960+1000</f>
        <v>4610</v>
      </c>
      <c r="L1137" s="621"/>
      <c r="M1137" s="19"/>
      <c r="N1137" s="19"/>
      <c r="O1137" s="19"/>
    </row>
    <row r="1138" spans="2:15" x14ac:dyDescent="0.2">
      <c r="B1138" s="8">
        <f t="shared" si="54"/>
        <v>681</v>
      </c>
      <c r="C1138" s="24"/>
      <c r="D1138" s="24"/>
      <c r="E1138" s="24"/>
      <c r="F1138" s="149" t="s">
        <v>54</v>
      </c>
      <c r="G1138" s="150">
        <v>640</v>
      </c>
      <c r="H1138" s="24" t="s">
        <v>139</v>
      </c>
      <c r="I1138" s="25">
        <f>3000+1440</f>
        <v>4440</v>
      </c>
      <c r="J1138" s="25">
        <f>3000+1440</f>
        <v>4440</v>
      </c>
      <c r="K1138" s="25">
        <f>3000+1440</f>
        <v>4440</v>
      </c>
      <c r="L1138" s="620"/>
      <c r="M1138" s="25"/>
      <c r="N1138" s="25"/>
      <c r="O1138" s="25"/>
    </row>
    <row r="1139" spans="2:15" ht="14.25" x14ac:dyDescent="0.2">
      <c r="B1139" s="8">
        <f t="shared" si="54"/>
        <v>682</v>
      </c>
      <c r="C1139" s="267"/>
      <c r="D1139" s="267"/>
      <c r="E1139" s="267">
        <v>13</v>
      </c>
      <c r="F1139" s="268"/>
      <c r="G1139" s="268"/>
      <c r="H1139" s="267" t="s">
        <v>14</v>
      </c>
      <c r="I1139" s="269">
        <f>I1140+I1142+I1143+I1144+I1149+I1150+I1151+I1152+I1157</f>
        <v>298852</v>
      </c>
      <c r="J1139" s="269">
        <f>J1140+J1142+J1143+J1144+J1149+J1150+J1151+J1152+J1157</f>
        <v>306072</v>
      </c>
      <c r="K1139" s="269">
        <f>K1140+K1142+K1143+K1144+K1149+K1150+K1151+K1152+K1157</f>
        <v>310872</v>
      </c>
      <c r="L1139" s="619"/>
      <c r="M1139" s="269"/>
      <c r="N1139" s="269"/>
      <c r="O1139" s="269"/>
    </row>
    <row r="1140" spans="2:15" x14ac:dyDescent="0.2">
      <c r="B1140" s="8">
        <f t="shared" si="54"/>
        <v>683</v>
      </c>
      <c r="C1140" s="24"/>
      <c r="D1140" s="24"/>
      <c r="E1140" s="24"/>
      <c r="F1140" s="149" t="s">
        <v>170</v>
      </c>
      <c r="G1140" s="150">
        <v>630</v>
      </c>
      <c r="H1140" s="24" t="s">
        <v>131</v>
      </c>
      <c r="I1140" s="25">
        <f>I1141</f>
        <v>27390</v>
      </c>
      <c r="J1140" s="25">
        <f>J1141</f>
        <v>27500</v>
      </c>
      <c r="K1140" s="25">
        <f>K1141</f>
        <v>27500</v>
      </c>
      <c r="L1140" s="620"/>
      <c r="M1140" s="25"/>
      <c r="N1140" s="25"/>
      <c r="O1140" s="25"/>
    </row>
    <row r="1141" spans="2:15" x14ac:dyDescent="0.2">
      <c r="B1141" s="8">
        <f t="shared" si="54"/>
        <v>684</v>
      </c>
      <c r="C1141" s="18"/>
      <c r="D1141" s="18"/>
      <c r="E1141" s="18"/>
      <c r="F1141" s="152"/>
      <c r="G1141" s="153">
        <v>633</v>
      </c>
      <c r="H1141" s="18" t="s">
        <v>135</v>
      </c>
      <c r="I1141" s="19">
        <v>27390</v>
      </c>
      <c r="J1141" s="19">
        <v>27500</v>
      </c>
      <c r="K1141" s="19">
        <v>27500</v>
      </c>
      <c r="L1141" s="621"/>
      <c r="M1141" s="19"/>
      <c r="N1141" s="19"/>
      <c r="O1141" s="19"/>
    </row>
    <row r="1142" spans="2:15" x14ac:dyDescent="0.2">
      <c r="B1142" s="8">
        <f t="shared" si="54"/>
        <v>685</v>
      </c>
      <c r="C1142" s="24"/>
      <c r="D1142" s="24"/>
      <c r="E1142" s="24"/>
      <c r="F1142" s="149" t="s">
        <v>85</v>
      </c>
      <c r="G1142" s="150">
        <v>610</v>
      </c>
      <c r="H1142" s="24" t="s">
        <v>141</v>
      </c>
      <c r="I1142" s="25">
        <v>40600</v>
      </c>
      <c r="J1142" s="25">
        <v>44000</v>
      </c>
      <c r="K1142" s="25">
        <v>46000</v>
      </c>
      <c r="L1142" s="620"/>
      <c r="M1142" s="25"/>
      <c r="N1142" s="25"/>
      <c r="O1142" s="25"/>
    </row>
    <row r="1143" spans="2:15" x14ac:dyDescent="0.2">
      <c r="B1143" s="8">
        <f t="shared" si="54"/>
        <v>686</v>
      </c>
      <c r="C1143" s="24"/>
      <c r="D1143" s="24"/>
      <c r="E1143" s="24"/>
      <c r="F1143" s="149" t="s">
        <v>85</v>
      </c>
      <c r="G1143" s="150">
        <v>620</v>
      </c>
      <c r="H1143" s="24" t="s">
        <v>134</v>
      </c>
      <c r="I1143" s="25">
        <v>14890</v>
      </c>
      <c r="J1143" s="25">
        <v>15300</v>
      </c>
      <c r="K1143" s="25">
        <v>15600</v>
      </c>
      <c r="L1143" s="620"/>
      <c r="M1143" s="25"/>
      <c r="N1143" s="25"/>
      <c r="O1143" s="25"/>
    </row>
    <row r="1144" spans="2:15" x14ac:dyDescent="0.2">
      <c r="B1144" s="8">
        <f t="shared" si="54"/>
        <v>687</v>
      </c>
      <c r="C1144" s="24"/>
      <c r="D1144" s="24"/>
      <c r="E1144" s="24"/>
      <c r="F1144" s="149" t="s">
        <v>85</v>
      </c>
      <c r="G1144" s="150">
        <v>630</v>
      </c>
      <c r="H1144" s="24" t="s">
        <v>131</v>
      </c>
      <c r="I1144" s="25">
        <f>I1148+I1147+I1146+I1145</f>
        <v>70392</v>
      </c>
      <c r="J1144" s="25">
        <f>J1148+J1147+J1146+J1145</f>
        <v>70392</v>
      </c>
      <c r="K1144" s="25">
        <f>K1148+K1147+K1146+K1145</f>
        <v>70392</v>
      </c>
      <c r="L1144" s="620"/>
      <c r="M1144" s="25"/>
      <c r="N1144" s="25"/>
      <c r="O1144" s="25"/>
    </row>
    <row r="1145" spans="2:15" x14ac:dyDescent="0.2">
      <c r="B1145" s="8">
        <f t="shared" si="54"/>
        <v>688</v>
      </c>
      <c r="C1145" s="18"/>
      <c r="D1145" s="18"/>
      <c r="E1145" s="18"/>
      <c r="F1145" s="152"/>
      <c r="G1145" s="153">
        <v>632</v>
      </c>
      <c r="H1145" s="18" t="s">
        <v>144</v>
      </c>
      <c r="I1145" s="19">
        <f>200+150+2000+3000+6000+2165</f>
        <v>13515</v>
      </c>
      <c r="J1145" s="19">
        <f>200+150+2000+3000+6000+2165</f>
        <v>13515</v>
      </c>
      <c r="K1145" s="19">
        <f>200+150+2000+3000+6000+2165</f>
        <v>13515</v>
      </c>
      <c r="L1145" s="621"/>
      <c r="M1145" s="19"/>
      <c r="N1145" s="19"/>
      <c r="O1145" s="19"/>
    </row>
    <row r="1146" spans="2:15" x14ac:dyDescent="0.2">
      <c r="B1146" s="8">
        <f t="shared" si="54"/>
        <v>689</v>
      </c>
      <c r="C1146" s="18"/>
      <c r="D1146" s="18"/>
      <c r="E1146" s="18"/>
      <c r="F1146" s="152"/>
      <c r="G1146" s="153">
        <v>633</v>
      </c>
      <c r="H1146" s="18" t="s">
        <v>135</v>
      </c>
      <c r="I1146" s="19">
        <f>70+1500+500+200+100+600+350+38907</f>
        <v>42227</v>
      </c>
      <c r="J1146" s="19">
        <f>70+1500+500+200+100+600+350+38907</f>
        <v>42227</v>
      </c>
      <c r="K1146" s="19">
        <f>70+1500+500+200+100+600+350+38907</f>
        <v>42227</v>
      </c>
      <c r="L1146" s="621"/>
      <c r="M1146" s="19"/>
      <c r="N1146" s="19"/>
      <c r="O1146" s="19"/>
    </row>
    <row r="1147" spans="2:15" x14ac:dyDescent="0.2">
      <c r="B1147" s="8">
        <f t="shared" si="54"/>
        <v>690</v>
      </c>
      <c r="C1147" s="18"/>
      <c r="D1147" s="18"/>
      <c r="E1147" s="18"/>
      <c r="F1147" s="152"/>
      <c r="G1147" s="153">
        <v>635</v>
      </c>
      <c r="H1147" s="18" t="s">
        <v>143</v>
      </c>
      <c r="I1147" s="19">
        <f>700+10000</f>
        <v>10700</v>
      </c>
      <c r="J1147" s="19">
        <f>700+10000</f>
        <v>10700</v>
      </c>
      <c r="K1147" s="19">
        <f>700+10000</f>
        <v>10700</v>
      </c>
      <c r="L1147" s="621"/>
      <c r="M1147" s="19"/>
      <c r="N1147" s="19"/>
      <c r="O1147" s="19"/>
    </row>
    <row r="1148" spans="2:15" x14ac:dyDescent="0.2">
      <c r="B1148" s="8">
        <f t="shared" si="54"/>
        <v>691</v>
      </c>
      <c r="C1148" s="18"/>
      <c r="D1148" s="18"/>
      <c r="E1148" s="18"/>
      <c r="F1148" s="152"/>
      <c r="G1148" s="153">
        <v>637</v>
      </c>
      <c r="H1148" s="18" t="s">
        <v>132</v>
      </c>
      <c r="I1148" s="19">
        <f>800+1500+250+750+650</f>
        <v>3950</v>
      </c>
      <c r="J1148" s="19">
        <f>800+1500+250+750+650</f>
        <v>3950</v>
      </c>
      <c r="K1148" s="19">
        <f>800+1500+250+750+650</f>
        <v>3950</v>
      </c>
      <c r="L1148" s="621"/>
      <c r="M1148" s="19"/>
      <c r="N1148" s="19"/>
      <c r="O1148" s="19"/>
    </row>
    <row r="1149" spans="2:15" x14ac:dyDescent="0.2">
      <c r="B1149" s="8">
        <f t="shared" si="54"/>
        <v>692</v>
      </c>
      <c r="C1149" s="24"/>
      <c r="D1149" s="24"/>
      <c r="E1149" s="24"/>
      <c r="F1149" s="149" t="s">
        <v>85</v>
      </c>
      <c r="G1149" s="150">
        <v>640</v>
      </c>
      <c r="H1149" s="24" t="s">
        <v>139</v>
      </c>
      <c r="I1149" s="25">
        <f>1985+200+300</f>
        <v>2485</v>
      </c>
      <c r="J1149" s="25">
        <f>1985+200+300</f>
        <v>2485</v>
      </c>
      <c r="K1149" s="25">
        <f>1985+200+300</f>
        <v>2485</v>
      </c>
      <c r="L1149" s="620"/>
      <c r="M1149" s="25"/>
      <c r="N1149" s="25"/>
      <c r="O1149" s="25"/>
    </row>
    <row r="1150" spans="2:15" x14ac:dyDescent="0.2">
      <c r="B1150" s="8">
        <f t="shared" si="54"/>
        <v>693</v>
      </c>
      <c r="C1150" s="24"/>
      <c r="D1150" s="24"/>
      <c r="E1150" s="24"/>
      <c r="F1150" s="149" t="s">
        <v>54</v>
      </c>
      <c r="G1150" s="150">
        <v>610</v>
      </c>
      <c r="H1150" s="24" t="s">
        <v>141</v>
      </c>
      <c r="I1150" s="25">
        <v>41300</v>
      </c>
      <c r="J1150" s="25">
        <v>44000</v>
      </c>
      <c r="K1150" s="25">
        <v>46000</v>
      </c>
      <c r="L1150" s="620"/>
      <c r="M1150" s="25"/>
      <c r="N1150" s="25"/>
      <c r="O1150" s="25"/>
    </row>
    <row r="1151" spans="2:15" x14ac:dyDescent="0.2">
      <c r="B1151" s="8">
        <f t="shared" si="54"/>
        <v>694</v>
      </c>
      <c r="C1151" s="24"/>
      <c r="D1151" s="24"/>
      <c r="E1151" s="24"/>
      <c r="F1151" s="149" t="s">
        <v>54</v>
      </c>
      <c r="G1151" s="150">
        <v>620</v>
      </c>
      <c r="H1151" s="24" t="s">
        <v>134</v>
      </c>
      <c r="I1151" s="25">
        <v>14400</v>
      </c>
      <c r="J1151" s="25">
        <v>15000</v>
      </c>
      <c r="K1151" s="25">
        <v>15500</v>
      </c>
      <c r="L1151" s="620"/>
      <c r="M1151" s="25"/>
      <c r="N1151" s="25"/>
      <c r="O1151" s="25"/>
    </row>
    <row r="1152" spans="2:15" x14ac:dyDescent="0.2">
      <c r="B1152" s="8">
        <f t="shared" si="54"/>
        <v>695</v>
      </c>
      <c r="C1152" s="24"/>
      <c r="D1152" s="24"/>
      <c r="E1152" s="24"/>
      <c r="F1152" s="149" t="s">
        <v>54</v>
      </c>
      <c r="G1152" s="150">
        <v>630</v>
      </c>
      <c r="H1152" s="24" t="s">
        <v>131</v>
      </c>
      <c r="I1152" s="25">
        <f>I1156+I1155+I1154+I1153</f>
        <v>86895</v>
      </c>
      <c r="J1152" s="25">
        <f>J1156+J1155+J1154+J1153</f>
        <v>86895</v>
      </c>
      <c r="K1152" s="25">
        <f>K1156+K1155+K1154+K1153</f>
        <v>86895</v>
      </c>
      <c r="L1152" s="620"/>
      <c r="M1152" s="25"/>
      <c r="N1152" s="25"/>
      <c r="O1152" s="25"/>
    </row>
    <row r="1153" spans="2:15" x14ac:dyDescent="0.2">
      <c r="B1153" s="8">
        <f t="shared" si="54"/>
        <v>696</v>
      </c>
      <c r="C1153" s="18"/>
      <c r="D1153" s="18"/>
      <c r="E1153" s="18"/>
      <c r="F1153" s="152"/>
      <c r="G1153" s="153">
        <v>632</v>
      </c>
      <c r="H1153" s="18" t="s">
        <v>144</v>
      </c>
      <c r="I1153" s="19">
        <f>100+350+150+2000+3000+7000+4000</f>
        <v>16600</v>
      </c>
      <c r="J1153" s="19">
        <f>100+350+150+2000+3000+7000+4000</f>
        <v>16600</v>
      </c>
      <c r="K1153" s="19">
        <f>100+350+150+2000+3000+7000+4000</f>
        <v>16600</v>
      </c>
      <c r="L1153" s="621"/>
      <c r="M1153" s="19"/>
      <c r="N1153" s="19"/>
      <c r="O1153" s="19"/>
    </row>
    <row r="1154" spans="2:15" x14ac:dyDescent="0.2">
      <c r="B1154" s="8">
        <f t="shared" si="54"/>
        <v>697</v>
      </c>
      <c r="C1154" s="18"/>
      <c r="D1154" s="18"/>
      <c r="E1154" s="18"/>
      <c r="F1154" s="152"/>
      <c r="G1154" s="153">
        <v>633</v>
      </c>
      <c r="H1154" s="18" t="s">
        <v>135</v>
      </c>
      <c r="I1154" s="19">
        <f>1000+400+300+5000+400+56785</f>
        <v>63885</v>
      </c>
      <c r="J1154" s="19">
        <f>1000+400+300+5000+400+56785</f>
        <v>63885</v>
      </c>
      <c r="K1154" s="19">
        <f>1000+400+300+5000+400+56785</f>
        <v>63885</v>
      </c>
      <c r="L1154" s="621"/>
      <c r="M1154" s="19"/>
      <c r="N1154" s="19"/>
      <c r="O1154" s="19"/>
    </row>
    <row r="1155" spans="2:15" x14ac:dyDescent="0.2">
      <c r="B1155" s="8">
        <f t="shared" si="54"/>
        <v>698</v>
      </c>
      <c r="C1155" s="18"/>
      <c r="D1155" s="18"/>
      <c r="E1155" s="18"/>
      <c r="F1155" s="152"/>
      <c r="G1155" s="153">
        <v>635</v>
      </c>
      <c r="H1155" s="18" t="s">
        <v>143</v>
      </c>
      <c r="I1155" s="19">
        <f>800+2000</f>
        <v>2800</v>
      </c>
      <c r="J1155" s="19">
        <f>800+2000</f>
        <v>2800</v>
      </c>
      <c r="K1155" s="19">
        <f>800+2000</f>
        <v>2800</v>
      </c>
      <c r="L1155" s="621"/>
      <c r="M1155" s="19"/>
      <c r="N1155" s="19"/>
      <c r="O1155" s="19"/>
    </row>
    <row r="1156" spans="2:15" x14ac:dyDescent="0.2">
      <c r="B1156" s="8">
        <f t="shared" si="54"/>
        <v>699</v>
      </c>
      <c r="C1156" s="18"/>
      <c r="D1156" s="18"/>
      <c r="E1156" s="18"/>
      <c r="F1156" s="152"/>
      <c r="G1156" s="153">
        <v>637</v>
      </c>
      <c r="H1156" s="18" t="s">
        <v>132</v>
      </c>
      <c r="I1156" s="19">
        <f>60+1500+250+700+600+500</f>
        <v>3610</v>
      </c>
      <c r="J1156" s="19">
        <f>60+1500+250+700+600+500</f>
        <v>3610</v>
      </c>
      <c r="K1156" s="19">
        <f>60+1500+250+700+600+500</f>
        <v>3610</v>
      </c>
      <c r="L1156" s="621"/>
      <c r="M1156" s="19"/>
      <c r="N1156" s="19"/>
      <c r="O1156" s="19"/>
    </row>
    <row r="1157" spans="2:15" x14ac:dyDescent="0.2">
      <c r="B1157" s="8">
        <f t="shared" si="54"/>
        <v>700</v>
      </c>
      <c r="C1157" s="24"/>
      <c r="D1157" s="24"/>
      <c r="E1157" s="24"/>
      <c r="F1157" s="149" t="s">
        <v>54</v>
      </c>
      <c r="G1157" s="150">
        <v>640</v>
      </c>
      <c r="H1157" s="24" t="s">
        <v>139</v>
      </c>
      <c r="I1157" s="25">
        <v>500</v>
      </c>
      <c r="J1157" s="25">
        <v>500</v>
      </c>
      <c r="K1157" s="25">
        <v>500</v>
      </c>
      <c r="L1157" s="620"/>
      <c r="M1157" s="25"/>
      <c r="N1157" s="25"/>
      <c r="O1157" s="25"/>
    </row>
    <row r="1158" spans="2:15" ht="15.75" x14ac:dyDescent="0.25">
      <c r="B1158" s="8">
        <f t="shared" si="54"/>
        <v>701</v>
      </c>
      <c r="C1158" s="141">
        <v>5</v>
      </c>
      <c r="D1158" s="677" t="s">
        <v>130</v>
      </c>
      <c r="E1158" s="678"/>
      <c r="F1158" s="678"/>
      <c r="G1158" s="678"/>
      <c r="H1158" s="678"/>
      <c r="I1158" s="142">
        <f>I1159+I1164+I1171+I1175+I1178</f>
        <v>708418</v>
      </c>
      <c r="J1158" s="142">
        <f>J1159+J1164+J1171+J1175+J1178</f>
        <v>555565</v>
      </c>
      <c r="K1158" s="142">
        <f>K1159+K1164+K1171+K1175+K1178</f>
        <v>557065</v>
      </c>
      <c r="L1158" s="618"/>
      <c r="M1158" s="142"/>
      <c r="N1158" s="142"/>
      <c r="O1158" s="142"/>
    </row>
    <row r="1159" spans="2:15" x14ac:dyDescent="0.2">
      <c r="B1159" s="8">
        <f t="shared" si="54"/>
        <v>702</v>
      </c>
      <c r="C1159" s="280"/>
      <c r="D1159" s="280"/>
      <c r="E1159" s="280"/>
      <c r="F1159" s="281"/>
      <c r="G1159" s="281"/>
      <c r="H1159" s="280" t="s">
        <v>138</v>
      </c>
      <c r="I1159" s="282">
        <f>I1160+I1161+I1162</f>
        <v>6520</v>
      </c>
      <c r="J1159" s="282">
        <f>J1160+J1161+J1162</f>
        <v>6520</v>
      </c>
      <c r="K1159" s="282">
        <f>K1160+K1161+K1162</f>
        <v>6520</v>
      </c>
      <c r="L1159" s="620"/>
      <c r="M1159" s="282"/>
      <c r="N1159" s="282"/>
      <c r="O1159" s="282"/>
    </row>
    <row r="1160" spans="2:15" x14ac:dyDescent="0.2">
      <c r="B1160" s="8">
        <f t="shared" si="54"/>
        <v>703</v>
      </c>
      <c r="C1160" s="24"/>
      <c r="D1160" s="24"/>
      <c r="E1160" s="24"/>
      <c r="F1160" s="149" t="s">
        <v>55</v>
      </c>
      <c r="G1160" s="150">
        <v>610</v>
      </c>
      <c r="H1160" s="24" t="s">
        <v>141</v>
      </c>
      <c r="I1160" s="25">
        <v>1200</v>
      </c>
      <c r="J1160" s="25">
        <v>1200</v>
      </c>
      <c r="K1160" s="25">
        <v>1200</v>
      </c>
      <c r="L1160" s="620"/>
      <c r="M1160" s="25"/>
      <c r="N1160" s="25"/>
      <c r="O1160" s="25"/>
    </row>
    <row r="1161" spans="2:15" x14ac:dyDescent="0.2">
      <c r="B1161" s="8">
        <f t="shared" si="54"/>
        <v>704</v>
      </c>
      <c r="C1161" s="24"/>
      <c r="D1161" s="24"/>
      <c r="E1161" s="24"/>
      <c r="F1161" s="149" t="s">
        <v>55</v>
      </c>
      <c r="G1161" s="150">
        <v>620</v>
      </c>
      <c r="H1161" s="24" t="s">
        <v>134</v>
      </c>
      <c r="I1161" s="25">
        <v>420</v>
      </c>
      <c r="J1161" s="25">
        <v>420</v>
      </c>
      <c r="K1161" s="25">
        <v>420</v>
      </c>
      <c r="L1161" s="620"/>
      <c r="M1161" s="25"/>
      <c r="N1161" s="25"/>
      <c r="O1161" s="25"/>
    </row>
    <row r="1162" spans="2:15" x14ac:dyDescent="0.2">
      <c r="B1162" s="8">
        <f t="shared" si="54"/>
        <v>705</v>
      </c>
      <c r="C1162" s="24"/>
      <c r="D1162" s="24"/>
      <c r="E1162" s="24"/>
      <c r="F1162" s="149" t="s">
        <v>55</v>
      </c>
      <c r="G1162" s="150">
        <v>630</v>
      </c>
      <c r="H1162" s="24" t="s">
        <v>131</v>
      </c>
      <c r="I1162" s="25">
        <f>I1163</f>
        <v>4900</v>
      </c>
      <c r="J1162" s="25">
        <f>J1163</f>
        <v>4900</v>
      </c>
      <c r="K1162" s="25">
        <f>K1163</f>
        <v>4900</v>
      </c>
      <c r="L1162" s="25"/>
      <c r="M1162" s="25"/>
      <c r="N1162" s="25"/>
      <c r="O1162" s="25"/>
    </row>
    <row r="1163" spans="2:15" x14ac:dyDescent="0.2">
      <c r="B1163" s="8">
        <f t="shared" si="54"/>
        <v>706</v>
      </c>
      <c r="C1163" s="18"/>
      <c r="D1163" s="18"/>
      <c r="E1163" s="18"/>
      <c r="F1163" s="152"/>
      <c r="G1163" s="153">
        <v>633</v>
      </c>
      <c r="H1163" s="18" t="s">
        <v>135</v>
      </c>
      <c r="I1163" s="19">
        <f>900+4000</f>
        <v>4900</v>
      </c>
      <c r="J1163" s="19">
        <f>900+4000</f>
        <v>4900</v>
      </c>
      <c r="K1163" s="19">
        <f>900+4000</f>
        <v>4900</v>
      </c>
      <c r="L1163" s="621"/>
      <c r="M1163" s="19"/>
      <c r="N1163" s="19"/>
      <c r="O1163" s="19"/>
    </row>
    <row r="1164" spans="2:15" x14ac:dyDescent="0.2">
      <c r="B1164" s="8">
        <f t="shared" si="54"/>
        <v>707</v>
      </c>
      <c r="C1164" s="280"/>
      <c r="D1164" s="280"/>
      <c r="E1164" s="280"/>
      <c r="F1164" s="281"/>
      <c r="G1164" s="281"/>
      <c r="H1164" s="280" t="s">
        <v>133</v>
      </c>
      <c r="I1164" s="282">
        <f>I1165+I1166+I1167+I1170</f>
        <v>59650</v>
      </c>
      <c r="J1164" s="282">
        <f>J1165+J1166+J1167+J1170</f>
        <v>59650</v>
      </c>
      <c r="K1164" s="282">
        <f>K1165+K1166+K1167+K1170</f>
        <v>59650</v>
      </c>
      <c r="L1164" s="620"/>
      <c r="M1164" s="282"/>
      <c r="N1164" s="282"/>
      <c r="O1164" s="282"/>
    </row>
    <row r="1165" spans="2:15" x14ac:dyDescent="0.2">
      <c r="B1165" s="8">
        <f t="shared" si="54"/>
        <v>708</v>
      </c>
      <c r="C1165" s="24"/>
      <c r="D1165" s="24"/>
      <c r="E1165" s="24"/>
      <c r="F1165" s="149" t="s">
        <v>55</v>
      </c>
      <c r="G1165" s="150">
        <v>610</v>
      </c>
      <c r="H1165" s="24" t="s">
        <v>141</v>
      </c>
      <c r="I1165" s="25">
        <f>33000+7000</f>
        <v>40000</v>
      </c>
      <c r="J1165" s="25">
        <f>33000+7000</f>
        <v>40000</v>
      </c>
      <c r="K1165" s="25">
        <f>33000+7000</f>
        <v>40000</v>
      </c>
      <c r="L1165" s="620"/>
      <c r="M1165" s="25"/>
      <c r="N1165" s="25"/>
      <c r="O1165" s="25"/>
    </row>
    <row r="1166" spans="2:15" x14ac:dyDescent="0.2">
      <c r="B1166" s="8">
        <f t="shared" si="54"/>
        <v>709</v>
      </c>
      <c r="C1166" s="24"/>
      <c r="D1166" s="24"/>
      <c r="E1166" s="24"/>
      <c r="F1166" s="149" t="s">
        <v>55</v>
      </c>
      <c r="G1166" s="150">
        <v>620</v>
      </c>
      <c r="H1166" s="24" t="s">
        <v>134</v>
      </c>
      <c r="I1166" s="25">
        <f>4000+560+5600+320+1200+400+1900+800</f>
        <v>14780</v>
      </c>
      <c r="J1166" s="25">
        <f>4000+560+5600+320+1200+400+1900+800</f>
        <v>14780</v>
      </c>
      <c r="K1166" s="25">
        <f>4000+560+5600+320+1200+400+1900+800</f>
        <v>14780</v>
      </c>
      <c r="L1166" s="620"/>
      <c r="M1166" s="25"/>
      <c r="N1166" s="25"/>
      <c r="O1166" s="25"/>
    </row>
    <row r="1167" spans="2:15" x14ac:dyDescent="0.2">
      <c r="B1167" s="8">
        <f t="shared" si="54"/>
        <v>710</v>
      </c>
      <c r="C1167" s="24"/>
      <c r="D1167" s="24"/>
      <c r="E1167" s="24"/>
      <c r="F1167" s="149" t="s">
        <v>55</v>
      </c>
      <c r="G1167" s="150">
        <v>630</v>
      </c>
      <c r="H1167" s="24" t="s">
        <v>131</v>
      </c>
      <c r="I1167" s="25">
        <f>SUM(I1168:I1169)</f>
        <v>2870</v>
      </c>
      <c r="J1167" s="25">
        <f>SUM(J1168:J1169)</f>
        <v>2870</v>
      </c>
      <c r="K1167" s="25">
        <f>SUM(K1168:K1169)</f>
        <v>2870</v>
      </c>
      <c r="L1167" s="620"/>
      <c r="M1167" s="25"/>
      <c r="N1167" s="25"/>
      <c r="O1167" s="25"/>
    </row>
    <row r="1168" spans="2:15" x14ac:dyDescent="0.2">
      <c r="B1168" s="8">
        <f t="shared" si="54"/>
        <v>711</v>
      </c>
      <c r="C1168" s="18"/>
      <c r="D1168" s="18"/>
      <c r="E1168" s="18"/>
      <c r="F1168" s="152"/>
      <c r="G1168" s="153">
        <v>633</v>
      </c>
      <c r="H1168" s="18" t="s">
        <v>135</v>
      </c>
      <c r="I1168" s="19">
        <f>400+900</f>
        <v>1300</v>
      </c>
      <c r="J1168" s="19">
        <f>400+900</f>
        <v>1300</v>
      </c>
      <c r="K1168" s="19">
        <f>400+900</f>
        <v>1300</v>
      </c>
      <c r="L1168" s="621"/>
      <c r="M1168" s="19"/>
      <c r="N1168" s="19"/>
      <c r="O1168" s="19"/>
    </row>
    <row r="1169" spans="2:17" x14ac:dyDescent="0.2">
      <c r="B1169" s="8">
        <f t="shared" si="54"/>
        <v>712</v>
      </c>
      <c r="C1169" s="18"/>
      <c r="D1169" s="18"/>
      <c r="E1169" s="18"/>
      <c r="F1169" s="152"/>
      <c r="G1169" s="153">
        <v>637</v>
      </c>
      <c r="H1169" s="18" t="s">
        <v>132</v>
      </c>
      <c r="I1169" s="19">
        <f>600+550+420</f>
        <v>1570</v>
      </c>
      <c r="J1169" s="19">
        <f>600+550+420</f>
        <v>1570</v>
      </c>
      <c r="K1169" s="19">
        <f>600+550+420</f>
        <v>1570</v>
      </c>
      <c r="L1169" s="621"/>
      <c r="M1169" s="19"/>
      <c r="N1169" s="19"/>
      <c r="O1169" s="19"/>
    </row>
    <row r="1170" spans="2:17" x14ac:dyDescent="0.2">
      <c r="B1170" s="8">
        <f t="shared" si="54"/>
        <v>713</v>
      </c>
      <c r="C1170" s="18"/>
      <c r="D1170" s="18"/>
      <c r="E1170" s="18"/>
      <c r="F1170" s="152" t="s">
        <v>55</v>
      </c>
      <c r="G1170" s="150">
        <v>640</v>
      </c>
      <c r="H1170" s="24" t="s">
        <v>139</v>
      </c>
      <c r="I1170" s="25">
        <v>2000</v>
      </c>
      <c r="J1170" s="25">
        <v>2000</v>
      </c>
      <c r="K1170" s="25">
        <v>2000</v>
      </c>
      <c r="L1170" s="621"/>
      <c r="M1170" s="19"/>
      <c r="N1170" s="19"/>
      <c r="O1170" s="19"/>
    </row>
    <row r="1171" spans="2:17" x14ac:dyDescent="0.2">
      <c r="B1171" s="8">
        <f t="shared" si="54"/>
        <v>714</v>
      </c>
      <c r="C1171" s="289"/>
      <c r="D1171" s="289"/>
      <c r="E1171" s="289"/>
      <c r="F1171" s="290"/>
      <c r="G1171" s="291"/>
      <c r="H1171" s="289" t="s">
        <v>507</v>
      </c>
      <c r="I1171" s="279">
        <f>I1172</f>
        <v>30000</v>
      </c>
      <c r="J1171" s="279">
        <f>J1172</f>
        <v>30000</v>
      </c>
      <c r="K1171" s="279">
        <f>K1172</f>
        <v>30000</v>
      </c>
      <c r="L1171" s="620"/>
      <c r="M1171" s="279"/>
      <c r="N1171" s="279"/>
      <c r="O1171" s="279"/>
    </row>
    <row r="1172" spans="2:17" x14ac:dyDescent="0.2">
      <c r="B1172" s="8">
        <f t="shared" si="54"/>
        <v>715</v>
      </c>
      <c r="C1172" s="24"/>
      <c r="D1172" s="24"/>
      <c r="E1172" s="24"/>
      <c r="F1172" s="149" t="s">
        <v>55</v>
      </c>
      <c r="G1172" s="150">
        <v>640</v>
      </c>
      <c r="H1172" s="24" t="s">
        <v>139</v>
      </c>
      <c r="I1172" s="25">
        <f>SUM(I1173:I1174)</f>
        <v>30000</v>
      </c>
      <c r="J1172" s="25">
        <f>SUM(J1173:J1174)</f>
        <v>30000</v>
      </c>
      <c r="K1172" s="25">
        <f>SUM(K1173:K1174)</f>
        <v>30000</v>
      </c>
      <c r="L1172" s="620"/>
      <c r="M1172" s="25"/>
      <c r="N1172" s="25"/>
      <c r="O1172" s="25"/>
    </row>
    <row r="1173" spans="2:17" x14ac:dyDescent="0.2">
      <c r="B1173" s="8">
        <f t="shared" si="54"/>
        <v>716</v>
      </c>
      <c r="C1173" s="18"/>
      <c r="D1173" s="18"/>
      <c r="E1173" s="18"/>
      <c r="F1173" s="152"/>
      <c r="G1173" s="153"/>
      <c r="H1173" s="156" t="s">
        <v>280</v>
      </c>
      <c r="I1173" s="157">
        <v>15000</v>
      </c>
      <c r="J1173" s="157">
        <v>15000</v>
      </c>
      <c r="K1173" s="157">
        <v>15000</v>
      </c>
      <c r="L1173" s="621"/>
      <c r="M1173" s="19"/>
      <c r="N1173" s="19"/>
      <c r="O1173" s="19"/>
    </row>
    <row r="1174" spans="2:17" s="294" customFormat="1" ht="12" x14ac:dyDescent="0.2">
      <c r="B1174" s="8">
        <f t="shared" si="54"/>
        <v>717</v>
      </c>
      <c r="C1174" s="18"/>
      <c r="D1174" s="18"/>
      <c r="E1174" s="18"/>
      <c r="F1174" s="152"/>
      <c r="G1174" s="153"/>
      <c r="H1174" s="156" t="s">
        <v>15</v>
      </c>
      <c r="I1174" s="157">
        <v>15000</v>
      </c>
      <c r="J1174" s="157">
        <v>15000</v>
      </c>
      <c r="K1174" s="157">
        <v>15000</v>
      </c>
      <c r="L1174" s="621"/>
      <c r="M1174" s="19"/>
      <c r="N1174" s="19"/>
      <c r="O1174" s="19"/>
    </row>
    <row r="1175" spans="2:17" x14ac:dyDescent="0.2">
      <c r="B1175" s="8">
        <f t="shared" si="54"/>
        <v>718</v>
      </c>
      <c r="C1175" s="289"/>
      <c r="D1175" s="289"/>
      <c r="E1175" s="289"/>
      <c r="F1175" s="290"/>
      <c r="G1175" s="291"/>
      <c r="H1175" s="289" t="s">
        <v>139</v>
      </c>
      <c r="I1175" s="279">
        <f t="shared" ref="I1175:K1176" si="55">I1176</f>
        <v>224238</v>
      </c>
      <c r="J1175" s="279">
        <f t="shared" si="55"/>
        <v>70000</v>
      </c>
      <c r="K1175" s="279">
        <f t="shared" si="55"/>
        <v>70000</v>
      </c>
      <c r="L1175" s="620"/>
      <c r="M1175" s="279"/>
      <c r="N1175" s="279"/>
      <c r="O1175" s="279"/>
    </row>
    <row r="1176" spans="2:17" x14ac:dyDescent="0.2">
      <c r="B1176" s="8">
        <f t="shared" si="54"/>
        <v>719</v>
      </c>
      <c r="C1176" s="18"/>
      <c r="D1176" s="18"/>
      <c r="E1176" s="18"/>
      <c r="F1176" s="152" t="s">
        <v>129</v>
      </c>
      <c r="G1176" s="153">
        <v>642</v>
      </c>
      <c r="H1176" s="18" t="s">
        <v>140</v>
      </c>
      <c r="I1176" s="19">
        <f t="shared" si="55"/>
        <v>224238</v>
      </c>
      <c r="J1176" s="19">
        <f t="shared" si="55"/>
        <v>70000</v>
      </c>
      <c r="K1176" s="19">
        <f t="shared" si="55"/>
        <v>70000</v>
      </c>
      <c r="L1176" s="621"/>
      <c r="M1176" s="19"/>
      <c r="N1176" s="19"/>
      <c r="O1176" s="19"/>
    </row>
    <row r="1177" spans="2:17" s="294" customFormat="1" ht="12" x14ac:dyDescent="0.2">
      <c r="B1177" s="8">
        <f t="shared" si="54"/>
        <v>720</v>
      </c>
      <c r="C1177" s="156"/>
      <c r="D1177" s="156"/>
      <c r="E1177" s="156"/>
      <c r="F1177" s="155"/>
      <c r="G1177" s="155"/>
      <c r="H1177" s="156" t="s">
        <v>587</v>
      </c>
      <c r="I1177" s="157">
        <f>30000+33858+160380</f>
        <v>224238</v>
      </c>
      <c r="J1177" s="157">
        <v>70000</v>
      </c>
      <c r="K1177" s="157">
        <v>70000</v>
      </c>
      <c r="L1177" s="614"/>
      <c r="M1177" s="157"/>
      <c r="N1177" s="157"/>
      <c r="O1177" s="157"/>
    </row>
    <row r="1178" spans="2:17" ht="14.25" x14ac:dyDescent="0.2">
      <c r="B1178" s="8">
        <f t="shared" si="54"/>
        <v>721</v>
      </c>
      <c r="C1178" s="267"/>
      <c r="D1178" s="267"/>
      <c r="E1178" s="267">
        <v>4</v>
      </c>
      <c r="F1178" s="268"/>
      <c r="G1178" s="268"/>
      <c r="H1178" s="267" t="s">
        <v>89</v>
      </c>
      <c r="I1178" s="269">
        <f>I1179+I1180+I1181+I1189</f>
        <v>388010</v>
      </c>
      <c r="J1178" s="269">
        <f>J1179+J1180+J1181+J1189</f>
        <v>389395</v>
      </c>
      <c r="K1178" s="269">
        <f>K1179+K1180+K1181+K1189</f>
        <v>390895</v>
      </c>
      <c r="L1178" s="619"/>
      <c r="M1178" s="269"/>
      <c r="N1178" s="269"/>
      <c r="O1178" s="269"/>
      <c r="P1178" s="2"/>
      <c r="Q1178" s="2"/>
    </row>
    <row r="1179" spans="2:17" x14ac:dyDescent="0.2">
      <c r="B1179" s="8">
        <f t="shared" si="54"/>
        <v>722</v>
      </c>
      <c r="C1179" s="24"/>
      <c r="D1179" s="24"/>
      <c r="E1179" s="24"/>
      <c r="F1179" s="149" t="s">
        <v>78</v>
      </c>
      <c r="G1179" s="150">
        <v>610</v>
      </c>
      <c r="H1179" s="24" t="s">
        <v>141</v>
      </c>
      <c r="I1179" s="25">
        <f>91842+23616+5880+20223</f>
        <v>141561</v>
      </c>
      <c r="J1179" s="25">
        <v>142500</v>
      </c>
      <c r="K1179" s="25">
        <v>143500</v>
      </c>
      <c r="L1179" s="620"/>
      <c r="M1179" s="25"/>
      <c r="N1179" s="25"/>
      <c r="O1179" s="25"/>
      <c r="P1179" s="2"/>
      <c r="Q1179" s="2"/>
    </row>
    <row r="1180" spans="2:17" x14ac:dyDescent="0.2">
      <c r="B1180" s="8">
        <f t="shared" si="54"/>
        <v>723</v>
      </c>
      <c r="C1180" s="24"/>
      <c r="D1180" s="24"/>
      <c r="E1180" s="24"/>
      <c r="F1180" s="149" t="s">
        <v>78</v>
      </c>
      <c r="G1180" s="150">
        <v>620</v>
      </c>
      <c r="H1180" s="24" t="s">
        <v>134</v>
      </c>
      <c r="I1180" s="25">
        <f>14872+2082+20820+1190+4461+1440+7064+2831</f>
        <v>54760</v>
      </c>
      <c r="J1180" s="25">
        <v>55200</v>
      </c>
      <c r="K1180" s="25">
        <v>55700</v>
      </c>
      <c r="L1180" s="620"/>
      <c r="M1180" s="25"/>
      <c r="N1180" s="25"/>
      <c r="O1180" s="25"/>
      <c r="P1180" s="2"/>
      <c r="Q1180" s="2"/>
    </row>
    <row r="1181" spans="2:17" x14ac:dyDescent="0.2">
      <c r="B1181" s="8">
        <f t="shared" si="54"/>
        <v>724</v>
      </c>
      <c r="C1181" s="24"/>
      <c r="D1181" s="24"/>
      <c r="E1181" s="24"/>
      <c r="F1181" s="149" t="s">
        <v>78</v>
      </c>
      <c r="G1181" s="150">
        <v>630</v>
      </c>
      <c r="H1181" s="24" t="s">
        <v>131</v>
      </c>
      <c r="I1181" s="25">
        <f>SUM(I1182:I1188)</f>
        <v>184695</v>
      </c>
      <c r="J1181" s="25">
        <f>SUM(J1182:J1188)</f>
        <v>184695</v>
      </c>
      <c r="K1181" s="25">
        <f>SUM(K1182:K1188)</f>
        <v>184695</v>
      </c>
      <c r="L1181" s="620"/>
      <c r="M1181" s="25"/>
      <c r="N1181" s="25"/>
      <c r="O1181" s="25"/>
      <c r="P1181" s="2"/>
      <c r="Q1181" s="2"/>
    </row>
    <row r="1182" spans="2:17" x14ac:dyDescent="0.2">
      <c r="B1182" s="8">
        <f t="shared" si="54"/>
        <v>725</v>
      </c>
      <c r="C1182" s="18"/>
      <c r="D1182" s="18"/>
      <c r="E1182" s="18"/>
      <c r="F1182" s="152"/>
      <c r="G1182" s="153">
        <v>631</v>
      </c>
      <c r="H1182" s="18" t="s">
        <v>137</v>
      </c>
      <c r="I1182" s="19">
        <v>200</v>
      </c>
      <c r="J1182" s="19">
        <v>200</v>
      </c>
      <c r="K1182" s="19">
        <v>200</v>
      </c>
      <c r="L1182" s="621"/>
      <c r="M1182" s="19"/>
      <c r="N1182" s="19"/>
      <c r="O1182" s="19"/>
      <c r="P1182" s="2"/>
      <c r="Q1182" s="2"/>
    </row>
    <row r="1183" spans="2:17" x14ac:dyDescent="0.2">
      <c r="B1183" s="8">
        <f t="shared" si="54"/>
        <v>726</v>
      </c>
      <c r="C1183" s="18"/>
      <c r="D1183" s="18"/>
      <c r="E1183" s="18"/>
      <c r="F1183" s="152"/>
      <c r="G1183" s="153">
        <v>632</v>
      </c>
      <c r="H1183" s="18" t="s">
        <v>144</v>
      </c>
      <c r="I1183" s="19">
        <f>300+700</f>
        <v>1000</v>
      </c>
      <c r="J1183" s="19">
        <f>300+700</f>
        <v>1000</v>
      </c>
      <c r="K1183" s="19">
        <f>300+700</f>
        <v>1000</v>
      </c>
      <c r="L1183" s="621"/>
      <c r="M1183" s="19"/>
      <c r="N1183" s="19"/>
      <c r="O1183" s="19"/>
      <c r="P1183" s="2"/>
      <c r="Q1183" s="2"/>
    </row>
    <row r="1184" spans="2:17" x14ac:dyDescent="0.2">
      <c r="B1184" s="8">
        <f t="shared" ref="B1184:B1189" si="56">B1183+1</f>
        <v>727</v>
      </c>
      <c r="C1184" s="18"/>
      <c r="D1184" s="18"/>
      <c r="E1184" s="18"/>
      <c r="F1184" s="152"/>
      <c r="G1184" s="153">
        <v>633</v>
      </c>
      <c r="H1184" s="18" t="s">
        <v>135</v>
      </c>
      <c r="I1184" s="19">
        <f>500+900+2100+500+500</f>
        <v>4500</v>
      </c>
      <c r="J1184" s="19">
        <f>500+900+2100+500+500</f>
        <v>4500</v>
      </c>
      <c r="K1184" s="19">
        <f>500+900+2100+500+500</f>
        <v>4500</v>
      </c>
      <c r="L1184" s="621"/>
      <c r="M1184" s="19"/>
      <c r="N1184" s="19"/>
      <c r="O1184" s="19"/>
      <c r="P1184" s="2"/>
      <c r="Q1184" s="2"/>
    </row>
    <row r="1185" spans="2:17" x14ac:dyDescent="0.2">
      <c r="B1185" s="8">
        <f t="shared" si="56"/>
        <v>728</v>
      </c>
      <c r="C1185" s="18"/>
      <c r="D1185" s="18"/>
      <c r="E1185" s="18"/>
      <c r="F1185" s="152"/>
      <c r="G1185" s="153">
        <v>634</v>
      </c>
      <c r="H1185" s="18" t="s">
        <v>142</v>
      </c>
      <c r="I1185" s="19">
        <f>2000+2000+800</f>
        <v>4800</v>
      </c>
      <c r="J1185" s="19">
        <f>2000+2000+800</f>
        <v>4800</v>
      </c>
      <c r="K1185" s="19">
        <f>2000+2000+800</f>
        <v>4800</v>
      </c>
      <c r="L1185" s="621"/>
      <c r="M1185" s="19"/>
      <c r="N1185" s="19"/>
      <c r="O1185" s="19"/>
      <c r="P1185" s="2"/>
      <c r="Q1185" s="2"/>
    </row>
    <row r="1186" spans="2:17" x14ac:dyDescent="0.2">
      <c r="B1186" s="8">
        <f t="shared" si="56"/>
        <v>729</v>
      </c>
      <c r="C1186" s="18"/>
      <c r="D1186" s="18"/>
      <c r="E1186" s="18"/>
      <c r="F1186" s="152"/>
      <c r="G1186" s="153">
        <v>635</v>
      </c>
      <c r="H1186" s="18" t="s">
        <v>143</v>
      </c>
      <c r="I1186" s="19">
        <f>300+80000</f>
        <v>80300</v>
      </c>
      <c r="J1186" s="19">
        <f>300+80000</f>
        <v>80300</v>
      </c>
      <c r="K1186" s="19">
        <f>300+80000</f>
        <v>80300</v>
      </c>
      <c r="L1186" s="621"/>
      <c r="M1186" s="19"/>
      <c r="N1186" s="19"/>
      <c r="O1186" s="19"/>
      <c r="P1186" s="2"/>
      <c r="Q1186" s="2"/>
    </row>
    <row r="1187" spans="2:17" x14ac:dyDescent="0.2">
      <c r="B1187" s="8">
        <f t="shared" si="56"/>
        <v>730</v>
      </c>
      <c r="C1187" s="18"/>
      <c r="D1187" s="18"/>
      <c r="E1187" s="18"/>
      <c r="F1187" s="152"/>
      <c r="G1187" s="153">
        <v>636</v>
      </c>
      <c r="H1187" s="18" t="s">
        <v>136</v>
      </c>
      <c r="I1187" s="19">
        <f>7000+280</f>
        <v>7280</v>
      </c>
      <c r="J1187" s="19">
        <f>7000+280</f>
        <v>7280</v>
      </c>
      <c r="K1187" s="19">
        <f>7000+280</f>
        <v>7280</v>
      </c>
      <c r="L1187" s="621"/>
      <c r="M1187" s="19"/>
      <c r="N1187" s="19"/>
      <c r="O1187" s="19"/>
      <c r="P1187" s="2"/>
      <c r="Q1187" s="2"/>
    </row>
    <row r="1188" spans="2:17" x14ac:dyDescent="0.2">
      <c r="B1188" s="8">
        <f t="shared" si="56"/>
        <v>731</v>
      </c>
      <c r="C1188" s="114"/>
      <c r="D1188" s="114"/>
      <c r="E1188" s="114"/>
      <c r="F1188" s="299"/>
      <c r="G1188" s="300">
        <v>637</v>
      </c>
      <c r="H1188" s="114" t="s">
        <v>132</v>
      </c>
      <c r="I1188" s="115">
        <f>400+7525+12000+54725+4320+720+2125+4800</f>
        <v>86615</v>
      </c>
      <c r="J1188" s="115">
        <f>400+7525+12000+54725+4320+720+2125+4800</f>
        <v>86615</v>
      </c>
      <c r="K1188" s="115">
        <f>400+7525+12000+54725+4320+720+2125+4800</f>
        <v>86615</v>
      </c>
      <c r="L1188" s="621"/>
      <c r="M1188" s="115"/>
      <c r="N1188" s="115"/>
      <c r="O1188" s="115"/>
      <c r="P1188" s="2"/>
      <c r="Q1188" s="2"/>
    </row>
    <row r="1189" spans="2:17" x14ac:dyDescent="0.2">
      <c r="B1189" s="8">
        <f t="shared" si="56"/>
        <v>732</v>
      </c>
      <c r="C1189" s="391"/>
      <c r="D1189" s="391"/>
      <c r="E1189" s="391"/>
      <c r="F1189" s="392" t="s">
        <v>78</v>
      </c>
      <c r="G1189" s="419">
        <v>640</v>
      </c>
      <c r="H1189" s="391" t="s">
        <v>139</v>
      </c>
      <c r="I1189" s="420">
        <f>2354+4190+450</f>
        <v>6994</v>
      </c>
      <c r="J1189" s="420">
        <v>7000</v>
      </c>
      <c r="K1189" s="420">
        <v>7000</v>
      </c>
      <c r="L1189" s="620"/>
      <c r="M1189" s="420"/>
      <c r="N1189" s="420"/>
      <c r="O1189" s="420"/>
    </row>
    <row r="1194" spans="2:17" ht="27" x14ac:dyDescent="0.35">
      <c r="B1194" s="679" t="s">
        <v>808</v>
      </c>
      <c r="C1194" s="680"/>
      <c r="D1194" s="680"/>
      <c r="E1194" s="680"/>
      <c r="F1194" s="680"/>
      <c r="G1194" s="680"/>
      <c r="H1194" s="680"/>
      <c r="I1194" s="680"/>
      <c r="J1194" s="680"/>
      <c r="K1194" s="680"/>
      <c r="L1194" s="680"/>
      <c r="M1194" s="680"/>
      <c r="N1194" s="3"/>
      <c r="O1194" s="3"/>
    </row>
    <row r="1195" spans="2:17" ht="12.75" customHeight="1" x14ac:dyDescent="0.2">
      <c r="B1195" s="739"/>
      <c r="C1195" s="739" t="s">
        <v>122</v>
      </c>
      <c r="D1195" s="739" t="s">
        <v>123</v>
      </c>
      <c r="E1195" s="739"/>
      <c r="F1195" s="739" t="s">
        <v>124</v>
      </c>
      <c r="G1195" s="740" t="s">
        <v>125</v>
      </c>
      <c r="H1195" s="741" t="s">
        <v>126</v>
      </c>
      <c r="I1195" s="742" t="s">
        <v>1135</v>
      </c>
      <c r="J1195" s="742" t="s">
        <v>1136</v>
      </c>
      <c r="K1195" s="742" t="s">
        <v>1137</v>
      </c>
      <c r="L1195" s="633"/>
      <c r="M1195" s="742" t="s">
        <v>1138</v>
      </c>
      <c r="N1195" s="742" t="s">
        <v>1139</v>
      </c>
      <c r="O1195" s="742" t="s">
        <v>1140</v>
      </c>
    </row>
    <row r="1196" spans="2:17" x14ac:dyDescent="0.2">
      <c r="B1196" s="681"/>
      <c r="C1196" s="681"/>
      <c r="D1196" s="681"/>
      <c r="E1196" s="681"/>
      <c r="F1196" s="681"/>
      <c r="G1196" s="689"/>
      <c r="H1196" s="686"/>
      <c r="I1196" s="673"/>
      <c r="J1196" s="673"/>
      <c r="K1196" s="673"/>
      <c r="L1196" s="616"/>
      <c r="M1196" s="673"/>
      <c r="N1196" s="673"/>
      <c r="O1196" s="673"/>
    </row>
    <row r="1197" spans="2:17" x14ac:dyDescent="0.2">
      <c r="B1197" s="681"/>
      <c r="C1197" s="681"/>
      <c r="D1197" s="681"/>
      <c r="E1197" s="681"/>
      <c r="F1197" s="681"/>
      <c r="G1197" s="689"/>
      <c r="H1197" s="686"/>
      <c r="I1197" s="673"/>
      <c r="J1197" s="673"/>
      <c r="K1197" s="673"/>
      <c r="L1197" s="616"/>
      <c r="M1197" s="673"/>
      <c r="N1197" s="673"/>
      <c r="O1197" s="673"/>
    </row>
    <row r="1198" spans="2:17" x14ac:dyDescent="0.2">
      <c r="B1198" s="681"/>
      <c r="C1198" s="681"/>
      <c r="D1198" s="681"/>
      <c r="E1198" s="681"/>
      <c r="F1198" s="681"/>
      <c r="G1198" s="689"/>
      <c r="H1198" s="686"/>
      <c r="I1198" s="673"/>
      <c r="J1198" s="673"/>
      <c r="K1198" s="673"/>
      <c r="L1198" s="616"/>
      <c r="M1198" s="673"/>
      <c r="N1198" s="673"/>
      <c r="O1198" s="673"/>
    </row>
    <row r="1199" spans="2:17" ht="15.75" x14ac:dyDescent="0.2">
      <c r="B1199" s="8">
        <v>1</v>
      </c>
      <c r="C1199" s="687" t="s">
        <v>808</v>
      </c>
      <c r="D1199" s="688"/>
      <c r="E1199" s="688"/>
      <c r="F1199" s="688"/>
      <c r="G1199" s="688"/>
      <c r="H1199" s="688"/>
      <c r="I1199" s="138">
        <f>I1200+I1203+I1210+I1261</f>
        <v>3091945</v>
      </c>
      <c r="J1199" s="138">
        <f>J1200+J1203+J1210+J1261</f>
        <v>3083540</v>
      </c>
      <c r="K1199" s="138">
        <f>K1200+K1203+K1210+K1261</f>
        <v>3133540</v>
      </c>
      <c r="L1199" s="617"/>
      <c r="M1199" s="138">
        <f>M1261+M1210+M1203+M1200</f>
        <v>48452429</v>
      </c>
      <c r="N1199" s="138">
        <f>N1261+N1210+N1203+N1200</f>
        <v>22060870</v>
      </c>
      <c r="O1199" s="138">
        <f>O1261+O1210+O1203+O1200</f>
        <v>1543478</v>
      </c>
    </row>
    <row r="1200" spans="2:17" ht="15.75" x14ac:dyDescent="0.25">
      <c r="B1200" s="8">
        <f>B1199+1</f>
        <v>2</v>
      </c>
      <c r="C1200" s="141">
        <v>1</v>
      </c>
      <c r="D1200" s="677" t="s">
        <v>239</v>
      </c>
      <c r="E1200" s="678"/>
      <c r="F1200" s="678"/>
      <c r="G1200" s="678"/>
      <c r="H1200" s="678"/>
      <c r="I1200" s="142">
        <f t="shared" ref="I1200:K1201" si="57">I1201</f>
        <v>5415</v>
      </c>
      <c r="J1200" s="142">
        <f t="shared" si="57"/>
        <v>5500</v>
      </c>
      <c r="K1200" s="142">
        <f t="shared" si="57"/>
        <v>5500</v>
      </c>
      <c r="L1200" s="618"/>
      <c r="M1200" s="142"/>
      <c r="N1200" s="142"/>
      <c r="O1200" s="142"/>
    </row>
    <row r="1201" spans="2:15" x14ac:dyDescent="0.2">
      <c r="B1201" s="8">
        <f t="shared" ref="B1201:B1237" si="58">B1200+1</f>
        <v>3</v>
      </c>
      <c r="C1201" s="24"/>
      <c r="D1201" s="24"/>
      <c r="E1201" s="24"/>
      <c r="F1201" s="149" t="s">
        <v>189</v>
      </c>
      <c r="G1201" s="150">
        <v>630</v>
      </c>
      <c r="H1201" s="24" t="s">
        <v>131</v>
      </c>
      <c r="I1201" s="25">
        <f t="shared" si="57"/>
        <v>5415</v>
      </c>
      <c r="J1201" s="25">
        <f t="shared" si="57"/>
        <v>5500</v>
      </c>
      <c r="K1201" s="25">
        <f t="shared" si="57"/>
        <v>5500</v>
      </c>
      <c r="L1201" s="620"/>
      <c r="M1201" s="25"/>
      <c r="N1201" s="25"/>
      <c r="O1201" s="25"/>
    </row>
    <row r="1202" spans="2:15" x14ac:dyDescent="0.2">
      <c r="B1202" s="8">
        <f t="shared" si="58"/>
        <v>4</v>
      </c>
      <c r="C1202" s="18"/>
      <c r="D1202" s="18"/>
      <c r="E1202" s="18"/>
      <c r="F1202" s="152"/>
      <c r="G1202" s="153">
        <v>637</v>
      </c>
      <c r="H1202" s="18" t="s">
        <v>132</v>
      </c>
      <c r="I1202" s="19">
        <v>5415</v>
      </c>
      <c r="J1202" s="19">
        <v>5500</v>
      </c>
      <c r="K1202" s="19">
        <v>5500</v>
      </c>
      <c r="L1202" s="621"/>
      <c r="M1202" s="19"/>
      <c r="N1202" s="19"/>
      <c r="O1202" s="19"/>
    </row>
    <row r="1203" spans="2:15" ht="15.75" x14ac:dyDescent="0.25">
      <c r="B1203" s="8">
        <f t="shared" si="58"/>
        <v>5</v>
      </c>
      <c r="C1203" s="141">
        <v>2</v>
      </c>
      <c r="D1203" s="677" t="s">
        <v>608</v>
      </c>
      <c r="E1203" s="678"/>
      <c r="F1203" s="678"/>
      <c r="G1203" s="678"/>
      <c r="H1203" s="678"/>
      <c r="I1203" s="142">
        <f>I1204</f>
        <v>215000</v>
      </c>
      <c r="J1203" s="142">
        <f>J1204</f>
        <v>215000</v>
      </c>
      <c r="K1203" s="142">
        <f>K1204</f>
        <v>215000</v>
      </c>
      <c r="L1203" s="618"/>
      <c r="M1203" s="142"/>
      <c r="N1203" s="142"/>
      <c r="O1203" s="142"/>
    </row>
    <row r="1204" spans="2:15" x14ac:dyDescent="0.2">
      <c r="B1204" s="8">
        <f t="shared" si="58"/>
        <v>6</v>
      </c>
      <c r="C1204" s="24"/>
      <c r="D1204" s="24"/>
      <c r="E1204" s="24"/>
      <c r="F1204" s="149" t="s">
        <v>189</v>
      </c>
      <c r="G1204" s="150">
        <v>640</v>
      </c>
      <c r="H1204" s="24" t="s">
        <v>139</v>
      </c>
      <c r="I1204" s="25">
        <f>SUM(I1205:I1209)</f>
        <v>215000</v>
      </c>
      <c r="J1204" s="25">
        <f>SUM(J1205:J1209)</f>
        <v>215000</v>
      </c>
      <c r="K1204" s="25">
        <f>SUM(K1205:K1209)</f>
        <v>215000</v>
      </c>
      <c r="L1204" s="620"/>
      <c r="M1204" s="25"/>
      <c r="N1204" s="25"/>
      <c r="O1204" s="25"/>
    </row>
    <row r="1205" spans="2:15" x14ac:dyDescent="0.2">
      <c r="B1205" s="8">
        <f t="shared" si="58"/>
        <v>7</v>
      </c>
      <c r="C1205" s="120"/>
      <c r="D1205" s="120"/>
      <c r="E1205" s="120"/>
      <c r="F1205" s="298"/>
      <c r="G1205" s="298"/>
      <c r="H1205" s="156" t="s">
        <v>1049</v>
      </c>
      <c r="I1205" s="157">
        <v>40000</v>
      </c>
      <c r="J1205" s="157">
        <v>40000</v>
      </c>
      <c r="K1205" s="157">
        <v>40000</v>
      </c>
      <c r="L1205" s="622"/>
      <c r="M1205" s="158"/>
      <c r="N1205" s="158"/>
      <c r="O1205" s="158"/>
    </row>
    <row r="1206" spans="2:15" x14ac:dyDescent="0.2">
      <c r="B1206" s="8">
        <f t="shared" si="58"/>
        <v>8</v>
      </c>
      <c r="C1206" s="120"/>
      <c r="D1206" s="120"/>
      <c r="E1206" s="120"/>
      <c r="F1206" s="298"/>
      <c r="G1206" s="298"/>
      <c r="H1206" s="156" t="s">
        <v>1048</v>
      </c>
      <c r="I1206" s="157">
        <v>35000</v>
      </c>
      <c r="J1206" s="157">
        <v>35000</v>
      </c>
      <c r="K1206" s="157">
        <v>35000</v>
      </c>
      <c r="L1206" s="622"/>
      <c r="M1206" s="158"/>
      <c r="N1206" s="158"/>
      <c r="O1206" s="158"/>
    </row>
    <row r="1207" spans="2:15" x14ac:dyDescent="0.2">
      <c r="B1207" s="8">
        <f t="shared" si="58"/>
        <v>9</v>
      </c>
      <c r="C1207" s="120"/>
      <c r="D1207" s="120"/>
      <c r="E1207" s="120"/>
      <c r="F1207" s="298"/>
      <c r="G1207" s="298"/>
      <c r="H1207" s="156" t="s">
        <v>588</v>
      </c>
      <c r="I1207" s="157">
        <v>120000</v>
      </c>
      <c r="J1207" s="157">
        <v>120000</v>
      </c>
      <c r="K1207" s="157">
        <v>120000</v>
      </c>
      <c r="L1207" s="622"/>
      <c r="M1207" s="158"/>
      <c r="N1207" s="158"/>
      <c r="O1207" s="158"/>
    </row>
    <row r="1208" spans="2:15" x14ac:dyDescent="0.2">
      <c r="B1208" s="8">
        <f t="shared" si="58"/>
        <v>10</v>
      </c>
      <c r="C1208" s="120"/>
      <c r="D1208" s="120"/>
      <c r="E1208" s="120"/>
      <c r="F1208" s="298"/>
      <c r="G1208" s="298"/>
      <c r="H1208" s="156" t="s">
        <v>589</v>
      </c>
      <c r="I1208" s="157">
        <v>10000</v>
      </c>
      <c r="J1208" s="157">
        <v>10000</v>
      </c>
      <c r="K1208" s="157">
        <v>10000</v>
      </c>
      <c r="L1208" s="622"/>
      <c r="M1208" s="158"/>
      <c r="N1208" s="158"/>
      <c r="O1208" s="158"/>
    </row>
    <row r="1209" spans="2:15" x14ac:dyDescent="0.2">
      <c r="B1209" s="8">
        <f t="shared" si="58"/>
        <v>11</v>
      </c>
      <c r="C1209" s="120"/>
      <c r="D1209" s="120"/>
      <c r="E1209" s="120"/>
      <c r="F1209" s="298"/>
      <c r="G1209" s="298"/>
      <c r="H1209" s="156" t="s">
        <v>293</v>
      </c>
      <c r="I1209" s="157">
        <v>10000</v>
      </c>
      <c r="J1209" s="157">
        <v>10000</v>
      </c>
      <c r="K1209" s="157">
        <v>10000</v>
      </c>
      <c r="L1209" s="622"/>
      <c r="M1209" s="158"/>
      <c r="N1209" s="158"/>
      <c r="O1209" s="158"/>
    </row>
    <row r="1210" spans="2:15" ht="15.75" x14ac:dyDescent="0.25">
      <c r="B1210" s="8">
        <f t="shared" si="58"/>
        <v>12</v>
      </c>
      <c r="C1210" s="141">
        <v>3</v>
      </c>
      <c r="D1210" s="677" t="s">
        <v>208</v>
      </c>
      <c r="E1210" s="678"/>
      <c r="F1210" s="678"/>
      <c r="G1210" s="678"/>
      <c r="H1210" s="678"/>
      <c r="I1210" s="142">
        <f>I1211+I1218+I1223+I1244+I1257</f>
        <v>2695315</v>
      </c>
      <c r="J1210" s="142">
        <f>J1211+J1218+J1223+J1244+J1257</f>
        <v>2676860</v>
      </c>
      <c r="K1210" s="142">
        <f>K1211+K1218+K1223+K1244+K1257</f>
        <v>2684360</v>
      </c>
      <c r="L1210" s="618"/>
      <c r="M1210" s="142">
        <f>M1257+M1244+M1223+M1218+M1211</f>
        <v>11949645</v>
      </c>
      <c r="N1210" s="142">
        <f>N1257+N1244+N1223+N1218+N1211</f>
        <v>4347826</v>
      </c>
      <c r="O1210" s="142"/>
    </row>
    <row r="1211" spans="2:15" ht="14.25" x14ac:dyDescent="0.2">
      <c r="B1211" s="8">
        <f t="shared" si="58"/>
        <v>13</v>
      </c>
      <c r="C1211" s="160"/>
      <c r="D1211" s="160">
        <v>1</v>
      </c>
      <c r="E1211" s="675" t="s">
        <v>207</v>
      </c>
      <c r="F1211" s="676"/>
      <c r="G1211" s="676"/>
      <c r="H1211" s="676"/>
      <c r="I1211" s="161">
        <f>I1212</f>
        <v>252480</v>
      </c>
      <c r="J1211" s="161">
        <f>J1212</f>
        <v>252480</v>
      </c>
      <c r="K1211" s="161">
        <f>K1212</f>
        <v>252480</v>
      </c>
      <c r="L1211" s="619"/>
      <c r="M1211" s="161">
        <f>M1215</f>
        <v>35000</v>
      </c>
      <c r="N1211" s="161"/>
      <c r="O1211" s="161"/>
    </row>
    <row r="1212" spans="2:15" x14ac:dyDescent="0.2">
      <c r="B1212" s="8">
        <f t="shared" si="58"/>
        <v>14</v>
      </c>
      <c r="C1212" s="24"/>
      <c r="D1212" s="24"/>
      <c r="E1212" s="24"/>
      <c r="F1212" s="149" t="s">
        <v>189</v>
      </c>
      <c r="G1212" s="150">
        <v>630</v>
      </c>
      <c r="H1212" s="24" t="s">
        <v>131</v>
      </c>
      <c r="I1212" s="25">
        <f>SUM(I1213:I1214)</f>
        <v>252480</v>
      </c>
      <c r="J1212" s="25">
        <f>SUM(J1213:J1214)</f>
        <v>252480</v>
      </c>
      <c r="K1212" s="25">
        <f>SUM(K1213:K1214)</f>
        <v>252480</v>
      </c>
      <c r="L1212" s="620"/>
      <c r="M1212" s="25"/>
      <c r="N1212" s="25"/>
      <c r="O1212" s="25"/>
    </row>
    <row r="1213" spans="2:15" x14ac:dyDescent="0.2">
      <c r="B1213" s="8">
        <f t="shared" si="58"/>
        <v>15</v>
      </c>
      <c r="C1213" s="18"/>
      <c r="D1213" s="18"/>
      <c r="E1213" s="18"/>
      <c r="F1213" s="152"/>
      <c r="G1213" s="153">
        <v>636</v>
      </c>
      <c r="H1213" s="18" t="s">
        <v>136</v>
      </c>
      <c r="I1213" s="19">
        <v>250000</v>
      </c>
      <c r="J1213" s="19">
        <v>250000</v>
      </c>
      <c r="K1213" s="19">
        <v>250000</v>
      </c>
      <c r="L1213" s="621"/>
      <c r="M1213" s="19"/>
      <c r="N1213" s="19"/>
      <c r="O1213" s="19"/>
    </row>
    <row r="1214" spans="2:15" x14ac:dyDescent="0.2">
      <c r="B1214" s="8">
        <f t="shared" si="58"/>
        <v>16</v>
      </c>
      <c r="C1214" s="18"/>
      <c r="D1214" s="18"/>
      <c r="E1214" s="18"/>
      <c r="F1214" s="152"/>
      <c r="G1214" s="153">
        <v>637</v>
      </c>
      <c r="H1214" s="18" t="s">
        <v>132</v>
      </c>
      <c r="I1214" s="19">
        <v>2480</v>
      </c>
      <c r="J1214" s="19">
        <f>I1214</f>
        <v>2480</v>
      </c>
      <c r="K1214" s="19">
        <f>J1214</f>
        <v>2480</v>
      </c>
      <c r="L1214" s="621"/>
      <c r="M1214" s="19"/>
      <c r="N1214" s="19"/>
      <c r="O1214" s="19"/>
    </row>
    <row r="1215" spans="2:15" x14ac:dyDescent="0.2">
      <c r="B1215" s="8">
        <f t="shared" si="58"/>
        <v>17</v>
      </c>
      <c r="C1215" s="18"/>
      <c r="D1215" s="18"/>
      <c r="E1215" s="18"/>
      <c r="F1215" s="149" t="s">
        <v>189</v>
      </c>
      <c r="G1215" s="150">
        <v>710</v>
      </c>
      <c r="H1215" s="24" t="s">
        <v>185</v>
      </c>
      <c r="I1215" s="19"/>
      <c r="J1215" s="19"/>
      <c r="K1215" s="19"/>
      <c r="L1215" s="621"/>
      <c r="M1215" s="25">
        <f t="shared" ref="M1215:M1216" si="59">M1216</f>
        <v>35000</v>
      </c>
      <c r="N1215" s="25"/>
      <c r="O1215" s="25"/>
    </row>
    <row r="1216" spans="2:15" x14ac:dyDescent="0.2">
      <c r="B1216" s="8">
        <f t="shared" si="58"/>
        <v>18</v>
      </c>
      <c r="C1216" s="18"/>
      <c r="D1216" s="18"/>
      <c r="E1216" s="18"/>
      <c r="F1216" s="152"/>
      <c r="G1216" s="153">
        <v>717</v>
      </c>
      <c r="H1216" s="18" t="s">
        <v>192</v>
      </c>
      <c r="I1216" s="19"/>
      <c r="J1216" s="19"/>
      <c r="K1216" s="19"/>
      <c r="L1216" s="621"/>
      <c r="M1216" s="19">
        <f t="shared" si="59"/>
        <v>35000</v>
      </c>
      <c r="N1216" s="19"/>
      <c r="O1216" s="19"/>
    </row>
    <row r="1217" spans="2:15" x14ac:dyDescent="0.2">
      <c r="B1217" s="8">
        <f t="shared" si="58"/>
        <v>19</v>
      </c>
      <c r="C1217" s="18"/>
      <c r="D1217" s="18"/>
      <c r="E1217" s="18"/>
      <c r="F1217" s="272"/>
      <c r="G1217" s="155"/>
      <c r="H1217" s="156" t="s">
        <v>1097</v>
      </c>
      <c r="I1217" s="19"/>
      <c r="J1217" s="19"/>
      <c r="K1217" s="19"/>
      <c r="L1217" s="621"/>
      <c r="M1217" s="157">
        <v>35000</v>
      </c>
      <c r="N1217" s="157"/>
      <c r="O1217" s="157"/>
    </row>
    <row r="1218" spans="2:15" ht="14.25" x14ac:dyDescent="0.2">
      <c r="B1218" s="8">
        <f t="shared" si="58"/>
        <v>20</v>
      </c>
      <c r="C1218" s="160"/>
      <c r="D1218" s="160">
        <v>2</v>
      </c>
      <c r="E1218" s="675" t="s">
        <v>209</v>
      </c>
      <c r="F1218" s="676"/>
      <c r="G1218" s="676"/>
      <c r="H1218" s="676"/>
      <c r="I1218" s="161">
        <f>I1219</f>
        <v>528050</v>
      </c>
      <c r="J1218" s="161">
        <f>J1219</f>
        <v>528050</v>
      </c>
      <c r="K1218" s="161">
        <f>K1219</f>
        <v>528050</v>
      </c>
      <c r="L1218" s="619"/>
      <c r="M1218" s="161"/>
      <c r="N1218" s="161"/>
      <c r="O1218" s="161"/>
    </row>
    <row r="1219" spans="2:15" x14ac:dyDescent="0.2">
      <c r="B1219" s="8">
        <f t="shared" si="58"/>
        <v>21</v>
      </c>
      <c r="C1219" s="24"/>
      <c r="D1219" s="24"/>
      <c r="E1219" s="24"/>
      <c r="F1219" s="149" t="s">
        <v>189</v>
      </c>
      <c r="G1219" s="150">
        <v>630</v>
      </c>
      <c r="H1219" s="24" t="s">
        <v>131</v>
      </c>
      <c r="I1219" s="25">
        <f>SUM(I1220:I1222)</f>
        <v>528050</v>
      </c>
      <c r="J1219" s="25">
        <f>SUM(J1220:J1222)</f>
        <v>528050</v>
      </c>
      <c r="K1219" s="25">
        <f>SUM(K1220:K1222)</f>
        <v>528050</v>
      </c>
      <c r="L1219" s="620"/>
      <c r="M1219" s="25"/>
      <c r="N1219" s="25"/>
      <c r="O1219" s="25"/>
    </row>
    <row r="1220" spans="2:15" x14ac:dyDescent="0.2">
      <c r="B1220" s="8">
        <f t="shared" si="58"/>
        <v>22</v>
      </c>
      <c r="C1220" s="18"/>
      <c r="D1220" s="18"/>
      <c r="E1220" s="18"/>
      <c r="F1220" s="152"/>
      <c r="G1220" s="153">
        <v>632</v>
      </c>
      <c r="H1220" s="18" t="s">
        <v>144</v>
      </c>
      <c r="I1220" s="19">
        <v>27200</v>
      </c>
      <c r="J1220" s="19">
        <v>27200</v>
      </c>
      <c r="K1220" s="19">
        <v>27200</v>
      </c>
      <c r="L1220" s="621"/>
      <c r="M1220" s="19"/>
      <c r="N1220" s="19"/>
      <c r="O1220" s="19"/>
    </row>
    <row r="1221" spans="2:15" x14ac:dyDescent="0.2">
      <c r="B1221" s="8">
        <f t="shared" si="58"/>
        <v>23</v>
      </c>
      <c r="C1221" s="18"/>
      <c r="D1221" s="18"/>
      <c r="E1221" s="18"/>
      <c r="F1221" s="152"/>
      <c r="G1221" s="153">
        <v>636</v>
      </c>
      <c r="H1221" s="18" t="s">
        <v>136</v>
      </c>
      <c r="I1221" s="19">
        <v>500000</v>
      </c>
      <c r="J1221" s="19">
        <v>500000</v>
      </c>
      <c r="K1221" s="19">
        <v>500000</v>
      </c>
      <c r="L1221" s="621"/>
      <c r="M1221" s="19"/>
      <c r="N1221" s="19"/>
      <c r="O1221" s="19"/>
    </row>
    <row r="1222" spans="2:15" x14ac:dyDescent="0.2">
      <c r="B1222" s="8">
        <f t="shared" si="58"/>
        <v>24</v>
      </c>
      <c r="C1222" s="18"/>
      <c r="D1222" s="18"/>
      <c r="E1222" s="18"/>
      <c r="F1222" s="152"/>
      <c r="G1222" s="153">
        <v>637</v>
      </c>
      <c r="H1222" s="18" t="s">
        <v>132</v>
      </c>
      <c r="I1222" s="19">
        <v>850</v>
      </c>
      <c r="J1222" s="19">
        <v>850</v>
      </c>
      <c r="K1222" s="19">
        <v>850</v>
      </c>
      <c r="L1222" s="621"/>
      <c r="M1222" s="19"/>
      <c r="N1222" s="19"/>
      <c r="O1222" s="19"/>
    </row>
    <row r="1223" spans="2:15" ht="14.25" x14ac:dyDescent="0.2">
      <c r="B1223" s="8">
        <f t="shared" si="58"/>
        <v>25</v>
      </c>
      <c r="C1223" s="160"/>
      <c r="D1223" s="160">
        <v>3</v>
      </c>
      <c r="E1223" s="675" t="s">
        <v>210</v>
      </c>
      <c r="F1223" s="676"/>
      <c r="G1223" s="676"/>
      <c r="H1223" s="676"/>
      <c r="I1223" s="161">
        <f>I1224+I1231+I1241</f>
        <v>936625</v>
      </c>
      <c r="J1223" s="161">
        <f>J1224+J1231+J1241</f>
        <v>917980</v>
      </c>
      <c r="K1223" s="161">
        <f>K1224+K1231+K1241</f>
        <v>912480</v>
      </c>
      <c r="L1223" s="619"/>
      <c r="M1223" s="161">
        <f>M1227+M1231</f>
        <v>11416645</v>
      </c>
      <c r="N1223" s="161">
        <f>N1227+N1231</f>
        <v>4347826</v>
      </c>
      <c r="O1223" s="161"/>
    </row>
    <row r="1224" spans="2:15" x14ac:dyDescent="0.2">
      <c r="B1224" s="8">
        <f t="shared" si="58"/>
        <v>26</v>
      </c>
      <c r="C1224" s="24"/>
      <c r="D1224" s="24"/>
      <c r="E1224" s="24"/>
      <c r="F1224" s="149" t="s">
        <v>189</v>
      </c>
      <c r="G1224" s="150">
        <v>630</v>
      </c>
      <c r="H1224" s="24" t="s">
        <v>131</v>
      </c>
      <c r="I1224" s="25">
        <f>SUM(I1225:I1226)</f>
        <v>21860</v>
      </c>
      <c r="J1224" s="25">
        <f>SUM(J1225:J1226)</f>
        <v>7280</v>
      </c>
      <c r="K1224" s="25">
        <f>SUM(K1225:K1226)</f>
        <v>7280</v>
      </c>
      <c r="L1224" s="620"/>
      <c r="M1224" s="25"/>
      <c r="N1224" s="25"/>
      <c r="O1224" s="25"/>
    </row>
    <row r="1225" spans="2:15" x14ac:dyDescent="0.2">
      <c r="B1225" s="8">
        <f t="shared" si="58"/>
        <v>27</v>
      </c>
      <c r="C1225" s="18"/>
      <c r="D1225" s="18"/>
      <c r="E1225" s="18"/>
      <c r="F1225" s="152"/>
      <c r="G1225" s="153">
        <v>636</v>
      </c>
      <c r="H1225" s="18" t="s">
        <v>136</v>
      </c>
      <c r="I1225" s="19">
        <v>14580</v>
      </c>
      <c r="J1225" s="19"/>
      <c r="K1225" s="19"/>
      <c r="L1225" s="621"/>
      <c r="M1225" s="19"/>
      <c r="N1225" s="19"/>
      <c r="O1225" s="19"/>
    </row>
    <row r="1226" spans="2:15" x14ac:dyDescent="0.2">
      <c r="B1226" s="8">
        <f t="shared" si="58"/>
        <v>28</v>
      </c>
      <c r="C1226" s="18"/>
      <c r="D1226" s="18"/>
      <c r="E1226" s="18"/>
      <c r="F1226" s="152"/>
      <c r="G1226" s="153">
        <v>637</v>
      </c>
      <c r="H1226" s="18" t="s">
        <v>132</v>
      </c>
      <c r="I1226" s="19">
        <v>7280</v>
      </c>
      <c r="J1226" s="19">
        <f>I1226</f>
        <v>7280</v>
      </c>
      <c r="K1226" s="19">
        <f>J1226</f>
        <v>7280</v>
      </c>
      <c r="L1226" s="621"/>
      <c r="M1226" s="19"/>
      <c r="N1226" s="19"/>
      <c r="O1226" s="19"/>
    </row>
    <row r="1227" spans="2:15" x14ac:dyDescent="0.2">
      <c r="B1227" s="8">
        <f t="shared" si="58"/>
        <v>29</v>
      </c>
      <c r="C1227" s="24"/>
      <c r="D1227" s="24"/>
      <c r="E1227" s="24"/>
      <c r="F1227" s="149" t="s">
        <v>189</v>
      </c>
      <c r="G1227" s="150">
        <v>710</v>
      </c>
      <c r="H1227" s="24" t="s">
        <v>185</v>
      </c>
      <c r="I1227" s="25"/>
      <c r="J1227" s="25"/>
      <c r="K1227" s="25"/>
      <c r="L1227" s="620"/>
      <c r="M1227" s="25">
        <f>M1228</f>
        <v>11416645</v>
      </c>
      <c r="N1227" s="25">
        <f>N1228</f>
        <v>4347826</v>
      </c>
      <c r="O1227" s="25"/>
    </row>
    <row r="1228" spans="2:15" x14ac:dyDescent="0.2">
      <c r="B1228" s="8">
        <f t="shared" si="58"/>
        <v>30</v>
      </c>
      <c r="C1228" s="18"/>
      <c r="D1228" s="18"/>
      <c r="E1228" s="18"/>
      <c r="F1228" s="152"/>
      <c r="G1228" s="153">
        <v>717</v>
      </c>
      <c r="H1228" s="18" t="s">
        <v>192</v>
      </c>
      <c r="I1228" s="19"/>
      <c r="J1228" s="19"/>
      <c r="K1228" s="19"/>
      <c r="L1228" s="621"/>
      <c r="M1228" s="19">
        <f>SUM(M1229:M1230)</f>
        <v>11416645</v>
      </c>
      <c r="N1228" s="19">
        <f>SUM(N1229:N1230)</f>
        <v>4347826</v>
      </c>
      <c r="O1228" s="19"/>
    </row>
    <row r="1229" spans="2:15" x14ac:dyDescent="0.2">
      <c r="B1229" s="8">
        <f t="shared" si="58"/>
        <v>31</v>
      </c>
      <c r="C1229" s="120"/>
      <c r="D1229" s="120"/>
      <c r="E1229" s="120"/>
      <c r="F1229" s="298"/>
      <c r="G1229" s="298"/>
      <c r="H1229" s="156" t="s">
        <v>915</v>
      </c>
      <c r="I1229" s="157"/>
      <c r="J1229" s="157"/>
      <c r="K1229" s="157"/>
      <c r="L1229" s="614"/>
      <c r="M1229" s="157">
        <v>215900</v>
      </c>
      <c r="N1229" s="157"/>
      <c r="O1229" s="157"/>
    </row>
    <row r="1230" spans="2:15" x14ac:dyDescent="0.2">
      <c r="B1230" s="8">
        <f t="shared" si="58"/>
        <v>32</v>
      </c>
      <c r="C1230" s="120"/>
      <c r="D1230" s="120"/>
      <c r="E1230" s="120"/>
      <c r="F1230" s="298"/>
      <c r="G1230" s="298"/>
      <c r="H1230" s="156" t="s">
        <v>291</v>
      </c>
      <c r="I1230" s="157"/>
      <c r="J1230" s="157"/>
      <c r="K1230" s="157"/>
      <c r="L1230" s="614"/>
      <c r="M1230" s="157">
        <v>11200745</v>
      </c>
      <c r="N1230" s="157">
        <v>4347826</v>
      </c>
      <c r="O1230" s="157"/>
    </row>
    <row r="1231" spans="2:15" ht="14.25" x14ac:dyDescent="0.2">
      <c r="B1231" s="8">
        <f t="shared" si="58"/>
        <v>33</v>
      </c>
      <c r="C1231" s="267"/>
      <c r="D1231" s="267"/>
      <c r="E1231" s="267">
        <v>2</v>
      </c>
      <c r="F1231" s="268"/>
      <c r="G1231" s="268"/>
      <c r="H1231" s="267" t="s">
        <v>13</v>
      </c>
      <c r="I1231" s="269">
        <f>I1232+I1233+I1234+I1240</f>
        <v>804765</v>
      </c>
      <c r="J1231" s="269">
        <f>J1232+J1233+J1234+J1240</f>
        <v>800700</v>
      </c>
      <c r="K1231" s="269">
        <f>K1232+K1233+K1234+K1240</f>
        <v>795200</v>
      </c>
      <c r="L1231" s="619"/>
      <c r="M1231" s="269"/>
      <c r="N1231" s="269"/>
      <c r="O1231" s="269"/>
    </row>
    <row r="1232" spans="2:15" x14ac:dyDescent="0.2">
      <c r="B1232" s="8">
        <f t="shared" si="58"/>
        <v>34</v>
      </c>
      <c r="C1232" s="24"/>
      <c r="D1232" s="24"/>
      <c r="E1232" s="24"/>
      <c r="F1232" s="149" t="s">
        <v>189</v>
      </c>
      <c r="G1232" s="150">
        <v>610</v>
      </c>
      <c r="H1232" s="24" t="s">
        <v>141</v>
      </c>
      <c r="I1232" s="25">
        <v>102500</v>
      </c>
      <c r="J1232" s="25">
        <v>107000</v>
      </c>
      <c r="K1232" s="25">
        <v>110000</v>
      </c>
      <c r="L1232" s="620"/>
      <c r="M1232" s="25"/>
      <c r="N1232" s="25"/>
      <c r="O1232" s="25"/>
    </row>
    <row r="1233" spans="2:15" x14ac:dyDescent="0.2">
      <c r="B1233" s="8">
        <f t="shared" si="58"/>
        <v>35</v>
      </c>
      <c r="C1233" s="24"/>
      <c r="D1233" s="24"/>
      <c r="E1233" s="24"/>
      <c r="F1233" s="149" t="s">
        <v>189</v>
      </c>
      <c r="G1233" s="150">
        <v>620</v>
      </c>
      <c r="H1233" s="24" t="s">
        <v>134</v>
      </c>
      <c r="I1233" s="25">
        <v>39065</v>
      </c>
      <c r="J1233" s="25">
        <v>40500</v>
      </c>
      <c r="K1233" s="25">
        <v>42000</v>
      </c>
      <c r="L1233" s="620"/>
      <c r="M1233" s="25"/>
      <c r="N1233" s="25"/>
      <c r="O1233" s="25"/>
    </row>
    <row r="1234" spans="2:15" x14ac:dyDescent="0.2">
      <c r="B1234" s="8">
        <f t="shared" si="58"/>
        <v>36</v>
      </c>
      <c r="C1234" s="24"/>
      <c r="D1234" s="24"/>
      <c r="E1234" s="24"/>
      <c r="F1234" s="149" t="s">
        <v>189</v>
      </c>
      <c r="G1234" s="150">
        <v>630</v>
      </c>
      <c r="H1234" s="24" t="s">
        <v>131</v>
      </c>
      <c r="I1234" s="25">
        <f>I1239+I1238+I1237+I1236+I1235</f>
        <v>655200</v>
      </c>
      <c r="J1234" s="25">
        <f>J1239+J1238+J1237+J1236+J1235</f>
        <v>645200</v>
      </c>
      <c r="K1234" s="25">
        <f>K1239+K1238+K1237+K1236+K1235</f>
        <v>635200</v>
      </c>
      <c r="L1234" s="620"/>
      <c r="M1234" s="25"/>
      <c r="N1234" s="25"/>
      <c r="O1234" s="25"/>
    </row>
    <row r="1235" spans="2:15" x14ac:dyDescent="0.2">
      <c r="B1235" s="8">
        <f t="shared" si="58"/>
        <v>37</v>
      </c>
      <c r="C1235" s="18"/>
      <c r="D1235" s="18"/>
      <c r="E1235" s="18"/>
      <c r="F1235" s="152"/>
      <c r="G1235" s="153">
        <v>632</v>
      </c>
      <c r="H1235" s="18" t="s">
        <v>144</v>
      </c>
      <c r="I1235" s="19">
        <v>530000</v>
      </c>
      <c r="J1235" s="19">
        <v>520000</v>
      </c>
      <c r="K1235" s="19">
        <v>510000</v>
      </c>
      <c r="L1235" s="621"/>
      <c r="M1235" s="19"/>
      <c r="N1235" s="19"/>
      <c r="O1235" s="19"/>
    </row>
    <row r="1236" spans="2:15" x14ac:dyDescent="0.2">
      <c r="B1236" s="8">
        <f t="shared" si="58"/>
        <v>38</v>
      </c>
      <c r="C1236" s="18"/>
      <c r="D1236" s="18"/>
      <c r="E1236" s="18"/>
      <c r="F1236" s="152"/>
      <c r="G1236" s="153">
        <v>633</v>
      </c>
      <c r="H1236" s="18" t="s">
        <v>135</v>
      </c>
      <c r="I1236" s="19">
        <v>17000</v>
      </c>
      <c r="J1236" s="19">
        <v>17000</v>
      </c>
      <c r="K1236" s="19">
        <v>17000</v>
      </c>
      <c r="L1236" s="621"/>
      <c r="M1236" s="19"/>
      <c r="N1236" s="19"/>
      <c r="O1236" s="19"/>
    </row>
    <row r="1237" spans="2:15" x14ac:dyDescent="0.2">
      <c r="B1237" s="8">
        <f t="shared" si="58"/>
        <v>39</v>
      </c>
      <c r="C1237" s="18"/>
      <c r="D1237" s="18"/>
      <c r="E1237" s="18"/>
      <c r="F1237" s="152"/>
      <c r="G1237" s="153">
        <v>635</v>
      </c>
      <c r="H1237" s="18" t="s">
        <v>143</v>
      </c>
      <c r="I1237" s="19">
        <v>50000</v>
      </c>
      <c r="J1237" s="19">
        <v>50000</v>
      </c>
      <c r="K1237" s="19">
        <v>50000</v>
      </c>
      <c r="L1237" s="621"/>
      <c r="M1237" s="19"/>
      <c r="N1237" s="19"/>
      <c r="O1237" s="19"/>
    </row>
    <row r="1238" spans="2:15" x14ac:dyDescent="0.2">
      <c r="B1238" s="8">
        <f t="shared" ref="B1238:B1292" si="60">B1237+1</f>
        <v>40</v>
      </c>
      <c r="C1238" s="18"/>
      <c r="D1238" s="18"/>
      <c r="E1238" s="18"/>
      <c r="F1238" s="152"/>
      <c r="G1238" s="153">
        <v>636</v>
      </c>
      <c r="H1238" s="18" t="s">
        <v>136</v>
      </c>
      <c r="I1238" s="19">
        <v>200</v>
      </c>
      <c r="J1238" s="19">
        <v>200</v>
      </c>
      <c r="K1238" s="19">
        <v>200</v>
      </c>
      <c r="L1238" s="621"/>
      <c r="M1238" s="19"/>
      <c r="N1238" s="19"/>
      <c r="O1238" s="19"/>
    </row>
    <row r="1239" spans="2:15" x14ac:dyDescent="0.2">
      <c r="B1239" s="8">
        <f t="shared" si="60"/>
        <v>41</v>
      </c>
      <c r="C1239" s="18"/>
      <c r="D1239" s="18"/>
      <c r="E1239" s="18"/>
      <c r="F1239" s="152"/>
      <c r="G1239" s="153">
        <v>637</v>
      </c>
      <c r="H1239" s="18" t="s">
        <v>132</v>
      </c>
      <c r="I1239" s="19">
        <v>58000</v>
      </c>
      <c r="J1239" s="19">
        <v>58000</v>
      </c>
      <c r="K1239" s="19">
        <v>58000</v>
      </c>
      <c r="L1239" s="621"/>
      <c r="M1239" s="19"/>
      <c r="N1239" s="19"/>
      <c r="O1239" s="19"/>
    </row>
    <row r="1240" spans="2:15" x14ac:dyDescent="0.2">
      <c r="B1240" s="8">
        <f t="shared" si="60"/>
        <v>42</v>
      </c>
      <c r="C1240" s="24"/>
      <c r="D1240" s="24"/>
      <c r="E1240" s="24"/>
      <c r="F1240" s="149" t="s">
        <v>189</v>
      </c>
      <c r="G1240" s="150">
        <v>640</v>
      </c>
      <c r="H1240" s="24" t="s">
        <v>139</v>
      </c>
      <c r="I1240" s="25">
        <v>8000</v>
      </c>
      <c r="J1240" s="25">
        <v>8000</v>
      </c>
      <c r="K1240" s="25">
        <v>8000</v>
      </c>
      <c r="L1240" s="620"/>
      <c r="M1240" s="25"/>
      <c r="N1240" s="25"/>
      <c r="O1240" s="25"/>
    </row>
    <row r="1241" spans="2:15" ht="14.25" x14ac:dyDescent="0.2">
      <c r="B1241" s="8">
        <f t="shared" si="60"/>
        <v>43</v>
      </c>
      <c r="C1241" s="267"/>
      <c r="D1241" s="267"/>
      <c r="E1241" s="267">
        <v>8</v>
      </c>
      <c r="F1241" s="268"/>
      <c r="G1241" s="268"/>
      <c r="H1241" s="267" t="s">
        <v>7</v>
      </c>
      <c r="I1241" s="269">
        <f t="shared" ref="I1241:K1242" si="61">I1242</f>
        <v>110000</v>
      </c>
      <c r="J1241" s="269">
        <f t="shared" si="61"/>
        <v>110000</v>
      </c>
      <c r="K1241" s="269">
        <f t="shared" si="61"/>
        <v>110000</v>
      </c>
      <c r="L1241" s="619"/>
      <c r="M1241" s="269"/>
      <c r="N1241" s="269"/>
      <c r="O1241" s="269"/>
    </row>
    <row r="1242" spans="2:15" x14ac:dyDescent="0.2">
      <c r="B1242" s="8">
        <f t="shared" si="60"/>
        <v>44</v>
      </c>
      <c r="C1242" s="24"/>
      <c r="D1242" s="24"/>
      <c r="E1242" s="24"/>
      <c r="F1242" s="149" t="s">
        <v>189</v>
      </c>
      <c r="G1242" s="150">
        <v>630</v>
      </c>
      <c r="H1242" s="24" t="s">
        <v>131</v>
      </c>
      <c r="I1242" s="25">
        <f t="shared" si="61"/>
        <v>110000</v>
      </c>
      <c r="J1242" s="25">
        <f t="shared" si="61"/>
        <v>110000</v>
      </c>
      <c r="K1242" s="25">
        <f t="shared" si="61"/>
        <v>110000</v>
      </c>
      <c r="L1242" s="620"/>
      <c r="M1242" s="25"/>
      <c r="N1242" s="25"/>
      <c r="O1242" s="25"/>
    </row>
    <row r="1243" spans="2:15" x14ac:dyDescent="0.2">
      <c r="B1243" s="8">
        <f t="shared" si="60"/>
        <v>45</v>
      </c>
      <c r="C1243" s="18"/>
      <c r="D1243" s="18"/>
      <c r="E1243" s="18"/>
      <c r="F1243" s="152"/>
      <c r="G1243" s="153">
        <v>636</v>
      </c>
      <c r="H1243" s="18" t="s">
        <v>136</v>
      </c>
      <c r="I1243" s="19">
        <v>110000</v>
      </c>
      <c r="J1243" s="19">
        <f>I1243</f>
        <v>110000</v>
      </c>
      <c r="K1243" s="19">
        <f>J1243</f>
        <v>110000</v>
      </c>
      <c r="L1243" s="621"/>
      <c r="M1243" s="19"/>
      <c r="N1243" s="19"/>
      <c r="O1243" s="19"/>
    </row>
    <row r="1244" spans="2:15" ht="14.25" x14ac:dyDescent="0.2">
      <c r="B1244" s="8">
        <f t="shared" si="60"/>
        <v>46</v>
      </c>
      <c r="C1244" s="160"/>
      <c r="D1244" s="160">
        <v>4</v>
      </c>
      <c r="E1244" s="675" t="s">
        <v>211</v>
      </c>
      <c r="F1244" s="676"/>
      <c r="G1244" s="676"/>
      <c r="H1244" s="676"/>
      <c r="I1244" s="161">
        <f>I1248</f>
        <v>977160</v>
      </c>
      <c r="J1244" s="161">
        <f>J1248</f>
        <v>977350</v>
      </c>
      <c r="K1244" s="161">
        <f>K1248</f>
        <v>990350</v>
      </c>
      <c r="L1244" s="619"/>
      <c r="M1244" s="161">
        <f>M1245</f>
        <v>498000</v>
      </c>
      <c r="N1244" s="161"/>
      <c r="O1244" s="161"/>
    </row>
    <row r="1245" spans="2:15" x14ac:dyDescent="0.2">
      <c r="B1245" s="8">
        <f t="shared" si="60"/>
        <v>47</v>
      </c>
      <c r="C1245" s="18"/>
      <c r="D1245" s="18"/>
      <c r="E1245" s="18"/>
      <c r="F1245" s="149" t="s">
        <v>189</v>
      </c>
      <c r="G1245" s="150">
        <v>710</v>
      </c>
      <c r="H1245" s="24" t="s">
        <v>185</v>
      </c>
      <c r="I1245" s="19"/>
      <c r="J1245" s="19"/>
      <c r="K1245" s="19"/>
      <c r="L1245" s="621"/>
      <c r="M1245" s="25">
        <f t="shared" ref="M1245:M1246" si="62">M1246</f>
        <v>498000</v>
      </c>
      <c r="N1245" s="25"/>
      <c r="O1245" s="25"/>
    </row>
    <row r="1246" spans="2:15" x14ac:dyDescent="0.2">
      <c r="B1246" s="8">
        <f t="shared" si="60"/>
        <v>48</v>
      </c>
      <c r="C1246" s="18"/>
      <c r="D1246" s="18"/>
      <c r="E1246" s="18"/>
      <c r="F1246" s="152"/>
      <c r="G1246" s="153">
        <v>717</v>
      </c>
      <c r="H1246" s="18" t="s">
        <v>192</v>
      </c>
      <c r="I1246" s="19"/>
      <c r="J1246" s="19"/>
      <c r="K1246" s="19"/>
      <c r="L1246" s="621"/>
      <c r="M1246" s="19">
        <f t="shared" si="62"/>
        <v>498000</v>
      </c>
      <c r="N1246" s="19"/>
      <c r="O1246" s="19"/>
    </row>
    <row r="1247" spans="2:15" x14ac:dyDescent="0.2">
      <c r="B1247" s="8">
        <f t="shared" si="60"/>
        <v>49</v>
      </c>
      <c r="C1247" s="18"/>
      <c r="D1247" s="18"/>
      <c r="E1247" s="18"/>
      <c r="F1247" s="272"/>
      <c r="G1247" s="155"/>
      <c r="H1247" s="156" t="s">
        <v>1147</v>
      </c>
      <c r="I1247" s="19"/>
      <c r="J1247" s="19"/>
      <c r="K1247" s="19"/>
      <c r="L1247" s="621"/>
      <c r="M1247" s="157">
        <v>498000</v>
      </c>
      <c r="N1247" s="157"/>
      <c r="O1247" s="157"/>
    </row>
    <row r="1248" spans="2:15" ht="14.25" x14ac:dyDescent="0.2">
      <c r="B1248" s="8">
        <f t="shared" si="60"/>
        <v>50</v>
      </c>
      <c r="C1248" s="267"/>
      <c r="D1248" s="267"/>
      <c r="E1248" s="267">
        <v>2</v>
      </c>
      <c r="F1248" s="268"/>
      <c r="G1248" s="268"/>
      <c r="H1248" s="267" t="s">
        <v>13</v>
      </c>
      <c r="I1248" s="269">
        <f>I1249+I1250+I1251+I1256</f>
        <v>977160</v>
      </c>
      <c r="J1248" s="269">
        <f>J1249+J1250+J1251+J1256</f>
        <v>977350</v>
      </c>
      <c r="K1248" s="269">
        <f>K1249+K1250+K1251+K1256</f>
        <v>990350</v>
      </c>
      <c r="L1248" s="619"/>
      <c r="M1248" s="269"/>
      <c r="N1248" s="269"/>
      <c r="O1248" s="269"/>
    </row>
    <row r="1249" spans="2:15" x14ac:dyDescent="0.2">
      <c r="B1249" s="8">
        <f t="shared" si="60"/>
        <v>51</v>
      </c>
      <c r="C1249" s="24"/>
      <c r="D1249" s="24"/>
      <c r="E1249" s="24"/>
      <c r="F1249" s="149" t="s">
        <v>189</v>
      </c>
      <c r="G1249" s="150">
        <v>610</v>
      </c>
      <c r="H1249" s="24" t="s">
        <v>141</v>
      </c>
      <c r="I1249" s="25">
        <v>232500</v>
      </c>
      <c r="J1249" s="25">
        <v>240000</v>
      </c>
      <c r="K1249" s="25">
        <v>250000</v>
      </c>
      <c r="L1249" s="620"/>
      <c r="M1249" s="25"/>
      <c r="N1249" s="25"/>
      <c r="O1249" s="25"/>
    </row>
    <row r="1250" spans="2:15" x14ac:dyDescent="0.2">
      <c r="B1250" s="8">
        <f t="shared" si="60"/>
        <v>52</v>
      </c>
      <c r="C1250" s="24"/>
      <c r="D1250" s="24"/>
      <c r="E1250" s="24"/>
      <c r="F1250" s="149" t="s">
        <v>189</v>
      </c>
      <c r="G1250" s="150">
        <v>620</v>
      </c>
      <c r="H1250" s="24" t="s">
        <v>134</v>
      </c>
      <c r="I1250" s="25">
        <f>24815+87495</f>
        <v>112310</v>
      </c>
      <c r="J1250" s="25">
        <v>115000</v>
      </c>
      <c r="K1250" s="25">
        <v>118000</v>
      </c>
      <c r="L1250" s="620"/>
      <c r="M1250" s="25"/>
      <c r="N1250" s="25"/>
      <c r="O1250" s="25"/>
    </row>
    <row r="1251" spans="2:15" x14ac:dyDescent="0.2">
      <c r="B1251" s="8">
        <f t="shared" si="60"/>
        <v>53</v>
      </c>
      <c r="C1251" s="24"/>
      <c r="D1251" s="24"/>
      <c r="E1251" s="24"/>
      <c r="F1251" s="149" t="s">
        <v>189</v>
      </c>
      <c r="G1251" s="150">
        <v>630</v>
      </c>
      <c r="H1251" s="24" t="s">
        <v>131</v>
      </c>
      <c r="I1251" s="25">
        <f>I1255+I1254+I1253+I1252</f>
        <v>619000</v>
      </c>
      <c r="J1251" s="25">
        <f>J1255+J1254+J1253+J1252</f>
        <v>609000</v>
      </c>
      <c r="K1251" s="25">
        <f>K1255+K1254+K1253+K1252</f>
        <v>609000</v>
      </c>
      <c r="L1251" s="620"/>
      <c r="M1251" s="25"/>
      <c r="N1251" s="25"/>
      <c r="O1251" s="25"/>
    </row>
    <row r="1252" spans="2:15" x14ac:dyDescent="0.2">
      <c r="B1252" s="8">
        <f t="shared" si="60"/>
        <v>54</v>
      </c>
      <c r="C1252" s="18"/>
      <c r="D1252" s="18"/>
      <c r="E1252" s="18"/>
      <c r="F1252" s="152"/>
      <c r="G1252" s="153">
        <v>632</v>
      </c>
      <c r="H1252" s="18" t="s">
        <v>144</v>
      </c>
      <c r="I1252" s="19">
        <v>380000</v>
      </c>
      <c r="J1252" s="19">
        <v>370000</v>
      </c>
      <c r="K1252" s="19">
        <v>370000</v>
      </c>
      <c r="L1252" s="621"/>
      <c r="M1252" s="19"/>
      <c r="N1252" s="19"/>
      <c r="O1252" s="19"/>
    </row>
    <row r="1253" spans="2:15" x14ac:dyDescent="0.2">
      <c r="B1253" s="8">
        <f t="shared" si="60"/>
        <v>55</v>
      </c>
      <c r="C1253" s="18"/>
      <c r="D1253" s="18"/>
      <c r="E1253" s="18"/>
      <c r="F1253" s="152"/>
      <c r="G1253" s="153">
        <v>633</v>
      </c>
      <c r="H1253" s="18" t="s">
        <v>135</v>
      </c>
      <c r="I1253" s="19">
        <v>70000</v>
      </c>
      <c r="J1253" s="19">
        <v>70000</v>
      </c>
      <c r="K1253" s="19">
        <v>70000</v>
      </c>
      <c r="L1253" s="621"/>
      <c r="M1253" s="19"/>
      <c r="N1253" s="19"/>
      <c r="O1253" s="19"/>
    </row>
    <row r="1254" spans="2:15" x14ac:dyDescent="0.2">
      <c r="B1254" s="8">
        <f t="shared" si="60"/>
        <v>56</v>
      </c>
      <c r="C1254" s="18"/>
      <c r="D1254" s="18"/>
      <c r="E1254" s="18"/>
      <c r="F1254" s="152"/>
      <c r="G1254" s="153">
        <v>635</v>
      </c>
      <c r="H1254" s="18" t="s">
        <v>143</v>
      </c>
      <c r="I1254" s="19">
        <v>57000</v>
      </c>
      <c r="J1254" s="19">
        <v>57000</v>
      </c>
      <c r="K1254" s="19">
        <v>57000</v>
      </c>
      <c r="L1254" s="621"/>
      <c r="M1254" s="19"/>
      <c r="N1254" s="19"/>
      <c r="O1254" s="19"/>
    </row>
    <row r="1255" spans="2:15" x14ac:dyDescent="0.2">
      <c r="B1255" s="8">
        <f t="shared" si="60"/>
        <v>57</v>
      </c>
      <c r="C1255" s="18"/>
      <c r="D1255" s="18"/>
      <c r="E1255" s="18"/>
      <c r="F1255" s="152"/>
      <c r="G1255" s="153">
        <v>637</v>
      </c>
      <c r="H1255" s="18" t="s">
        <v>132</v>
      </c>
      <c r="I1255" s="19">
        <v>112000</v>
      </c>
      <c r="J1255" s="19">
        <v>112000</v>
      </c>
      <c r="K1255" s="19">
        <v>112000</v>
      </c>
      <c r="L1255" s="621"/>
      <c r="M1255" s="19"/>
      <c r="N1255" s="19"/>
      <c r="O1255" s="19"/>
    </row>
    <row r="1256" spans="2:15" x14ac:dyDescent="0.2">
      <c r="B1256" s="8">
        <f t="shared" si="60"/>
        <v>58</v>
      </c>
      <c r="C1256" s="24"/>
      <c r="D1256" s="24"/>
      <c r="E1256" s="24"/>
      <c r="F1256" s="149" t="s">
        <v>189</v>
      </c>
      <c r="G1256" s="150">
        <v>640</v>
      </c>
      <c r="H1256" s="24" t="s">
        <v>139</v>
      </c>
      <c r="I1256" s="25">
        <f>1650+11000+700</f>
        <v>13350</v>
      </c>
      <c r="J1256" s="25">
        <f>1650+11000+700</f>
        <v>13350</v>
      </c>
      <c r="K1256" s="25">
        <f>1650+11000+700</f>
        <v>13350</v>
      </c>
      <c r="L1256" s="620"/>
      <c r="M1256" s="25"/>
      <c r="N1256" s="25"/>
      <c r="O1256" s="25"/>
    </row>
    <row r="1257" spans="2:15" ht="14.25" x14ac:dyDescent="0.2">
      <c r="B1257" s="8">
        <f t="shared" si="60"/>
        <v>59</v>
      </c>
      <c r="C1257" s="160"/>
      <c r="D1257" s="160">
        <v>5</v>
      </c>
      <c r="E1257" s="675" t="s">
        <v>261</v>
      </c>
      <c r="F1257" s="676"/>
      <c r="G1257" s="676"/>
      <c r="H1257" s="676"/>
      <c r="I1257" s="161">
        <f t="shared" ref="I1257:K1258" si="63">I1258</f>
        <v>1000</v>
      </c>
      <c r="J1257" s="161">
        <f t="shared" si="63"/>
        <v>1000</v>
      </c>
      <c r="K1257" s="161">
        <f t="shared" si="63"/>
        <v>1000</v>
      </c>
      <c r="L1257" s="619"/>
      <c r="M1257" s="161"/>
      <c r="N1257" s="161"/>
      <c r="O1257" s="161"/>
    </row>
    <row r="1258" spans="2:15" ht="14.25" x14ac:dyDescent="0.2">
      <c r="B1258" s="8">
        <f t="shared" si="60"/>
        <v>60</v>
      </c>
      <c r="C1258" s="267"/>
      <c r="D1258" s="267"/>
      <c r="E1258" s="267">
        <v>2</v>
      </c>
      <c r="F1258" s="268"/>
      <c r="G1258" s="268"/>
      <c r="H1258" s="267" t="s">
        <v>13</v>
      </c>
      <c r="I1258" s="269">
        <f t="shared" si="63"/>
        <v>1000</v>
      </c>
      <c r="J1258" s="269">
        <f t="shared" si="63"/>
        <v>1000</v>
      </c>
      <c r="K1258" s="269">
        <f t="shared" si="63"/>
        <v>1000</v>
      </c>
      <c r="L1258" s="619"/>
      <c r="M1258" s="269"/>
      <c r="N1258" s="269"/>
      <c r="O1258" s="269"/>
    </row>
    <row r="1259" spans="2:15" x14ac:dyDescent="0.2">
      <c r="B1259" s="8">
        <f t="shared" si="60"/>
        <v>61</v>
      </c>
      <c r="C1259" s="24"/>
      <c r="D1259" s="24"/>
      <c r="E1259" s="24"/>
      <c r="F1259" s="149" t="s">
        <v>189</v>
      </c>
      <c r="G1259" s="150">
        <v>630</v>
      </c>
      <c r="H1259" s="24" t="s">
        <v>131</v>
      </c>
      <c r="I1259" s="25">
        <f>SUM(I1260:I1260)</f>
        <v>1000</v>
      </c>
      <c r="J1259" s="25">
        <f>SUM(J1260:J1260)</f>
        <v>1000</v>
      </c>
      <c r="K1259" s="25">
        <f>SUM(K1260:K1260)</f>
        <v>1000</v>
      </c>
      <c r="L1259" s="620"/>
      <c r="M1259" s="25"/>
      <c r="N1259" s="25"/>
      <c r="O1259" s="25"/>
    </row>
    <row r="1260" spans="2:15" x14ac:dyDescent="0.2">
      <c r="B1260" s="8">
        <f t="shared" si="60"/>
        <v>62</v>
      </c>
      <c r="C1260" s="18"/>
      <c r="D1260" s="18"/>
      <c r="E1260" s="18"/>
      <c r="F1260" s="152"/>
      <c r="G1260" s="153">
        <v>637</v>
      </c>
      <c r="H1260" s="18" t="s">
        <v>132</v>
      </c>
      <c r="I1260" s="19">
        <v>1000</v>
      </c>
      <c r="J1260" s="19">
        <v>1000</v>
      </c>
      <c r="K1260" s="19">
        <v>1000</v>
      </c>
      <c r="L1260" s="621"/>
      <c r="M1260" s="19"/>
      <c r="N1260" s="19"/>
      <c r="O1260" s="19"/>
    </row>
    <row r="1261" spans="2:15" ht="15.75" x14ac:dyDescent="0.25">
      <c r="B1261" s="8">
        <f t="shared" si="60"/>
        <v>63</v>
      </c>
      <c r="C1261" s="141">
        <v>4</v>
      </c>
      <c r="D1261" s="677" t="s">
        <v>282</v>
      </c>
      <c r="E1261" s="678"/>
      <c r="F1261" s="678"/>
      <c r="G1261" s="678"/>
      <c r="H1261" s="678"/>
      <c r="I1261" s="142">
        <f>I1288</f>
        <v>176215</v>
      </c>
      <c r="J1261" s="142">
        <f t="shared" ref="J1261:K1261" si="64">J1288</f>
        <v>186180</v>
      </c>
      <c r="K1261" s="142">
        <f t="shared" si="64"/>
        <v>228680</v>
      </c>
      <c r="L1261" s="618"/>
      <c r="M1261" s="142">
        <f>M1262+M1271</f>
        <v>36502784</v>
      </c>
      <c r="N1261" s="142">
        <f>N1262+N1271</f>
        <v>17713044</v>
      </c>
      <c r="O1261" s="142">
        <f>O1262+O1271</f>
        <v>1543478</v>
      </c>
    </row>
    <row r="1262" spans="2:15" x14ac:dyDescent="0.2">
      <c r="B1262" s="8">
        <f t="shared" si="60"/>
        <v>64</v>
      </c>
      <c r="C1262" s="273"/>
      <c r="D1262" s="273"/>
      <c r="E1262" s="273"/>
      <c r="F1262" s="274"/>
      <c r="G1262" s="275">
        <v>716</v>
      </c>
      <c r="H1262" s="273" t="s">
        <v>226</v>
      </c>
      <c r="I1262" s="276"/>
      <c r="J1262" s="276"/>
      <c r="K1262" s="276"/>
      <c r="L1262" s="621"/>
      <c r="M1262" s="276">
        <f>SUM(M1263:M1270)</f>
        <v>238984</v>
      </c>
      <c r="N1262" s="276"/>
      <c r="O1262" s="276"/>
    </row>
    <row r="1263" spans="2:15" x14ac:dyDescent="0.2">
      <c r="B1263" s="8">
        <f t="shared" si="60"/>
        <v>65</v>
      </c>
      <c r="C1263" s="120"/>
      <c r="D1263" s="120"/>
      <c r="E1263" s="120"/>
      <c r="F1263" s="298"/>
      <c r="G1263" s="298"/>
      <c r="H1263" s="156" t="s">
        <v>746</v>
      </c>
      <c r="I1263" s="157"/>
      <c r="J1263" s="157"/>
      <c r="K1263" s="157"/>
      <c r="L1263" s="622"/>
      <c r="M1263" s="158">
        <v>37241</v>
      </c>
      <c r="N1263" s="158"/>
      <c r="O1263" s="158"/>
    </row>
    <row r="1264" spans="2:15" x14ac:dyDescent="0.2">
      <c r="B1264" s="8">
        <f t="shared" si="60"/>
        <v>66</v>
      </c>
      <c r="C1264" s="120"/>
      <c r="D1264" s="120"/>
      <c r="E1264" s="120"/>
      <c r="F1264" s="298"/>
      <c r="G1264" s="298"/>
      <c r="H1264" s="156" t="s">
        <v>919</v>
      </c>
      <c r="I1264" s="157"/>
      <c r="J1264" s="157"/>
      <c r="K1264" s="157"/>
      <c r="L1264" s="622"/>
      <c r="M1264" s="158">
        <v>35743</v>
      </c>
      <c r="N1264" s="158"/>
      <c r="O1264" s="158"/>
    </row>
    <row r="1265" spans="2:15" x14ac:dyDescent="0.2">
      <c r="B1265" s="8">
        <f t="shared" si="60"/>
        <v>67</v>
      </c>
      <c r="C1265" s="120"/>
      <c r="D1265" s="120"/>
      <c r="E1265" s="120"/>
      <c r="F1265" s="298"/>
      <c r="G1265" s="298"/>
      <c r="H1265" s="156" t="s">
        <v>1076</v>
      </c>
      <c r="I1265" s="157"/>
      <c r="J1265" s="157"/>
      <c r="K1265" s="157"/>
      <c r="L1265" s="622"/>
      <c r="M1265" s="158">
        <v>62000</v>
      </c>
      <c r="N1265" s="158"/>
      <c r="O1265" s="158"/>
    </row>
    <row r="1266" spans="2:15" x14ac:dyDescent="0.2">
      <c r="B1266" s="8">
        <f t="shared" si="60"/>
        <v>68</v>
      </c>
      <c r="C1266" s="120"/>
      <c r="D1266" s="120"/>
      <c r="E1266" s="120"/>
      <c r="F1266" s="298"/>
      <c r="G1266" s="298"/>
      <c r="H1266" s="156" t="s">
        <v>1199</v>
      </c>
      <c r="I1266" s="157"/>
      <c r="J1266" s="157"/>
      <c r="K1266" s="157"/>
      <c r="L1266" s="622"/>
      <c r="M1266" s="158">
        <v>46000</v>
      </c>
      <c r="N1266" s="158"/>
      <c r="O1266" s="158"/>
    </row>
    <row r="1267" spans="2:15" x14ac:dyDescent="0.2">
      <c r="B1267" s="8">
        <f t="shared" si="60"/>
        <v>69</v>
      </c>
      <c r="C1267" s="120"/>
      <c r="D1267" s="120"/>
      <c r="E1267" s="120"/>
      <c r="F1267" s="298"/>
      <c r="G1267" s="298"/>
      <c r="H1267" s="156" t="s">
        <v>295</v>
      </c>
      <c r="I1267" s="157"/>
      <c r="J1267" s="157"/>
      <c r="K1267" s="157"/>
      <c r="L1267" s="622"/>
      <c r="M1267" s="158">
        <v>20000</v>
      </c>
      <c r="N1267" s="158"/>
      <c r="O1267" s="158"/>
    </row>
    <row r="1268" spans="2:15" x14ac:dyDescent="0.2">
      <c r="B1268" s="8">
        <f t="shared" si="60"/>
        <v>70</v>
      </c>
      <c r="C1268" s="120"/>
      <c r="D1268" s="120"/>
      <c r="E1268" s="120"/>
      <c r="F1268" s="298"/>
      <c r="G1268" s="298"/>
      <c r="H1268" s="156" t="s">
        <v>1015</v>
      </c>
      <c r="I1268" s="157"/>
      <c r="J1268" s="157"/>
      <c r="K1268" s="157"/>
      <c r="L1268" s="622"/>
      <c r="M1268" s="158">
        <v>25500</v>
      </c>
      <c r="N1268" s="158"/>
      <c r="O1268" s="158"/>
    </row>
    <row r="1269" spans="2:15" x14ac:dyDescent="0.2">
      <c r="B1269" s="8">
        <f t="shared" si="60"/>
        <v>71</v>
      </c>
      <c r="C1269" s="120"/>
      <c r="D1269" s="120"/>
      <c r="E1269" s="120"/>
      <c r="F1269" s="298"/>
      <c r="G1269" s="298"/>
      <c r="H1269" s="156" t="s">
        <v>1191</v>
      </c>
      <c r="I1269" s="157"/>
      <c r="J1269" s="157"/>
      <c r="K1269" s="157"/>
      <c r="L1269" s="622"/>
      <c r="M1269" s="158">
        <v>2500</v>
      </c>
      <c r="N1269" s="158"/>
      <c r="O1269" s="158"/>
    </row>
    <row r="1270" spans="2:15" x14ac:dyDescent="0.2">
      <c r="B1270" s="8">
        <f t="shared" si="60"/>
        <v>72</v>
      </c>
      <c r="C1270" s="120"/>
      <c r="D1270" s="120"/>
      <c r="E1270" s="120"/>
      <c r="F1270" s="298"/>
      <c r="G1270" s="298"/>
      <c r="H1270" s="156" t="s">
        <v>1190</v>
      </c>
      <c r="I1270" s="157"/>
      <c r="J1270" s="157"/>
      <c r="K1270" s="157"/>
      <c r="L1270" s="622"/>
      <c r="M1270" s="158">
        <v>10000</v>
      </c>
      <c r="N1270" s="158"/>
      <c r="O1270" s="158"/>
    </row>
    <row r="1271" spans="2:15" x14ac:dyDescent="0.2">
      <c r="B1271" s="8">
        <f t="shared" si="60"/>
        <v>73</v>
      </c>
      <c r="C1271" s="273"/>
      <c r="D1271" s="273"/>
      <c r="E1271" s="273"/>
      <c r="F1271" s="274"/>
      <c r="G1271" s="275">
        <v>717</v>
      </c>
      <c r="H1271" s="273" t="s">
        <v>192</v>
      </c>
      <c r="I1271" s="276"/>
      <c r="J1271" s="276"/>
      <c r="K1271" s="276"/>
      <c r="L1271" s="621"/>
      <c r="M1271" s="276">
        <f>SUM(M1272:M1287)</f>
        <v>36263800</v>
      </c>
      <c r="N1271" s="276">
        <f>SUM(N1272:N1287)</f>
        <v>17713044</v>
      </c>
      <c r="O1271" s="276">
        <f>SUM(O1272:O1287)</f>
        <v>1543478</v>
      </c>
    </row>
    <row r="1272" spans="2:15" x14ac:dyDescent="0.2">
      <c r="B1272" s="8">
        <f t="shared" si="60"/>
        <v>74</v>
      </c>
      <c r="C1272" s="120"/>
      <c r="D1272" s="120"/>
      <c r="E1272" s="120"/>
      <c r="F1272" s="298"/>
      <c r="G1272" s="298"/>
      <c r="H1272" s="156" t="s">
        <v>1069</v>
      </c>
      <c r="I1272" s="157"/>
      <c r="J1272" s="157"/>
      <c r="K1272" s="157"/>
      <c r="L1272" s="622"/>
      <c r="M1272" s="158">
        <v>30000</v>
      </c>
      <c r="N1272" s="158"/>
      <c r="O1272" s="158"/>
    </row>
    <row r="1273" spans="2:15" x14ac:dyDescent="0.2">
      <c r="B1273" s="8">
        <f t="shared" si="60"/>
        <v>75</v>
      </c>
      <c r="C1273" s="120"/>
      <c r="D1273" s="120"/>
      <c r="E1273" s="120"/>
      <c r="F1273" s="298"/>
      <c r="G1273" s="298"/>
      <c r="H1273" s="156" t="s">
        <v>1173</v>
      </c>
      <c r="I1273" s="157"/>
      <c r="J1273" s="157"/>
      <c r="K1273" s="157"/>
      <c r="L1273" s="622"/>
      <c r="M1273" s="158">
        <v>12500</v>
      </c>
      <c r="N1273" s="158"/>
      <c r="O1273" s="158"/>
    </row>
    <row r="1274" spans="2:15" x14ac:dyDescent="0.2">
      <c r="B1274" s="8">
        <f t="shared" si="60"/>
        <v>76</v>
      </c>
      <c r="C1274" s="120"/>
      <c r="D1274" s="120"/>
      <c r="E1274" s="120"/>
      <c r="F1274" s="298"/>
      <c r="G1274" s="298"/>
      <c r="H1274" s="156" t="s">
        <v>1148</v>
      </c>
      <c r="I1274" s="157"/>
      <c r="J1274" s="157"/>
      <c r="K1274" s="157"/>
      <c r="L1274" s="622"/>
      <c r="M1274" s="158"/>
      <c r="N1274" s="158">
        <v>1300000</v>
      </c>
      <c r="O1274" s="158"/>
    </row>
    <row r="1275" spans="2:15" x14ac:dyDescent="0.2">
      <c r="B1275" s="8">
        <f t="shared" si="60"/>
        <v>77</v>
      </c>
      <c r="C1275" s="120"/>
      <c r="D1275" s="120"/>
      <c r="E1275" s="120"/>
      <c r="F1275" s="298"/>
      <c r="G1275" s="298"/>
      <c r="H1275" s="156" t="s">
        <v>1046</v>
      </c>
      <c r="I1275" s="157"/>
      <c r="J1275" s="157"/>
      <c r="K1275" s="157"/>
      <c r="L1275" s="622"/>
      <c r="M1275" s="158">
        <v>40000</v>
      </c>
      <c r="N1275" s="158"/>
      <c r="O1275" s="158"/>
    </row>
    <row r="1276" spans="2:15" x14ac:dyDescent="0.2">
      <c r="B1276" s="8">
        <f t="shared" si="60"/>
        <v>78</v>
      </c>
      <c r="C1276" s="120"/>
      <c r="D1276" s="120"/>
      <c r="E1276" s="120"/>
      <c r="F1276" s="298"/>
      <c r="G1276" s="298"/>
      <c r="H1276" s="156" t="s">
        <v>1056</v>
      </c>
      <c r="I1276" s="157"/>
      <c r="J1276" s="157"/>
      <c r="K1276" s="157"/>
      <c r="L1276" s="622"/>
      <c r="M1276" s="158">
        <v>720000</v>
      </c>
      <c r="N1276" s="158"/>
      <c r="O1276" s="158"/>
    </row>
    <row r="1277" spans="2:15" x14ac:dyDescent="0.2">
      <c r="B1277" s="8">
        <f t="shared" si="60"/>
        <v>79</v>
      </c>
      <c r="C1277" s="120"/>
      <c r="D1277" s="120"/>
      <c r="E1277" s="120"/>
      <c r="F1277" s="298"/>
      <c r="G1277" s="298"/>
      <c r="H1277" s="156" t="s">
        <v>1131</v>
      </c>
      <c r="I1277" s="157"/>
      <c r="J1277" s="157"/>
      <c r="K1277" s="157"/>
      <c r="L1277" s="622"/>
      <c r="M1277" s="158">
        <v>9300</v>
      </c>
      <c r="N1277" s="158"/>
      <c r="O1277" s="158"/>
    </row>
    <row r="1278" spans="2:15" x14ac:dyDescent="0.2">
      <c r="B1278" s="8">
        <f t="shared" si="60"/>
        <v>80</v>
      </c>
      <c r="C1278" s="120"/>
      <c r="D1278" s="120"/>
      <c r="E1278" s="120"/>
      <c r="F1278" s="298"/>
      <c r="G1278" s="298"/>
      <c r="H1278" s="156" t="s">
        <v>919</v>
      </c>
      <c r="I1278" s="157"/>
      <c r="J1278" s="157"/>
      <c r="K1278" s="157"/>
      <c r="L1278" s="622"/>
      <c r="M1278" s="158">
        <v>1700000</v>
      </c>
      <c r="N1278" s="158">
        <v>978261</v>
      </c>
      <c r="O1278" s="158"/>
    </row>
    <row r="1279" spans="2:15" x14ac:dyDescent="0.2">
      <c r="B1279" s="8">
        <f t="shared" si="60"/>
        <v>81</v>
      </c>
      <c r="C1279" s="120"/>
      <c r="D1279" s="120"/>
      <c r="E1279" s="120"/>
      <c r="F1279" s="298"/>
      <c r="G1279" s="298"/>
      <c r="H1279" s="156" t="s">
        <v>1075</v>
      </c>
      <c r="I1279" s="157"/>
      <c r="J1279" s="157"/>
      <c r="K1279" s="157"/>
      <c r="L1279" s="622"/>
      <c r="M1279" s="158">
        <v>9700000</v>
      </c>
      <c r="N1279" s="158">
        <v>5434783</v>
      </c>
      <c r="O1279" s="158">
        <v>543478</v>
      </c>
    </row>
    <row r="1280" spans="2:15" x14ac:dyDescent="0.2">
      <c r="B1280" s="8">
        <f t="shared" si="60"/>
        <v>82</v>
      </c>
      <c r="C1280" s="120"/>
      <c r="D1280" s="120"/>
      <c r="E1280" s="120"/>
      <c r="F1280" s="298"/>
      <c r="G1280" s="298"/>
      <c r="H1280" s="156" t="s">
        <v>918</v>
      </c>
      <c r="I1280" s="157"/>
      <c r="J1280" s="157"/>
      <c r="K1280" s="157"/>
      <c r="L1280" s="622"/>
      <c r="M1280" s="158">
        <v>850000</v>
      </c>
      <c r="N1280" s="158">
        <v>543478</v>
      </c>
      <c r="O1280" s="158"/>
    </row>
    <row r="1281" spans="2:15" x14ac:dyDescent="0.2">
      <c r="B1281" s="8">
        <f t="shared" si="60"/>
        <v>83</v>
      </c>
      <c r="C1281" s="120"/>
      <c r="D1281" s="120"/>
      <c r="E1281" s="120"/>
      <c r="F1281" s="298"/>
      <c r="G1281" s="298"/>
      <c r="H1281" s="156" t="s">
        <v>1076</v>
      </c>
      <c r="I1281" s="157"/>
      <c r="J1281" s="157"/>
      <c r="K1281" s="157"/>
      <c r="L1281" s="622"/>
      <c r="M1281" s="158">
        <v>2000000</v>
      </c>
      <c r="N1281" s="158">
        <v>978261</v>
      </c>
      <c r="O1281" s="158"/>
    </row>
    <row r="1282" spans="2:15" x14ac:dyDescent="0.2">
      <c r="B1282" s="8">
        <f t="shared" si="60"/>
        <v>84</v>
      </c>
      <c r="C1282" s="120"/>
      <c r="D1282" s="120"/>
      <c r="E1282" s="120"/>
      <c r="F1282" s="298"/>
      <c r="G1282" s="298"/>
      <c r="H1282" s="156" t="s">
        <v>736</v>
      </c>
      <c r="I1282" s="157"/>
      <c r="J1282" s="157"/>
      <c r="K1282" s="157"/>
      <c r="L1282" s="622"/>
      <c r="M1282" s="158">
        <f>135000+27000</f>
        <v>162000</v>
      </c>
      <c r="N1282" s="158"/>
      <c r="O1282" s="158"/>
    </row>
    <row r="1283" spans="2:15" x14ac:dyDescent="0.2">
      <c r="B1283" s="8">
        <f t="shared" si="60"/>
        <v>85</v>
      </c>
      <c r="C1283" s="120"/>
      <c r="D1283" s="120"/>
      <c r="E1283" s="120"/>
      <c r="F1283" s="298"/>
      <c r="G1283" s="298"/>
      <c r="H1283" s="156" t="s">
        <v>1068</v>
      </c>
      <c r="I1283" s="157"/>
      <c r="J1283" s="157"/>
      <c r="K1283" s="157"/>
      <c r="L1283" s="622"/>
      <c r="M1283" s="158">
        <v>2880000</v>
      </c>
      <c r="N1283" s="158">
        <v>1630435</v>
      </c>
      <c r="O1283" s="158"/>
    </row>
    <row r="1284" spans="2:15" ht="24" x14ac:dyDescent="0.2">
      <c r="B1284" s="8">
        <f t="shared" si="60"/>
        <v>86</v>
      </c>
      <c r="C1284" s="120"/>
      <c r="D1284" s="120"/>
      <c r="E1284" s="120"/>
      <c r="F1284" s="298"/>
      <c r="G1284" s="298"/>
      <c r="H1284" s="168" t="s">
        <v>429</v>
      </c>
      <c r="I1284" s="157"/>
      <c r="J1284" s="157"/>
      <c r="K1284" s="157"/>
      <c r="L1284" s="622"/>
      <c r="M1284" s="158">
        <v>1800000</v>
      </c>
      <c r="N1284" s="158"/>
      <c r="O1284" s="158"/>
    </row>
    <row r="1285" spans="2:15" x14ac:dyDescent="0.2">
      <c r="B1285" s="8">
        <f t="shared" si="60"/>
        <v>87</v>
      </c>
      <c r="C1285" s="120"/>
      <c r="D1285" s="120"/>
      <c r="E1285" s="120"/>
      <c r="F1285" s="298"/>
      <c r="G1285" s="298"/>
      <c r="H1285" s="156" t="s">
        <v>428</v>
      </c>
      <c r="I1285" s="157"/>
      <c r="J1285" s="157"/>
      <c r="K1285" s="157"/>
      <c r="L1285" s="622"/>
      <c r="M1285" s="158">
        <v>360000</v>
      </c>
      <c r="N1285" s="158"/>
      <c r="O1285" s="158"/>
    </row>
    <row r="1286" spans="2:15" x14ac:dyDescent="0.2">
      <c r="B1286" s="8">
        <f t="shared" si="60"/>
        <v>88</v>
      </c>
      <c r="C1286" s="120"/>
      <c r="D1286" s="120"/>
      <c r="E1286" s="120"/>
      <c r="F1286" s="298"/>
      <c r="G1286" s="298"/>
      <c r="H1286" s="156" t="s">
        <v>1015</v>
      </c>
      <c r="I1286" s="157"/>
      <c r="J1286" s="157"/>
      <c r="K1286" s="157"/>
      <c r="L1286" s="622"/>
      <c r="M1286" s="158">
        <v>1000000</v>
      </c>
      <c r="N1286" s="158">
        <v>326087</v>
      </c>
      <c r="O1286" s="158"/>
    </row>
    <row r="1287" spans="2:15" x14ac:dyDescent="0.2">
      <c r="B1287" s="8">
        <f t="shared" si="60"/>
        <v>89</v>
      </c>
      <c r="C1287" s="120"/>
      <c r="D1287" s="120"/>
      <c r="E1287" s="120"/>
      <c r="F1287" s="298"/>
      <c r="G1287" s="298"/>
      <c r="H1287" s="156" t="s">
        <v>1073</v>
      </c>
      <c r="I1287" s="157"/>
      <c r="J1287" s="157"/>
      <c r="K1287" s="157"/>
      <c r="L1287" s="622"/>
      <c r="M1287" s="158">
        <v>15000000</v>
      </c>
      <c r="N1287" s="158">
        <v>6521739</v>
      </c>
      <c r="O1287" s="158">
        <v>1000000</v>
      </c>
    </row>
    <row r="1288" spans="2:15" ht="14.25" x14ac:dyDescent="0.2">
      <c r="B1288" s="8">
        <f t="shared" si="60"/>
        <v>90</v>
      </c>
      <c r="C1288" s="267"/>
      <c r="D1288" s="267"/>
      <c r="E1288" s="267">
        <v>2</v>
      </c>
      <c r="F1288" s="268"/>
      <c r="G1288" s="268"/>
      <c r="H1288" s="267" t="s">
        <v>13</v>
      </c>
      <c r="I1288" s="269">
        <f>I1289+I1290+I1291+I1298</f>
        <v>176215</v>
      </c>
      <c r="J1288" s="269">
        <f>J1289+J1290+J1291+J1298</f>
        <v>186180</v>
      </c>
      <c r="K1288" s="269">
        <f>K1289+K1290+K1291+K1298</f>
        <v>228680</v>
      </c>
      <c r="L1288" s="619"/>
      <c r="M1288" s="269"/>
      <c r="N1288" s="269"/>
      <c r="O1288" s="269"/>
    </row>
    <row r="1289" spans="2:15" x14ac:dyDescent="0.2">
      <c r="B1289" s="8">
        <f t="shared" si="60"/>
        <v>91</v>
      </c>
      <c r="C1289" s="24"/>
      <c r="D1289" s="24"/>
      <c r="E1289" s="24"/>
      <c r="F1289" s="149" t="s">
        <v>202</v>
      </c>
      <c r="G1289" s="150">
        <v>610</v>
      </c>
      <c r="H1289" s="24" t="s">
        <v>141</v>
      </c>
      <c r="I1289" s="25">
        <v>47900</v>
      </c>
      <c r="J1289" s="25">
        <v>50000</v>
      </c>
      <c r="K1289" s="25">
        <v>60000</v>
      </c>
      <c r="L1289" s="620"/>
      <c r="M1289" s="25"/>
      <c r="N1289" s="25"/>
      <c r="O1289" s="25"/>
    </row>
    <row r="1290" spans="2:15" x14ac:dyDescent="0.2">
      <c r="B1290" s="8">
        <f t="shared" si="60"/>
        <v>92</v>
      </c>
      <c r="C1290" s="24"/>
      <c r="D1290" s="24"/>
      <c r="E1290" s="24"/>
      <c r="F1290" s="149" t="s">
        <v>202</v>
      </c>
      <c r="G1290" s="150">
        <v>620</v>
      </c>
      <c r="H1290" s="24" t="s">
        <v>134</v>
      </c>
      <c r="I1290" s="25">
        <v>20155</v>
      </c>
      <c r="J1290" s="25">
        <v>21000</v>
      </c>
      <c r="K1290" s="25">
        <v>25000</v>
      </c>
      <c r="L1290" s="620"/>
      <c r="M1290" s="25"/>
      <c r="N1290" s="25"/>
      <c r="O1290" s="25"/>
    </row>
    <row r="1291" spans="2:15" x14ac:dyDescent="0.2">
      <c r="B1291" s="8">
        <f t="shared" si="60"/>
        <v>93</v>
      </c>
      <c r="C1291" s="24"/>
      <c r="D1291" s="24"/>
      <c r="E1291" s="24"/>
      <c r="F1291" s="149" t="s">
        <v>202</v>
      </c>
      <c r="G1291" s="150">
        <v>630</v>
      </c>
      <c r="H1291" s="24" t="s">
        <v>131</v>
      </c>
      <c r="I1291" s="25">
        <f>I1297+I1296+I1295+I1294+I1293+I1292</f>
        <v>103080</v>
      </c>
      <c r="J1291" s="25">
        <f>J1297+J1296+J1295+J1294+J1293+J1292</f>
        <v>110100</v>
      </c>
      <c r="K1291" s="25">
        <f>K1297+K1296+K1295+K1294+K1293+K1292</f>
        <v>138600</v>
      </c>
      <c r="L1291" s="620"/>
      <c r="M1291" s="25"/>
      <c r="N1291" s="25"/>
      <c r="O1291" s="25"/>
    </row>
    <row r="1292" spans="2:15" x14ac:dyDescent="0.2">
      <c r="B1292" s="8">
        <f t="shared" si="60"/>
        <v>94</v>
      </c>
      <c r="C1292" s="18"/>
      <c r="D1292" s="18"/>
      <c r="E1292" s="18"/>
      <c r="F1292" s="152"/>
      <c r="G1292" s="153">
        <v>632</v>
      </c>
      <c r="H1292" s="18" t="s">
        <v>144</v>
      </c>
      <c r="I1292" s="19">
        <f>2100+2000</f>
        <v>4100</v>
      </c>
      <c r="J1292" s="19">
        <f>2100+2000</f>
        <v>4100</v>
      </c>
      <c r="K1292" s="19">
        <f>2100+2000</f>
        <v>4100</v>
      </c>
      <c r="L1292" s="621"/>
      <c r="M1292" s="19"/>
      <c r="N1292" s="19"/>
      <c r="O1292" s="19"/>
    </row>
    <row r="1293" spans="2:15" x14ac:dyDescent="0.2">
      <c r="B1293" s="8">
        <f t="shared" ref="B1293:B1298" si="65">B1292+1</f>
        <v>95</v>
      </c>
      <c r="C1293" s="18"/>
      <c r="D1293" s="18"/>
      <c r="E1293" s="18"/>
      <c r="F1293" s="152"/>
      <c r="G1293" s="153">
        <v>633</v>
      </c>
      <c r="H1293" s="18" t="s">
        <v>135</v>
      </c>
      <c r="I1293" s="19">
        <f>1000+53000+750+500-5425</f>
        <v>49825</v>
      </c>
      <c r="J1293" s="19">
        <v>52000</v>
      </c>
      <c r="K1293" s="19">
        <v>70000</v>
      </c>
      <c r="L1293" s="621"/>
      <c r="M1293" s="19"/>
      <c r="N1293" s="19"/>
      <c r="O1293" s="19"/>
    </row>
    <row r="1294" spans="2:15" x14ac:dyDescent="0.2">
      <c r="B1294" s="8">
        <f t="shared" si="65"/>
        <v>96</v>
      </c>
      <c r="C1294" s="18"/>
      <c r="D1294" s="18"/>
      <c r="E1294" s="18"/>
      <c r="F1294" s="152"/>
      <c r="G1294" s="153">
        <v>634</v>
      </c>
      <c r="H1294" s="18" t="s">
        <v>142</v>
      </c>
      <c r="I1294" s="19">
        <v>2500</v>
      </c>
      <c r="J1294" s="19">
        <v>2500</v>
      </c>
      <c r="K1294" s="19">
        <v>3000</v>
      </c>
      <c r="L1294" s="621"/>
      <c r="M1294" s="19"/>
      <c r="N1294" s="19"/>
      <c r="O1294" s="19"/>
    </row>
    <row r="1295" spans="2:15" x14ac:dyDescent="0.2">
      <c r="B1295" s="8">
        <f t="shared" si="65"/>
        <v>97</v>
      </c>
      <c r="C1295" s="18"/>
      <c r="D1295" s="18"/>
      <c r="E1295" s="18"/>
      <c r="F1295" s="152"/>
      <c r="G1295" s="153">
        <v>635</v>
      </c>
      <c r="H1295" s="18" t="s">
        <v>143</v>
      </c>
      <c r="I1295" s="19">
        <f>200+30000</f>
        <v>30200</v>
      </c>
      <c r="J1295" s="19">
        <v>33000</v>
      </c>
      <c r="K1295" s="19">
        <v>40000</v>
      </c>
      <c r="L1295" s="621"/>
      <c r="M1295" s="19"/>
      <c r="N1295" s="19"/>
      <c r="O1295" s="19"/>
    </row>
    <row r="1296" spans="2:15" x14ac:dyDescent="0.2">
      <c r="B1296" s="8">
        <f t="shared" si="65"/>
        <v>98</v>
      </c>
      <c r="C1296" s="18"/>
      <c r="D1296" s="18"/>
      <c r="E1296" s="18"/>
      <c r="F1296" s="152"/>
      <c r="G1296" s="153">
        <v>636</v>
      </c>
      <c r="H1296" s="18" t="s">
        <v>136</v>
      </c>
      <c r="I1296" s="19">
        <v>1500</v>
      </c>
      <c r="J1296" s="19">
        <v>1500</v>
      </c>
      <c r="K1296" s="19">
        <v>1500</v>
      </c>
      <c r="L1296" s="621"/>
      <c r="M1296" s="19"/>
      <c r="N1296" s="19"/>
      <c r="O1296" s="19"/>
    </row>
    <row r="1297" spans="2:15" x14ac:dyDescent="0.2">
      <c r="B1297" s="8">
        <f t="shared" si="65"/>
        <v>99</v>
      </c>
      <c r="C1297" s="18"/>
      <c r="D1297" s="18"/>
      <c r="E1297" s="18"/>
      <c r="F1297" s="152"/>
      <c r="G1297" s="153">
        <v>637</v>
      </c>
      <c r="H1297" s="18" t="s">
        <v>132</v>
      </c>
      <c r="I1297" s="19">
        <f>150+3130+925+250+3500+1000+6000</f>
        <v>14955</v>
      </c>
      <c r="J1297" s="19">
        <v>17000</v>
      </c>
      <c r="K1297" s="19">
        <v>20000</v>
      </c>
      <c r="L1297" s="621"/>
      <c r="M1297" s="19"/>
      <c r="N1297" s="19"/>
      <c r="O1297" s="19"/>
    </row>
    <row r="1298" spans="2:15" x14ac:dyDescent="0.2">
      <c r="B1298" s="8">
        <f t="shared" si="65"/>
        <v>100</v>
      </c>
      <c r="C1298" s="24"/>
      <c r="D1298" s="24"/>
      <c r="E1298" s="24"/>
      <c r="F1298" s="149" t="s">
        <v>202</v>
      </c>
      <c r="G1298" s="150">
        <v>640</v>
      </c>
      <c r="H1298" s="24" t="s">
        <v>139</v>
      </c>
      <c r="I1298" s="25">
        <f>2280+2100+700</f>
        <v>5080</v>
      </c>
      <c r="J1298" s="25">
        <f>2280+2100+700</f>
        <v>5080</v>
      </c>
      <c r="K1298" s="25">
        <f>2280+2100+700</f>
        <v>5080</v>
      </c>
      <c r="L1298" s="620"/>
      <c r="M1298" s="25"/>
      <c r="N1298" s="25"/>
      <c r="O1298" s="25"/>
    </row>
    <row r="1299" spans="2:15" x14ac:dyDescent="0.2">
      <c r="C1299" s="295"/>
      <c r="D1299" s="295"/>
      <c r="E1299" s="295"/>
      <c r="F1299" s="257"/>
      <c r="G1299" s="258"/>
      <c r="H1299" s="295"/>
      <c r="I1299" s="296"/>
      <c r="J1299" s="296"/>
      <c r="K1299" s="296"/>
      <c r="L1299" s="296"/>
      <c r="M1299" s="296"/>
      <c r="N1299" s="296"/>
      <c r="O1299" s="296"/>
    </row>
    <row r="1300" spans="2:15" x14ac:dyDescent="0.2">
      <c r="C1300" s="295"/>
      <c r="D1300" s="295"/>
      <c r="E1300" s="295"/>
      <c r="F1300" s="257"/>
      <c r="G1300" s="258"/>
      <c r="H1300" s="295"/>
      <c r="I1300" s="296"/>
      <c r="J1300" s="296"/>
      <c r="K1300" s="296"/>
      <c r="L1300" s="296"/>
      <c r="M1300" s="296"/>
      <c r="N1300" s="296"/>
      <c r="O1300" s="296"/>
    </row>
    <row r="1301" spans="2:15" x14ac:dyDescent="0.2">
      <c r="C1301" s="295"/>
      <c r="D1301" s="295"/>
      <c r="E1301" s="295"/>
      <c r="F1301" s="257"/>
      <c r="G1301" s="258"/>
      <c r="H1301" s="295"/>
      <c r="I1301" s="296"/>
      <c r="J1301" s="296"/>
      <c r="K1301" s="296"/>
      <c r="L1301" s="296"/>
      <c r="M1301" s="296"/>
      <c r="N1301" s="296"/>
      <c r="O1301" s="296"/>
    </row>
    <row r="1302" spans="2:15" x14ac:dyDescent="0.2">
      <c r="C1302" s="295"/>
      <c r="D1302" s="295"/>
      <c r="E1302" s="295"/>
      <c r="F1302" s="257"/>
      <c r="G1302" s="258"/>
      <c r="H1302" s="295"/>
      <c r="I1302" s="296"/>
      <c r="J1302" s="296"/>
      <c r="K1302" s="296"/>
      <c r="L1302" s="296"/>
      <c r="M1302" s="296"/>
      <c r="N1302" s="296"/>
      <c r="O1302" s="296"/>
    </row>
    <row r="1304" spans="2:15" ht="27" x14ac:dyDescent="0.35">
      <c r="B1304" s="679" t="s">
        <v>24</v>
      </c>
      <c r="C1304" s="680"/>
      <c r="D1304" s="680"/>
      <c r="E1304" s="680"/>
      <c r="F1304" s="680"/>
      <c r="G1304" s="680"/>
      <c r="H1304" s="680"/>
      <c r="I1304" s="680"/>
      <c r="J1304" s="680"/>
      <c r="K1304" s="680"/>
      <c r="L1304" s="680"/>
      <c r="M1304" s="680"/>
      <c r="N1304" s="3"/>
      <c r="O1304" s="3"/>
    </row>
    <row r="1305" spans="2:15" ht="12.75" customHeight="1" x14ac:dyDescent="0.2">
      <c r="B1305" s="739"/>
      <c r="C1305" s="739" t="s">
        <v>122</v>
      </c>
      <c r="D1305" s="739" t="s">
        <v>123</v>
      </c>
      <c r="E1305" s="739"/>
      <c r="F1305" s="739" t="s">
        <v>124</v>
      </c>
      <c r="G1305" s="740" t="s">
        <v>125</v>
      </c>
      <c r="H1305" s="741" t="s">
        <v>126</v>
      </c>
      <c r="I1305" s="742" t="s">
        <v>1135</v>
      </c>
      <c r="J1305" s="742" t="s">
        <v>1136</v>
      </c>
      <c r="K1305" s="742" t="s">
        <v>1137</v>
      </c>
      <c r="L1305" s="633"/>
      <c r="M1305" s="742" t="s">
        <v>1138</v>
      </c>
      <c r="N1305" s="742" t="s">
        <v>1139</v>
      </c>
      <c r="O1305" s="742" t="s">
        <v>1140</v>
      </c>
    </row>
    <row r="1306" spans="2:15" x14ac:dyDescent="0.2">
      <c r="B1306" s="681"/>
      <c r="C1306" s="681"/>
      <c r="D1306" s="681"/>
      <c r="E1306" s="681"/>
      <c r="F1306" s="681"/>
      <c r="G1306" s="689"/>
      <c r="H1306" s="686"/>
      <c r="I1306" s="673"/>
      <c r="J1306" s="673"/>
      <c r="K1306" s="673"/>
      <c r="L1306" s="616"/>
      <c r="M1306" s="673"/>
      <c r="N1306" s="673"/>
      <c r="O1306" s="673"/>
    </row>
    <row r="1307" spans="2:15" x14ac:dyDescent="0.2">
      <c r="B1307" s="681"/>
      <c r="C1307" s="681"/>
      <c r="D1307" s="681"/>
      <c r="E1307" s="681"/>
      <c r="F1307" s="681"/>
      <c r="G1307" s="689"/>
      <c r="H1307" s="686"/>
      <c r="I1307" s="673"/>
      <c r="J1307" s="673"/>
      <c r="K1307" s="673"/>
      <c r="L1307" s="616"/>
      <c r="M1307" s="673"/>
      <c r="N1307" s="673"/>
      <c r="O1307" s="673"/>
    </row>
    <row r="1308" spans="2:15" x14ac:dyDescent="0.2">
      <c r="B1308" s="681"/>
      <c r="C1308" s="681"/>
      <c r="D1308" s="681"/>
      <c r="E1308" s="681"/>
      <c r="F1308" s="681"/>
      <c r="G1308" s="689"/>
      <c r="H1308" s="686"/>
      <c r="I1308" s="673"/>
      <c r="J1308" s="673"/>
      <c r="K1308" s="673"/>
      <c r="L1308" s="616"/>
      <c r="M1308" s="673"/>
      <c r="N1308" s="673"/>
      <c r="O1308" s="673"/>
    </row>
    <row r="1309" spans="2:15" ht="15.75" x14ac:dyDescent="0.2">
      <c r="B1309" s="8">
        <v>1</v>
      </c>
      <c r="C1309" s="687" t="s">
        <v>24</v>
      </c>
      <c r="D1309" s="688"/>
      <c r="E1309" s="688"/>
      <c r="F1309" s="688"/>
      <c r="G1309" s="688"/>
      <c r="H1309" s="688"/>
      <c r="I1309" s="138">
        <f>I1342+I1325+I1321+I1310+I1358</f>
        <v>2102150</v>
      </c>
      <c r="J1309" s="138">
        <f>J1342+J1325+J1321+J1310+J1358</f>
        <v>2697600</v>
      </c>
      <c r="K1309" s="138">
        <f>K1342+K1325+K1321+K1310+K1358</f>
        <v>3717800</v>
      </c>
      <c r="L1309" s="617" t="e">
        <f>L1342+#REF!+L1325+L1321+L1310</f>
        <v>#REF!</v>
      </c>
      <c r="M1309" s="138">
        <f>M1342+M1325+M1321+M1310+M1358</f>
        <v>8371139</v>
      </c>
      <c r="N1309" s="138">
        <f>N1342+N1325+N1321+N1310+N1358</f>
        <v>4347826</v>
      </c>
      <c r="O1309" s="138">
        <f>O1342+O1325+O1321+O1310+O1358</f>
        <v>1086956</v>
      </c>
    </row>
    <row r="1310" spans="2:15" ht="15.75" x14ac:dyDescent="0.25">
      <c r="B1310" s="8">
        <f>B1309+1</f>
        <v>2</v>
      </c>
      <c r="C1310" s="141">
        <v>1</v>
      </c>
      <c r="D1310" s="677" t="s">
        <v>240</v>
      </c>
      <c r="E1310" s="678"/>
      <c r="F1310" s="678"/>
      <c r="G1310" s="678"/>
      <c r="H1310" s="678"/>
      <c r="I1310" s="142">
        <f>I1311</f>
        <v>173000</v>
      </c>
      <c r="J1310" s="142">
        <f>J1311</f>
        <v>148000</v>
      </c>
      <c r="K1310" s="142">
        <f>K1311</f>
        <v>148000</v>
      </c>
      <c r="L1310" s="618"/>
      <c r="M1310" s="142"/>
      <c r="N1310" s="142"/>
      <c r="O1310" s="142"/>
    </row>
    <row r="1311" spans="2:15" x14ac:dyDescent="0.2">
      <c r="B1311" s="8">
        <f t="shared" ref="B1311:B1364" si="66">B1310+1</f>
        <v>3</v>
      </c>
      <c r="C1311" s="24"/>
      <c r="D1311" s="24"/>
      <c r="E1311" s="24"/>
      <c r="F1311" s="149" t="s">
        <v>80</v>
      </c>
      <c r="G1311" s="150">
        <v>640</v>
      </c>
      <c r="H1311" s="24" t="s">
        <v>139</v>
      </c>
      <c r="I1311" s="25">
        <f>SUM(I1312:I1320)</f>
        <v>173000</v>
      </c>
      <c r="J1311" s="25">
        <f>SUM(J1312:J1320)</f>
        <v>148000</v>
      </c>
      <c r="K1311" s="25">
        <f>SUM(K1312:K1320)</f>
        <v>148000</v>
      </c>
      <c r="L1311" s="620"/>
      <c r="M1311" s="25"/>
      <c r="N1311" s="25"/>
      <c r="O1311" s="25"/>
    </row>
    <row r="1312" spans="2:15" x14ac:dyDescent="0.2">
      <c r="B1312" s="8">
        <f t="shared" si="66"/>
        <v>4</v>
      </c>
      <c r="C1312" s="120"/>
      <c r="D1312" s="120"/>
      <c r="E1312" s="120"/>
      <c r="F1312" s="298"/>
      <c r="G1312" s="298"/>
      <c r="H1312" s="156" t="s">
        <v>280</v>
      </c>
      <c r="I1312" s="157">
        <v>58000</v>
      </c>
      <c r="J1312" s="157">
        <v>58000</v>
      </c>
      <c r="K1312" s="157">
        <v>58000</v>
      </c>
      <c r="L1312" s="622"/>
      <c r="M1312" s="158"/>
      <c r="N1312" s="158"/>
      <c r="O1312" s="158"/>
    </row>
    <row r="1313" spans="2:15" x14ac:dyDescent="0.2">
      <c r="B1313" s="8">
        <f t="shared" si="66"/>
        <v>5</v>
      </c>
      <c r="C1313" s="120"/>
      <c r="D1313" s="120"/>
      <c r="E1313" s="120"/>
      <c r="F1313" s="298"/>
      <c r="G1313" s="298"/>
      <c r="H1313" s="156" t="s">
        <v>596</v>
      </c>
      <c r="I1313" s="157">
        <v>10000</v>
      </c>
      <c r="J1313" s="157">
        <v>10000</v>
      </c>
      <c r="K1313" s="157">
        <v>10000</v>
      </c>
      <c r="L1313" s="622"/>
      <c r="M1313" s="158"/>
      <c r="N1313" s="158"/>
      <c r="O1313" s="158"/>
    </row>
    <row r="1314" spans="2:15" x14ac:dyDescent="0.2">
      <c r="B1314" s="8">
        <f t="shared" si="66"/>
        <v>6</v>
      </c>
      <c r="C1314" s="120"/>
      <c r="D1314" s="120"/>
      <c r="E1314" s="120"/>
      <c r="F1314" s="298"/>
      <c r="G1314" s="298"/>
      <c r="H1314" s="156" t="s">
        <v>492</v>
      </c>
      <c r="I1314" s="157">
        <v>7000</v>
      </c>
      <c r="J1314" s="157">
        <v>7000</v>
      </c>
      <c r="K1314" s="157">
        <v>7000</v>
      </c>
      <c r="L1314" s="622"/>
      <c r="M1314" s="158"/>
      <c r="N1314" s="158"/>
      <c r="O1314" s="158"/>
    </row>
    <row r="1315" spans="2:15" x14ac:dyDescent="0.2">
      <c r="B1315" s="8">
        <f t="shared" si="66"/>
        <v>7</v>
      </c>
      <c r="C1315" s="120"/>
      <c r="D1315" s="120"/>
      <c r="E1315" s="120"/>
      <c r="F1315" s="298"/>
      <c r="G1315" s="298"/>
      <c r="H1315" s="156" t="s">
        <v>1021</v>
      </c>
      <c r="I1315" s="157">
        <v>5000</v>
      </c>
      <c r="J1315" s="157">
        <v>5000</v>
      </c>
      <c r="K1315" s="157">
        <v>5000</v>
      </c>
      <c r="L1315" s="622"/>
      <c r="M1315" s="158"/>
      <c r="N1315" s="158"/>
      <c r="O1315" s="158"/>
    </row>
    <row r="1316" spans="2:15" x14ac:dyDescent="0.2">
      <c r="B1316" s="8">
        <f t="shared" si="66"/>
        <v>8</v>
      </c>
      <c r="C1316" s="120"/>
      <c r="D1316" s="120"/>
      <c r="E1316" s="120"/>
      <c r="F1316" s="298"/>
      <c r="G1316" s="298"/>
      <c r="H1316" s="156" t="s">
        <v>1082</v>
      </c>
      <c r="I1316" s="157">
        <v>6000</v>
      </c>
      <c r="J1316" s="157">
        <v>6000</v>
      </c>
      <c r="K1316" s="157">
        <v>6000</v>
      </c>
      <c r="L1316" s="622"/>
      <c r="M1316" s="158"/>
      <c r="N1316" s="158"/>
      <c r="O1316" s="158"/>
    </row>
    <row r="1317" spans="2:15" x14ac:dyDescent="0.2">
      <c r="B1317" s="8">
        <f t="shared" si="66"/>
        <v>9</v>
      </c>
      <c r="C1317" s="120"/>
      <c r="D1317" s="120"/>
      <c r="E1317" s="120"/>
      <c r="F1317" s="298"/>
      <c r="G1317" s="298"/>
      <c r="H1317" s="156" t="s">
        <v>597</v>
      </c>
      <c r="I1317" s="157">
        <v>7000</v>
      </c>
      <c r="J1317" s="157">
        <v>7000</v>
      </c>
      <c r="K1317" s="157">
        <v>7000</v>
      </c>
      <c r="L1317" s="622"/>
      <c r="M1317" s="158"/>
      <c r="N1317" s="158"/>
      <c r="O1317" s="158"/>
    </row>
    <row r="1318" spans="2:15" x14ac:dyDescent="0.2">
      <c r="B1318" s="8">
        <f t="shared" si="66"/>
        <v>10</v>
      </c>
      <c r="C1318" s="120"/>
      <c r="D1318" s="120"/>
      <c r="E1318" s="120"/>
      <c r="F1318" s="298"/>
      <c r="G1318" s="298"/>
      <c r="H1318" s="156" t="s">
        <v>283</v>
      </c>
      <c r="I1318" s="157">
        <v>35000</v>
      </c>
      <c r="J1318" s="157">
        <v>35000</v>
      </c>
      <c r="K1318" s="157">
        <v>35000</v>
      </c>
      <c r="L1318" s="622"/>
      <c r="M1318" s="158"/>
      <c r="N1318" s="158"/>
      <c r="O1318" s="158"/>
    </row>
    <row r="1319" spans="2:15" x14ac:dyDescent="0.2">
      <c r="B1319" s="8">
        <f t="shared" si="66"/>
        <v>11</v>
      </c>
      <c r="C1319" s="120"/>
      <c r="D1319" s="120"/>
      <c r="E1319" s="120"/>
      <c r="F1319" s="298"/>
      <c r="G1319" s="298"/>
      <c r="H1319" s="156" t="s">
        <v>1081</v>
      </c>
      <c r="I1319" s="157">
        <v>25000</v>
      </c>
      <c r="J1319" s="157"/>
      <c r="K1319" s="157"/>
      <c r="L1319" s="622"/>
      <c r="M1319" s="158"/>
      <c r="N1319" s="158"/>
      <c r="O1319" s="158"/>
    </row>
    <row r="1320" spans="2:15" x14ac:dyDescent="0.2">
      <c r="B1320" s="8">
        <f t="shared" si="66"/>
        <v>12</v>
      </c>
      <c r="C1320" s="120"/>
      <c r="D1320" s="120"/>
      <c r="E1320" s="120"/>
      <c r="F1320" s="298"/>
      <c r="G1320" s="298"/>
      <c r="H1320" s="156" t="s">
        <v>493</v>
      </c>
      <c r="I1320" s="157">
        <v>20000</v>
      </c>
      <c r="J1320" s="157">
        <v>20000</v>
      </c>
      <c r="K1320" s="157">
        <v>20000</v>
      </c>
      <c r="L1320" s="622"/>
      <c r="M1320" s="158"/>
      <c r="N1320" s="158"/>
      <c r="O1320" s="158"/>
    </row>
    <row r="1321" spans="2:15" ht="15.75" x14ac:dyDescent="0.25">
      <c r="B1321" s="8">
        <f t="shared" si="66"/>
        <v>13</v>
      </c>
      <c r="C1321" s="141">
        <v>2</v>
      </c>
      <c r="D1321" s="677" t="s">
        <v>181</v>
      </c>
      <c r="E1321" s="678"/>
      <c r="F1321" s="678"/>
      <c r="G1321" s="678"/>
      <c r="H1321" s="678"/>
      <c r="I1321" s="142">
        <f>I1322</f>
        <v>150000</v>
      </c>
      <c r="J1321" s="142">
        <f>J1322</f>
        <v>150000</v>
      </c>
      <c r="K1321" s="142">
        <f>K1322</f>
        <v>206000</v>
      </c>
      <c r="L1321" s="618"/>
      <c r="M1321" s="142"/>
      <c r="N1321" s="142"/>
      <c r="O1321" s="142"/>
    </row>
    <row r="1322" spans="2:15" x14ac:dyDescent="0.2">
      <c r="B1322" s="8">
        <f t="shared" si="66"/>
        <v>14</v>
      </c>
      <c r="C1322" s="24"/>
      <c r="D1322" s="24"/>
      <c r="E1322" s="24"/>
      <c r="F1322" s="149" t="s">
        <v>80</v>
      </c>
      <c r="G1322" s="150">
        <v>630</v>
      </c>
      <c r="H1322" s="24" t="s">
        <v>131</v>
      </c>
      <c r="I1322" s="25">
        <f>SUM(I1323:I1324)</f>
        <v>150000</v>
      </c>
      <c r="J1322" s="25">
        <f>SUM(J1323:J1324)</f>
        <v>150000</v>
      </c>
      <c r="K1322" s="25">
        <f>SUM(K1323:K1324)</f>
        <v>206000</v>
      </c>
      <c r="L1322" s="620"/>
      <c r="M1322" s="25"/>
      <c r="N1322" s="25"/>
      <c r="O1322" s="25"/>
    </row>
    <row r="1323" spans="2:15" x14ac:dyDescent="0.2">
      <c r="B1323" s="8">
        <f t="shared" si="66"/>
        <v>15</v>
      </c>
      <c r="C1323" s="18"/>
      <c r="D1323" s="18"/>
      <c r="E1323" s="18"/>
      <c r="F1323" s="152"/>
      <c r="G1323" s="153">
        <v>633</v>
      </c>
      <c r="H1323" s="18" t="s">
        <v>135</v>
      </c>
      <c r="I1323" s="19">
        <v>6000</v>
      </c>
      <c r="J1323" s="19">
        <v>6000</v>
      </c>
      <c r="K1323" s="19">
        <v>6000</v>
      </c>
      <c r="L1323" s="621"/>
      <c r="M1323" s="19"/>
      <c r="N1323" s="19"/>
      <c r="O1323" s="19"/>
    </row>
    <row r="1324" spans="2:15" x14ac:dyDescent="0.2">
      <c r="B1324" s="8">
        <f t="shared" si="66"/>
        <v>16</v>
      </c>
      <c r="C1324" s="18"/>
      <c r="D1324" s="18"/>
      <c r="E1324" s="18"/>
      <c r="F1324" s="152"/>
      <c r="G1324" s="153">
        <v>637</v>
      </c>
      <c r="H1324" s="18" t="s">
        <v>132</v>
      </c>
      <c r="I1324" s="19">
        <f>60000+40000+7000+35000+5000+5000+15000+8000+30000+12000+2000-75000</f>
        <v>144000</v>
      </c>
      <c r="J1324" s="19">
        <v>144000</v>
      </c>
      <c r="K1324" s="19">
        <v>200000</v>
      </c>
      <c r="L1324" s="621"/>
      <c r="M1324" s="19"/>
      <c r="N1324" s="19"/>
      <c r="O1324" s="19"/>
    </row>
    <row r="1325" spans="2:15" ht="15.75" x14ac:dyDescent="0.25">
      <c r="B1325" s="8">
        <f t="shared" si="66"/>
        <v>17</v>
      </c>
      <c r="C1325" s="141">
        <v>3</v>
      </c>
      <c r="D1325" s="677" t="s">
        <v>147</v>
      </c>
      <c r="E1325" s="678"/>
      <c r="F1325" s="678"/>
      <c r="G1325" s="678"/>
      <c r="H1325" s="678"/>
      <c r="I1325" s="142">
        <f>I1326+I1327+I1328</f>
        <v>327200</v>
      </c>
      <c r="J1325" s="142">
        <f>J1326+J1327+J1328</f>
        <v>329200</v>
      </c>
      <c r="K1325" s="142">
        <f>K1326+K1327+K1328</f>
        <v>556200</v>
      </c>
      <c r="L1325" s="618"/>
      <c r="M1325" s="142">
        <f>M1333</f>
        <v>4547300</v>
      </c>
      <c r="N1325" s="142">
        <f>N1333</f>
        <v>2173913</v>
      </c>
      <c r="O1325" s="142">
        <f>O1333</f>
        <v>543478</v>
      </c>
    </row>
    <row r="1326" spans="2:15" x14ac:dyDescent="0.2">
      <c r="B1326" s="8">
        <f t="shared" si="66"/>
        <v>18</v>
      </c>
      <c r="C1326" s="24"/>
      <c r="D1326" s="24"/>
      <c r="E1326" s="24"/>
      <c r="F1326" s="149" t="s">
        <v>80</v>
      </c>
      <c r="G1326" s="150">
        <v>610</v>
      </c>
      <c r="H1326" s="24" t="s">
        <v>141</v>
      </c>
      <c r="I1326" s="25">
        <v>1000</v>
      </c>
      <c r="J1326" s="25">
        <v>1000</v>
      </c>
      <c r="K1326" s="25">
        <v>1000</v>
      </c>
      <c r="L1326" s="620"/>
      <c r="M1326" s="25"/>
      <c r="N1326" s="25"/>
      <c r="O1326" s="25"/>
    </row>
    <row r="1327" spans="2:15" x14ac:dyDescent="0.2">
      <c r="B1327" s="8">
        <f t="shared" si="66"/>
        <v>19</v>
      </c>
      <c r="C1327" s="24"/>
      <c r="D1327" s="24"/>
      <c r="E1327" s="24"/>
      <c r="F1327" s="149" t="s">
        <v>80</v>
      </c>
      <c r="G1327" s="150">
        <v>620</v>
      </c>
      <c r="H1327" s="24" t="s">
        <v>134</v>
      </c>
      <c r="I1327" s="25">
        <f>1200+1000+270+2800+180+600+200+950</f>
        <v>7200</v>
      </c>
      <c r="J1327" s="25">
        <v>7200</v>
      </c>
      <c r="K1327" s="25">
        <v>7200</v>
      </c>
      <c r="L1327" s="620"/>
      <c r="M1327" s="25"/>
      <c r="N1327" s="25"/>
      <c r="O1327" s="25"/>
    </row>
    <row r="1328" spans="2:15" x14ac:dyDescent="0.2">
      <c r="B1328" s="8">
        <f t="shared" si="66"/>
        <v>20</v>
      </c>
      <c r="C1328" s="24"/>
      <c r="D1328" s="24"/>
      <c r="E1328" s="24"/>
      <c r="F1328" s="149" t="s">
        <v>80</v>
      </c>
      <c r="G1328" s="150">
        <v>630</v>
      </c>
      <c r="H1328" s="24" t="s">
        <v>131</v>
      </c>
      <c r="I1328" s="25">
        <f>I1332+I1331+I1330+I1329</f>
        <v>319000</v>
      </c>
      <c r="J1328" s="25">
        <f>J1332+J1331+J1330+J1329</f>
        <v>321000</v>
      </c>
      <c r="K1328" s="25">
        <f>K1332+K1331+K1330+K1329</f>
        <v>548000</v>
      </c>
      <c r="L1328" s="620"/>
      <c r="M1328" s="25"/>
      <c r="N1328" s="25"/>
      <c r="O1328" s="25"/>
    </row>
    <row r="1329" spans="2:15" x14ac:dyDescent="0.2">
      <c r="B1329" s="8">
        <f t="shared" si="66"/>
        <v>21</v>
      </c>
      <c r="C1329" s="18"/>
      <c r="D1329" s="18"/>
      <c r="E1329" s="18"/>
      <c r="F1329" s="152"/>
      <c r="G1329" s="153">
        <v>632</v>
      </c>
      <c r="H1329" s="18" t="s">
        <v>144</v>
      </c>
      <c r="I1329" s="19">
        <v>253000</v>
      </c>
      <c r="J1329" s="19">
        <v>253000</v>
      </c>
      <c r="K1329" s="19">
        <v>400000</v>
      </c>
      <c r="L1329" s="621"/>
      <c r="M1329" s="19"/>
      <c r="N1329" s="19"/>
      <c r="O1329" s="19"/>
    </row>
    <row r="1330" spans="2:15" x14ac:dyDescent="0.2">
      <c r="B1330" s="8">
        <f t="shared" si="66"/>
        <v>22</v>
      </c>
      <c r="C1330" s="18"/>
      <c r="D1330" s="18"/>
      <c r="E1330" s="18"/>
      <c r="F1330" s="152"/>
      <c r="G1330" s="153">
        <v>633</v>
      </c>
      <c r="H1330" s="18" t="s">
        <v>135</v>
      </c>
      <c r="I1330" s="19">
        <v>9000</v>
      </c>
      <c r="J1330" s="19">
        <v>9000</v>
      </c>
      <c r="K1330" s="19">
        <v>15000</v>
      </c>
      <c r="L1330" s="621"/>
      <c r="M1330" s="19"/>
      <c r="N1330" s="19"/>
      <c r="O1330" s="19"/>
    </row>
    <row r="1331" spans="2:15" x14ac:dyDescent="0.2">
      <c r="B1331" s="8">
        <f t="shared" si="66"/>
        <v>23</v>
      </c>
      <c r="C1331" s="18"/>
      <c r="D1331" s="18"/>
      <c r="E1331" s="18"/>
      <c r="F1331" s="152"/>
      <c r="G1331" s="153">
        <v>635</v>
      </c>
      <c r="H1331" s="18" t="s">
        <v>143</v>
      </c>
      <c r="I1331" s="19">
        <v>24000</v>
      </c>
      <c r="J1331" s="19">
        <v>26000</v>
      </c>
      <c r="K1331" s="19">
        <v>100000</v>
      </c>
      <c r="L1331" s="621"/>
      <c r="M1331" s="19"/>
      <c r="N1331" s="19"/>
      <c r="O1331" s="19"/>
    </row>
    <row r="1332" spans="2:15" x14ac:dyDescent="0.2">
      <c r="B1332" s="8">
        <f t="shared" si="66"/>
        <v>24</v>
      </c>
      <c r="C1332" s="18"/>
      <c r="D1332" s="18"/>
      <c r="E1332" s="18"/>
      <c r="F1332" s="152"/>
      <c r="G1332" s="153">
        <v>637</v>
      </c>
      <c r="H1332" s="18" t="s">
        <v>132</v>
      </c>
      <c r="I1332" s="19">
        <v>33000</v>
      </c>
      <c r="J1332" s="19">
        <v>33000</v>
      </c>
      <c r="K1332" s="19">
        <v>33000</v>
      </c>
      <c r="L1332" s="621"/>
      <c r="M1332" s="19"/>
      <c r="N1332" s="19"/>
      <c r="O1332" s="19"/>
    </row>
    <row r="1333" spans="2:15" x14ac:dyDescent="0.2">
      <c r="B1333" s="8">
        <f t="shared" si="66"/>
        <v>25</v>
      </c>
      <c r="C1333" s="24"/>
      <c r="D1333" s="24"/>
      <c r="E1333" s="24"/>
      <c r="F1333" s="149" t="s">
        <v>80</v>
      </c>
      <c r="G1333" s="150">
        <v>710</v>
      </c>
      <c r="H1333" s="24" t="s">
        <v>185</v>
      </c>
      <c r="I1333" s="25"/>
      <c r="J1333" s="25"/>
      <c r="K1333" s="25"/>
      <c r="L1333" s="620"/>
      <c r="M1333" s="25">
        <f>M1334+M1337</f>
        <v>4547300</v>
      </c>
      <c r="N1333" s="25">
        <f>N1334+N1337</f>
        <v>2173913</v>
      </c>
      <c r="O1333" s="25">
        <f>O1334+O1337</f>
        <v>543478</v>
      </c>
    </row>
    <row r="1334" spans="2:15" x14ac:dyDescent="0.2">
      <c r="B1334" s="8">
        <f t="shared" si="66"/>
        <v>26</v>
      </c>
      <c r="C1334" s="18"/>
      <c r="D1334" s="18"/>
      <c r="E1334" s="18"/>
      <c r="F1334" s="152"/>
      <c r="G1334" s="153">
        <v>716</v>
      </c>
      <c r="H1334" s="18" t="s">
        <v>226</v>
      </c>
      <c r="I1334" s="19"/>
      <c r="J1334" s="19"/>
      <c r="K1334" s="19"/>
      <c r="L1334" s="621"/>
      <c r="M1334" s="19">
        <f>SUM(M1335:M1336)</f>
        <v>174000</v>
      </c>
      <c r="N1334" s="19"/>
      <c r="O1334" s="19"/>
    </row>
    <row r="1335" spans="2:15" x14ac:dyDescent="0.2">
      <c r="B1335" s="8">
        <f t="shared" si="66"/>
        <v>27</v>
      </c>
      <c r="C1335" s="120"/>
      <c r="D1335" s="120"/>
      <c r="E1335" s="120"/>
      <c r="F1335" s="298"/>
      <c r="G1335" s="298"/>
      <c r="H1335" s="156" t="s">
        <v>1130</v>
      </c>
      <c r="I1335" s="157"/>
      <c r="J1335" s="157"/>
      <c r="K1335" s="157"/>
      <c r="L1335" s="614"/>
      <c r="M1335" s="157">
        <v>169000</v>
      </c>
      <c r="N1335" s="157"/>
      <c r="O1335" s="157"/>
    </row>
    <row r="1336" spans="2:15" x14ac:dyDescent="0.2">
      <c r="B1336" s="8">
        <f t="shared" si="66"/>
        <v>28</v>
      </c>
      <c r="C1336" s="120"/>
      <c r="D1336" s="120"/>
      <c r="E1336" s="120"/>
      <c r="F1336" s="298"/>
      <c r="G1336" s="298"/>
      <c r="H1336" s="156" t="s">
        <v>1074</v>
      </c>
      <c r="I1336" s="157"/>
      <c r="J1336" s="157"/>
      <c r="K1336" s="157"/>
      <c r="L1336" s="614"/>
      <c r="M1336" s="157">
        <v>5000</v>
      </c>
      <c r="N1336" s="157"/>
      <c r="O1336" s="157"/>
    </row>
    <row r="1337" spans="2:15" x14ac:dyDescent="0.2">
      <c r="B1337" s="8">
        <f t="shared" si="66"/>
        <v>29</v>
      </c>
      <c r="C1337" s="18"/>
      <c r="D1337" s="18"/>
      <c r="E1337" s="18"/>
      <c r="F1337" s="152"/>
      <c r="G1337" s="153">
        <v>717</v>
      </c>
      <c r="H1337" s="18" t="s">
        <v>192</v>
      </c>
      <c r="I1337" s="19"/>
      <c r="J1337" s="19"/>
      <c r="K1337" s="19"/>
      <c r="L1337" s="621"/>
      <c r="M1337" s="19">
        <f>SUM(M1338:M1341)</f>
        <v>4373300</v>
      </c>
      <c r="N1337" s="19">
        <f>SUM(N1338:N1340)</f>
        <v>2173913</v>
      </c>
      <c r="O1337" s="19">
        <f>SUM(O1338:O1340)</f>
        <v>543478</v>
      </c>
    </row>
    <row r="1338" spans="2:15" x14ac:dyDescent="0.2">
      <c r="B1338" s="8">
        <f t="shared" si="66"/>
        <v>30</v>
      </c>
      <c r="C1338" s="120"/>
      <c r="D1338" s="120"/>
      <c r="E1338" s="120"/>
      <c r="F1338" s="298"/>
      <c r="G1338" s="298"/>
      <c r="H1338" s="156" t="s">
        <v>1070</v>
      </c>
      <c r="I1338" s="157"/>
      <c r="J1338" s="157"/>
      <c r="K1338" s="157"/>
      <c r="L1338" s="614"/>
      <c r="M1338" s="157">
        <v>4050000</v>
      </c>
      <c r="N1338" s="157">
        <v>2173913</v>
      </c>
      <c r="O1338" s="157">
        <v>543478</v>
      </c>
    </row>
    <row r="1339" spans="2:15" x14ac:dyDescent="0.2">
      <c r="B1339" s="8">
        <f t="shared" si="66"/>
        <v>31</v>
      </c>
      <c r="C1339" s="120"/>
      <c r="D1339" s="120"/>
      <c r="E1339" s="120"/>
      <c r="F1339" s="298"/>
      <c r="G1339" s="298"/>
      <c r="H1339" s="156" t="s">
        <v>1072</v>
      </c>
      <c r="I1339" s="157"/>
      <c r="J1339" s="157"/>
      <c r="K1339" s="157"/>
      <c r="L1339" s="614"/>
      <c r="M1339" s="157">
        <v>300000</v>
      </c>
      <c r="N1339" s="157"/>
      <c r="O1339" s="157"/>
    </row>
    <row r="1340" spans="2:15" x14ac:dyDescent="0.2">
      <c r="B1340" s="8">
        <f t="shared" si="66"/>
        <v>32</v>
      </c>
      <c r="C1340" s="120"/>
      <c r="D1340" s="120"/>
      <c r="E1340" s="120"/>
      <c r="F1340" s="298"/>
      <c r="G1340" s="298"/>
      <c r="H1340" s="156" t="s">
        <v>1090</v>
      </c>
      <c r="I1340" s="157"/>
      <c r="J1340" s="157"/>
      <c r="K1340" s="157"/>
      <c r="L1340" s="614"/>
      <c r="M1340" s="157">
        <v>3300</v>
      </c>
      <c r="N1340" s="157"/>
      <c r="O1340" s="157"/>
    </row>
    <row r="1341" spans="2:15" x14ac:dyDescent="0.2">
      <c r="B1341" s="8">
        <f t="shared" si="66"/>
        <v>33</v>
      </c>
      <c r="C1341" s="120"/>
      <c r="D1341" s="120"/>
      <c r="E1341" s="120"/>
      <c r="F1341" s="298"/>
      <c r="G1341" s="298"/>
      <c r="H1341" s="156" t="s">
        <v>1172</v>
      </c>
      <c r="I1341" s="157"/>
      <c r="J1341" s="157"/>
      <c r="K1341" s="157"/>
      <c r="L1341" s="614"/>
      <c r="M1341" s="157">
        <v>20000</v>
      </c>
      <c r="N1341" s="157"/>
      <c r="O1341" s="157"/>
    </row>
    <row r="1342" spans="2:15" ht="15.75" x14ac:dyDescent="0.25">
      <c r="B1342" s="8">
        <f t="shared" si="66"/>
        <v>34</v>
      </c>
      <c r="C1342" s="141">
        <v>4</v>
      </c>
      <c r="D1342" s="716" t="s">
        <v>1080</v>
      </c>
      <c r="E1342" s="717"/>
      <c r="F1342" s="717"/>
      <c r="G1342" s="717"/>
      <c r="H1342" s="717"/>
      <c r="I1342" s="142">
        <f>I1343+I1344+I1345+I1350</f>
        <v>776300</v>
      </c>
      <c r="J1342" s="142">
        <f t="shared" ref="J1342:K1342" si="67">J1343+J1344+J1345+J1350</f>
        <v>1100000</v>
      </c>
      <c r="K1342" s="142">
        <f t="shared" si="67"/>
        <v>1156000</v>
      </c>
      <c r="L1342" s="618"/>
      <c r="M1342" s="142">
        <f>M1351</f>
        <v>3707839</v>
      </c>
      <c r="N1342" s="142">
        <f>N1351</f>
        <v>2173913</v>
      </c>
      <c r="O1342" s="142">
        <f>O1351</f>
        <v>543478</v>
      </c>
    </row>
    <row r="1343" spans="2:15" x14ac:dyDescent="0.2">
      <c r="B1343" s="8">
        <f t="shared" si="66"/>
        <v>35</v>
      </c>
      <c r="C1343" s="24"/>
      <c r="D1343" s="24"/>
      <c r="E1343" s="24"/>
      <c r="F1343" s="149" t="s">
        <v>80</v>
      </c>
      <c r="G1343" s="150">
        <v>610</v>
      </c>
      <c r="H1343" s="24" t="s">
        <v>141</v>
      </c>
      <c r="I1343" s="25">
        <f>310000-31000</f>
        <v>279000</v>
      </c>
      <c r="J1343" s="25">
        <v>315000</v>
      </c>
      <c r="K1343" s="25">
        <v>320000</v>
      </c>
      <c r="L1343" s="620"/>
      <c r="M1343" s="25"/>
      <c r="N1343" s="25"/>
      <c r="O1343" s="25"/>
    </row>
    <row r="1344" spans="2:15" x14ac:dyDescent="0.2">
      <c r="B1344" s="8">
        <f t="shared" si="66"/>
        <v>36</v>
      </c>
      <c r="C1344" s="18"/>
      <c r="D1344" s="18"/>
      <c r="E1344" s="18"/>
      <c r="F1344" s="149" t="s">
        <v>80</v>
      </c>
      <c r="G1344" s="150">
        <v>620</v>
      </c>
      <c r="H1344" s="24" t="s">
        <v>134</v>
      </c>
      <c r="I1344" s="25">
        <f>146000-29000-11700</f>
        <v>105300</v>
      </c>
      <c r="J1344" s="25">
        <v>118000</v>
      </c>
      <c r="K1344" s="25">
        <v>119000</v>
      </c>
      <c r="L1344" s="621"/>
      <c r="M1344" s="19"/>
      <c r="N1344" s="19"/>
      <c r="O1344" s="19"/>
    </row>
    <row r="1345" spans="2:15" x14ac:dyDescent="0.2">
      <c r="B1345" s="8">
        <f t="shared" si="66"/>
        <v>37</v>
      </c>
      <c r="C1345" s="24"/>
      <c r="D1345" s="24"/>
      <c r="E1345" s="24"/>
      <c r="F1345" s="149" t="s">
        <v>80</v>
      </c>
      <c r="G1345" s="150">
        <v>630</v>
      </c>
      <c r="H1345" s="24" t="s">
        <v>131</v>
      </c>
      <c r="I1345" s="296">
        <f>SUM(I1346:I1349)</f>
        <v>383000</v>
      </c>
      <c r="J1345" s="296">
        <f>SUM(J1346:J1349)</f>
        <v>658000</v>
      </c>
      <c r="K1345" s="296">
        <f>SUM(K1346:K1349)</f>
        <v>708000</v>
      </c>
      <c r="L1345" s="620"/>
      <c r="M1345" s="25"/>
      <c r="N1345" s="25"/>
      <c r="O1345" s="25"/>
    </row>
    <row r="1346" spans="2:15" x14ac:dyDescent="0.2">
      <c r="B1346" s="8">
        <f t="shared" si="66"/>
        <v>38</v>
      </c>
      <c r="C1346" s="18"/>
      <c r="D1346" s="18"/>
      <c r="E1346" s="18"/>
      <c r="F1346" s="152"/>
      <c r="G1346" s="444">
        <v>632</v>
      </c>
      <c r="H1346" s="445" t="s">
        <v>144</v>
      </c>
      <c r="I1346" s="448">
        <v>100000</v>
      </c>
      <c r="J1346" s="448">
        <v>100000</v>
      </c>
      <c r="K1346" s="448">
        <v>100000</v>
      </c>
      <c r="L1346" s="621"/>
      <c r="M1346" s="164"/>
      <c r="N1346" s="164"/>
      <c r="O1346" s="164"/>
    </row>
    <row r="1347" spans="2:15" x14ac:dyDescent="0.2">
      <c r="B1347" s="8">
        <f t="shared" si="66"/>
        <v>39</v>
      </c>
      <c r="C1347" s="18"/>
      <c r="D1347" s="18"/>
      <c r="E1347" s="18"/>
      <c r="F1347" s="152"/>
      <c r="G1347" s="153">
        <v>633</v>
      </c>
      <c r="H1347" s="18" t="s">
        <v>135</v>
      </c>
      <c r="I1347" s="19">
        <v>54000</v>
      </c>
      <c r="J1347" s="19">
        <v>54000</v>
      </c>
      <c r="K1347" s="19">
        <v>54000</v>
      </c>
      <c r="L1347" s="621"/>
      <c r="M1347" s="19"/>
      <c r="N1347" s="19"/>
      <c r="O1347" s="19"/>
    </row>
    <row r="1348" spans="2:15" x14ac:dyDescent="0.2">
      <c r="B1348" s="8">
        <f t="shared" si="66"/>
        <v>40</v>
      </c>
      <c r="C1348" s="18"/>
      <c r="D1348" s="18"/>
      <c r="E1348" s="18"/>
      <c r="F1348" s="152"/>
      <c r="G1348" s="153">
        <v>635</v>
      </c>
      <c r="H1348" s="18" t="s">
        <v>143</v>
      </c>
      <c r="I1348" s="19">
        <v>4000</v>
      </c>
      <c r="J1348" s="19">
        <v>4000</v>
      </c>
      <c r="K1348" s="19">
        <v>4000</v>
      </c>
      <c r="L1348" s="621"/>
      <c r="M1348" s="19"/>
      <c r="N1348" s="19"/>
      <c r="O1348" s="19"/>
    </row>
    <row r="1349" spans="2:15" x14ac:dyDescent="0.2">
      <c r="B1349" s="8">
        <f t="shared" si="66"/>
        <v>41</v>
      </c>
      <c r="C1349" s="18"/>
      <c r="D1349" s="18"/>
      <c r="E1349" s="18"/>
      <c r="F1349" s="152"/>
      <c r="G1349" s="153">
        <v>637</v>
      </c>
      <c r="H1349" s="18" t="s">
        <v>132</v>
      </c>
      <c r="I1349" s="19">
        <f>500000-150000-25000-100000</f>
        <v>225000</v>
      </c>
      <c r="J1349" s="19">
        <v>500000</v>
      </c>
      <c r="K1349" s="19">
        <v>550000</v>
      </c>
      <c r="L1349" s="621"/>
      <c r="M1349" s="19"/>
      <c r="N1349" s="19"/>
      <c r="O1349" s="19"/>
    </row>
    <row r="1350" spans="2:15" x14ac:dyDescent="0.2">
      <c r="B1350" s="8">
        <f t="shared" si="66"/>
        <v>42</v>
      </c>
      <c r="C1350" s="24"/>
      <c r="D1350" s="24"/>
      <c r="E1350" s="24"/>
      <c r="F1350" s="149" t="s">
        <v>80</v>
      </c>
      <c r="G1350" s="150">
        <v>640</v>
      </c>
      <c r="H1350" s="24" t="s">
        <v>139</v>
      </c>
      <c r="I1350" s="296">
        <f>8000+1000</f>
        <v>9000</v>
      </c>
      <c r="J1350" s="296">
        <v>9000</v>
      </c>
      <c r="K1350" s="296">
        <v>9000</v>
      </c>
      <c r="L1350" s="620"/>
      <c r="M1350" s="25"/>
      <c r="N1350" s="25"/>
      <c r="O1350" s="25"/>
    </row>
    <row r="1351" spans="2:15" x14ac:dyDescent="0.2">
      <c r="B1351" s="8">
        <f t="shared" si="66"/>
        <v>43</v>
      </c>
      <c r="C1351" s="24"/>
      <c r="D1351" s="24"/>
      <c r="E1351" s="24"/>
      <c r="F1351" s="149" t="s">
        <v>80</v>
      </c>
      <c r="G1351" s="150">
        <v>710</v>
      </c>
      <c r="H1351" s="24" t="s">
        <v>185</v>
      </c>
      <c r="I1351" s="25"/>
      <c r="J1351" s="25"/>
      <c r="K1351" s="25"/>
      <c r="L1351" s="620"/>
      <c r="M1351" s="25">
        <f>M1352+M1354+M1356</f>
        <v>3707839</v>
      </c>
      <c r="N1351" s="25">
        <f>N1352+N1354+N1356</f>
        <v>2173913</v>
      </c>
      <c r="O1351" s="25">
        <f>O1352+O1354+O1356</f>
        <v>543478</v>
      </c>
    </row>
    <row r="1352" spans="2:15" x14ac:dyDescent="0.2">
      <c r="B1352" s="8">
        <f t="shared" si="66"/>
        <v>44</v>
      </c>
      <c r="C1352" s="24"/>
      <c r="D1352" s="24"/>
      <c r="E1352" s="24"/>
      <c r="F1352" s="149"/>
      <c r="G1352" s="153">
        <v>713</v>
      </c>
      <c r="H1352" s="18" t="s">
        <v>230</v>
      </c>
      <c r="I1352" s="19"/>
      <c r="J1352" s="19"/>
      <c r="K1352" s="19"/>
      <c r="L1352" s="621"/>
      <c r="M1352" s="19">
        <f>SUM(M1353:M1353)</f>
        <v>14860</v>
      </c>
      <c r="N1352" s="19"/>
      <c r="O1352" s="19"/>
    </row>
    <row r="1353" spans="2:15" x14ac:dyDescent="0.2">
      <c r="B1353" s="8">
        <f t="shared" si="66"/>
        <v>45</v>
      </c>
      <c r="C1353" s="24"/>
      <c r="D1353" s="24"/>
      <c r="E1353" s="24"/>
      <c r="F1353" s="149"/>
      <c r="G1353" s="298"/>
      <c r="H1353" s="156" t="s">
        <v>941</v>
      </c>
      <c r="I1353" s="157"/>
      <c r="J1353" s="157"/>
      <c r="K1353" s="157"/>
      <c r="L1353" s="614"/>
      <c r="M1353" s="157">
        <v>14860</v>
      </c>
      <c r="N1353" s="157"/>
      <c r="O1353" s="157"/>
    </row>
    <row r="1354" spans="2:15" x14ac:dyDescent="0.2">
      <c r="B1354" s="8">
        <f t="shared" si="66"/>
        <v>46</v>
      </c>
      <c r="C1354" s="120"/>
      <c r="D1354" s="120"/>
      <c r="E1354" s="120"/>
      <c r="F1354" s="298"/>
      <c r="G1354" s="153">
        <v>716</v>
      </c>
      <c r="H1354" s="18" t="s">
        <v>226</v>
      </c>
      <c r="I1354" s="157"/>
      <c r="J1354" s="157"/>
      <c r="K1354" s="157"/>
      <c r="L1354" s="614"/>
      <c r="M1354" s="390">
        <f>M1355</f>
        <v>92979</v>
      </c>
      <c r="N1354" s="390"/>
      <c r="O1354" s="390"/>
    </row>
    <row r="1355" spans="2:15" x14ac:dyDescent="0.2">
      <c r="B1355" s="8">
        <f t="shared" si="66"/>
        <v>47</v>
      </c>
      <c r="C1355" s="120"/>
      <c r="D1355" s="120"/>
      <c r="E1355" s="120"/>
      <c r="F1355" s="298"/>
      <c r="G1355" s="298"/>
      <c r="H1355" s="156" t="s">
        <v>802</v>
      </c>
      <c r="I1355" s="157"/>
      <c r="J1355" s="157"/>
      <c r="K1355" s="157"/>
      <c r="L1355" s="614"/>
      <c r="M1355" s="390">
        <v>92979</v>
      </c>
      <c r="N1355" s="390"/>
      <c r="O1355" s="390"/>
    </row>
    <row r="1356" spans="2:15" x14ac:dyDescent="0.2">
      <c r="B1356" s="8">
        <f t="shared" si="66"/>
        <v>48</v>
      </c>
      <c r="C1356" s="18"/>
      <c r="D1356" s="18"/>
      <c r="E1356" s="18"/>
      <c r="F1356" s="152"/>
      <c r="G1356" s="153">
        <v>717</v>
      </c>
      <c r="H1356" s="18" t="s">
        <v>192</v>
      </c>
      <c r="I1356" s="19"/>
      <c r="J1356" s="19"/>
      <c r="K1356" s="19"/>
      <c r="L1356" s="621"/>
      <c r="M1356" s="395">
        <f>SUM(M1357:M1357)</f>
        <v>3600000</v>
      </c>
      <c r="N1356" s="395">
        <f>N1357</f>
        <v>2173913</v>
      </c>
      <c r="O1356" s="395">
        <f>O1357</f>
        <v>543478</v>
      </c>
    </row>
    <row r="1357" spans="2:15" x14ac:dyDescent="0.2">
      <c r="B1357" s="8">
        <f t="shared" si="66"/>
        <v>49</v>
      </c>
      <c r="C1357" s="377"/>
      <c r="D1357" s="377"/>
      <c r="E1357" s="377"/>
      <c r="F1357" s="378"/>
      <c r="G1357" s="378"/>
      <c r="H1357" s="407" t="s">
        <v>1065</v>
      </c>
      <c r="I1357" s="390"/>
      <c r="J1357" s="390"/>
      <c r="K1357" s="390"/>
      <c r="L1357" s="614"/>
      <c r="M1357" s="390">
        <v>3600000</v>
      </c>
      <c r="N1357" s="390">
        <v>2173913</v>
      </c>
      <c r="O1357" s="390">
        <v>543478</v>
      </c>
    </row>
    <row r="1358" spans="2:15" ht="15.75" x14ac:dyDescent="0.25">
      <c r="B1358" s="8">
        <f t="shared" si="66"/>
        <v>50</v>
      </c>
      <c r="C1358" s="424">
        <v>5</v>
      </c>
      <c r="D1358" s="692" t="s">
        <v>743</v>
      </c>
      <c r="E1358" s="693"/>
      <c r="F1358" s="693"/>
      <c r="G1358" s="693"/>
      <c r="H1358" s="693"/>
      <c r="I1358" s="425">
        <f>I1364+I1359</f>
        <v>675650</v>
      </c>
      <c r="J1358" s="425">
        <f t="shared" ref="J1358:K1358" si="68">J1364+J1359</f>
        <v>970400</v>
      </c>
      <c r="K1358" s="425">
        <f t="shared" si="68"/>
        <v>1651600</v>
      </c>
      <c r="L1358" s="618"/>
      <c r="M1358" s="425">
        <f>M1361</f>
        <v>116000</v>
      </c>
      <c r="N1358" s="425"/>
      <c r="O1358" s="425"/>
    </row>
    <row r="1359" spans="2:15" x14ac:dyDescent="0.2">
      <c r="B1359" s="8">
        <f t="shared" si="66"/>
        <v>51</v>
      </c>
      <c r="C1359" s="307"/>
      <c r="D1359" s="308"/>
      <c r="E1359" s="308"/>
      <c r="F1359" s="309" t="s">
        <v>80</v>
      </c>
      <c r="G1359" s="310">
        <v>640</v>
      </c>
      <c r="H1359" s="308" t="s">
        <v>139</v>
      </c>
      <c r="I1359" s="432">
        <f>I1360</f>
        <v>543680</v>
      </c>
      <c r="J1359" s="432">
        <f>J1360</f>
        <v>860000</v>
      </c>
      <c r="K1359" s="432">
        <f>K1360</f>
        <v>1500000</v>
      </c>
      <c r="L1359" s="630"/>
      <c r="M1359" s="31"/>
      <c r="N1359" s="31"/>
      <c r="O1359" s="31"/>
    </row>
    <row r="1360" spans="2:15" s="13" customFormat="1" ht="24" x14ac:dyDescent="0.2">
      <c r="B1360" s="8">
        <f t="shared" si="66"/>
        <v>52</v>
      </c>
      <c r="C1360" s="608"/>
      <c r="D1360" s="609"/>
      <c r="E1360" s="609"/>
      <c r="F1360" s="610"/>
      <c r="G1360" s="611"/>
      <c r="H1360" s="191" t="s">
        <v>1128</v>
      </c>
      <c r="I1360" s="606">
        <v>543680</v>
      </c>
      <c r="J1360" s="606">
        <v>860000</v>
      </c>
      <c r="K1360" s="606">
        <v>1500000</v>
      </c>
      <c r="L1360" s="631"/>
      <c r="M1360" s="612"/>
      <c r="N1360" s="612"/>
      <c r="O1360" s="612"/>
    </row>
    <row r="1361" spans="2:15" x14ac:dyDescent="0.2">
      <c r="B1361" s="8">
        <f t="shared" si="66"/>
        <v>53</v>
      </c>
      <c r="C1361" s="307"/>
      <c r="D1361" s="308"/>
      <c r="E1361" s="308"/>
      <c r="F1361" s="309" t="s">
        <v>80</v>
      </c>
      <c r="G1361" s="310">
        <v>720</v>
      </c>
      <c r="H1361" s="308" t="s">
        <v>4</v>
      </c>
      <c r="I1361" s="432"/>
      <c r="J1361" s="432"/>
      <c r="K1361" s="432"/>
      <c r="L1361" s="630"/>
      <c r="M1361" s="432">
        <f>M1362</f>
        <v>116000</v>
      </c>
      <c r="N1361" s="432"/>
      <c r="O1361" s="432"/>
    </row>
    <row r="1362" spans="2:15" x14ac:dyDescent="0.2">
      <c r="B1362" s="8">
        <f t="shared" si="66"/>
        <v>54</v>
      </c>
      <c r="C1362" s="307"/>
      <c r="D1362" s="308"/>
      <c r="E1362" s="308"/>
      <c r="F1362" s="309"/>
      <c r="G1362" s="310"/>
      <c r="H1362" s="409" t="s">
        <v>942</v>
      </c>
      <c r="I1362" s="433"/>
      <c r="J1362" s="433"/>
      <c r="K1362" s="433"/>
      <c r="L1362" s="632"/>
      <c r="M1362" s="433">
        <v>116000</v>
      </c>
      <c r="N1362" s="433"/>
      <c r="O1362" s="433"/>
    </row>
    <row r="1363" spans="2:15" x14ac:dyDescent="0.2">
      <c r="B1363" s="8">
        <f t="shared" si="66"/>
        <v>55</v>
      </c>
      <c r="C1363" s="307"/>
      <c r="D1363" s="308"/>
      <c r="E1363" s="308"/>
      <c r="F1363" s="309"/>
      <c r="G1363" s="310"/>
      <c r="H1363" s="409"/>
      <c r="I1363" s="433"/>
      <c r="J1363" s="433"/>
      <c r="K1363" s="433"/>
      <c r="L1363" s="632"/>
      <c r="M1363" s="433"/>
      <c r="N1363" s="433"/>
      <c r="O1363" s="433"/>
    </row>
    <row r="1364" spans="2:15" x14ac:dyDescent="0.2">
      <c r="B1364" s="8">
        <f t="shared" si="66"/>
        <v>56</v>
      </c>
      <c r="C1364" s="456"/>
      <c r="D1364" s="457"/>
      <c r="E1364" s="457"/>
      <c r="F1364" s="458" t="s">
        <v>80</v>
      </c>
      <c r="G1364" s="459">
        <v>600</v>
      </c>
      <c r="H1364" s="460" t="s">
        <v>1052</v>
      </c>
      <c r="I1364" s="597">
        <v>131970</v>
      </c>
      <c r="J1364" s="597">
        <v>110400</v>
      </c>
      <c r="K1364" s="597">
        <v>151600</v>
      </c>
      <c r="L1364" s="630"/>
      <c r="M1364" s="461"/>
      <c r="N1364" s="461"/>
      <c r="O1364" s="461"/>
    </row>
    <row r="1365" spans="2:15" x14ac:dyDescent="0.2">
      <c r="B1365" s="8">
        <f>B1364+1</f>
        <v>57</v>
      </c>
      <c r="C1365" s="381"/>
      <c r="D1365" s="382"/>
      <c r="E1365" s="382"/>
      <c r="F1365" s="309"/>
      <c r="G1365" s="311">
        <v>610</v>
      </c>
      <c r="H1365" s="18" t="s">
        <v>141</v>
      </c>
      <c r="I1365" s="31">
        <v>73052</v>
      </c>
      <c r="J1365" s="31">
        <v>74000</v>
      </c>
      <c r="K1365" s="31">
        <v>75000</v>
      </c>
      <c r="L1365" s="630"/>
      <c r="M1365" s="31"/>
      <c r="N1365" s="31"/>
      <c r="O1365" s="31"/>
    </row>
    <row r="1366" spans="2:15" x14ac:dyDescent="0.2">
      <c r="B1366" s="8">
        <f>B1365+1</f>
        <v>58</v>
      </c>
      <c r="C1366" s="381"/>
      <c r="D1366" s="382"/>
      <c r="E1366" s="382"/>
      <c r="F1366" s="309"/>
      <c r="G1366" s="311">
        <v>620</v>
      </c>
      <c r="H1366" s="30" t="s">
        <v>134</v>
      </c>
      <c r="I1366" s="31">
        <v>25568</v>
      </c>
      <c r="J1366" s="31">
        <v>26000</v>
      </c>
      <c r="K1366" s="31">
        <v>26500</v>
      </c>
      <c r="L1366" s="630"/>
      <c r="M1366" s="31"/>
      <c r="N1366" s="31"/>
      <c r="O1366" s="31"/>
    </row>
    <row r="1367" spans="2:15" x14ac:dyDescent="0.2">
      <c r="B1367" s="354">
        <f>B1366+1</f>
        <v>59</v>
      </c>
      <c r="C1367" s="451"/>
      <c r="D1367" s="452"/>
      <c r="E1367" s="452"/>
      <c r="F1367" s="380"/>
      <c r="G1367" s="453">
        <v>630</v>
      </c>
      <c r="H1367" s="454" t="s">
        <v>131</v>
      </c>
      <c r="I1367" s="600">
        <v>33350</v>
      </c>
      <c r="J1367" s="600">
        <f>J1364-J1365-J1366</f>
        <v>10400</v>
      </c>
      <c r="K1367" s="600">
        <f>K1364-K1365-K1366</f>
        <v>50100</v>
      </c>
      <c r="L1367" s="630"/>
      <c r="M1367" s="600"/>
      <c r="N1367" s="600"/>
      <c r="O1367" s="600"/>
    </row>
    <row r="1371" spans="2:15" ht="27" x14ac:dyDescent="0.35">
      <c r="B1371" s="679" t="s">
        <v>25</v>
      </c>
      <c r="C1371" s="680"/>
      <c r="D1371" s="680"/>
      <c r="E1371" s="680"/>
      <c r="F1371" s="680"/>
      <c r="G1371" s="680"/>
      <c r="H1371" s="680"/>
      <c r="I1371" s="680"/>
      <c r="J1371" s="680"/>
      <c r="K1371" s="680"/>
      <c r="L1371" s="680"/>
      <c r="M1371" s="680"/>
      <c r="N1371" s="3"/>
      <c r="O1371" s="3"/>
    </row>
    <row r="1372" spans="2:15" ht="12.75" customHeight="1" x14ac:dyDescent="0.2">
      <c r="B1372" s="739"/>
      <c r="C1372" s="739" t="s">
        <v>122</v>
      </c>
      <c r="D1372" s="739" t="s">
        <v>123</v>
      </c>
      <c r="E1372" s="739"/>
      <c r="F1372" s="739" t="s">
        <v>124</v>
      </c>
      <c r="G1372" s="740" t="s">
        <v>125</v>
      </c>
      <c r="H1372" s="741" t="s">
        <v>126</v>
      </c>
      <c r="I1372" s="742" t="s">
        <v>1135</v>
      </c>
      <c r="J1372" s="742" t="s">
        <v>1136</v>
      </c>
      <c r="K1372" s="742" t="s">
        <v>1137</v>
      </c>
      <c r="L1372" s="633"/>
      <c r="M1372" s="742" t="s">
        <v>1138</v>
      </c>
      <c r="N1372" s="742" t="s">
        <v>1139</v>
      </c>
      <c r="O1372" s="742" t="s">
        <v>1140</v>
      </c>
    </row>
    <row r="1373" spans="2:15" x14ac:dyDescent="0.2">
      <c r="B1373" s="681"/>
      <c r="C1373" s="681"/>
      <c r="D1373" s="681"/>
      <c r="E1373" s="681"/>
      <c r="F1373" s="681"/>
      <c r="G1373" s="689"/>
      <c r="H1373" s="686"/>
      <c r="I1373" s="673"/>
      <c r="J1373" s="673"/>
      <c r="K1373" s="673"/>
      <c r="L1373" s="616"/>
      <c r="M1373" s="673"/>
      <c r="N1373" s="673"/>
      <c r="O1373" s="673"/>
    </row>
    <row r="1374" spans="2:15" x14ac:dyDescent="0.2">
      <c r="B1374" s="681"/>
      <c r="C1374" s="681"/>
      <c r="D1374" s="681"/>
      <c r="E1374" s="681"/>
      <c r="F1374" s="681"/>
      <c r="G1374" s="689"/>
      <c r="H1374" s="686"/>
      <c r="I1374" s="673"/>
      <c r="J1374" s="673"/>
      <c r="K1374" s="673"/>
      <c r="L1374" s="616"/>
      <c r="M1374" s="673"/>
      <c r="N1374" s="673"/>
      <c r="O1374" s="673"/>
    </row>
    <row r="1375" spans="2:15" x14ac:dyDescent="0.2">
      <c r="B1375" s="681"/>
      <c r="C1375" s="681"/>
      <c r="D1375" s="681"/>
      <c r="E1375" s="681"/>
      <c r="F1375" s="681"/>
      <c r="G1375" s="689"/>
      <c r="H1375" s="686"/>
      <c r="I1375" s="673"/>
      <c r="J1375" s="673"/>
      <c r="K1375" s="673"/>
      <c r="L1375" s="616"/>
      <c r="M1375" s="673"/>
      <c r="N1375" s="673"/>
      <c r="O1375" s="673"/>
    </row>
    <row r="1376" spans="2:15" ht="15.75" x14ac:dyDescent="0.2">
      <c r="B1376" s="8">
        <v>1</v>
      </c>
      <c r="C1376" s="687" t="s">
        <v>25</v>
      </c>
      <c r="D1376" s="688"/>
      <c r="E1376" s="688"/>
      <c r="F1376" s="688"/>
      <c r="G1376" s="688"/>
      <c r="H1376" s="688"/>
      <c r="I1376" s="138">
        <f>I1440+I1433+I1430+I1420+I1408+I1377</f>
        <v>5673545</v>
      </c>
      <c r="J1376" s="138">
        <f>J1440+J1433+J1430+J1420+J1408+J1377</f>
        <v>5699085</v>
      </c>
      <c r="K1376" s="138">
        <f>K1440+K1433+K1430+K1420+K1408+K1377</f>
        <v>5911085</v>
      </c>
      <c r="L1376" s="617"/>
      <c r="M1376" s="138">
        <f>M1440+M1433+M1430+M1420+M1408+M1377</f>
        <v>817500</v>
      </c>
      <c r="N1376" s="138"/>
      <c r="O1376" s="138"/>
    </row>
    <row r="1377" spans="2:15" ht="15.75" x14ac:dyDescent="0.25">
      <c r="B1377" s="8">
        <f>B1376+1</f>
        <v>2</v>
      </c>
      <c r="C1377" s="141">
        <v>1</v>
      </c>
      <c r="D1377" s="677" t="s">
        <v>203</v>
      </c>
      <c r="E1377" s="678"/>
      <c r="F1377" s="678"/>
      <c r="G1377" s="678"/>
      <c r="H1377" s="678"/>
      <c r="I1377" s="142">
        <f>I1386+I1378</f>
        <v>1475880</v>
      </c>
      <c r="J1377" s="142">
        <f>J1386+J1378</f>
        <v>1504420</v>
      </c>
      <c r="K1377" s="142">
        <f>K1386+K1378</f>
        <v>1613420</v>
      </c>
      <c r="L1377" s="618"/>
      <c r="M1377" s="142">
        <f>M1380+M1386</f>
        <v>550000</v>
      </c>
      <c r="N1377" s="142"/>
      <c r="O1377" s="142"/>
    </row>
    <row r="1378" spans="2:15" x14ac:dyDescent="0.2">
      <c r="B1378" s="8">
        <f t="shared" ref="B1378:B1390" si="69">B1377+1</f>
        <v>3</v>
      </c>
      <c r="C1378" s="24"/>
      <c r="D1378" s="24"/>
      <c r="E1378" s="24"/>
      <c r="F1378" s="149" t="s">
        <v>202</v>
      </c>
      <c r="G1378" s="150">
        <v>630</v>
      </c>
      <c r="H1378" s="24" t="s">
        <v>131</v>
      </c>
      <c r="I1378" s="25">
        <f>I1379</f>
        <v>500</v>
      </c>
      <c r="J1378" s="25">
        <f>J1379</f>
        <v>500</v>
      </c>
      <c r="K1378" s="25">
        <f>K1379</f>
        <v>500</v>
      </c>
      <c r="L1378" s="620"/>
      <c r="M1378" s="25"/>
      <c r="N1378" s="25"/>
      <c r="O1378" s="25"/>
    </row>
    <row r="1379" spans="2:15" x14ac:dyDescent="0.2">
      <c r="B1379" s="8">
        <f t="shared" si="69"/>
        <v>4</v>
      </c>
      <c r="C1379" s="18"/>
      <c r="D1379" s="18"/>
      <c r="E1379" s="18"/>
      <c r="F1379" s="152"/>
      <c r="G1379" s="153">
        <v>637</v>
      </c>
      <c r="H1379" s="18" t="s">
        <v>132</v>
      </c>
      <c r="I1379" s="19">
        <v>500</v>
      </c>
      <c r="J1379" s="19">
        <v>500</v>
      </c>
      <c r="K1379" s="19">
        <v>500</v>
      </c>
      <c r="L1379" s="621"/>
      <c r="M1379" s="19"/>
      <c r="N1379" s="19"/>
      <c r="O1379" s="19"/>
    </row>
    <row r="1380" spans="2:15" x14ac:dyDescent="0.2">
      <c r="B1380" s="8">
        <f t="shared" si="69"/>
        <v>5</v>
      </c>
      <c r="C1380" s="24"/>
      <c r="D1380" s="24"/>
      <c r="E1380" s="24"/>
      <c r="F1380" s="149" t="s">
        <v>202</v>
      </c>
      <c r="G1380" s="150">
        <v>710</v>
      </c>
      <c r="H1380" s="24" t="s">
        <v>185</v>
      </c>
      <c r="I1380" s="25"/>
      <c r="J1380" s="25"/>
      <c r="K1380" s="25"/>
      <c r="L1380" s="620"/>
      <c r="M1380" s="25">
        <f>M1381+M1383</f>
        <v>550000</v>
      </c>
      <c r="N1380" s="25"/>
      <c r="O1380" s="25"/>
    </row>
    <row r="1381" spans="2:15" x14ac:dyDescent="0.2">
      <c r="B1381" s="8">
        <f t="shared" si="69"/>
        <v>6</v>
      </c>
      <c r="C1381" s="18"/>
      <c r="D1381" s="18"/>
      <c r="E1381" s="18"/>
      <c r="F1381" s="152"/>
      <c r="G1381" s="153">
        <v>716</v>
      </c>
      <c r="H1381" s="18" t="s">
        <v>226</v>
      </c>
      <c r="I1381" s="19"/>
      <c r="J1381" s="19"/>
      <c r="K1381" s="19"/>
      <c r="L1381" s="621"/>
      <c r="M1381" s="19">
        <f>SUM(M1382:M1382)</f>
        <v>45000</v>
      </c>
      <c r="N1381" s="19"/>
      <c r="O1381" s="19"/>
    </row>
    <row r="1382" spans="2:15" x14ac:dyDescent="0.2">
      <c r="B1382" s="8">
        <f t="shared" si="69"/>
        <v>7</v>
      </c>
      <c r="C1382" s="120"/>
      <c r="D1382" s="120"/>
      <c r="E1382" s="120"/>
      <c r="F1382" s="298"/>
      <c r="G1382" s="298"/>
      <c r="H1382" s="156" t="s">
        <v>1029</v>
      </c>
      <c r="I1382" s="157"/>
      <c r="J1382" s="157"/>
      <c r="K1382" s="157"/>
      <c r="L1382" s="614"/>
      <c r="M1382" s="157">
        <v>45000</v>
      </c>
      <c r="N1382" s="157"/>
      <c r="O1382" s="157"/>
    </row>
    <row r="1383" spans="2:15" x14ac:dyDescent="0.2">
      <c r="B1383" s="8">
        <f t="shared" si="69"/>
        <v>8</v>
      </c>
      <c r="C1383" s="18"/>
      <c r="D1383" s="18"/>
      <c r="E1383" s="18"/>
      <c r="F1383" s="152"/>
      <c r="G1383" s="153">
        <v>717</v>
      </c>
      <c r="H1383" s="18" t="s">
        <v>192</v>
      </c>
      <c r="I1383" s="19"/>
      <c r="J1383" s="19"/>
      <c r="K1383" s="19"/>
      <c r="L1383" s="621"/>
      <c r="M1383" s="19">
        <f>SUM(M1384:M1385)</f>
        <v>505000</v>
      </c>
      <c r="N1383" s="19"/>
      <c r="O1383" s="19"/>
    </row>
    <row r="1384" spans="2:15" x14ac:dyDescent="0.2">
      <c r="B1384" s="8">
        <f t="shared" si="69"/>
        <v>9</v>
      </c>
      <c r="C1384" s="120"/>
      <c r="D1384" s="120"/>
      <c r="E1384" s="120"/>
      <c r="F1384" s="298"/>
      <c r="G1384" s="298"/>
      <c r="H1384" s="156" t="s">
        <v>935</v>
      </c>
      <c r="I1384" s="157"/>
      <c r="J1384" s="157"/>
      <c r="K1384" s="157"/>
      <c r="L1384" s="614"/>
      <c r="M1384" s="157">
        <v>105000</v>
      </c>
      <c r="N1384" s="157"/>
      <c r="O1384" s="157"/>
    </row>
    <row r="1385" spans="2:15" x14ac:dyDescent="0.2">
      <c r="B1385" s="8">
        <f t="shared" si="69"/>
        <v>10</v>
      </c>
      <c r="C1385" s="120"/>
      <c r="D1385" s="120"/>
      <c r="E1385" s="120"/>
      <c r="F1385" s="298"/>
      <c r="G1385" s="298"/>
      <c r="H1385" s="156" t="s">
        <v>1030</v>
      </c>
      <c r="I1385" s="157"/>
      <c r="J1385" s="157"/>
      <c r="K1385" s="157"/>
      <c r="L1385" s="614"/>
      <c r="M1385" s="157">
        <v>400000</v>
      </c>
      <c r="N1385" s="157"/>
      <c r="O1385" s="157"/>
    </row>
    <row r="1386" spans="2:15" ht="14.25" x14ac:dyDescent="0.2">
      <c r="B1386" s="8">
        <f t="shared" si="69"/>
        <v>11</v>
      </c>
      <c r="C1386" s="267"/>
      <c r="D1386" s="267"/>
      <c r="E1386" s="267">
        <v>2</v>
      </c>
      <c r="F1386" s="268"/>
      <c r="G1386" s="268"/>
      <c r="H1386" s="267" t="s">
        <v>13</v>
      </c>
      <c r="I1386" s="269">
        <f>I1387+I1398</f>
        <v>1475380</v>
      </c>
      <c r="J1386" s="269">
        <f>J1387+J1398</f>
        <v>1503920</v>
      </c>
      <c r="K1386" s="269">
        <f>K1387+K1398</f>
        <v>1612920</v>
      </c>
      <c r="L1386" s="619"/>
      <c r="M1386" s="269"/>
      <c r="N1386" s="269"/>
      <c r="O1386" s="269"/>
    </row>
    <row r="1387" spans="2:15" x14ac:dyDescent="0.2">
      <c r="B1387" s="8">
        <f t="shared" si="69"/>
        <v>12</v>
      </c>
      <c r="C1387" s="280"/>
      <c r="D1387" s="280"/>
      <c r="E1387" s="280"/>
      <c r="F1387" s="281"/>
      <c r="G1387" s="281"/>
      <c r="H1387" s="280" t="s">
        <v>494</v>
      </c>
      <c r="I1387" s="282">
        <f>I1388+I1389+I1390+I1397</f>
        <v>339775</v>
      </c>
      <c r="J1387" s="282">
        <f>J1388+J1389+J1390+J1397</f>
        <v>342020</v>
      </c>
      <c r="K1387" s="282">
        <f>K1388+K1389+K1390+K1397</f>
        <v>345020</v>
      </c>
      <c r="L1387" s="620"/>
      <c r="M1387" s="282"/>
      <c r="N1387" s="282"/>
      <c r="O1387" s="282"/>
    </row>
    <row r="1388" spans="2:15" x14ac:dyDescent="0.2">
      <c r="B1388" s="8">
        <f t="shared" si="69"/>
        <v>13</v>
      </c>
      <c r="C1388" s="24"/>
      <c r="D1388" s="24"/>
      <c r="E1388" s="24"/>
      <c r="F1388" s="149" t="s">
        <v>243</v>
      </c>
      <c r="G1388" s="150">
        <v>610</v>
      </c>
      <c r="H1388" s="24" t="s">
        <v>141</v>
      </c>
      <c r="I1388" s="25">
        <f>35100+81700</f>
        <v>116800</v>
      </c>
      <c r="J1388" s="25">
        <v>118000</v>
      </c>
      <c r="K1388" s="25">
        <v>120000</v>
      </c>
      <c r="L1388" s="620"/>
      <c r="M1388" s="25"/>
      <c r="N1388" s="25"/>
      <c r="O1388" s="25"/>
    </row>
    <row r="1389" spans="2:15" x14ac:dyDescent="0.2">
      <c r="B1389" s="8">
        <f t="shared" si="69"/>
        <v>14</v>
      </c>
      <c r="C1389" s="24"/>
      <c r="D1389" s="24"/>
      <c r="E1389" s="24"/>
      <c r="F1389" s="149" t="s">
        <v>243</v>
      </c>
      <c r="G1389" s="150">
        <v>620</v>
      </c>
      <c r="H1389" s="24" t="s">
        <v>134</v>
      </c>
      <c r="I1389" s="25">
        <f>15900+29055</f>
        <v>44955</v>
      </c>
      <c r="J1389" s="25">
        <v>46000</v>
      </c>
      <c r="K1389" s="25">
        <v>47000</v>
      </c>
      <c r="L1389" s="620"/>
      <c r="M1389" s="25"/>
      <c r="N1389" s="25"/>
      <c r="O1389" s="25"/>
    </row>
    <row r="1390" spans="2:15" x14ac:dyDescent="0.2">
      <c r="B1390" s="8">
        <f t="shared" si="69"/>
        <v>15</v>
      </c>
      <c r="C1390" s="24"/>
      <c r="D1390" s="24"/>
      <c r="E1390" s="24"/>
      <c r="F1390" s="149" t="s">
        <v>243</v>
      </c>
      <c r="G1390" s="150">
        <v>630</v>
      </c>
      <c r="H1390" s="24" t="s">
        <v>131</v>
      </c>
      <c r="I1390" s="25">
        <f>I1396+I1395+I1394+I1393+I1392+I1391</f>
        <v>168900</v>
      </c>
      <c r="J1390" s="25">
        <f>J1396+J1395+J1394+J1393+J1392+J1391</f>
        <v>168900</v>
      </c>
      <c r="K1390" s="25">
        <f>K1396+K1395+K1394+K1393+K1392+K1391</f>
        <v>168900</v>
      </c>
      <c r="L1390" s="620"/>
      <c r="M1390" s="25"/>
      <c r="N1390" s="25"/>
      <c r="O1390" s="25"/>
    </row>
    <row r="1391" spans="2:15" x14ac:dyDescent="0.2">
      <c r="B1391" s="8">
        <f t="shared" ref="B1391:B1427" si="70">B1390+1</f>
        <v>16</v>
      </c>
      <c r="C1391" s="18"/>
      <c r="D1391" s="18"/>
      <c r="E1391" s="18"/>
      <c r="F1391" s="152"/>
      <c r="G1391" s="153">
        <v>632</v>
      </c>
      <c r="H1391" s="18" t="s">
        <v>144</v>
      </c>
      <c r="I1391" s="19">
        <v>3500</v>
      </c>
      <c r="J1391" s="19">
        <v>3500</v>
      </c>
      <c r="K1391" s="19">
        <v>3500</v>
      </c>
      <c r="L1391" s="621"/>
      <c r="M1391" s="19"/>
      <c r="N1391" s="19"/>
      <c r="O1391" s="19"/>
    </row>
    <row r="1392" spans="2:15" x14ac:dyDescent="0.2">
      <c r="B1392" s="8">
        <f t="shared" si="70"/>
        <v>17</v>
      </c>
      <c r="C1392" s="18"/>
      <c r="D1392" s="18"/>
      <c r="E1392" s="18"/>
      <c r="F1392" s="152"/>
      <c r="G1392" s="153">
        <v>633</v>
      </c>
      <c r="H1392" s="18" t="s">
        <v>135</v>
      </c>
      <c r="I1392" s="19">
        <v>20000</v>
      </c>
      <c r="J1392" s="19">
        <v>20000</v>
      </c>
      <c r="K1392" s="19">
        <v>20000</v>
      </c>
      <c r="L1392" s="621"/>
      <c r="M1392" s="19"/>
      <c r="N1392" s="19"/>
      <c r="O1392" s="19"/>
    </row>
    <row r="1393" spans="2:15" x14ac:dyDescent="0.2">
      <c r="B1393" s="8">
        <f t="shared" si="70"/>
        <v>18</v>
      </c>
      <c r="C1393" s="18"/>
      <c r="D1393" s="18"/>
      <c r="E1393" s="18"/>
      <c r="F1393" s="152"/>
      <c r="G1393" s="153">
        <v>634</v>
      </c>
      <c r="H1393" s="18" t="s">
        <v>142</v>
      </c>
      <c r="I1393" s="19">
        <f>2500+2500+1390+3000+110+200</f>
        <v>9700</v>
      </c>
      <c r="J1393" s="19">
        <v>9700</v>
      </c>
      <c r="K1393" s="19">
        <v>9700</v>
      </c>
      <c r="L1393" s="621"/>
      <c r="M1393" s="19"/>
      <c r="N1393" s="19"/>
      <c r="O1393" s="19"/>
    </row>
    <row r="1394" spans="2:15" x14ac:dyDescent="0.2">
      <c r="B1394" s="8">
        <f t="shared" si="70"/>
        <v>19</v>
      </c>
      <c r="C1394" s="18"/>
      <c r="D1394" s="18"/>
      <c r="E1394" s="18"/>
      <c r="F1394" s="152"/>
      <c r="G1394" s="153">
        <v>635</v>
      </c>
      <c r="H1394" s="18" t="s">
        <v>143</v>
      </c>
      <c r="I1394" s="19">
        <v>34000</v>
      </c>
      <c r="J1394" s="19">
        <v>34000</v>
      </c>
      <c r="K1394" s="19">
        <v>34000</v>
      </c>
      <c r="L1394" s="621"/>
      <c r="M1394" s="19"/>
      <c r="N1394" s="19"/>
      <c r="O1394" s="19"/>
    </row>
    <row r="1395" spans="2:15" x14ac:dyDescent="0.2">
      <c r="B1395" s="8">
        <f t="shared" si="70"/>
        <v>20</v>
      </c>
      <c r="C1395" s="18"/>
      <c r="D1395" s="18"/>
      <c r="E1395" s="18"/>
      <c r="F1395" s="152"/>
      <c r="G1395" s="153">
        <v>636</v>
      </c>
      <c r="H1395" s="18" t="s">
        <v>136</v>
      </c>
      <c r="I1395" s="19">
        <f>100+3600</f>
        <v>3700</v>
      </c>
      <c r="J1395" s="19">
        <v>3700</v>
      </c>
      <c r="K1395" s="19">
        <v>3700</v>
      </c>
      <c r="L1395" s="621"/>
      <c r="M1395" s="19"/>
      <c r="N1395" s="19"/>
      <c r="O1395" s="19"/>
    </row>
    <row r="1396" spans="2:15" x14ac:dyDescent="0.2">
      <c r="B1396" s="8">
        <f t="shared" si="70"/>
        <v>21</v>
      </c>
      <c r="C1396" s="18"/>
      <c r="D1396" s="18"/>
      <c r="E1396" s="18"/>
      <c r="F1396" s="152"/>
      <c r="G1396" s="153">
        <v>637</v>
      </c>
      <c r="H1396" s="18" t="s">
        <v>132</v>
      </c>
      <c r="I1396" s="19">
        <v>98000</v>
      </c>
      <c r="J1396" s="19">
        <v>98000</v>
      </c>
      <c r="K1396" s="19">
        <v>98000</v>
      </c>
      <c r="L1396" s="621"/>
      <c r="M1396" s="19"/>
      <c r="N1396" s="19"/>
      <c r="O1396" s="19"/>
    </row>
    <row r="1397" spans="2:15" x14ac:dyDescent="0.2">
      <c r="B1397" s="8">
        <f t="shared" si="70"/>
        <v>22</v>
      </c>
      <c r="C1397" s="24"/>
      <c r="D1397" s="24"/>
      <c r="E1397" s="24"/>
      <c r="F1397" s="149" t="s">
        <v>243</v>
      </c>
      <c r="G1397" s="150">
        <v>640</v>
      </c>
      <c r="H1397" s="24" t="s">
        <v>139</v>
      </c>
      <c r="I1397" s="25">
        <f>200+2720+1400+3500+500+800</f>
        <v>9120</v>
      </c>
      <c r="J1397" s="25">
        <v>9120</v>
      </c>
      <c r="K1397" s="25">
        <v>9120</v>
      </c>
      <c r="L1397" s="620"/>
      <c r="M1397" s="25"/>
      <c r="N1397" s="25"/>
      <c r="O1397" s="25"/>
    </row>
    <row r="1398" spans="2:15" x14ac:dyDescent="0.2">
      <c r="B1398" s="8">
        <f t="shared" si="70"/>
        <v>23</v>
      </c>
      <c r="C1398" s="280"/>
      <c r="D1398" s="280"/>
      <c r="E1398" s="280"/>
      <c r="F1398" s="281"/>
      <c r="G1398" s="281"/>
      <c r="H1398" s="280" t="s">
        <v>203</v>
      </c>
      <c r="I1398" s="282">
        <f>I1399+I1400+I1401+I1407</f>
        <v>1135605</v>
      </c>
      <c r="J1398" s="282">
        <f>J1399+J1400+J1401+J1407</f>
        <v>1161900</v>
      </c>
      <c r="K1398" s="282">
        <f>K1399+K1400+K1401+K1407</f>
        <v>1267900</v>
      </c>
      <c r="L1398" s="620"/>
      <c r="M1398" s="282"/>
      <c r="N1398" s="282"/>
      <c r="O1398" s="282"/>
    </row>
    <row r="1399" spans="2:15" x14ac:dyDescent="0.2">
      <c r="B1399" s="8">
        <f t="shared" si="70"/>
        <v>24</v>
      </c>
      <c r="C1399" s="24"/>
      <c r="D1399" s="24"/>
      <c r="E1399" s="24"/>
      <c r="F1399" s="149" t="s">
        <v>202</v>
      </c>
      <c r="G1399" s="150">
        <v>610</v>
      </c>
      <c r="H1399" s="24" t="s">
        <v>141</v>
      </c>
      <c r="I1399" s="25">
        <v>210500</v>
      </c>
      <c r="J1399" s="25">
        <v>215000</v>
      </c>
      <c r="K1399" s="25">
        <v>220000</v>
      </c>
      <c r="L1399" s="620"/>
      <c r="M1399" s="25"/>
      <c r="N1399" s="25"/>
      <c r="O1399" s="25"/>
    </row>
    <row r="1400" spans="2:15" x14ac:dyDescent="0.2">
      <c r="B1400" s="8">
        <f t="shared" si="70"/>
        <v>25</v>
      </c>
      <c r="C1400" s="24"/>
      <c r="D1400" s="24"/>
      <c r="E1400" s="24"/>
      <c r="F1400" s="149" t="s">
        <v>202</v>
      </c>
      <c r="G1400" s="150">
        <v>620</v>
      </c>
      <c r="H1400" s="24" t="s">
        <v>134</v>
      </c>
      <c r="I1400" s="25">
        <v>82150</v>
      </c>
      <c r="J1400" s="25">
        <v>83000</v>
      </c>
      <c r="K1400" s="25">
        <v>84000</v>
      </c>
      <c r="L1400" s="620"/>
      <c r="M1400" s="25"/>
      <c r="N1400" s="25"/>
      <c r="O1400" s="25"/>
    </row>
    <row r="1401" spans="2:15" x14ac:dyDescent="0.2">
      <c r="B1401" s="8">
        <f t="shared" si="70"/>
        <v>26</v>
      </c>
      <c r="C1401" s="24"/>
      <c r="D1401" s="24"/>
      <c r="E1401" s="24"/>
      <c r="F1401" s="149"/>
      <c r="G1401" s="150">
        <v>630</v>
      </c>
      <c r="H1401" s="24" t="s">
        <v>131</v>
      </c>
      <c r="I1401" s="25">
        <f>I1406+I1405+I1404+I1403+I1402</f>
        <v>827755</v>
      </c>
      <c r="J1401" s="25">
        <f>J1406+J1405+J1404+J1403+J1402</f>
        <v>848700</v>
      </c>
      <c r="K1401" s="25">
        <f>K1406+K1405+K1404+K1403+K1402</f>
        <v>948700</v>
      </c>
      <c r="L1401" s="620"/>
      <c r="M1401" s="25"/>
      <c r="N1401" s="25"/>
      <c r="O1401" s="25"/>
    </row>
    <row r="1402" spans="2:15" x14ac:dyDescent="0.2">
      <c r="B1402" s="8">
        <f t="shared" si="70"/>
        <v>27</v>
      </c>
      <c r="C1402" s="18"/>
      <c r="D1402" s="18"/>
      <c r="E1402" s="18"/>
      <c r="F1402" s="152"/>
      <c r="G1402" s="153">
        <v>633</v>
      </c>
      <c r="H1402" s="18" t="s">
        <v>135</v>
      </c>
      <c r="I1402" s="19">
        <f>6000+353500+2000+12000-200000</f>
        <v>173500</v>
      </c>
      <c r="J1402" s="19">
        <v>173500</v>
      </c>
      <c r="K1402" s="19">
        <v>173500</v>
      </c>
      <c r="L1402" s="621"/>
      <c r="M1402" s="19"/>
      <c r="N1402" s="19"/>
      <c r="O1402" s="19"/>
    </row>
    <row r="1403" spans="2:15" x14ac:dyDescent="0.2">
      <c r="B1403" s="8">
        <f t="shared" si="70"/>
        <v>28</v>
      </c>
      <c r="C1403" s="18"/>
      <c r="D1403" s="18"/>
      <c r="E1403" s="18"/>
      <c r="F1403" s="152"/>
      <c r="G1403" s="153">
        <v>634</v>
      </c>
      <c r="H1403" s="18" t="s">
        <v>142</v>
      </c>
      <c r="I1403" s="19">
        <f>20000+15000+3000+200</f>
        <v>38200</v>
      </c>
      <c r="J1403" s="19">
        <v>38200</v>
      </c>
      <c r="K1403" s="19">
        <v>38200</v>
      </c>
      <c r="L1403" s="621"/>
      <c r="M1403" s="19"/>
      <c r="N1403" s="19"/>
      <c r="O1403" s="19"/>
    </row>
    <row r="1404" spans="2:15" x14ac:dyDescent="0.2">
      <c r="B1404" s="8">
        <f t="shared" si="70"/>
        <v>29</v>
      </c>
      <c r="C1404" s="18"/>
      <c r="D1404" s="18"/>
      <c r="E1404" s="18"/>
      <c r="F1404" s="152"/>
      <c r="G1404" s="153">
        <v>635</v>
      </c>
      <c r="H1404" s="18" t="s">
        <v>143</v>
      </c>
      <c r="I1404" s="19">
        <f>18000+1152130-280935-260000-50000</f>
        <v>579195</v>
      </c>
      <c r="J1404" s="19">
        <v>600000</v>
      </c>
      <c r="K1404" s="19">
        <v>700000</v>
      </c>
      <c r="L1404" s="621"/>
      <c r="M1404" s="19"/>
      <c r="N1404" s="19"/>
      <c r="O1404" s="19"/>
    </row>
    <row r="1405" spans="2:15" x14ac:dyDescent="0.2">
      <c r="B1405" s="8">
        <f t="shared" si="70"/>
        <v>30</v>
      </c>
      <c r="C1405" s="18"/>
      <c r="D1405" s="18"/>
      <c r="E1405" s="18"/>
      <c r="F1405" s="152"/>
      <c r="G1405" s="153">
        <v>636</v>
      </c>
      <c r="H1405" s="18" t="s">
        <v>136</v>
      </c>
      <c r="I1405" s="19">
        <v>500</v>
      </c>
      <c r="J1405" s="19">
        <v>500</v>
      </c>
      <c r="K1405" s="19">
        <v>500</v>
      </c>
      <c r="L1405" s="621"/>
      <c r="M1405" s="19"/>
      <c r="N1405" s="19"/>
      <c r="O1405" s="19"/>
    </row>
    <row r="1406" spans="2:15" x14ac:dyDescent="0.2">
      <c r="B1406" s="8">
        <f t="shared" si="70"/>
        <v>31</v>
      </c>
      <c r="C1406" s="18"/>
      <c r="D1406" s="18"/>
      <c r="E1406" s="18"/>
      <c r="F1406" s="152"/>
      <c r="G1406" s="153">
        <v>637</v>
      </c>
      <c r="H1406" s="18" t="s">
        <v>132</v>
      </c>
      <c r="I1406" s="19">
        <f>1000+12150+4350+2000+1200+3160+12500</f>
        <v>36360</v>
      </c>
      <c r="J1406" s="19">
        <v>36500</v>
      </c>
      <c r="K1406" s="19">
        <v>36500</v>
      </c>
      <c r="L1406" s="621"/>
      <c r="M1406" s="19"/>
      <c r="N1406" s="19"/>
      <c r="O1406" s="19"/>
    </row>
    <row r="1407" spans="2:15" x14ac:dyDescent="0.2">
      <c r="B1407" s="8">
        <f t="shared" si="70"/>
        <v>32</v>
      </c>
      <c r="C1407" s="24"/>
      <c r="D1407" s="24"/>
      <c r="E1407" s="24"/>
      <c r="F1407" s="149" t="s">
        <v>202</v>
      </c>
      <c r="G1407" s="150">
        <v>640</v>
      </c>
      <c r="H1407" s="24" t="s">
        <v>139</v>
      </c>
      <c r="I1407" s="25">
        <f>4400+9800+1000</f>
        <v>15200</v>
      </c>
      <c r="J1407" s="25">
        <v>15200</v>
      </c>
      <c r="K1407" s="25">
        <v>15200</v>
      </c>
      <c r="L1407" s="620"/>
      <c r="M1407" s="25"/>
      <c r="N1407" s="25"/>
      <c r="O1407" s="25"/>
    </row>
    <row r="1408" spans="2:15" ht="15.75" x14ac:dyDescent="0.25">
      <c r="B1408" s="8">
        <f t="shared" si="70"/>
        <v>33</v>
      </c>
      <c r="C1408" s="141">
        <v>2</v>
      </c>
      <c r="D1408" s="677" t="s">
        <v>150</v>
      </c>
      <c r="E1408" s="678"/>
      <c r="F1408" s="678"/>
      <c r="G1408" s="678"/>
      <c r="H1408" s="678"/>
      <c r="I1408" s="142">
        <f>I1417+I1409</f>
        <v>3556300</v>
      </c>
      <c r="J1408" s="142">
        <f>J1417+J1409</f>
        <v>3552300</v>
      </c>
      <c r="K1408" s="142">
        <f>K1417+K1409</f>
        <v>3652300</v>
      </c>
      <c r="L1408" s="618"/>
      <c r="M1408" s="142">
        <f>M1409</f>
        <v>13500</v>
      </c>
      <c r="N1408" s="142"/>
      <c r="O1408" s="142"/>
    </row>
    <row r="1409" spans="2:15" ht="14.25" x14ac:dyDescent="0.2">
      <c r="B1409" s="8">
        <f t="shared" si="70"/>
        <v>34</v>
      </c>
      <c r="C1409" s="160"/>
      <c r="D1409" s="160">
        <v>1</v>
      </c>
      <c r="E1409" s="675" t="s">
        <v>149</v>
      </c>
      <c r="F1409" s="676"/>
      <c r="G1409" s="676"/>
      <c r="H1409" s="676"/>
      <c r="I1409" s="161">
        <f>I1410</f>
        <v>3554000</v>
      </c>
      <c r="J1409" s="161">
        <f>J1410</f>
        <v>3550000</v>
      </c>
      <c r="K1409" s="161">
        <f>K1410</f>
        <v>3650000</v>
      </c>
      <c r="L1409" s="619"/>
      <c r="M1409" s="161">
        <f>M1413</f>
        <v>13500</v>
      </c>
      <c r="N1409" s="161"/>
      <c r="O1409" s="161"/>
    </row>
    <row r="1410" spans="2:15" x14ac:dyDescent="0.2">
      <c r="B1410" s="8">
        <f t="shared" si="70"/>
        <v>35</v>
      </c>
      <c r="C1410" s="24"/>
      <c r="D1410" s="24"/>
      <c r="E1410" s="24"/>
      <c r="F1410" s="149" t="s">
        <v>148</v>
      </c>
      <c r="G1410" s="150">
        <v>630</v>
      </c>
      <c r="H1410" s="24" t="s">
        <v>131</v>
      </c>
      <c r="I1410" s="25">
        <f>SUM(I1411:I1412)</f>
        <v>3554000</v>
      </c>
      <c r="J1410" s="25">
        <f>SUM(J1411:J1412)</f>
        <v>3550000</v>
      </c>
      <c r="K1410" s="25">
        <f>SUM(K1411:K1412)</f>
        <v>3650000</v>
      </c>
      <c r="L1410" s="620"/>
      <c r="M1410" s="25"/>
      <c r="N1410" s="25"/>
      <c r="O1410" s="25"/>
    </row>
    <row r="1411" spans="2:15" x14ac:dyDescent="0.2">
      <c r="B1411" s="8">
        <f t="shared" si="70"/>
        <v>36</v>
      </c>
      <c r="C1411" s="18"/>
      <c r="D1411" s="18"/>
      <c r="E1411" s="18"/>
      <c r="F1411" s="152"/>
      <c r="G1411" s="153">
        <v>635</v>
      </c>
      <c r="H1411" s="18" t="s">
        <v>143</v>
      </c>
      <c r="I1411" s="19">
        <v>4000</v>
      </c>
      <c r="J1411" s="19"/>
      <c r="K1411" s="19"/>
      <c r="L1411" s="621"/>
      <c r="M1411" s="19"/>
      <c r="N1411" s="19"/>
      <c r="O1411" s="19"/>
    </row>
    <row r="1412" spans="2:15" x14ac:dyDescent="0.2">
      <c r="B1412" s="8">
        <f t="shared" si="70"/>
        <v>37</v>
      </c>
      <c r="C1412" s="18"/>
      <c r="D1412" s="18"/>
      <c r="E1412" s="18"/>
      <c r="F1412" s="152"/>
      <c r="G1412" s="153">
        <v>637</v>
      </c>
      <c r="H1412" s="18" t="s">
        <v>132</v>
      </c>
      <c r="I1412" s="19">
        <v>3550000</v>
      </c>
      <c r="J1412" s="19">
        <v>3550000</v>
      </c>
      <c r="K1412" s="19">
        <v>3650000</v>
      </c>
      <c r="L1412" s="621"/>
      <c r="M1412" s="19"/>
      <c r="N1412" s="19"/>
      <c r="O1412" s="19"/>
    </row>
    <row r="1413" spans="2:15" x14ac:dyDescent="0.2">
      <c r="B1413" s="8">
        <f t="shared" si="70"/>
        <v>38</v>
      </c>
      <c r="C1413" s="24"/>
      <c r="D1413" s="24"/>
      <c r="E1413" s="24"/>
      <c r="F1413" s="149" t="s">
        <v>148</v>
      </c>
      <c r="G1413" s="150">
        <v>710</v>
      </c>
      <c r="H1413" s="24" t="s">
        <v>185</v>
      </c>
      <c r="I1413" s="25"/>
      <c r="J1413" s="25"/>
      <c r="K1413" s="25"/>
      <c r="L1413" s="620"/>
      <c r="M1413" s="25">
        <f>M1414+M1417</f>
        <v>13500</v>
      </c>
      <c r="N1413" s="25"/>
      <c r="O1413" s="25"/>
    </row>
    <row r="1414" spans="2:15" x14ac:dyDescent="0.2">
      <c r="B1414" s="8">
        <f t="shared" si="70"/>
        <v>39</v>
      </c>
      <c r="C1414" s="18"/>
      <c r="D1414" s="18"/>
      <c r="E1414" s="18"/>
      <c r="F1414" s="152"/>
      <c r="G1414" s="153">
        <v>716</v>
      </c>
      <c r="H1414" s="18" t="s">
        <v>226</v>
      </c>
      <c r="I1414" s="19"/>
      <c r="J1414" s="19"/>
      <c r="K1414" s="19"/>
      <c r="L1414" s="621"/>
      <c r="M1414" s="19">
        <f>M1415+M1416</f>
        <v>13500</v>
      </c>
      <c r="N1414" s="19"/>
      <c r="O1414" s="19"/>
    </row>
    <row r="1415" spans="2:15" x14ac:dyDescent="0.2">
      <c r="B1415" s="8">
        <f t="shared" si="70"/>
        <v>40</v>
      </c>
      <c r="C1415" s="120"/>
      <c r="D1415" s="120"/>
      <c r="E1415" s="120"/>
      <c r="F1415" s="298"/>
      <c r="G1415" s="298"/>
      <c r="H1415" s="156" t="s">
        <v>306</v>
      </c>
      <c r="I1415" s="157"/>
      <c r="J1415" s="157"/>
      <c r="K1415" s="157"/>
      <c r="L1415" s="614"/>
      <c r="M1415" s="157">
        <v>10000</v>
      </c>
      <c r="N1415" s="157"/>
      <c r="O1415" s="157"/>
    </row>
    <row r="1416" spans="2:15" x14ac:dyDescent="0.2">
      <c r="B1416" s="8">
        <f t="shared" si="70"/>
        <v>41</v>
      </c>
      <c r="C1416" s="120"/>
      <c r="D1416" s="120"/>
      <c r="E1416" s="120"/>
      <c r="F1416" s="298"/>
      <c r="G1416" s="298"/>
      <c r="H1416" s="156" t="s">
        <v>1200</v>
      </c>
      <c r="I1416" s="157"/>
      <c r="J1416" s="157"/>
      <c r="K1416" s="157"/>
      <c r="L1416" s="614"/>
      <c r="M1416" s="157">
        <v>3500</v>
      </c>
      <c r="N1416" s="157"/>
      <c r="O1416" s="157"/>
    </row>
    <row r="1417" spans="2:15" ht="14.25" x14ac:dyDescent="0.2">
      <c r="B1417" s="8">
        <f t="shared" si="70"/>
        <v>42</v>
      </c>
      <c r="C1417" s="160"/>
      <c r="D1417" s="160">
        <v>2</v>
      </c>
      <c r="E1417" s="675" t="s">
        <v>252</v>
      </c>
      <c r="F1417" s="676"/>
      <c r="G1417" s="676"/>
      <c r="H1417" s="676"/>
      <c r="I1417" s="161">
        <f t="shared" ref="I1417:K1418" si="71">I1418</f>
        <v>2300</v>
      </c>
      <c r="J1417" s="161">
        <f t="shared" si="71"/>
        <v>2300</v>
      </c>
      <c r="K1417" s="161">
        <f t="shared" si="71"/>
        <v>2300</v>
      </c>
      <c r="L1417" s="619"/>
      <c r="M1417" s="161"/>
      <c r="N1417" s="161"/>
      <c r="O1417" s="161"/>
    </row>
    <row r="1418" spans="2:15" x14ac:dyDescent="0.2">
      <c r="B1418" s="8">
        <f t="shared" si="70"/>
        <v>43</v>
      </c>
      <c r="C1418" s="24"/>
      <c r="D1418" s="24"/>
      <c r="E1418" s="24"/>
      <c r="F1418" s="149" t="s">
        <v>148</v>
      </c>
      <c r="G1418" s="150">
        <v>630</v>
      </c>
      <c r="H1418" s="24" t="s">
        <v>131</v>
      </c>
      <c r="I1418" s="25">
        <f t="shared" si="71"/>
        <v>2300</v>
      </c>
      <c r="J1418" s="25">
        <f t="shared" si="71"/>
        <v>2300</v>
      </c>
      <c r="K1418" s="25">
        <f t="shared" si="71"/>
        <v>2300</v>
      </c>
      <c r="L1418" s="620"/>
      <c r="M1418" s="25"/>
      <c r="N1418" s="25"/>
      <c r="O1418" s="25"/>
    </row>
    <row r="1419" spans="2:15" x14ac:dyDescent="0.2">
      <c r="B1419" s="8">
        <f t="shared" si="70"/>
        <v>44</v>
      </c>
      <c r="C1419" s="18"/>
      <c r="D1419" s="18"/>
      <c r="E1419" s="18"/>
      <c r="F1419" s="152"/>
      <c r="G1419" s="153">
        <v>637</v>
      </c>
      <c r="H1419" s="18" t="s">
        <v>132</v>
      </c>
      <c r="I1419" s="19">
        <v>2300</v>
      </c>
      <c r="J1419" s="19">
        <v>2300</v>
      </c>
      <c r="K1419" s="19">
        <v>2300</v>
      </c>
      <c r="L1419" s="621"/>
      <c r="M1419" s="19"/>
      <c r="N1419" s="19"/>
      <c r="O1419" s="19"/>
    </row>
    <row r="1420" spans="2:15" ht="15.75" x14ac:dyDescent="0.25">
      <c r="B1420" s="8">
        <f t="shared" si="70"/>
        <v>45</v>
      </c>
      <c r="C1420" s="141">
        <v>3</v>
      </c>
      <c r="D1420" s="677" t="s">
        <v>254</v>
      </c>
      <c r="E1420" s="678"/>
      <c r="F1420" s="678"/>
      <c r="G1420" s="678"/>
      <c r="H1420" s="678"/>
      <c r="I1420" s="142">
        <f>I1421+I1424+I1427</f>
        <v>49100</v>
      </c>
      <c r="J1420" s="142">
        <f>J1421+J1424+J1427</f>
        <v>49100</v>
      </c>
      <c r="K1420" s="142">
        <f>K1421+K1424+K1427</f>
        <v>49100</v>
      </c>
      <c r="L1420" s="618"/>
      <c r="M1420" s="142"/>
      <c r="N1420" s="142"/>
      <c r="O1420" s="142"/>
    </row>
    <row r="1421" spans="2:15" x14ac:dyDescent="0.2">
      <c r="B1421" s="8">
        <f t="shared" si="70"/>
        <v>46</v>
      </c>
      <c r="C1421" s="24"/>
      <c r="D1421" s="24"/>
      <c r="E1421" s="24"/>
      <c r="F1421" s="149" t="s">
        <v>253</v>
      </c>
      <c r="G1421" s="150">
        <v>630</v>
      </c>
      <c r="H1421" s="24" t="s">
        <v>131</v>
      </c>
      <c r="I1421" s="25">
        <f>I1423+I1422</f>
        <v>27600</v>
      </c>
      <c r="J1421" s="25">
        <f>J1423+J1422</f>
        <v>27600</v>
      </c>
      <c r="K1421" s="25">
        <f>K1423+K1422</f>
        <v>27600</v>
      </c>
      <c r="L1421" s="620"/>
      <c r="M1421" s="25"/>
      <c r="N1421" s="25"/>
      <c r="O1421" s="25"/>
    </row>
    <row r="1422" spans="2:15" x14ac:dyDescent="0.2">
      <c r="B1422" s="8">
        <f t="shared" si="70"/>
        <v>47</v>
      </c>
      <c r="C1422" s="18"/>
      <c r="D1422" s="18"/>
      <c r="E1422" s="18"/>
      <c r="F1422" s="152"/>
      <c r="G1422" s="153">
        <v>633</v>
      </c>
      <c r="H1422" s="18" t="s">
        <v>135</v>
      </c>
      <c r="I1422" s="19">
        <v>100</v>
      </c>
      <c r="J1422" s="19">
        <v>100</v>
      </c>
      <c r="K1422" s="19">
        <v>100</v>
      </c>
      <c r="L1422" s="621"/>
      <c r="M1422" s="19"/>
      <c r="N1422" s="19"/>
      <c r="O1422" s="19"/>
    </row>
    <row r="1423" spans="2:15" x14ac:dyDescent="0.2">
      <c r="B1423" s="8">
        <f t="shared" si="70"/>
        <v>48</v>
      </c>
      <c r="C1423" s="18"/>
      <c r="D1423" s="18"/>
      <c r="E1423" s="18"/>
      <c r="F1423" s="152"/>
      <c r="G1423" s="153">
        <v>637</v>
      </c>
      <c r="H1423" s="18" t="s">
        <v>132</v>
      </c>
      <c r="I1423" s="19">
        <v>27500</v>
      </c>
      <c r="J1423" s="19">
        <v>27500</v>
      </c>
      <c r="K1423" s="19">
        <v>27500</v>
      </c>
      <c r="L1423" s="621"/>
      <c r="M1423" s="19"/>
      <c r="N1423" s="19"/>
      <c r="O1423" s="19"/>
    </row>
    <row r="1424" spans="2:15" x14ac:dyDescent="0.2">
      <c r="B1424" s="8">
        <f t="shared" si="70"/>
        <v>49</v>
      </c>
      <c r="C1424" s="24"/>
      <c r="D1424" s="24"/>
      <c r="E1424" s="24"/>
      <c r="F1424" s="149" t="s">
        <v>253</v>
      </c>
      <c r="G1424" s="150">
        <v>640</v>
      </c>
      <c r="H1424" s="24" t="s">
        <v>139</v>
      </c>
      <c r="I1424" s="25">
        <f>SUM(I1425:I1426)</f>
        <v>12000</v>
      </c>
      <c r="J1424" s="25">
        <f>SUM(J1425:J1426)</f>
        <v>12000</v>
      </c>
      <c r="K1424" s="25">
        <f>SUM(K1425:K1426)</f>
        <v>12000</v>
      </c>
      <c r="L1424" s="620"/>
      <c r="M1424" s="25"/>
      <c r="N1424" s="25"/>
      <c r="O1424" s="25"/>
    </row>
    <row r="1425" spans="2:15" x14ac:dyDescent="0.2">
      <c r="B1425" s="8">
        <f t="shared" si="70"/>
        <v>50</v>
      </c>
      <c r="C1425" s="120"/>
      <c r="D1425" s="120"/>
      <c r="E1425" s="120"/>
      <c r="F1425" s="298"/>
      <c r="G1425" s="298"/>
      <c r="H1425" s="156" t="s">
        <v>553</v>
      </c>
      <c r="I1425" s="157">
        <v>10000</v>
      </c>
      <c r="J1425" s="157">
        <v>10000</v>
      </c>
      <c r="K1425" s="157">
        <v>10000</v>
      </c>
      <c r="L1425" s="614"/>
      <c r="M1425" s="157"/>
      <c r="N1425" s="157"/>
      <c r="O1425" s="157"/>
    </row>
    <row r="1426" spans="2:15" x14ac:dyDescent="0.2">
      <c r="B1426" s="8">
        <f t="shared" si="70"/>
        <v>51</v>
      </c>
      <c r="C1426" s="120"/>
      <c r="D1426" s="120"/>
      <c r="E1426" s="120"/>
      <c r="F1426" s="298"/>
      <c r="G1426" s="298"/>
      <c r="H1426" s="246" t="s">
        <v>1083</v>
      </c>
      <c r="I1426" s="157">
        <v>2000</v>
      </c>
      <c r="J1426" s="157">
        <v>2000</v>
      </c>
      <c r="K1426" s="157">
        <v>2000</v>
      </c>
      <c r="L1426" s="614"/>
      <c r="M1426" s="157"/>
      <c r="N1426" s="157"/>
      <c r="O1426" s="157"/>
    </row>
    <row r="1427" spans="2:15" ht="12.75" customHeight="1" x14ac:dyDescent="0.2">
      <c r="B1427" s="8">
        <f t="shared" si="70"/>
        <v>52</v>
      </c>
      <c r="C1427" s="267"/>
      <c r="D1427" s="267"/>
      <c r="E1427" s="267">
        <v>2</v>
      </c>
      <c r="F1427" s="268"/>
      <c r="G1427" s="268"/>
      <c r="H1427" s="267" t="s">
        <v>13</v>
      </c>
      <c r="I1427" s="269">
        <f t="shared" ref="I1427:K1428" si="72">I1428</f>
        <v>9500</v>
      </c>
      <c r="J1427" s="269">
        <f t="shared" si="72"/>
        <v>9500</v>
      </c>
      <c r="K1427" s="269">
        <f t="shared" si="72"/>
        <v>9500</v>
      </c>
      <c r="L1427" s="619"/>
      <c r="M1427" s="269"/>
      <c r="N1427" s="269"/>
      <c r="O1427" s="269"/>
    </row>
    <row r="1428" spans="2:15" x14ac:dyDescent="0.2">
      <c r="B1428" s="8">
        <f t="shared" ref="B1428:B1457" si="73">B1427+1</f>
        <v>53</v>
      </c>
      <c r="C1428" s="24"/>
      <c r="D1428" s="24"/>
      <c r="E1428" s="24"/>
      <c r="F1428" s="149" t="s">
        <v>202</v>
      </c>
      <c r="G1428" s="150">
        <v>630</v>
      </c>
      <c r="H1428" s="24" t="s">
        <v>131</v>
      </c>
      <c r="I1428" s="25">
        <f t="shared" si="72"/>
        <v>9500</v>
      </c>
      <c r="J1428" s="25">
        <f t="shared" si="72"/>
        <v>9500</v>
      </c>
      <c r="K1428" s="25">
        <f t="shared" si="72"/>
        <v>9500</v>
      </c>
      <c r="L1428" s="620"/>
      <c r="M1428" s="25"/>
      <c r="N1428" s="25"/>
      <c r="O1428" s="25"/>
    </row>
    <row r="1429" spans="2:15" x14ac:dyDescent="0.2">
      <c r="B1429" s="8">
        <f t="shared" si="73"/>
        <v>54</v>
      </c>
      <c r="C1429" s="18"/>
      <c r="D1429" s="18"/>
      <c r="E1429" s="18"/>
      <c r="F1429" s="152"/>
      <c r="G1429" s="153">
        <v>635</v>
      </c>
      <c r="H1429" s="18" t="s">
        <v>143</v>
      </c>
      <c r="I1429" s="19">
        <v>9500</v>
      </c>
      <c r="J1429" s="19">
        <v>9500</v>
      </c>
      <c r="K1429" s="19">
        <v>9500</v>
      </c>
      <c r="L1429" s="621"/>
      <c r="M1429" s="19"/>
      <c r="N1429" s="19"/>
      <c r="O1429" s="19"/>
    </row>
    <row r="1430" spans="2:15" ht="15.75" x14ac:dyDescent="0.25">
      <c r="B1430" s="8">
        <f t="shared" si="73"/>
        <v>55</v>
      </c>
      <c r="C1430" s="141">
        <v>4</v>
      </c>
      <c r="D1430" s="677" t="s">
        <v>68</v>
      </c>
      <c r="E1430" s="678"/>
      <c r="F1430" s="678"/>
      <c r="G1430" s="678"/>
      <c r="H1430" s="678"/>
      <c r="I1430" s="142">
        <f t="shared" ref="I1430:K1431" si="74">I1431</f>
        <v>25000</v>
      </c>
      <c r="J1430" s="142">
        <f t="shared" si="74"/>
        <v>25000</v>
      </c>
      <c r="K1430" s="142">
        <f t="shared" si="74"/>
        <v>25000</v>
      </c>
      <c r="L1430" s="618"/>
      <c r="M1430" s="142"/>
      <c r="N1430" s="142"/>
      <c r="O1430" s="142"/>
    </row>
    <row r="1431" spans="2:15" x14ac:dyDescent="0.2">
      <c r="B1431" s="8">
        <f t="shared" si="73"/>
        <v>56</v>
      </c>
      <c r="C1431" s="24"/>
      <c r="D1431" s="24"/>
      <c r="E1431" s="24"/>
      <c r="F1431" s="149" t="s">
        <v>202</v>
      </c>
      <c r="G1431" s="150">
        <v>640</v>
      </c>
      <c r="H1431" s="24" t="s">
        <v>139</v>
      </c>
      <c r="I1431" s="25">
        <f t="shared" si="74"/>
        <v>25000</v>
      </c>
      <c r="J1431" s="25">
        <f t="shared" si="74"/>
        <v>25000</v>
      </c>
      <c r="K1431" s="25">
        <f t="shared" si="74"/>
        <v>25000</v>
      </c>
      <c r="L1431" s="620"/>
      <c r="M1431" s="25"/>
      <c r="N1431" s="25"/>
      <c r="O1431" s="25"/>
    </row>
    <row r="1432" spans="2:15" x14ac:dyDescent="0.2">
      <c r="B1432" s="8">
        <f t="shared" si="73"/>
        <v>57</v>
      </c>
      <c r="C1432" s="120"/>
      <c r="D1432" s="120"/>
      <c r="E1432" s="120"/>
      <c r="F1432" s="298"/>
      <c r="G1432" s="298"/>
      <c r="H1432" s="156" t="s">
        <v>603</v>
      </c>
      <c r="I1432" s="157">
        <v>25000</v>
      </c>
      <c r="J1432" s="157">
        <v>25000</v>
      </c>
      <c r="K1432" s="157">
        <v>25000</v>
      </c>
      <c r="L1432" s="614"/>
      <c r="M1432" s="157"/>
      <c r="N1432" s="157"/>
      <c r="O1432" s="157"/>
    </row>
    <row r="1433" spans="2:15" ht="15.75" x14ac:dyDescent="0.25">
      <c r="B1433" s="8">
        <f t="shared" si="73"/>
        <v>58</v>
      </c>
      <c r="C1433" s="141">
        <v>5</v>
      </c>
      <c r="D1433" s="677" t="s">
        <v>47</v>
      </c>
      <c r="E1433" s="678"/>
      <c r="F1433" s="678"/>
      <c r="G1433" s="678"/>
      <c r="H1433" s="678"/>
      <c r="I1433" s="142">
        <f t="shared" ref="I1433:K1434" si="75">I1434</f>
        <v>47215</v>
      </c>
      <c r="J1433" s="142">
        <f t="shared" si="75"/>
        <v>47215</v>
      </c>
      <c r="K1433" s="142">
        <f t="shared" si="75"/>
        <v>47215</v>
      </c>
      <c r="L1433" s="618"/>
      <c r="M1433" s="142"/>
      <c r="N1433" s="142"/>
      <c r="O1433" s="142"/>
    </row>
    <row r="1434" spans="2:15" ht="14.25" x14ac:dyDescent="0.2">
      <c r="B1434" s="8">
        <f t="shared" si="73"/>
        <v>59</v>
      </c>
      <c r="C1434" s="267"/>
      <c r="D1434" s="267"/>
      <c r="E1434" s="267">
        <v>2</v>
      </c>
      <c r="F1434" s="268"/>
      <c r="G1434" s="268"/>
      <c r="H1434" s="267" t="s">
        <v>13</v>
      </c>
      <c r="I1434" s="269">
        <f t="shared" si="75"/>
        <v>47215</v>
      </c>
      <c r="J1434" s="269">
        <f t="shared" si="75"/>
        <v>47215</v>
      </c>
      <c r="K1434" s="269">
        <f t="shared" si="75"/>
        <v>47215</v>
      </c>
      <c r="L1434" s="619"/>
      <c r="M1434" s="269"/>
      <c r="N1434" s="269"/>
      <c r="O1434" s="269"/>
    </row>
    <row r="1435" spans="2:15" x14ac:dyDescent="0.2">
      <c r="B1435" s="8">
        <f t="shared" si="73"/>
        <v>60</v>
      </c>
      <c r="C1435" s="24"/>
      <c r="D1435" s="24"/>
      <c r="E1435" s="24"/>
      <c r="F1435" s="149" t="s">
        <v>202</v>
      </c>
      <c r="G1435" s="150">
        <v>630</v>
      </c>
      <c r="H1435" s="24" t="s">
        <v>131</v>
      </c>
      <c r="I1435" s="25">
        <f>I1439+I1438+I1437+I1436</f>
        <v>47215</v>
      </c>
      <c r="J1435" s="25">
        <f>J1439+J1438+J1437+J1436</f>
        <v>47215</v>
      </c>
      <c r="K1435" s="25">
        <f>K1439+K1438+K1437+K1436</f>
        <v>47215</v>
      </c>
      <c r="L1435" s="620"/>
      <c r="M1435" s="25"/>
      <c r="N1435" s="25"/>
      <c r="O1435" s="25"/>
    </row>
    <row r="1436" spans="2:15" x14ac:dyDescent="0.2">
      <c r="B1436" s="8">
        <f t="shared" si="73"/>
        <v>61</v>
      </c>
      <c r="C1436" s="18"/>
      <c r="D1436" s="18"/>
      <c r="E1436" s="18"/>
      <c r="F1436" s="152"/>
      <c r="G1436" s="153">
        <v>632</v>
      </c>
      <c r="H1436" s="18" t="s">
        <v>144</v>
      </c>
      <c r="I1436" s="19">
        <f>3000+8500</f>
        <v>11500</v>
      </c>
      <c r="J1436" s="19">
        <v>11500</v>
      </c>
      <c r="K1436" s="19">
        <v>11500</v>
      </c>
      <c r="L1436" s="621"/>
      <c r="M1436" s="19"/>
      <c r="N1436" s="19"/>
      <c r="O1436" s="19"/>
    </row>
    <row r="1437" spans="2:15" x14ac:dyDescent="0.2">
      <c r="B1437" s="8">
        <f t="shared" si="73"/>
        <v>62</v>
      </c>
      <c r="C1437" s="18"/>
      <c r="D1437" s="18"/>
      <c r="E1437" s="18"/>
      <c r="F1437" s="152"/>
      <c r="G1437" s="153">
        <v>633</v>
      </c>
      <c r="H1437" s="18" t="s">
        <v>135</v>
      </c>
      <c r="I1437" s="19">
        <f>4000+8000</f>
        <v>12000</v>
      </c>
      <c r="J1437" s="19">
        <v>12000</v>
      </c>
      <c r="K1437" s="19">
        <v>12000</v>
      </c>
      <c r="L1437" s="621"/>
      <c r="M1437" s="19"/>
      <c r="N1437" s="19"/>
      <c r="O1437" s="19"/>
    </row>
    <row r="1438" spans="2:15" x14ac:dyDescent="0.2">
      <c r="B1438" s="8">
        <f t="shared" si="73"/>
        <v>63</v>
      </c>
      <c r="C1438" s="18"/>
      <c r="D1438" s="18"/>
      <c r="E1438" s="18"/>
      <c r="F1438" s="152"/>
      <c r="G1438" s="153">
        <v>635</v>
      </c>
      <c r="H1438" s="18" t="s">
        <v>143</v>
      </c>
      <c r="I1438" s="19">
        <f>22000-2485</f>
        <v>19515</v>
      </c>
      <c r="J1438" s="19">
        <v>19515</v>
      </c>
      <c r="K1438" s="19">
        <v>19515</v>
      </c>
      <c r="L1438" s="621"/>
      <c r="M1438" s="19"/>
      <c r="N1438" s="19"/>
      <c r="O1438" s="19"/>
    </row>
    <row r="1439" spans="2:15" x14ac:dyDescent="0.2">
      <c r="B1439" s="8">
        <f t="shared" si="73"/>
        <v>64</v>
      </c>
      <c r="C1439" s="18"/>
      <c r="D1439" s="18"/>
      <c r="E1439" s="18"/>
      <c r="F1439" s="152"/>
      <c r="G1439" s="153">
        <v>637</v>
      </c>
      <c r="H1439" s="18" t="s">
        <v>132</v>
      </c>
      <c r="I1439" s="19">
        <f>4000+200</f>
        <v>4200</v>
      </c>
      <c r="J1439" s="19">
        <v>4200</v>
      </c>
      <c r="K1439" s="19">
        <v>4200</v>
      </c>
      <c r="L1439" s="621"/>
      <c r="M1439" s="19"/>
      <c r="N1439" s="19"/>
      <c r="O1439" s="19"/>
    </row>
    <row r="1440" spans="2:15" ht="15.75" x14ac:dyDescent="0.25">
      <c r="B1440" s="8">
        <f t="shared" si="73"/>
        <v>65</v>
      </c>
      <c r="C1440" s="141">
        <v>6</v>
      </c>
      <c r="D1440" s="677" t="s">
        <v>61</v>
      </c>
      <c r="E1440" s="678"/>
      <c r="F1440" s="678"/>
      <c r="G1440" s="678"/>
      <c r="H1440" s="678"/>
      <c r="I1440" s="142">
        <f t="shared" ref="I1440:M1440" si="76">I1441</f>
        <v>520050</v>
      </c>
      <c r="J1440" s="142">
        <f t="shared" si="76"/>
        <v>521050</v>
      </c>
      <c r="K1440" s="142">
        <f t="shared" si="76"/>
        <v>524050</v>
      </c>
      <c r="L1440" s="618"/>
      <c r="M1440" s="142">
        <f t="shared" si="76"/>
        <v>254000</v>
      </c>
      <c r="N1440" s="142"/>
      <c r="O1440" s="142"/>
    </row>
    <row r="1441" spans="2:15" ht="14.25" x14ac:dyDescent="0.2">
      <c r="B1441" s="8">
        <f t="shared" si="73"/>
        <v>66</v>
      </c>
      <c r="C1441" s="267"/>
      <c r="D1441" s="267"/>
      <c r="E1441" s="267">
        <v>2</v>
      </c>
      <c r="F1441" s="268"/>
      <c r="G1441" s="268"/>
      <c r="H1441" s="267" t="s">
        <v>13</v>
      </c>
      <c r="I1441" s="269">
        <f>I1442+I1443+I1444+I1451</f>
        <v>520050</v>
      </c>
      <c r="J1441" s="269">
        <f>J1442+J1443+J1444+J1451</f>
        <v>521050</v>
      </c>
      <c r="K1441" s="269">
        <f>K1442+K1443+K1444+K1451</f>
        <v>524050</v>
      </c>
      <c r="L1441" s="619"/>
      <c r="M1441" s="269">
        <f>M1452</f>
        <v>254000</v>
      </c>
      <c r="N1441" s="269"/>
      <c r="O1441" s="269"/>
    </row>
    <row r="1442" spans="2:15" x14ac:dyDescent="0.2">
      <c r="B1442" s="8">
        <f t="shared" si="73"/>
        <v>67</v>
      </c>
      <c r="C1442" s="24"/>
      <c r="D1442" s="24"/>
      <c r="E1442" s="24"/>
      <c r="F1442" s="149" t="s">
        <v>202</v>
      </c>
      <c r="G1442" s="150">
        <v>610</v>
      </c>
      <c r="H1442" s="24" t="s">
        <v>141</v>
      </c>
      <c r="I1442" s="25">
        <v>293500</v>
      </c>
      <c r="J1442" s="25">
        <v>294000</v>
      </c>
      <c r="K1442" s="25">
        <v>296000</v>
      </c>
      <c r="L1442" s="620"/>
      <c r="M1442" s="25"/>
      <c r="N1442" s="25"/>
      <c r="O1442" s="25"/>
    </row>
    <row r="1443" spans="2:15" x14ac:dyDescent="0.2">
      <c r="B1443" s="8">
        <f t="shared" si="73"/>
        <v>68</v>
      </c>
      <c r="C1443" s="24"/>
      <c r="D1443" s="24"/>
      <c r="E1443" s="24"/>
      <c r="F1443" s="149" t="s">
        <v>202</v>
      </c>
      <c r="G1443" s="150">
        <v>620</v>
      </c>
      <c r="H1443" s="24" t="s">
        <v>134</v>
      </c>
      <c r="I1443" s="25">
        <v>110500</v>
      </c>
      <c r="J1443" s="25">
        <v>111000</v>
      </c>
      <c r="K1443" s="25">
        <v>112000</v>
      </c>
      <c r="L1443" s="620"/>
      <c r="M1443" s="25"/>
      <c r="N1443" s="25"/>
      <c r="O1443" s="25"/>
    </row>
    <row r="1444" spans="2:15" x14ac:dyDescent="0.2">
      <c r="B1444" s="8">
        <f t="shared" si="73"/>
        <v>69</v>
      </c>
      <c r="C1444" s="24"/>
      <c r="D1444" s="24"/>
      <c r="E1444" s="24"/>
      <c r="F1444" s="149" t="s">
        <v>202</v>
      </c>
      <c r="G1444" s="150">
        <v>630</v>
      </c>
      <c r="H1444" s="24" t="s">
        <v>131</v>
      </c>
      <c r="I1444" s="25">
        <f>I1450+I1449+I1448+I1447+I1446+I1445</f>
        <v>102050</v>
      </c>
      <c r="J1444" s="25">
        <f>J1450+J1449+J1448+J1447+J1446+J1445</f>
        <v>102050</v>
      </c>
      <c r="K1444" s="25">
        <f>K1450+K1449+K1448+K1447+K1446+K1445</f>
        <v>102050</v>
      </c>
      <c r="L1444" s="620"/>
      <c r="M1444" s="25"/>
      <c r="N1444" s="25"/>
      <c r="O1444" s="25"/>
    </row>
    <row r="1445" spans="2:15" x14ac:dyDescent="0.2">
      <c r="B1445" s="8">
        <f t="shared" si="73"/>
        <v>70</v>
      </c>
      <c r="C1445" s="18"/>
      <c r="D1445" s="18"/>
      <c r="E1445" s="18"/>
      <c r="F1445" s="152"/>
      <c r="G1445" s="153">
        <v>631</v>
      </c>
      <c r="H1445" s="18" t="s">
        <v>137</v>
      </c>
      <c r="I1445" s="19">
        <f>800+200</f>
        <v>1000</v>
      </c>
      <c r="J1445" s="19">
        <v>1000</v>
      </c>
      <c r="K1445" s="19">
        <v>1000</v>
      </c>
      <c r="L1445" s="621"/>
      <c r="M1445" s="19"/>
      <c r="N1445" s="19"/>
      <c r="O1445" s="19"/>
    </row>
    <row r="1446" spans="2:15" x14ac:dyDescent="0.2">
      <c r="B1446" s="8">
        <f t="shared" si="73"/>
        <v>71</v>
      </c>
      <c r="C1446" s="18"/>
      <c r="D1446" s="18"/>
      <c r="E1446" s="18"/>
      <c r="F1446" s="152"/>
      <c r="G1446" s="153">
        <v>632</v>
      </c>
      <c r="H1446" s="18" t="s">
        <v>144</v>
      </c>
      <c r="I1446" s="19">
        <v>8500</v>
      </c>
      <c r="J1446" s="19">
        <v>8500</v>
      </c>
      <c r="K1446" s="19">
        <v>8500</v>
      </c>
      <c r="L1446" s="621"/>
      <c r="M1446" s="19"/>
      <c r="N1446" s="19"/>
      <c r="O1446" s="19"/>
    </row>
    <row r="1447" spans="2:15" x14ac:dyDescent="0.2">
      <c r="B1447" s="8">
        <f t="shared" si="73"/>
        <v>72</v>
      </c>
      <c r="C1447" s="18"/>
      <c r="D1447" s="18"/>
      <c r="E1447" s="18"/>
      <c r="F1447" s="152"/>
      <c r="G1447" s="153">
        <v>633</v>
      </c>
      <c r="H1447" s="18" t="s">
        <v>135</v>
      </c>
      <c r="I1447" s="19">
        <v>15000</v>
      </c>
      <c r="J1447" s="19">
        <v>15000</v>
      </c>
      <c r="K1447" s="19">
        <v>15000</v>
      </c>
      <c r="L1447" s="621"/>
      <c r="M1447" s="19"/>
      <c r="N1447" s="19"/>
      <c r="O1447" s="19"/>
    </row>
    <row r="1448" spans="2:15" x14ac:dyDescent="0.2">
      <c r="B1448" s="8">
        <f t="shared" si="73"/>
        <v>73</v>
      </c>
      <c r="C1448" s="18"/>
      <c r="D1448" s="18"/>
      <c r="E1448" s="18"/>
      <c r="F1448" s="152"/>
      <c r="G1448" s="153">
        <v>634</v>
      </c>
      <c r="H1448" s="18" t="s">
        <v>142</v>
      </c>
      <c r="I1448" s="19">
        <f>7500+7000+4500+250</f>
        <v>19250</v>
      </c>
      <c r="J1448" s="19">
        <v>19250</v>
      </c>
      <c r="K1448" s="19">
        <v>19250</v>
      </c>
      <c r="L1448" s="621"/>
      <c r="M1448" s="19"/>
      <c r="N1448" s="19"/>
      <c r="O1448" s="19"/>
    </row>
    <row r="1449" spans="2:15" x14ac:dyDescent="0.2">
      <c r="B1449" s="8">
        <f t="shared" si="73"/>
        <v>74</v>
      </c>
      <c r="C1449" s="18"/>
      <c r="D1449" s="18"/>
      <c r="E1449" s="18"/>
      <c r="F1449" s="152"/>
      <c r="G1449" s="153">
        <v>635</v>
      </c>
      <c r="H1449" s="18" t="s">
        <v>143</v>
      </c>
      <c r="I1449" s="19">
        <v>3300</v>
      </c>
      <c r="J1449" s="19">
        <v>3300</v>
      </c>
      <c r="K1449" s="19">
        <v>3300</v>
      </c>
      <c r="L1449" s="621"/>
      <c r="M1449" s="19"/>
      <c r="N1449" s="19"/>
      <c r="O1449" s="19"/>
    </row>
    <row r="1450" spans="2:15" x14ac:dyDescent="0.2">
      <c r="B1450" s="8">
        <f t="shared" si="73"/>
        <v>75</v>
      </c>
      <c r="C1450" s="18"/>
      <c r="D1450" s="18"/>
      <c r="E1450" s="18"/>
      <c r="F1450" s="152"/>
      <c r="G1450" s="153">
        <v>637</v>
      </c>
      <c r="H1450" s="18" t="s">
        <v>132</v>
      </c>
      <c r="I1450" s="19">
        <v>55000</v>
      </c>
      <c r="J1450" s="19">
        <v>55000</v>
      </c>
      <c r="K1450" s="19">
        <v>55000</v>
      </c>
      <c r="L1450" s="621"/>
      <c r="M1450" s="19"/>
      <c r="N1450" s="19"/>
      <c r="O1450" s="19"/>
    </row>
    <row r="1451" spans="2:15" x14ac:dyDescent="0.2">
      <c r="B1451" s="8">
        <f t="shared" si="73"/>
        <v>76</v>
      </c>
      <c r="C1451" s="24"/>
      <c r="D1451" s="24"/>
      <c r="E1451" s="24"/>
      <c r="F1451" s="149" t="s">
        <v>202</v>
      </c>
      <c r="G1451" s="150">
        <v>640</v>
      </c>
      <c r="H1451" s="24" t="s">
        <v>139</v>
      </c>
      <c r="I1451" s="25">
        <v>14000</v>
      </c>
      <c r="J1451" s="25">
        <v>14000</v>
      </c>
      <c r="K1451" s="25">
        <v>14000</v>
      </c>
      <c r="L1451" s="620"/>
      <c r="M1451" s="25"/>
      <c r="N1451" s="25"/>
      <c r="O1451" s="25"/>
    </row>
    <row r="1452" spans="2:15" x14ac:dyDescent="0.2">
      <c r="B1452" s="8">
        <f t="shared" si="73"/>
        <v>77</v>
      </c>
      <c r="C1452" s="24"/>
      <c r="D1452" s="24"/>
      <c r="E1452" s="24"/>
      <c r="F1452" s="149" t="s">
        <v>202</v>
      </c>
      <c r="G1452" s="150">
        <v>710</v>
      </c>
      <c r="H1452" s="24" t="s">
        <v>185</v>
      </c>
      <c r="I1452" s="25"/>
      <c r="J1452" s="25"/>
      <c r="K1452" s="25"/>
      <c r="L1452" s="620"/>
      <c r="M1452" s="25">
        <f>M1453+M1456</f>
        <v>254000</v>
      </c>
      <c r="N1452" s="25"/>
      <c r="O1452" s="25"/>
    </row>
    <row r="1453" spans="2:15" x14ac:dyDescent="0.2">
      <c r="B1453" s="8">
        <f t="shared" si="73"/>
        <v>78</v>
      </c>
      <c r="C1453" s="489"/>
      <c r="D1453" s="489"/>
      <c r="E1453" s="489"/>
      <c r="F1453" s="490"/>
      <c r="G1453" s="153">
        <v>717</v>
      </c>
      <c r="H1453" s="18" t="s">
        <v>192</v>
      </c>
      <c r="I1453" s="19"/>
      <c r="J1453" s="19"/>
      <c r="K1453" s="19"/>
      <c r="L1453" s="621"/>
      <c r="M1453" s="19">
        <f>M1454+M1455</f>
        <v>235000</v>
      </c>
      <c r="N1453" s="19"/>
      <c r="O1453" s="19"/>
    </row>
    <row r="1454" spans="2:15" x14ac:dyDescent="0.2">
      <c r="B1454" s="8">
        <f t="shared" si="73"/>
        <v>79</v>
      </c>
      <c r="C1454" s="489"/>
      <c r="D1454" s="489"/>
      <c r="E1454" s="489"/>
      <c r="F1454" s="490"/>
      <c r="G1454" s="298"/>
      <c r="H1454" s="156" t="s">
        <v>1091</v>
      </c>
      <c r="I1454" s="157"/>
      <c r="J1454" s="157"/>
      <c r="K1454" s="157"/>
      <c r="L1454" s="614"/>
      <c r="M1454" s="157">
        <v>10000</v>
      </c>
      <c r="N1454" s="157"/>
      <c r="O1454" s="157"/>
    </row>
    <row r="1455" spans="2:15" x14ac:dyDescent="0.2">
      <c r="B1455" s="8">
        <f t="shared" si="73"/>
        <v>80</v>
      </c>
      <c r="C1455" s="489"/>
      <c r="D1455" s="489"/>
      <c r="E1455" s="489"/>
      <c r="F1455" s="490"/>
      <c r="G1455" s="491"/>
      <c r="H1455" s="492" t="s">
        <v>891</v>
      </c>
      <c r="I1455" s="408"/>
      <c r="J1455" s="408"/>
      <c r="K1455" s="408"/>
      <c r="L1455" s="614"/>
      <c r="M1455" s="408">
        <v>225000</v>
      </c>
      <c r="N1455" s="408"/>
      <c r="O1455" s="408"/>
    </row>
    <row r="1456" spans="2:15" x14ac:dyDescent="0.2">
      <c r="B1456" s="8">
        <f t="shared" si="73"/>
        <v>81</v>
      </c>
      <c r="C1456" s="391"/>
      <c r="D1456" s="391"/>
      <c r="E1456" s="391"/>
      <c r="F1456" s="392"/>
      <c r="G1456" s="393">
        <v>718</v>
      </c>
      <c r="H1456" s="394" t="s">
        <v>86</v>
      </c>
      <c r="I1456" s="395"/>
      <c r="J1456" s="395"/>
      <c r="K1456" s="395"/>
      <c r="L1456" s="621"/>
      <c r="M1456" s="395">
        <f>M1457</f>
        <v>19000</v>
      </c>
      <c r="N1456" s="395"/>
      <c r="O1456" s="395"/>
    </row>
    <row r="1457" spans="2:15" s="165" customFormat="1" x14ac:dyDescent="0.2">
      <c r="B1457" s="8">
        <f t="shared" si="73"/>
        <v>82</v>
      </c>
      <c r="C1457" s="398"/>
      <c r="D1457" s="398"/>
      <c r="E1457" s="398"/>
      <c r="F1457" s="399"/>
      <c r="G1457" s="400"/>
      <c r="H1457" s="398" t="s">
        <v>1085</v>
      </c>
      <c r="I1457" s="401"/>
      <c r="J1457" s="401"/>
      <c r="K1457" s="401"/>
      <c r="L1457" s="614"/>
      <c r="M1457" s="401">
        <v>19000</v>
      </c>
      <c r="N1457" s="401"/>
      <c r="O1457" s="401"/>
    </row>
    <row r="1463" spans="2:15" ht="27" x14ac:dyDescent="0.35">
      <c r="B1463" s="679" t="s">
        <v>26</v>
      </c>
      <c r="C1463" s="680"/>
      <c r="D1463" s="680"/>
      <c r="E1463" s="680"/>
      <c r="F1463" s="680"/>
      <c r="G1463" s="680"/>
      <c r="H1463" s="680"/>
      <c r="I1463" s="680"/>
      <c r="J1463" s="680"/>
      <c r="K1463" s="680"/>
      <c r="L1463" s="680"/>
      <c r="M1463" s="680"/>
      <c r="N1463" s="3"/>
      <c r="O1463" s="3"/>
    </row>
    <row r="1464" spans="2:15" ht="19.5" customHeight="1" x14ac:dyDescent="0.2">
      <c r="B1464" s="739"/>
      <c r="C1464" s="739" t="s">
        <v>122</v>
      </c>
      <c r="D1464" s="739" t="s">
        <v>123</v>
      </c>
      <c r="E1464" s="739"/>
      <c r="F1464" s="739" t="s">
        <v>124</v>
      </c>
      <c r="G1464" s="740" t="s">
        <v>125</v>
      </c>
      <c r="H1464" s="741" t="s">
        <v>126</v>
      </c>
      <c r="I1464" s="742" t="s">
        <v>1135</v>
      </c>
      <c r="J1464" s="742" t="s">
        <v>1136</v>
      </c>
      <c r="K1464" s="742" t="s">
        <v>1137</v>
      </c>
      <c r="L1464" s="633"/>
      <c r="M1464" s="742" t="s">
        <v>1138</v>
      </c>
      <c r="N1464" s="742" t="s">
        <v>1139</v>
      </c>
      <c r="O1464" s="742" t="s">
        <v>1140</v>
      </c>
    </row>
    <row r="1465" spans="2:15" x14ac:dyDescent="0.2">
      <c r="B1465" s="681"/>
      <c r="C1465" s="681"/>
      <c r="D1465" s="681"/>
      <c r="E1465" s="681"/>
      <c r="F1465" s="681"/>
      <c r="G1465" s="689"/>
      <c r="H1465" s="686"/>
      <c r="I1465" s="673"/>
      <c r="J1465" s="673"/>
      <c r="K1465" s="673"/>
      <c r="L1465" s="616"/>
      <c r="M1465" s="673"/>
      <c r="N1465" s="673"/>
      <c r="O1465" s="673"/>
    </row>
    <row r="1466" spans="2:15" ht="17.25" customHeight="1" x14ac:dyDescent="0.2">
      <c r="B1466" s="681"/>
      <c r="C1466" s="681"/>
      <c r="D1466" s="681"/>
      <c r="E1466" s="681"/>
      <c r="F1466" s="681"/>
      <c r="G1466" s="689"/>
      <c r="H1466" s="686"/>
      <c r="I1466" s="673"/>
      <c r="J1466" s="673"/>
      <c r="K1466" s="673"/>
      <c r="L1466" s="616"/>
      <c r="M1466" s="673"/>
      <c r="N1466" s="673"/>
      <c r="O1466" s="673"/>
    </row>
    <row r="1467" spans="2:15" x14ac:dyDescent="0.2">
      <c r="B1467" s="681"/>
      <c r="C1467" s="681"/>
      <c r="D1467" s="681"/>
      <c r="E1467" s="681"/>
      <c r="F1467" s="681"/>
      <c r="G1467" s="689"/>
      <c r="H1467" s="686"/>
      <c r="I1467" s="673"/>
      <c r="J1467" s="673"/>
      <c r="K1467" s="673"/>
      <c r="L1467" s="616"/>
      <c r="M1467" s="673"/>
      <c r="N1467" s="673"/>
      <c r="O1467" s="673"/>
    </row>
    <row r="1468" spans="2:15" ht="15.75" x14ac:dyDescent="0.2">
      <c r="B1468" s="8">
        <v>1</v>
      </c>
      <c r="C1468" s="687" t="s">
        <v>26</v>
      </c>
      <c r="D1468" s="688"/>
      <c r="E1468" s="688"/>
      <c r="F1468" s="688"/>
      <c r="G1468" s="688"/>
      <c r="H1468" s="688"/>
      <c r="I1468" s="138">
        <f>I1469+I1492+I1495+I1509+I1533+I1564+I1582+I1593+I1596+I1601+I1614+I1626</f>
        <v>5573950</v>
      </c>
      <c r="J1468" s="138">
        <f>J1469+J1492+J1495+J1509+J1533+J1564+J1582+J1593+J1596+J1601+J1614+J1626</f>
        <v>5654205</v>
      </c>
      <c r="K1468" s="138">
        <f>K1469+K1492+K1495+K1509+K1533+K1564+K1582+K1593+K1596+K1601+K1614+K1626</f>
        <v>5732205</v>
      </c>
      <c r="L1468" s="617"/>
      <c r="M1468" s="138">
        <f>M1469+M1492+M1495+M1509+M1533+M1564+M1582+M1593+M1596+M1601+M1614</f>
        <v>1490800</v>
      </c>
      <c r="N1468" s="138"/>
      <c r="O1468" s="138"/>
    </row>
    <row r="1469" spans="2:15" ht="15.75" x14ac:dyDescent="0.25">
      <c r="B1469" s="8">
        <f>B1468+1</f>
        <v>2</v>
      </c>
      <c r="C1469" s="141">
        <v>1</v>
      </c>
      <c r="D1469" s="677" t="s">
        <v>604</v>
      </c>
      <c r="E1469" s="678"/>
      <c r="F1469" s="678"/>
      <c r="G1469" s="678"/>
      <c r="H1469" s="678"/>
      <c r="I1469" s="142">
        <f>I1470+I1484</f>
        <v>314530</v>
      </c>
      <c r="J1469" s="142">
        <f>J1470+J1484</f>
        <v>317200</v>
      </c>
      <c r="K1469" s="142">
        <f>K1470+K1484</f>
        <v>321700</v>
      </c>
      <c r="L1469" s="618"/>
      <c r="M1469" s="142">
        <f>M1470+M1484</f>
        <v>950800</v>
      </c>
      <c r="N1469" s="142"/>
      <c r="O1469" s="142"/>
    </row>
    <row r="1470" spans="2:15" ht="14.25" x14ac:dyDescent="0.2">
      <c r="B1470" s="8">
        <f>B1469+1</f>
        <v>3</v>
      </c>
      <c r="C1470" s="160"/>
      <c r="D1470" s="160">
        <v>1</v>
      </c>
      <c r="E1470" s="675" t="s">
        <v>76</v>
      </c>
      <c r="F1470" s="676"/>
      <c r="G1470" s="676"/>
      <c r="H1470" s="676"/>
      <c r="I1470" s="161">
        <f>I1475</f>
        <v>290900</v>
      </c>
      <c r="J1470" s="161">
        <f>J1475</f>
        <v>292200</v>
      </c>
      <c r="K1470" s="161">
        <f>K1475</f>
        <v>295200</v>
      </c>
      <c r="L1470" s="619"/>
      <c r="M1470" s="161">
        <f>M1471+M1475</f>
        <v>950800</v>
      </c>
      <c r="N1470" s="161"/>
      <c r="O1470" s="161"/>
    </row>
    <row r="1471" spans="2:15" x14ac:dyDescent="0.2">
      <c r="B1471" s="8">
        <f t="shared" ref="B1471:B1477" si="77">B1470+1</f>
        <v>4</v>
      </c>
      <c r="C1471" s="24"/>
      <c r="D1471" s="24"/>
      <c r="E1471" s="24"/>
      <c r="F1471" s="149" t="s">
        <v>79</v>
      </c>
      <c r="G1471" s="150">
        <v>710</v>
      </c>
      <c r="H1471" s="24" t="s">
        <v>185</v>
      </c>
      <c r="I1471" s="25"/>
      <c r="J1471" s="25"/>
      <c r="K1471" s="25"/>
      <c r="L1471" s="620"/>
      <c r="M1471" s="25">
        <f>M1472</f>
        <v>950800</v>
      </c>
      <c r="N1471" s="25"/>
      <c r="O1471" s="25"/>
    </row>
    <row r="1472" spans="2:15" x14ac:dyDescent="0.2">
      <c r="B1472" s="8">
        <f t="shared" si="77"/>
        <v>5</v>
      </c>
      <c r="C1472" s="18"/>
      <c r="D1472" s="18"/>
      <c r="E1472" s="18"/>
      <c r="F1472" s="152"/>
      <c r="G1472" s="153">
        <v>717</v>
      </c>
      <c r="H1472" s="18" t="s">
        <v>192</v>
      </c>
      <c r="I1472" s="19"/>
      <c r="J1472" s="19"/>
      <c r="K1472" s="19"/>
      <c r="L1472" s="621"/>
      <c r="M1472" s="19">
        <f>M1473</f>
        <v>950800</v>
      </c>
      <c r="N1472" s="19"/>
      <c r="O1472" s="19"/>
    </row>
    <row r="1473" spans="2:15" x14ac:dyDescent="0.2">
      <c r="B1473" s="8">
        <f t="shared" si="77"/>
        <v>6</v>
      </c>
      <c r="C1473" s="18"/>
      <c r="D1473" s="18"/>
      <c r="E1473" s="18"/>
      <c r="F1473" s="152"/>
      <c r="G1473" s="153"/>
      <c r="H1473" s="156" t="s">
        <v>1077</v>
      </c>
      <c r="I1473" s="19"/>
      <c r="J1473" s="19"/>
      <c r="K1473" s="19"/>
      <c r="L1473" s="621"/>
      <c r="M1473" s="157">
        <v>950800</v>
      </c>
      <c r="N1473" s="157"/>
      <c r="O1473" s="157"/>
    </row>
    <row r="1474" spans="2:15" ht="14.25" x14ac:dyDescent="0.2">
      <c r="B1474" s="8">
        <f t="shared" si="77"/>
        <v>7</v>
      </c>
      <c r="C1474" s="160"/>
      <c r="D1474" s="160"/>
      <c r="E1474" s="160"/>
      <c r="F1474" s="591"/>
      <c r="G1474" s="591"/>
      <c r="H1474" s="591"/>
      <c r="I1474" s="161"/>
      <c r="J1474" s="161"/>
      <c r="K1474" s="161"/>
      <c r="L1474" s="619"/>
      <c r="M1474" s="161"/>
      <c r="N1474" s="161"/>
      <c r="O1474" s="161"/>
    </row>
    <row r="1475" spans="2:15" ht="14.25" x14ac:dyDescent="0.2">
      <c r="B1475" s="8">
        <f t="shared" si="77"/>
        <v>8</v>
      </c>
      <c r="C1475" s="267"/>
      <c r="D1475" s="267"/>
      <c r="E1475" s="267">
        <v>5</v>
      </c>
      <c r="F1475" s="268"/>
      <c r="G1475" s="268"/>
      <c r="H1475" s="267" t="s">
        <v>114</v>
      </c>
      <c r="I1475" s="269">
        <f>I1476+I1477+I1478+I1483</f>
        <v>290900</v>
      </c>
      <c r="J1475" s="269">
        <f>J1476+J1477+J1478+J1483</f>
        <v>292200</v>
      </c>
      <c r="K1475" s="269">
        <f>K1476+K1477+K1478+K1483</f>
        <v>295200</v>
      </c>
      <c r="L1475" s="619"/>
      <c r="M1475" s="269"/>
      <c r="N1475" s="269"/>
      <c r="O1475" s="269"/>
    </row>
    <row r="1476" spans="2:15" x14ac:dyDescent="0.2">
      <c r="B1476" s="8">
        <f t="shared" si="77"/>
        <v>9</v>
      </c>
      <c r="C1476" s="24"/>
      <c r="D1476" s="24"/>
      <c r="E1476" s="24"/>
      <c r="F1476" s="149" t="s">
        <v>81</v>
      </c>
      <c r="G1476" s="150">
        <v>610</v>
      </c>
      <c r="H1476" s="24" t="s">
        <v>141</v>
      </c>
      <c r="I1476" s="25">
        <v>145625</v>
      </c>
      <c r="J1476" s="25">
        <v>147000</v>
      </c>
      <c r="K1476" s="25">
        <v>149000</v>
      </c>
      <c r="L1476" s="620"/>
      <c r="M1476" s="25"/>
      <c r="N1476" s="25"/>
      <c r="O1476" s="25"/>
    </row>
    <row r="1477" spans="2:15" x14ac:dyDescent="0.2">
      <c r="B1477" s="8">
        <f t="shared" si="77"/>
        <v>10</v>
      </c>
      <c r="C1477" s="24"/>
      <c r="D1477" s="24"/>
      <c r="E1477" s="24"/>
      <c r="F1477" s="149" t="s">
        <v>81</v>
      </c>
      <c r="G1477" s="150">
        <v>620</v>
      </c>
      <c r="H1477" s="24" t="s">
        <v>134</v>
      </c>
      <c r="I1477" s="25">
        <v>52955</v>
      </c>
      <c r="J1477" s="25">
        <v>54000</v>
      </c>
      <c r="K1477" s="25">
        <v>55000</v>
      </c>
      <c r="L1477" s="620"/>
      <c r="M1477" s="25"/>
      <c r="N1477" s="25"/>
      <c r="O1477" s="25"/>
    </row>
    <row r="1478" spans="2:15" x14ac:dyDescent="0.2">
      <c r="B1478" s="8">
        <f t="shared" ref="B1478:B1541" si="78">B1477+1</f>
        <v>11</v>
      </c>
      <c r="C1478" s="24"/>
      <c r="D1478" s="24"/>
      <c r="E1478" s="24"/>
      <c r="F1478" s="149" t="s">
        <v>81</v>
      </c>
      <c r="G1478" s="150">
        <v>630</v>
      </c>
      <c r="H1478" s="24" t="s">
        <v>131</v>
      </c>
      <c r="I1478" s="25">
        <f>I1482+I1481+I1480+I1479</f>
        <v>85320</v>
      </c>
      <c r="J1478" s="25">
        <f>J1482+J1481+J1480+J1479</f>
        <v>84200</v>
      </c>
      <c r="K1478" s="25">
        <f>K1482+K1481+K1480+K1479</f>
        <v>84200</v>
      </c>
      <c r="L1478" s="620"/>
      <c r="M1478" s="25"/>
      <c r="N1478" s="25"/>
      <c r="O1478" s="25"/>
    </row>
    <row r="1479" spans="2:15" x14ac:dyDescent="0.2">
      <c r="B1479" s="8">
        <f t="shared" si="78"/>
        <v>12</v>
      </c>
      <c r="C1479" s="18"/>
      <c r="D1479" s="18"/>
      <c r="E1479" s="18"/>
      <c r="F1479" s="152"/>
      <c r="G1479" s="153">
        <v>632</v>
      </c>
      <c r="H1479" s="18" t="s">
        <v>144</v>
      </c>
      <c r="I1479" s="19">
        <v>49500</v>
      </c>
      <c r="J1479" s="19">
        <v>49000</v>
      </c>
      <c r="K1479" s="19">
        <v>49000</v>
      </c>
      <c r="L1479" s="621"/>
      <c r="M1479" s="19"/>
      <c r="N1479" s="19"/>
      <c r="O1479" s="19"/>
    </row>
    <row r="1480" spans="2:15" x14ac:dyDescent="0.2">
      <c r="B1480" s="8">
        <f t="shared" si="78"/>
        <v>13</v>
      </c>
      <c r="C1480" s="18"/>
      <c r="D1480" s="18"/>
      <c r="E1480" s="18"/>
      <c r="F1480" s="152"/>
      <c r="G1480" s="153">
        <v>633</v>
      </c>
      <c r="H1480" s="18" t="s">
        <v>135</v>
      </c>
      <c r="I1480" s="19">
        <v>23500</v>
      </c>
      <c r="J1480" s="19">
        <v>23000</v>
      </c>
      <c r="K1480" s="19">
        <v>23000</v>
      </c>
      <c r="L1480" s="621"/>
      <c r="M1480" s="19"/>
      <c r="N1480" s="19"/>
      <c r="O1480" s="19"/>
    </row>
    <row r="1481" spans="2:15" x14ac:dyDescent="0.2">
      <c r="B1481" s="8">
        <f t="shared" si="78"/>
        <v>14</v>
      </c>
      <c r="C1481" s="18"/>
      <c r="D1481" s="18"/>
      <c r="E1481" s="18"/>
      <c r="F1481" s="152"/>
      <c r="G1481" s="153">
        <v>635</v>
      </c>
      <c r="H1481" s="18" t="s">
        <v>143</v>
      </c>
      <c r="I1481" s="19">
        <v>3100</v>
      </c>
      <c r="J1481" s="19">
        <v>3000</v>
      </c>
      <c r="K1481" s="19">
        <v>3000</v>
      </c>
      <c r="L1481" s="621"/>
      <c r="M1481" s="19"/>
      <c r="N1481" s="19"/>
      <c r="O1481" s="19"/>
    </row>
    <row r="1482" spans="2:15" x14ac:dyDescent="0.2">
      <c r="B1482" s="8">
        <f t="shared" si="78"/>
        <v>15</v>
      </c>
      <c r="C1482" s="18"/>
      <c r="D1482" s="18"/>
      <c r="E1482" s="18"/>
      <c r="F1482" s="152"/>
      <c r="G1482" s="153">
        <v>637</v>
      </c>
      <c r="H1482" s="18" t="s">
        <v>132</v>
      </c>
      <c r="I1482" s="19">
        <v>9220</v>
      </c>
      <c r="J1482" s="19">
        <v>9200</v>
      </c>
      <c r="K1482" s="19">
        <v>9200</v>
      </c>
      <c r="L1482" s="621"/>
      <c r="M1482" s="19"/>
      <c r="N1482" s="19"/>
      <c r="O1482" s="19"/>
    </row>
    <row r="1483" spans="2:15" x14ac:dyDescent="0.2">
      <c r="B1483" s="8">
        <f t="shared" si="78"/>
        <v>16</v>
      </c>
      <c r="C1483" s="24"/>
      <c r="D1483" s="24"/>
      <c r="E1483" s="24"/>
      <c r="F1483" s="149" t="s">
        <v>81</v>
      </c>
      <c r="G1483" s="150">
        <v>640</v>
      </c>
      <c r="H1483" s="24" t="s">
        <v>139</v>
      </c>
      <c r="I1483" s="25">
        <v>7000</v>
      </c>
      <c r="J1483" s="25">
        <v>7000</v>
      </c>
      <c r="K1483" s="25">
        <v>7000</v>
      </c>
      <c r="L1483" s="620"/>
      <c r="M1483" s="25"/>
      <c r="N1483" s="25"/>
      <c r="O1483" s="25"/>
    </row>
    <row r="1484" spans="2:15" ht="14.25" x14ac:dyDescent="0.2">
      <c r="B1484" s="8">
        <f t="shared" si="78"/>
        <v>17</v>
      </c>
      <c r="C1484" s="160"/>
      <c r="D1484" s="160">
        <v>2</v>
      </c>
      <c r="E1484" s="675" t="s">
        <v>344</v>
      </c>
      <c r="F1484" s="676"/>
      <c r="G1484" s="676"/>
      <c r="H1484" s="676"/>
      <c r="I1484" s="161">
        <f>I1485</f>
        <v>23630</v>
      </c>
      <c r="J1484" s="161">
        <f>J1485</f>
        <v>25000</v>
      </c>
      <c r="K1484" s="161">
        <f>K1485</f>
        <v>26500</v>
      </c>
      <c r="L1484" s="619"/>
      <c r="M1484" s="161"/>
      <c r="N1484" s="161"/>
      <c r="O1484" s="161"/>
    </row>
    <row r="1485" spans="2:15" ht="14.25" x14ac:dyDescent="0.2">
      <c r="B1485" s="8">
        <f t="shared" si="78"/>
        <v>18</v>
      </c>
      <c r="C1485" s="267"/>
      <c r="D1485" s="267"/>
      <c r="E1485" s="267">
        <v>5</v>
      </c>
      <c r="F1485" s="268"/>
      <c r="G1485" s="268"/>
      <c r="H1485" s="267" t="s">
        <v>114</v>
      </c>
      <c r="I1485" s="269">
        <f>I1486+I1487+I1488+I1491</f>
        <v>23630</v>
      </c>
      <c r="J1485" s="269">
        <f>J1486+J1487+J1488+J1491</f>
        <v>25000</v>
      </c>
      <c r="K1485" s="269">
        <f>K1486+K1487+K1488+K1491</f>
        <v>26500</v>
      </c>
      <c r="L1485" s="619"/>
      <c r="M1485" s="269"/>
      <c r="N1485" s="269"/>
      <c r="O1485" s="269"/>
    </row>
    <row r="1486" spans="2:15" x14ac:dyDescent="0.2">
      <c r="B1486" s="8">
        <f t="shared" si="78"/>
        <v>19</v>
      </c>
      <c r="C1486" s="24"/>
      <c r="D1486" s="24"/>
      <c r="E1486" s="24"/>
      <c r="F1486" s="149" t="s">
        <v>81</v>
      </c>
      <c r="G1486" s="150">
        <v>610</v>
      </c>
      <c r="H1486" s="24" t="s">
        <v>141</v>
      </c>
      <c r="I1486" s="25">
        <f>12400+3486+100</f>
        <v>15986</v>
      </c>
      <c r="J1486" s="25">
        <v>17000</v>
      </c>
      <c r="K1486" s="25">
        <v>18000</v>
      </c>
      <c r="L1486" s="620"/>
      <c r="M1486" s="25"/>
      <c r="N1486" s="25"/>
      <c r="O1486" s="25"/>
    </row>
    <row r="1487" spans="2:15" x14ac:dyDescent="0.2">
      <c r="B1487" s="8">
        <f t="shared" si="78"/>
        <v>20</v>
      </c>
      <c r="C1487" s="24"/>
      <c r="D1487" s="24"/>
      <c r="E1487" s="24"/>
      <c r="F1487" s="149" t="s">
        <v>81</v>
      </c>
      <c r="G1487" s="150">
        <v>620</v>
      </c>
      <c r="H1487" s="24" t="s">
        <v>134</v>
      </c>
      <c r="I1487" s="25">
        <f>1590+225+2250+130+480+160+755+480</f>
        <v>6070</v>
      </c>
      <c r="J1487" s="25">
        <v>6500</v>
      </c>
      <c r="K1487" s="25">
        <v>7000</v>
      </c>
      <c r="L1487" s="620"/>
      <c r="M1487" s="25"/>
      <c r="N1487" s="25"/>
      <c r="O1487" s="25"/>
    </row>
    <row r="1488" spans="2:15" x14ac:dyDescent="0.2">
      <c r="B1488" s="8">
        <f t="shared" si="78"/>
        <v>21</v>
      </c>
      <c r="C1488" s="24"/>
      <c r="D1488" s="24"/>
      <c r="E1488" s="24"/>
      <c r="F1488" s="149" t="s">
        <v>81</v>
      </c>
      <c r="G1488" s="150">
        <v>630</v>
      </c>
      <c r="H1488" s="24" t="s">
        <v>131</v>
      </c>
      <c r="I1488" s="25">
        <f>I1490+I1489</f>
        <v>614</v>
      </c>
      <c r="J1488" s="25">
        <f>J1490+J1489</f>
        <v>600</v>
      </c>
      <c r="K1488" s="25">
        <f>K1490+K1489</f>
        <v>600</v>
      </c>
      <c r="L1488" s="620"/>
      <c r="M1488" s="25"/>
      <c r="N1488" s="25"/>
      <c r="O1488" s="25"/>
    </row>
    <row r="1489" spans="2:15" x14ac:dyDescent="0.2">
      <c r="B1489" s="8">
        <f t="shared" si="78"/>
        <v>22</v>
      </c>
      <c r="C1489" s="18"/>
      <c r="D1489" s="18"/>
      <c r="E1489" s="18"/>
      <c r="F1489" s="152"/>
      <c r="G1489" s="153">
        <v>633</v>
      </c>
      <c r="H1489" s="18" t="s">
        <v>135</v>
      </c>
      <c r="I1489" s="19">
        <v>114</v>
      </c>
      <c r="J1489" s="19">
        <v>100</v>
      </c>
      <c r="K1489" s="19">
        <v>100</v>
      </c>
      <c r="L1489" s="621"/>
      <c r="M1489" s="19"/>
      <c r="N1489" s="19"/>
      <c r="O1489" s="19"/>
    </row>
    <row r="1490" spans="2:15" x14ac:dyDescent="0.2">
      <c r="B1490" s="8">
        <f t="shared" si="78"/>
        <v>23</v>
      </c>
      <c r="C1490" s="18"/>
      <c r="D1490" s="18"/>
      <c r="E1490" s="18"/>
      <c r="F1490" s="152"/>
      <c r="G1490" s="153">
        <v>637</v>
      </c>
      <c r="H1490" s="18" t="s">
        <v>132</v>
      </c>
      <c r="I1490" s="19">
        <v>500</v>
      </c>
      <c r="J1490" s="19">
        <v>500</v>
      </c>
      <c r="K1490" s="19">
        <v>500</v>
      </c>
      <c r="L1490" s="621"/>
      <c r="M1490" s="19"/>
      <c r="N1490" s="19"/>
      <c r="O1490" s="19"/>
    </row>
    <row r="1491" spans="2:15" x14ac:dyDescent="0.2">
      <c r="B1491" s="8">
        <f t="shared" si="78"/>
        <v>24</v>
      </c>
      <c r="C1491" s="24"/>
      <c r="D1491" s="24"/>
      <c r="E1491" s="24"/>
      <c r="F1491" s="149" t="s">
        <v>81</v>
      </c>
      <c r="G1491" s="150">
        <v>640</v>
      </c>
      <c r="H1491" s="24" t="s">
        <v>139</v>
      </c>
      <c r="I1491" s="25">
        <f>760+200</f>
        <v>960</v>
      </c>
      <c r="J1491" s="25">
        <v>900</v>
      </c>
      <c r="K1491" s="25">
        <v>900</v>
      </c>
      <c r="L1491" s="620"/>
      <c r="M1491" s="25"/>
      <c r="N1491" s="25"/>
      <c r="O1491" s="25"/>
    </row>
    <row r="1492" spans="2:15" ht="15.75" x14ac:dyDescent="0.25">
      <c r="B1492" s="8">
        <f t="shared" si="78"/>
        <v>25</v>
      </c>
      <c r="C1492" s="141">
        <v>2</v>
      </c>
      <c r="D1492" s="677" t="s">
        <v>58</v>
      </c>
      <c r="E1492" s="678"/>
      <c r="F1492" s="678"/>
      <c r="G1492" s="678"/>
      <c r="H1492" s="678"/>
      <c r="I1492" s="142">
        <f t="shared" ref="I1492:K1493" si="79">I1493</f>
        <v>1900</v>
      </c>
      <c r="J1492" s="142">
        <f t="shared" si="79"/>
        <v>2000</v>
      </c>
      <c r="K1492" s="142">
        <f t="shared" si="79"/>
        <v>2000</v>
      </c>
      <c r="L1492" s="618"/>
      <c r="M1492" s="142"/>
      <c r="N1492" s="142"/>
      <c r="O1492" s="142"/>
    </row>
    <row r="1493" spans="2:15" x14ac:dyDescent="0.2">
      <c r="B1493" s="8">
        <f t="shared" si="78"/>
        <v>26</v>
      </c>
      <c r="C1493" s="24"/>
      <c r="D1493" s="24"/>
      <c r="E1493" s="24"/>
      <c r="F1493" s="149" t="s">
        <v>57</v>
      </c>
      <c r="G1493" s="150">
        <v>640</v>
      </c>
      <c r="H1493" s="24" t="s">
        <v>139</v>
      </c>
      <c r="I1493" s="25">
        <f t="shared" si="79"/>
        <v>1900</v>
      </c>
      <c r="J1493" s="25">
        <f t="shared" si="79"/>
        <v>2000</v>
      </c>
      <c r="K1493" s="25">
        <f t="shared" si="79"/>
        <v>2000</v>
      </c>
      <c r="L1493" s="620"/>
      <c r="M1493" s="25"/>
      <c r="N1493" s="25"/>
      <c r="O1493" s="25"/>
    </row>
    <row r="1494" spans="2:15" x14ac:dyDescent="0.2">
      <c r="B1494" s="8">
        <f t="shared" si="78"/>
        <v>27</v>
      </c>
      <c r="C1494" s="120"/>
      <c r="D1494" s="120"/>
      <c r="E1494" s="120"/>
      <c r="F1494" s="152"/>
      <c r="G1494" s="153">
        <v>642</v>
      </c>
      <c r="H1494" s="18" t="s">
        <v>140</v>
      </c>
      <c r="I1494" s="158">
        <v>1900</v>
      </c>
      <c r="J1494" s="158">
        <v>2000</v>
      </c>
      <c r="K1494" s="158">
        <v>2000</v>
      </c>
      <c r="L1494" s="622"/>
      <c r="M1494" s="158"/>
      <c r="N1494" s="158"/>
      <c r="O1494" s="158"/>
    </row>
    <row r="1495" spans="2:15" ht="15.75" x14ac:dyDescent="0.25">
      <c r="B1495" s="8">
        <f t="shared" si="78"/>
        <v>28</v>
      </c>
      <c r="C1495" s="141">
        <v>3</v>
      </c>
      <c r="D1495" s="677" t="s">
        <v>67</v>
      </c>
      <c r="E1495" s="678"/>
      <c r="F1495" s="678"/>
      <c r="G1495" s="678"/>
      <c r="H1495" s="678"/>
      <c r="I1495" s="142">
        <f>I1496+I1502+I1503+I1505</f>
        <v>172700</v>
      </c>
      <c r="J1495" s="142">
        <f>J1496+J1502+J1503+J1505</f>
        <v>172700</v>
      </c>
      <c r="K1495" s="142">
        <f>K1496+K1502+K1503+K1505</f>
        <v>172700</v>
      </c>
      <c r="L1495" s="618"/>
      <c r="M1495" s="142"/>
      <c r="N1495" s="142"/>
      <c r="O1495" s="142"/>
    </row>
    <row r="1496" spans="2:15" x14ac:dyDescent="0.2">
      <c r="B1496" s="8">
        <f t="shared" si="78"/>
        <v>29</v>
      </c>
      <c r="C1496" s="24"/>
      <c r="D1496" s="24"/>
      <c r="E1496" s="24"/>
      <c r="F1496" s="149" t="s">
        <v>66</v>
      </c>
      <c r="G1496" s="150">
        <v>640</v>
      </c>
      <c r="H1496" s="24" t="s">
        <v>139</v>
      </c>
      <c r="I1496" s="25">
        <f>SUM(I1497:I1501)</f>
        <v>90000</v>
      </c>
      <c r="J1496" s="25">
        <f>SUM(J1497:J1501)</f>
        <v>90000</v>
      </c>
      <c r="K1496" s="25">
        <f>SUM(K1497:K1501)</f>
        <v>90000</v>
      </c>
      <c r="L1496" s="620"/>
      <c r="M1496" s="25"/>
      <c r="N1496" s="25"/>
      <c r="O1496" s="25"/>
    </row>
    <row r="1497" spans="2:15" s="13" customFormat="1" x14ac:dyDescent="0.2">
      <c r="B1497" s="8">
        <f t="shared" si="78"/>
        <v>30</v>
      </c>
      <c r="C1497" s="166"/>
      <c r="D1497" s="166"/>
      <c r="E1497" s="166"/>
      <c r="F1497" s="313"/>
      <c r="G1497" s="313"/>
      <c r="H1497" s="168" t="s">
        <v>280</v>
      </c>
      <c r="I1497" s="169">
        <v>35000</v>
      </c>
      <c r="J1497" s="169">
        <v>35000</v>
      </c>
      <c r="K1497" s="169">
        <v>35000</v>
      </c>
      <c r="L1497" s="629"/>
      <c r="M1497" s="170"/>
      <c r="N1497" s="170"/>
      <c r="O1497" s="170"/>
    </row>
    <row r="1498" spans="2:15" s="13" customFormat="1" x14ac:dyDescent="0.2">
      <c r="B1498" s="8">
        <f t="shared" si="78"/>
        <v>31</v>
      </c>
      <c r="C1498" s="166"/>
      <c r="D1498" s="166"/>
      <c r="E1498" s="166"/>
      <c r="F1498" s="313"/>
      <c r="G1498" s="313"/>
      <c r="H1498" s="168" t="s">
        <v>630</v>
      </c>
      <c r="I1498" s="169">
        <v>22000</v>
      </c>
      <c r="J1498" s="169">
        <v>22000</v>
      </c>
      <c r="K1498" s="169">
        <v>22000</v>
      </c>
      <c r="L1498" s="629"/>
      <c r="M1498" s="170"/>
      <c r="N1498" s="170"/>
      <c r="O1498" s="170"/>
    </row>
    <row r="1499" spans="2:15" s="13" customFormat="1" x14ac:dyDescent="0.2">
      <c r="B1499" s="8">
        <f t="shared" si="78"/>
        <v>32</v>
      </c>
      <c r="C1499" s="166"/>
      <c r="D1499" s="166"/>
      <c r="E1499" s="166"/>
      <c r="F1499" s="313"/>
      <c r="G1499" s="313"/>
      <c r="H1499" s="168" t="s">
        <v>631</v>
      </c>
      <c r="I1499" s="169">
        <v>20000</v>
      </c>
      <c r="J1499" s="169">
        <v>20000</v>
      </c>
      <c r="K1499" s="169">
        <v>20000</v>
      </c>
      <c r="L1499" s="629"/>
      <c r="M1499" s="170"/>
      <c r="N1499" s="170"/>
      <c r="O1499" s="170"/>
    </row>
    <row r="1500" spans="2:15" s="13" customFormat="1" ht="24" x14ac:dyDescent="0.2">
      <c r="B1500" s="8">
        <f t="shared" si="78"/>
        <v>33</v>
      </c>
      <c r="C1500" s="166"/>
      <c r="D1500" s="166"/>
      <c r="E1500" s="166"/>
      <c r="F1500" s="313"/>
      <c r="G1500" s="313"/>
      <c r="H1500" s="168" t="s">
        <v>378</v>
      </c>
      <c r="I1500" s="169">
        <v>4000</v>
      </c>
      <c r="J1500" s="169">
        <v>4000</v>
      </c>
      <c r="K1500" s="169">
        <v>4000</v>
      </c>
      <c r="L1500" s="629"/>
      <c r="M1500" s="170"/>
      <c r="N1500" s="170"/>
      <c r="O1500" s="170"/>
    </row>
    <row r="1501" spans="2:15" s="13" customFormat="1" x14ac:dyDescent="0.2">
      <c r="B1501" s="8">
        <f t="shared" si="78"/>
        <v>34</v>
      </c>
      <c r="C1501" s="166"/>
      <c r="D1501" s="166"/>
      <c r="E1501" s="166"/>
      <c r="F1501" s="313"/>
      <c r="G1501" s="313"/>
      <c r="H1501" s="168" t="s">
        <v>1084</v>
      </c>
      <c r="I1501" s="169">
        <v>9000</v>
      </c>
      <c r="J1501" s="169">
        <v>9000</v>
      </c>
      <c r="K1501" s="169">
        <v>9000</v>
      </c>
      <c r="L1501" s="629"/>
      <c r="M1501" s="170"/>
      <c r="N1501" s="170"/>
      <c r="O1501" s="170"/>
    </row>
    <row r="1502" spans="2:15" x14ac:dyDescent="0.2">
      <c r="B1502" s="8">
        <f t="shared" si="78"/>
        <v>35</v>
      </c>
      <c r="C1502" s="120"/>
      <c r="D1502" s="120"/>
      <c r="E1502" s="120"/>
      <c r="F1502" s="149" t="s">
        <v>83</v>
      </c>
      <c r="G1502" s="150">
        <v>620</v>
      </c>
      <c r="H1502" s="24" t="s">
        <v>134</v>
      </c>
      <c r="I1502" s="25">
        <v>2000</v>
      </c>
      <c r="J1502" s="25">
        <v>2000</v>
      </c>
      <c r="K1502" s="25">
        <v>2000</v>
      </c>
      <c r="L1502" s="622"/>
      <c r="M1502" s="158"/>
      <c r="N1502" s="158"/>
      <c r="O1502" s="158"/>
    </row>
    <row r="1503" spans="2:15" x14ac:dyDescent="0.2">
      <c r="B1503" s="8">
        <f t="shared" si="78"/>
        <v>36</v>
      </c>
      <c r="C1503" s="120"/>
      <c r="D1503" s="120"/>
      <c r="E1503" s="120"/>
      <c r="F1503" s="149" t="s">
        <v>83</v>
      </c>
      <c r="G1503" s="150">
        <v>630</v>
      </c>
      <c r="H1503" s="24" t="s">
        <v>131</v>
      </c>
      <c r="I1503" s="25">
        <f>I1504</f>
        <v>5000</v>
      </c>
      <c r="J1503" s="25">
        <f>J1504</f>
        <v>5000</v>
      </c>
      <c r="K1503" s="25">
        <f>K1504</f>
        <v>5000</v>
      </c>
      <c r="L1503" s="622"/>
      <c r="M1503" s="158"/>
      <c r="N1503" s="158"/>
      <c r="O1503" s="158"/>
    </row>
    <row r="1504" spans="2:15" x14ac:dyDescent="0.2">
      <c r="B1504" s="8">
        <f t="shared" si="78"/>
        <v>37</v>
      </c>
      <c r="C1504" s="120"/>
      <c r="D1504" s="120"/>
      <c r="E1504" s="120"/>
      <c r="F1504" s="298"/>
      <c r="G1504" s="153">
        <v>637</v>
      </c>
      <c r="H1504" s="18" t="s">
        <v>132</v>
      </c>
      <c r="I1504" s="158">
        <v>5000</v>
      </c>
      <c r="J1504" s="158">
        <v>5000</v>
      </c>
      <c r="K1504" s="158">
        <v>5000</v>
      </c>
      <c r="L1504" s="622"/>
      <c r="M1504" s="158"/>
      <c r="N1504" s="158"/>
      <c r="O1504" s="158"/>
    </row>
    <row r="1505" spans="2:15" x14ac:dyDescent="0.2">
      <c r="B1505" s="8">
        <f t="shared" si="78"/>
        <v>38</v>
      </c>
      <c r="C1505" s="120"/>
      <c r="D1505" s="120"/>
      <c r="E1505" s="120"/>
      <c r="F1505" s="149" t="s">
        <v>83</v>
      </c>
      <c r="G1505" s="150">
        <v>640</v>
      </c>
      <c r="H1505" s="24" t="s">
        <v>139</v>
      </c>
      <c r="I1505" s="25">
        <f>I1506</f>
        <v>75700</v>
      </c>
      <c r="J1505" s="25">
        <f>J1506</f>
        <v>75700</v>
      </c>
      <c r="K1505" s="25">
        <f>K1506</f>
        <v>75700</v>
      </c>
      <c r="L1505" s="622"/>
      <c r="M1505" s="158"/>
      <c r="N1505" s="158"/>
      <c r="O1505" s="158"/>
    </row>
    <row r="1506" spans="2:15" x14ac:dyDescent="0.2">
      <c r="B1506" s="8">
        <f t="shared" si="78"/>
        <v>39</v>
      </c>
      <c r="C1506" s="120"/>
      <c r="D1506" s="120"/>
      <c r="E1506" s="120"/>
      <c r="F1506" s="298"/>
      <c r="G1506" s="153">
        <v>642</v>
      </c>
      <c r="H1506" s="18" t="s">
        <v>140</v>
      </c>
      <c r="I1506" s="157">
        <f>I1507+I1508</f>
        <v>75700</v>
      </c>
      <c r="J1506" s="157">
        <f>J1507+J1508</f>
        <v>75700</v>
      </c>
      <c r="K1506" s="157">
        <f>K1507+K1508</f>
        <v>75700</v>
      </c>
      <c r="L1506" s="622"/>
      <c r="M1506" s="158"/>
      <c r="N1506" s="158"/>
      <c r="O1506" s="158"/>
    </row>
    <row r="1507" spans="2:15" x14ac:dyDescent="0.2">
      <c r="B1507" s="8">
        <f t="shared" si="78"/>
        <v>40</v>
      </c>
      <c r="C1507" s="120"/>
      <c r="D1507" s="120"/>
      <c r="E1507" s="120"/>
      <c r="F1507" s="298"/>
      <c r="G1507" s="298"/>
      <c r="H1507" s="156" t="s">
        <v>17</v>
      </c>
      <c r="I1507" s="157">
        <f>28000-2300</f>
        <v>25700</v>
      </c>
      <c r="J1507" s="157">
        <f>28000-2300</f>
        <v>25700</v>
      </c>
      <c r="K1507" s="157">
        <f>28000-2300</f>
        <v>25700</v>
      </c>
      <c r="L1507" s="622"/>
      <c r="M1507" s="158"/>
      <c r="N1507" s="158"/>
      <c r="O1507" s="158"/>
    </row>
    <row r="1508" spans="2:15" x14ac:dyDescent="0.2">
      <c r="B1508" s="8">
        <f t="shared" si="78"/>
        <v>41</v>
      </c>
      <c r="C1508" s="120"/>
      <c r="D1508" s="120"/>
      <c r="E1508" s="120"/>
      <c r="F1508" s="298"/>
      <c r="G1508" s="298"/>
      <c r="H1508" s="156" t="s">
        <v>340</v>
      </c>
      <c r="I1508" s="157">
        <v>50000</v>
      </c>
      <c r="J1508" s="157">
        <v>50000</v>
      </c>
      <c r="K1508" s="157">
        <v>50000</v>
      </c>
      <c r="L1508" s="622"/>
      <c r="M1508" s="158"/>
      <c r="N1508" s="158"/>
      <c r="O1508" s="158"/>
    </row>
    <row r="1509" spans="2:15" ht="15.75" x14ac:dyDescent="0.25">
      <c r="B1509" s="8">
        <f t="shared" si="78"/>
        <v>42</v>
      </c>
      <c r="C1509" s="141">
        <v>4</v>
      </c>
      <c r="D1509" s="677" t="s">
        <v>288</v>
      </c>
      <c r="E1509" s="678"/>
      <c r="F1509" s="678"/>
      <c r="G1509" s="678"/>
      <c r="H1509" s="678"/>
      <c r="I1509" s="142">
        <f>I1510+I1521+I1532</f>
        <v>154600</v>
      </c>
      <c r="J1509" s="142">
        <f>J1510+J1521+J1532</f>
        <v>158070</v>
      </c>
      <c r="K1509" s="142">
        <f>K1510+K1521+K1532</f>
        <v>163070</v>
      </c>
      <c r="L1509" s="618"/>
      <c r="M1509" s="142"/>
      <c r="N1509" s="142"/>
      <c r="O1509" s="142"/>
    </row>
    <row r="1510" spans="2:15" ht="14.25" x14ac:dyDescent="0.2">
      <c r="B1510" s="8">
        <f t="shared" si="78"/>
        <v>43</v>
      </c>
      <c r="C1510" s="160"/>
      <c r="D1510" s="160">
        <v>1</v>
      </c>
      <c r="E1510" s="675" t="s">
        <v>60</v>
      </c>
      <c r="F1510" s="676"/>
      <c r="G1510" s="676"/>
      <c r="H1510" s="676"/>
      <c r="I1510" s="161">
        <f>I1511</f>
        <v>78620</v>
      </c>
      <c r="J1510" s="161">
        <f>J1511</f>
        <v>80970</v>
      </c>
      <c r="K1510" s="161">
        <f>K1511</f>
        <v>83970</v>
      </c>
      <c r="L1510" s="619"/>
      <c r="M1510" s="161"/>
      <c r="N1510" s="161"/>
      <c r="O1510" s="161"/>
    </row>
    <row r="1511" spans="2:15" ht="14.25" x14ac:dyDescent="0.2">
      <c r="B1511" s="8">
        <f t="shared" si="78"/>
        <v>44</v>
      </c>
      <c r="C1511" s="267"/>
      <c r="D1511" s="267"/>
      <c r="E1511" s="267">
        <v>5</v>
      </c>
      <c r="F1511" s="268"/>
      <c r="G1511" s="268"/>
      <c r="H1511" s="267" t="s">
        <v>114</v>
      </c>
      <c r="I1511" s="269">
        <f>I1512+I1513+I1514+I1520</f>
        <v>78620</v>
      </c>
      <c r="J1511" s="269">
        <f>J1512+J1513+J1514+J1520</f>
        <v>80970</v>
      </c>
      <c r="K1511" s="269">
        <f>K1512+K1513+K1514+K1520</f>
        <v>83970</v>
      </c>
      <c r="L1511" s="619"/>
      <c r="M1511" s="269"/>
      <c r="N1511" s="269"/>
      <c r="O1511" s="269"/>
    </row>
    <row r="1512" spans="2:15" x14ac:dyDescent="0.2">
      <c r="B1512" s="8">
        <f t="shared" si="78"/>
        <v>45</v>
      </c>
      <c r="C1512" s="24"/>
      <c r="D1512" s="24"/>
      <c r="E1512" s="24"/>
      <c r="F1512" s="149" t="s">
        <v>57</v>
      </c>
      <c r="G1512" s="150">
        <v>610</v>
      </c>
      <c r="H1512" s="24" t="s">
        <v>141</v>
      </c>
      <c r="I1512" s="25">
        <f>23500+16500</f>
        <v>40000</v>
      </c>
      <c r="J1512" s="25">
        <v>42000</v>
      </c>
      <c r="K1512" s="25">
        <v>44000</v>
      </c>
      <c r="L1512" s="620"/>
      <c r="M1512" s="25"/>
      <c r="N1512" s="25"/>
      <c r="O1512" s="25"/>
    </row>
    <row r="1513" spans="2:15" x14ac:dyDescent="0.2">
      <c r="B1513" s="8">
        <f t="shared" si="78"/>
        <v>46</v>
      </c>
      <c r="C1513" s="24"/>
      <c r="D1513" s="24"/>
      <c r="E1513" s="24"/>
      <c r="F1513" s="149" t="s">
        <v>57</v>
      </c>
      <c r="G1513" s="150">
        <v>620</v>
      </c>
      <c r="H1513" s="24" t="s">
        <v>134</v>
      </c>
      <c r="I1513" s="25">
        <f>3500+1160+650+6520+370+1400+460+2210+350</f>
        <v>16620</v>
      </c>
      <c r="J1513" s="25">
        <v>17000</v>
      </c>
      <c r="K1513" s="25">
        <v>18000</v>
      </c>
      <c r="L1513" s="620"/>
      <c r="M1513" s="25"/>
      <c r="N1513" s="25"/>
      <c r="O1513" s="25"/>
    </row>
    <row r="1514" spans="2:15" x14ac:dyDescent="0.2">
      <c r="B1514" s="8">
        <f t="shared" si="78"/>
        <v>47</v>
      </c>
      <c r="C1514" s="24"/>
      <c r="D1514" s="24"/>
      <c r="E1514" s="24"/>
      <c r="F1514" s="149" t="s">
        <v>57</v>
      </c>
      <c r="G1514" s="150">
        <v>630</v>
      </c>
      <c r="H1514" s="24" t="s">
        <v>131</v>
      </c>
      <c r="I1514" s="25">
        <f>SUM(I1515:I1519)</f>
        <v>20180</v>
      </c>
      <c r="J1514" s="25">
        <f>SUM(J1515:J1519)</f>
        <v>20150</v>
      </c>
      <c r="K1514" s="25">
        <f>SUM(K1515:K1519)</f>
        <v>20150</v>
      </c>
      <c r="L1514" s="620"/>
      <c r="M1514" s="25"/>
      <c r="N1514" s="25"/>
      <c r="O1514" s="25"/>
    </row>
    <row r="1515" spans="2:15" x14ac:dyDescent="0.2">
      <c r="B1515" s="8">
        <f t="shared" si="78"/>
        <v>48</v>
      </c>
      <c r="C1515" s="18"/>
      <c r="D1515" s="18"/>
      <c r="E1515" s="18"/>
      <c r="F1515" s="152"/>
      <c r="G1515" s="153">
        <v>632</v>
      </c>
      <c r="H1515" s="18" t="s">
        <v>144</v>
      </c>
      <c r="I1515" s="19">
        <f>8000+30</f>
        <v>8030</v>
      </c>
      <c r="J1515" s="19">
        <v>8000</v>
      </c>
      <c r="K1515" s="19">
        <v>8000</v>
      </c>
      <c r="L1515" s="621"/>
      <c r="M1515" s="19"/>
      <c r="N1515" s="19"/>
      <c r="O1515" s="19"/>
    </row>
    <row r="1516" spans="2:15" x14ac:dyDescent="0.2">
      <c r="B1516" s="8">
        <f t="shared" si="78"/>
        <v>49</v>
      </c>
      <c r="C1516" s="18"/>
      <c r="D1516" s="18"/>
      <c r="E1516" s="18"/>
      <c r="F1516" s="152"/>
      <c r="G1516" s="153">
        <v>633</v>
      </c>
      <c r="H1516" s="18" t="s">
        <v>135</v>
      </c>
      <c r="I1516" s="19">
        <v>1500</v>
      </c>
      <c r="J1516" s="19">
        <v>1500</v>
      </c>
      <c r="K1516" s="19">
        <v>1500</v>
      </c>
      <c r="L1516" s="621"/>
      <c r="M1516" s="19"/>
      <c r="N1516" s="19"/>
      <c r="O1516" s="19"/>
    </row>
    <row r="1517" spans="2:15" x14ac:dyDescent="0.2">
      <c r="B1517" s="8">
        <f t="shared" si="78"/>
        <v>50</v>
      </c>
      <c r="C1517" s="18"/>
      <c r="D1517" s="18"/>
      <c r="E1517" s="18"/>
      <c r="F1517" s="152"/>
      <c r="G1517" s="153">
        <v>634</v>
      </c>
      <c r="H1517" s="18" t="s">
        <v>142</v>
      </c>
      <c r="I1517" s="19">
        <v>1400</v>
      </c>
      <c r="J1517" s="19">
        <v>1400</v>
      </c>
      <c r="K1517" s="19">
        <v>1400</v>
      </c>
      <c r="L1517" s="621"/>
      <c r="M1517" s="19"/>
      <c r="N1517" s="19"/>
      <c r="O1517" s="19"/>
    </row>
    <row r="1518" spans="2:15" x14ac:dyDescent="0.2">
      <c r="B1518" s="8">
        <f t="shared" si="78"/>
        <v>51</v>
      </c>
      <c r="C1518" s="18"/>
      <c r="D1518" s="18"/>
      <c r="E1518" s="18"/>
      <c r="F1518" s="152"/>
      <c r="G1518" s="153">
        <v>635</v>
      </c>
      <c r="H1518" s="18" t="s">
        <v>143</v>
      </c>
      <c r="I1518" s="19">
        <f>50+200+250</f>
        <v>500</v>
      </c>
      <c r="J1518" s="19">
        <v>500</v>
      </c>
      <c r="K1518" s="19">
        <v>500</v>
      </c>
      <c r="L1518" s="621"/>
      <c r="M1518" s="19"/>
      <c r="N1518" s="19"/>
      <c r="O1518" s="19"/>
    </row>
    <row r="1519" spans="2:15" x14ac:dyDescent="0.2">
      <c r="B1519" s="8">
        <f t="shared" si="78"/>
        <v>52</v>
      </c>
      <c r="C1519" s="18"/>
      <c r="D1519" s="18"/>
      <c r="E1519" s="18"/>
      <c r="F1519" s="152"/>
      <c r="G1519" s="153">
        <v>637</v>
      </c>
      <c r="H1519" s="18" t="s">
        <v>132</v>
      </c>
      <c r="I1519" s="19">
        <v>8750</v>
      </c>
      <c r="J1519" s="19">
        <v>8750</v>
      </c>
      <c r="K1519" s="19">
        <v>8750</v>
      </c>
      <c r="L1519" s="621"/>
      <c r="M1519" s="19"/>
      <c r="N1519" s="19"/>
      <c r="O1519" s="19"/>
    </row>
    <row r="1520" spans="2:15" x14ac:dyDescent="0.2">
      <c r="B1520" s="8">
        <f t="shared" si="78"/>
        <v>53</v>
      </c>
      <c r="C1520" s="24"/>
      <c r="D1520" s="24"/>
      <c r="E1520" s="24"/>
      <c r="F1520" s="149" t="s">
        <v>57</v>
      </c>
      <c r="G1520" s="150">
        <v>640</v>
      </c>
      <c r="H1520" s="24" t="s">
        <v>139</v>
      </c>
      <c r="I1520" s="25">
        <f>1520+300</f>
        <v>1820</v>
      </c>
      <c r="J1520" s="25">
        <v>1820</v>
      </c>
      <c r="K1520" s="25">
        <v>1820</v>
      </c>
      <c r="L1520" s="620"/>
      <c r="M1520" s="25"/>
      <c r="N1520" s="25"/>
      <c r="O1520" s="25"/>
    </row>
    <row r="1521" spans="2:15" ht="14.25" x14ac:dyDescent="0.2">
      <c r="B1521" s="8">
        <f t="shared" si="78"/>
        <v>54</v>
      </c>
      <c r="C1521" s="160"/>
      <c r="D1521" s="160">
        <v>2</v>
      </c>
      <c r="E1521" s="675" t="s">
        <v>287</v>
      </c>
      <c r="F1521" s="676"/>
      <c r="G1521" s="676"/>
      <c r="H1521" s="676"/>
      <c r="I1521" s="161">
        <f>I1522</f>
        <v>75980</v>
      </c>
      <c r="J1521" s="161">
        <f>J1522</f>
        <v>77100</v>
      </c>
      <c r="K1521" s="161">
        <f>K1522</f>
        <v>79100</v>
      </c>
      <c r="L1521" s="619"/>
      <c r="M1521" s="161"/>
      <c r="N1521" s="161"/>
      <c r="O1521" s="161"/>
    </row>
    <row r="1522" spans="2:15" ht="14.25" x14ac:dyDescent="0.2">
      <c r="B1522" s="8">
        <f t="shared" si="78"/>
        <v>55</v>
      </c>
      <c r="C1522" s="267"/>
      <c r="D1522" s="267"/>
      <c r="E1522" s="267">
        <v>5</v>
      </c>
      <c r="F1522" s="268"/>
      <c r="G1522" s="268"/>
      <c r="H1522" s="267" t="s">
        <v>114</v>
      </c>
      <c r="I1522" s="269">
        <f>I1523+I1524+I1525+I1531</f>
        <v>75980</v>
      </c>
      <c r="J1522" s="269">
        <f>J1523+J1524+J1525+J1531</f>
        <v>77100</v>
      </c>
      <c r="K1522" s="269">
        <f>K1523+K1524+K1525+K1531</f>
        <v>79100</v>
      </c>
      <c r="L1522" s="619"/>
      <c r="M1522" s="269"/>
      <c r="N1522" s="269"/>
      <c r="O1522" s="269"/>
    </row>
    <row r="1523" spans="2:15" x14ac:dyDescent="0.2">
      <c r="B1523" s="8">
        <f t="shared" si="78"/>
        <v>56</v>
      </c>
      <c r="C1523" s="24"/>
      <c r="D1523" s="24"/>
      <c r="E1523" s="24"/>
      <c r="F1523" s="149" t="s">
        <v>57</v>
      </c>
      <c r="G1523" s="150">
        <v>610</v>
      </c>
      <c r="H1523" s="24" t="s">
        <v>141</v>
      </c>
      <c r="I1523" s="25">
        <f>31730+9200+3870</f>
        <v>44800</v>
      </c>
      <c r="J1523" s="25">
        <v>45500</v>
      </c>
      <c r="K1523" s="25">
        <v>47000</v>
      </c>
      <c r="L1523" s="620"/>
      <c r="M1523" s="25"/>
      <c r="N1523" s="25"/>
      <c r="O1523" s="25"/>
    </row>
    <row r="1524" spans="2:15" x14ac:dyDescent="0.2">
      <c r="B1524" s="8">
        <f t="shared" si="78"/>
        <v>57</v>
      </c>
      <c r="C1524" s="24"/>
      <c r="D1524" s="24"/>
      <c r="E1524" s="24"/>
      <c r="F1524" s="149" t="s">
        <v>57</v>
      </c>
      <c r="G1524" s="150">
        <v>620</v>
      </c>
      <c r="H1524" s="24" t="s">
        <v>134</v>
      </c>
      <c r="I1524" s="25">
        <f>4480+630+6270+360+1340+450+2130+1350</f>
        <v>17010</v>
      </c>
      <c r="J1524" s="25">
        <v>17500</v>
      </c>
      <c r="K1524" s="25">
        <v>18000</v>
      </c>
      <c r="L1524" s="620"/>
      <c r="M1524" s="25"/>
      <c r="N1524" s="25"/>
      <c r="O1524" s="25"/>
    </row>
    <row r="1525" spans="2:15" x14ac:dyDescent="0.2">
      <c r="B1525" s="8">
        <f t="shared" si="78"/>
        <v>58</v>
      </c>
      <c r="C1525" s="24"/>
      <c r="D1525" s="24"/>
      <c r="E1525" s="24"/>
      <c r="F1525" s="149" t="s">
        <v>57</v>
      </c>
      <c r="G1525" s="150">
        <v>630</v>
      </c>
      <c r="H1525" s="24" t="s">
        <v>131</v>
      </c>
      <c r="I1525" s="25">
        <f>I1530+I1529+I1528+I1527+I1526</f>
        <v>12170</v>
      </c>
      <c r="J1525" s="25">
        <f>J1530+J1529+J1528+J1527+J1526</f>
        <v>12100</v>
      </c>
      <c r="K1525" s="25">
        <f>K1530+K1529+K1528+K1527+K1526</f>
        <v>12100</v>
      </c>
      <c r="L1525" s="620"/>
      <c r="M1525" s="25"/>
      <c r="N1525" s="25"/>
      <c r="O1525" s="25"/>
    </row>
    <row r="1526" spans="2:15" x14ac:dyDescent="0.2">
      <c r="B1526" s="8">
        <f t="shared" si="78"/>
        <v>59</v>
      </c>
      <c r="C1526" s="18"/>
      <c r="D1526" s="18"/>
      <c r="E1526" s="18"/>
      <c r="F1526" s="152"/>
      <c r="G1526" s="153">
        <v>631</v>
      </c>
      <c r="H1526" s="18" t="s">
        <v>137</v>
      </c>
      <c r="I1526" s="19">
        <v>50</v>
      </c>
      <c r="J1526" s="19">
        <v>50</v>
      </c>
      <c r="K1526" s="19">
        <v>50</v>
      </c>
      <c r="L1526" s="621"/>
      <c r="M1526" s="19"/>
      <c r="N1526" s="19"/>
      <c r="O1526" s="19"/>
    </row>
    <row r="1527" spans="2:15" x14ac:dyDescent="0.2">
      <c r="B1527" s="8">
        <f t="shared" si="78"/>
        <v>60</v>
      </c>
      <c r="C1527" s="18"/>
      <c r="D1527" s="18"/>
      <c r="E1527" s="18"/>
      <c r="F1527" s="152"/>
      <c r="G1527" s="153">
        <v>632</v>
      </c>
      <c r="H1527" s="18" t="s">
        <v>144</v>
      </c>
      <c r="I1527" s="19">
        <v>9040</v>
      </c>
      <c r="J1527" s="19">
        <v>9000</v>
      </c>
      <c r="K1527" s="19">
        <v>9000</v>
      </c>
      <c r="L1527" s="621"/>
      <c r="M1527" s="19"/>
      <c r="N1527" s="19"/>
      <c r="O1527" s="19"/>
    </row>
    <row r="1528" spans="2:15" x14ac:dyDescent="0.2">
      <c r="B1528" s="8">
        <f t="shared" si="78"/>
        <v>61</v>
      </c>
      <c r="C1528" s="18"/>
      <c r="D1528" s="18"/>
      <c r="E1528" s="18"/>
      <c r="F1528" s="152"/>
      <c r="G1528" s="153">
        <v>633</v>
      </c>
      <c r="H1528" s="18" t="s">
        <v>135</v>
      </c>
      <c r="I1528" s="19">
        <v>950</v>
      </c>
      <c r="J1528" s="19">
        <v>950</v>
      </c>
      <c r="K1528" s="19">
        <v>950</v>
      </c>
      <c r="L1528" s="621"/>
      <c r="M1528" s="19"/>
      <c r="N1528" s="19"/>
      <c r="O1528" s="19"/>
    </row>
    <row r="1529" spans="2:15" x14ac:dyDescent="0.2">
      <c r="B1529" s="8">
        <f t="shared" si="78"/>
        <v>62</v>
      </c>
      <c r="C1529" s="18"/>
      <c r="D1529" s="18"/>
      <c r="E1529" s="18"/>
      <c r="F1529" s="152"/>
      <c r="G1529" s="153">
        <v>635</v>
      </c>
      <c r="H1529" s="18" t="s">
        <v>143</v>
      </c>
      <c r="I1529" s="19">
        <v>330</v>
      </c>
      <c r="J1529" s="19">
        <v>300</v>
      </c>
      <c r="K1529" s="19">
        <v>300</v>
      </c>
      <c r="L1529" s="621"/>
      <c r="M1529" s="19"/>
      <c r="N1529" s="19"/>
      <c r="O1529" s="19"/>
    </row>
    <row r="1530" spans="2:15" x14ac:dyDescent="0.2">
      <c r="B1530" s="8">
        <f t="shared" si="78"/>
        <v>63</v>
      </c>
      <c r="C1530" s="18"/>
      <c r="D1530" s="18"/>
      <c r="E1530" s="18"/>
      <c r="F1530" s="152"/>
      <c r="G1530" s="153">
        <v>637</v>
      </c>
      <c r="H1530" s="18" t="s">
        <v>132</v>
      </c>
      <c r="I1530" s="19">
        <v>1800</v>
      </c>
      <c r="J1530" s="19">
        <v>1800</v>
      </c>
      <c r="K1530" s="19">
        <v>1800</v>
      </c>
      <c r="L1530" s="621"/>
      <c r="M1530" s="19"/>
      <c r="N1530" s="19"/>
      <c r="O1530" s="19"/>
    </row>
    <row r="1531" spans="2:15" x14ac:dyDescent="0.2">
      <c r="B1531" s="8">
        <f t="shared" si="78"/>
        <v>64</v>
      </c>
      <c r="C1531" s="24"/>
      <c r="D1531" s="24"/>
      <c r="E1531" s="24"/>
      <c r="F1531" s="149" t="s">
        <v>57</v>
      </c>
      <c r="G1531" s="150">
        <v>640</v>
      </c>
      <c r="H1531" s="24" t="s">
        <v>139</v>
      </c>
      <c r="I1531" s="25">
        <v>2000</v>
      </c>
      <c r="J1531" s="25">
        <v>2000</v>
      </c>
      <c r="K1531" s="25">
        <v>2000</v>
      </c>
      <c r="L1531" s="620"/>
      <c r="M1531" s="25"/>
      <c r="N1531" s="25"/>
      <c r="O1531" s="25"/>
    </row>
    <row r="1532" spans="2:15" ht="14.25" x14ac:dyDescent="0.2">
      <c r="B1532" s="8">
        <f t="shared" si="78"/>
        <v>65</v>
      </c>
      <c r="C1532" s="160"/>
      <c r="D1532" s="160">
        <v>3</v>
      </c>
      <c r="E1532" s="675" t="s">
        <v>827</v>
      </c>
      <c r="F1532" s="676"/>
      <c r="G1532" s="676"/>
      <c r="H1532" s="676"/>
      <c r="I1532" s="161">
        <v>0</v>
      </c>
      <c r="J1532" s="161">
        <v>0</v>
      </c>
      <c r="K1532" s="161">
        <v>0</v>
      </c>
      <c r="L1532" s="619"/>
      <c r="M1532" s="161"/>
      <c r="N1532" s="161"/>
      <c r="O1532" s="161"/>
    </row>
    <row r="1533" spans="2:15" ht="15.75" x14ac:dyDescent="0.25">
      <c r="B1533" s="8">
        <f t="shared" si="78"/>
        <v>66</v>
      </c>
      <c r="C1533" s="141">
        <v>5</v>
      </c>
      <c r="D1533" s="677" t="s">
        <v>187</v>
      </c>
      <c r="E1533" s="678"/>
      <c r="F1533" s="678"/>
      <c r="G1533" s="678"/>
      <c r="H1533" s="678"/>
      <c r="I1533" s="142">
        <f>I1558+I1542+I1534</f>
        <v>1244795</v>
      </c>
      <c r="J1533" s="142">
        <f>J1558+J1542+J1534</f>
        <v>1261500</v>
      </c>
      <c r="K1533" s="142">
        <f>K1558+K1542+K1534</f>
        <v>1267500</v>
      </c>
      <c r="L1533" s="618"/>
      <c r="M1533" s="142">
        <f>M1534+M1542+M1558</f>
        <v>25000</v>
      </c>
      <c r="N1533" s="142"/>
      <c r="O1533" s="142"/>
    </row>
    <row r="1534" spans="2:15" ht="14.25" x14ac:dyDescent="0.2">
      <c r="B1534" s="8">
        <f t="shared" si="78"/>
        <v>67</v>
      </c>
      <c r="C1534" s="160"/>
      <c r="D1534" s="160">
        <v>1</v>
      </c>
      <c r="E1534" s="675" t="s">
        <v>943</v>
      </c>
      <c r="F1534" s="676"/>
      <c r="G1534" s="676"/>
      <c r="H1534" s="676"/>
      <c r="I1534" s="161">
        <f>I1535+I1539</f>
        <v>11900</v>
      </c>
      <c r="J1534" s="161">
        <f>J1535+J1539</f>
        <v>11900</v>
      </c>
      <c r="K1534" s="161">
        <f>K1535+K1539</f>
        <v>11900</v>
      </c>
      <c r="L1534" s="619"/>
      <c r="M1534" s="161"/>
      <c r="N1534" s="161"/>
      <c r="O1534" s="161"/>
    </row>
    <row r="1535" spans="2:15" x14ac:dyDescent="0.2">
      <c r="B1535" s="8">
        <f t="shared" si="78"/>
        <v>68</v>
      </c>
      <c r="C1535" s="24"/>
      <c r="D1535" s="24"/>
      <c r="E1535" s="24"/>
      <c r="F1535" s="149" t="s">
        <v>83</v>
      </c>
      <c r="G1535" s="150">
        <v>630</v>
      </c>
      <c r="H1535" s="24" t="s">
        <v>131</v>
      </c>
      <c r="I1535" s="25">
        <f>SUM(I1536:I1538)</f>
        <v>7900</v>
      </c>
      <c r="J1535" s="25">
        <f>SUM(J1536:J1538)</f>
        <v>7900</v>
      </c>
      <c r="K1535" s="25">
        <f>SUM(K1536:K1538)</f>
        <v>7900</v>
      </c>
      <c r="L1535" s="620"/>
      <c r="M1535" s="25"/>
      <c r="N1535" s="25"/>
      <c r="O1535" s="25"/>
    </row>
    <row r="1536" spans="2:15" x14ac:dyDescent="0.2">
      <c r="B1536" s="8">
        <f t="shared" si="78"/>
        <v>69</v>
      </c>
      <c r="C1536" s="18"/>
      <c r="D1536" s="18"/>
      <c r="E1536" s="18"/>
      <c r="F1536" s="152" t="s">
        <v>83</v>
      </c>
      <c r="G1536" s="153">
        <v>633</v>
      </c>
      <c r="H1536" s="18" t="s">
        <v>135</v>
      </c>
      <c r="I1536" s="19">
        <v>3800</v>
      </c>
      <c r="J1536" s="19">
        <v>3800</v>
      </c>
      <c r="K1536" s="19">
        <v>3800</v>
      </c>
      <c r="L1536" s="621"/>
      <c r="M1536" s="19"/>
      <c r="N1536" s="19"/>
      <c r="O1536" s="19"/>
    </row>
    <row r="1537" spans="2:15" x14ac:dyDescent="0.2">
      <c r="B1537" s="8">
        <f t="shared" si="78"/>
        <v>70</v>
      </c>
      <c r="C1537" s="18"/>
      <c r="D1537" s="18"/>
      <c r="E1537" s="18"/>
      <c r="F1537" s="152" t="s">
        <v>83</v>
      </c>
      <c r="G1537" s="153">
        <v>634</v>
      </c>
      <c r="H1537" s="18" t="s">
        <v>142</v>
      </c>
      <c r="I1537" s="19">
        <v>1800</v>
      </c>
      <c r="J1537" s="19">
        <v>1800</v>
      </c>
      <c r="K1537" s="19">
        <v>1800</v>
      </c>
      <c r="L1537" s="621"/>
      <c r="M1537" s="19"/>
      <c r="N1537" s="19"/>
      <c r="O1537" s="19"/>
    </row>
    <row r="1538" spans="2:15" x14ac:dyDescent="0.2">
      <c r="B1538" s="8">
        <f t="shared" si="78"/>
        <v>71</v>
      </c>
      <c r="C1538" s="18"/>
      <c r="D1538" s="18"/>
      <c r="E1538" s="18"/>
      <c r="F1538" s="152" t="s">
        <v>83</v>
      </c>
      <c r="G1538" s="153">
        <v>637</v>
      </c>
      <c r="H1538" s="18" t="s">
        <v>132</v>
      </c>
      <c r="I1538" s="19">
        <v>2300</v>
      </c>
      <c r="J1538" s="19">
        <v>2300</v>
      </c>
      <c r="K1538" s="19">
        <v>2300</v>
      </c>
      <c r="L1538" s="621"/>
      <c r="M1538" s="19"/>
      <c r="N1538" s="19"/>
      <c r="O1538" s="19"/>
    </row>
    <row r="1539" spans="2:15" x14ac:dyDescent="0.2">
      <c r="B1539" s="8">
        <f t="shared" si="78"/>
        <v>72</v>
      </c>
      <c r="C1539" s="24"/>
      <c r="D1539" s="24"/>
      <c r="E1539" s="24"/>
      <c r="F1539" s="149" t="s">
        <v>80</v>
      </c>
      <c r="G1539" s="150">
        <v>640</v>
      </c>
      <c r="H1539" s="24" t="s">
        <v>139</v>
      </c>
      <c r="I1539" s="25">
        <f>I1540+I1541</f>
        <v>4000</v>
      </c>
      <c r="J1539" s="25">
        <f>J1540+J1541</f>
        <v>4000</v>
      </c>
      <c r="K1539" s="25">
        <f>K1540+K1541</f>
        <v>4000</v>
      </c>
      <c r="L1539" s="620"/>
      <c r="M1539" s="25"/>
      <c r="N1539" s="25"/>
      <c r="O1539" s="25"/>
    </row>
    <row r="1540" spans="2:15" x14ac:dyDescent="0.2">
      <c r="B1540" s="8">
        <f t="shared" si="78"/>
        <v>73</v>
      </c>
      <c r="C1540" s="120"/>
      <c r="D1540" s="120"/>
      <c r="E1540" s="120"/>
      <c r="F1540" s="298"/>
      <c r="G1540" s="298"/>
      <c r="H1540" s="156" t="s">
        <v>246</v>
      </c>
      <c r="I1540" s="19">
        <v>2000</v>
      </c>
      <c r="J1540" s="19">
        <v>2000</v>
      </c>
      <c r="K1540" s="19">
        <v>2000</v>
      </c>
      <c r="L1540" s="614"/>
      <c r="M1540" s="157"/>
      <c r="N1540" s="157"/>
      <c r="O1540" s="157"/>
    </row>
    <row r="1541" spans="2:15" x14ac:dyDescent="0.2">
      <c r="B1541" s="8">
        <f t="shared" si="78"/>
        <v>74</v>
      </c>
      <c r="C1541" s="120"/>
      <c r="D1541" s="120"/>
      <c r="E1541" s="120"/>
      <c r="F1541" s="298"/>
      <c r="G1541" s="298"/>
      <c r="H1541" s="156" t="s">
        <v>3</v>
      </c>
      <c r="I1541" s="19">
        <v>2000</v>
      </c>
      <c r="J1541" s="19">
        <v>2000</v>
      </c>
      <c r="K1541" s="19">
        <v>2000</v>
      </c>
      <c r="L1541" s="614"/>
      <c r="M1541" s="157"/>
      <c r="N1541" s="157"/>
      <c r="O1541" s="157"/>
    </row>
    <row r="1542" spans="2:15" ht="14.25" x14ac:dyDescent="0.2">
      <c r="B1542" s="8">
        <f t="shared" ref="B1542:B1598" si="80">B1541+1</f>
        <v>75</v>
      </c>
      <c r="C1542" s="160"/>
      <c r="D1542" s="160">
        <v>2</v>
      </c>
      <c r="E1542" s="675" t="s">
        <v>63</v>
      </c>
      <c r="F1542" s="676"/>
      <c r="G1542" s="676"/>
      <c r="H1542" s="676"/>
      <c r="I1542" s="161">
        <f>I1543</f>
        <v>1151895</v>
      </c>
      <c r="J1542" s="161">
        <f>J1543</f>
        <v>1168600</v>
      </c>
      <c r="K1542" s="161">
        <f>K1543</f>
        <v>1174600</v>
      </c>
      <c r="L1542" s="619"/>
      <c r="M1542" s="161">
        <f>M1543</f>
        <v>25000</v>
      </c>
      <c r="N1542" s="161"/>
      <c r="O1542" s="161"/>
    </row>
    <row r="1543" spans="2:15" ht="14.25" x14ac:dyDescent="0.2">
      <c r="B1543" s="8">
        <f t="shared" si="80"/>
        <v>76</v>
      </c>
      <c r="C1543" s="267"/>
      <c r="D1543" s="267"/>
      <c r="E1543" s="267">
        <v>5</v>
      </c>
      <c r="F1543" s="268"/>
      <c r="G1543" s="268"/>
      <c r="H1543" s="267" t="s">
        <v>114</v>
      </c>
      <c r="I1543" s="269">
        <f>I1544+I1545+I1546+I1554</f>
        <v>1151895</v>
      </c>
      <c r="J1543" s="269">
        <f>J1544+J1545+J1546+J1554</f>
        <v>1168600</v>
      </c>
      <c r="K1543" s="269">
        <f>K1544+K1545+K1546+K1554</f>
        <v>1174600</v>
      </c>
      <c r="L1543" s="619"/>
      <c r="M1543" s="269">
        <f>M1555</f>
        <v>25000</v>
      </c>
      <c r="N1543" s="269"/>
      <c r="O1543" s="269"/>
    </row>
    <row r="1544" spans="2:15" x14ac:dyDescent="0.2">
      <c r="B1544" s="8">
        <f t="shared" si="80"/>
        <v>77</v>
      </c>
      <c r="C1544" s="24"/>
      <c r="D1544" s="24"/>
      <c r="E1544" s="24"/>
      <c r="F1544" s="149" t="s">
        <v>83</v>
      </c>
      <c r="G1544" s="150">
        <v>610</v>
      </c>
      <c r="H1544" s="24" t="s">
        <v>141</v>
      </c>
      <c r="I1544" s="25">
        <v>584100</v>
      </c>
      <c r="J1544" s="25">
        <v>600000</v>
      </c>
      <c r="K1544" s="25">
        <v>605000</v>
      </c>
      <c r="L1544" s="620"/>
      <c r="M1544" s="25"/>
      <c r="N1544" s="25"/>
      <c r="O1544" s="25"/>
    </row>
    <row r="1545" spans="2:15" x14ac:dyDescent="0.2">
      <c r="B1545" s="8">
        <f t="shared" si="80"/>
        <v>78</v>
      </c>
      <c r="C1545" s="24"/>
      <c r="D1545" s="24"/>
      <c r="E1545" s="24"/>
      <c r="F1545" s="149" t="s">
        <v>83</v>
      </c>
      <c r="G1545" s="150">
        <v>620</v>
      </c>
      <c r="H1545" s="24" t="s">
        <v>134</v>
      </c>
      <c r="I1545" s="25">
        <v>197195</v>
      </c>
      <c r="J1545" s="25">
        <v>198000</v>
      </c>
      <c r="K1545" s="25">
        <v>199000</v>
      </c>
      <c r="L1545" s="620"/>
      <c r="M1545" s="25"/>
      <c r="N1545" s="25"/>
      <c r="O1545" s="25"/>
    </row>
    <row r="1546" spans="2:15" x14ac:dyDescent="0.2">
      <c r="B1546" s="8">
        <f t="shared" si="80"/>
        <v>79</v>
      </c>
      <c r="C1546" s="24"/>
      <c r="D1546" s="24"/>
      <c r="E1546" s="24"/>
      <c r="F1546" s="149" t="s">
        <v>83</v>
      </c>
      <c r="G1546" s="150">
        <v>630</v>
      </c>
      <c r="H1546" s="24" t="s">
        <v>131</v>
      </c>
      <c r="I1546" s="25">
        <f>I1553+I1552+I1551+I1550+I1549+I1548+I1547</f>
        <v>337900</v>
      </c>
      <c r="J1546" s="25">
        <f>J1553+J1552+J1551+J1550+J1549+J1548+J1547</f>
        <v>337900</v>
      </c>
      <c r="K1546" s="25">
        <f>K1553+K1552+K1551+K1550+K1549+K1548+K1547</f>
        <v>337900</v>
      </c>
      <c r="L1546" s="620"/>
      <c r="M1546" s="25"/>
      <c r="N1546" s="25"/>
      <c r="O1546" s="25"/>
    </row>
    <row r="1547" spans="2:15" x14ac:dyDescent="0.2">
      <c r="B1547" s="8">
        <f t="shared" si="80"/>
        <v>80</v>
      </c>
      <c r="C1547" s="18"/>
      <c r="D1547" s="18"/>
      <c r="E1547" s="18"/>
      <c r="F1547" s="152"/>
      <c r="G1547" s="153">
        <v>631</v>
      </c>
      <c r="H1547" s="18" t="s">
        <v>137</v>
      </c>
      <c r="I1547" s="19">
        <v>100</v>
      </c>
      <c r="J1547" s="19">
        <v>100</v>
      </c>
      <c r="K1547" s="19">
        <v>100</v>
      </c>
      <c r="L1547" s="621"/>
      <c r="M1547" s="19"/>
      <c r="N1547" s="19"/>
      <c r="O1547" s="19"/>
    </row>
    <row r="1548" spans="2:15" x14ac:dyDescent="0.2">
      <c r="B1548" s="8">
        <f t="shared" si="80"/>
        <v>81</v>
      </c>
      <c r="C1548" s="18"/>
      <c r="D1548" s="18"/>
      <c r="E1548" s="18"/>
      <c r="F1548" s="152"/>
      <c r="G1548" s="153">
        <v>632</v>
      </c>
      <c r="H1548" s="18" t="s">
        <v>144</v>
      </c>
      <c r="I1548" s="19">
        <v>133500</v>
      </c>
      <c r="J1548" s="19">
        <v>133500</v>
      </c>
      <c r="K1548" s="19">
        <v>133500</v>
      </c>
      <c r="L1548" s="621"/>
      <c r="M1548" s="19"/>
      <c r="N1548" s="19"/>
      <c r="O1548" s="19"/>
    </row>
    <row r="1549" spans="2:15" x14ac:dyDescent="0.2">
      <c r="B1549" s="8">
        <f t="shared" si="80"/>
        <v>82</v>
      </c>
      <c r="C1549" s="18"/>
      <c r="D1549" s="18"/>
      <c r="E1549" s="18"/>
      <c r="F1549" s="152"/>
      <c r="G1549" s="153">
        <v>633</v>
      </c>
      <c r="H1549" s="18" t="s">
        <v>135</v>
      </c>
      <c r="I1549" s="19">
        <v>30000</v>
      </c>
      <c r="J1549" s="19">
        <v>30000</v>
      </c>
      <c r="K1549" s="19">
        <v>30000</v>
      </c>
      <c r="L1549" s="621"/>
      <c r="M1549" s="19"/>
      <c r="N1549" s="19"/>
      <c r="O1549" s="19"/>
    </row>
    <row r="1550" spans="2:15" x14ac:dyDescent="0.2">
      <c r="B1550" s="8">
        <f t="shared" si="80"/>
        <v>83</v>
      </c>
      <c r="C1550" s="18"/>
      <c r="D1550" s="18"/>
      <c r="E1550" s="18"/>
      <c r="F1550" s="152"/>
      <c r="G1550" s="153">
        <v>634</v>
      </c>
      <c r="H1550" s="18" t="s">
        <v>142</v>
      </c>
      <c r="I1550" s="19">
        <v>1800</v>
      </c>
      <c r="J1550" s="19">
        <v>1800</v>
      </c>
      <c r="K1550" s="19">
        <v>1800</v>
      </c>
      <c r="L1550" s="621"/>
      <c r="M1550" s="19"/>
      <c r="N1550" s="19"/>
      <c r="O1550" s="19"/>
    </row>
    <row r="1551" spans="2:15" x14ac:dyDescent="0.2">
      <c r="B1551" s="8">
        <f t="shared" si="80"/>
        <v>84</v>
      </c>
      <c r="C1551" s="18"/>
      <c r="D1551" s="18"/>
      <c r="E1551" s="18"/>
      <c r="F1551" s="152"/>
      <c r="G1551" s="153">
        <v>635</v>
      </c>
      <c r="H1551" s="18" t="s">
        <v>143</v>
      </c>
      <c r="I1551" s="19">
        <v>11500</v>
      </c>
      <c r="J1551" s="19">
        <v>11500</v>
      </c>
      <c r="K1551" s="19">
        <v>11500</v>
      </c>
      <c r="L1551" s="621"/>
      <c r="M1551" s="19"/>
      <c r="N1551" s="19"/>
      <c r="O1551" s="19"/>
    </row>
    <row r="1552" spans="2:15" x14ac:dyDescent="0.2">
      <c r="B1552" s="8">
        <f t="shared" si="80"/>
        <v>85</v>
      </c>
      <c r="C1552" s="18"/>
      <c r="D1552" s="18"/>
      <c r="E1552" s="18"/>
      <c r="F1552" s="152"/>
      <c r="G1552" s="153">
        <v>636</v>
      </c>
      <c r="H1552" s="18" t="s">
        <v>136</v>
      </c>
      <c r="I1552" s="19">
        <v>1000</v>
      </c>
      <c r="J1552" s="19">
        <v>1000</v>
      </c>
      <c r="K1552" s="19">
        <v>1000</v>
      </c>
      <c r="L1552" s="621"/>
      <c r="M1552" s="19"/>
      <c r="N1552" s="19"/>
      <c r="O1552" s="19"/>
    </row>
    <row r="1553" spans="2:15" x14ac:dyDescent="0.2">
      <c r="B1553" s="8">
        <f t="shared" si="80"/>
        <v>86</v>
      </c>
      <c r="C1553" s="18"/>
      <c r="D1553" s="18"/>
      <c r="E1553" s="18"/>
      <c r="F1553" s="152"/>
      <c r="G1553" s="153">
        <v>637</v>
      </c>
      <c r="H1553" s="18" t="s">
        <v>132</v>
      </c>
      <c r="I1553" s="19">
        <v>160000</v>
      </c>
      <c r="J1553" s="19">
        <v>160000</v>
      </c>
      <c r="K1553" s="19">
        <v>160000</v>
      </c>
      <c r="L1553" s="621"/>
      <c r="M1553" s="19"/>
      <c r="N1553" s="19"/>
      <c r="O1553" s="19"/>
    </row>
    <row r="1554" spans="2:15" x14ac:dyDescent="0.2">
      <c r="B1554" s="8">
        <f t="shared" si="80"/>
        <v>87</v>
      </c>
      <c r="C1554" s="24"/>
      <c r="D1554" s="24"/>
      <c r="E1554" s="24"/>
      <c r="F1554" s="149" t="s">
        <v>83</v>
      </c>
      <c r="G1554" s="150">
        <v>640</v>
      </c>
      <c r="H1554" s="24" t="s">
        <v>139</v>
      </c>
      <c r="I1554" s="25">
        <f>5880+22320+4500</f>
        <v>32700</v>
      </c>
      <c r="J1554" s="25">
        <v>32700</v>
      </c>
      <c r="K1554" s="25">
        <v>32700</v>
      </c>
      <c r="L1554" s="620"/>
      <c r="M1554" s="25"/>
      <c r="N1554" s="25"/>
      <c r="O1554" s="25"/>
    </row>
    <row r="1555" spans="2:15" x14ac:dyDescent="0.2">
      <c r="B1555" s="8">
        <f t="shared" si="80"/>
        <v>88</v>
      </c>
      <c r="C1555" s="24"/>
      <c r="D1555" s="24"/>
      <c r="E1555" s="24"/>
      <c r="F1555" s="149" t="s">
        <v>83</v>
      </c>
      <c r="G1555" s="150">
        <v>710</v>
      </c>
      <c r="H1555" s="24" t="s">
        <v>185</v>
      </c>
      <c r="I1555" s="25"/>
      <c r="J1555" s="25"/>
      <c r="K1555" s="25"/>
      <c r="L1555" s="620"/>
      <c r="M1555" s="25">
        <f>M1556</f>
        <v>25000</v>
      </c>
      <c r="N1555" s="25"/>
      <c r="O1555" s="25"/>
    </row>
    <row r="1556" spans="2:15" x14ac:dyDescent="0.2">
      <c r="B1556" s="8">
        <f t="shared" si="80"/>
        <v>89</v>
      </c>
      <c r="C1556" s="18"/>
      <c r="D1556" s="18"/>
      <c r="E1556" s="18"/>
      <c r="F1556" s="152"/>
      <c r="G1556" s="153">
        <v>717</v>
      </c>
      <c r="H1556" s="18" t="s">
        <v>192</v>
      </c>
      <c r="I1556" s="19"/>
      <c r="J1556" s="19"/>
      <c r="K1556" s="19"/>
      <c r="L1556" s="621"/>
      <c r="M1556" s="19">
        <f>SUM(M1557:M1557)</f>
        <v>25000</v>
      </c>
      <c r="N1556" s="19"/>
      <c r="O1556" s="19"/>
    </row>
    <row r="1557" spans="2:15" s="318" customFormat="1" ht="12" x14ac:dyDescent="0.2">
      <c r="B1557" s="8">
        <f t="shared" si="80"/>
        <v>90</v>
      </c>
      <c r="C1557" s="120"/>
      <c r="D1557" s="120"/>
      <c r="E1557" s="120"/>
      <c r="F1557" s="317"/>
      <c r="G1557" s="298"/>
      <c r="H1557" s="156" t="s">
        <v>948</v>
      </c>
      <c r="I1557" s="158"/>
      <c r="J1557" s="158"/>
      <c r="K1557" s="158"/>
      <c r="L1557" s="622"/>
      <c r="M1557" s="158">
        <v>25000</v>
      </c>
      <c r="N1557" s="158"/>
      <c r="O1557" s="158"/>
    </row>
    <row r="1558" spans="2:15" ht="14.25" x14ac:dyDescent="0.2">
      <c r="B1558" s="8">
        <f t="shared" si="80"/>
        <v>91</v>
      </c>
      <c r="C1558" s="160"/>
      <c r="D1558" s="160">
        <v>3</v>
      </c>
      <c r="E1558" s="675" t="s">
        <v>605</v>
      </c>
      <c r="F1558" s="676"/>
      <c r="G1558" s="676"/>
      <c r="H1558" s="676"/>
      <c r="I1558" s="161">
        <f>I1559</f>
        <v>81000</v>
      </c>
      <c r="J1558" s="161">
        <f>J1559</f>
        <v>81000</v>
      </c>
      <c r="K1558" s="161">
        <f>K1559</f>
        <v>81000</v>
      </c>
      <c r="L1558" s="619"/>
      <c r="M1558" s="161"/>
      <c r="N1558" s="161"/>
      <c r="O1558" s="161"/>
    </row>
    <row r="1559" spans="2:15" x14ac:dyDescent="0.2">
      <c r="B1559" s="8">
        <f t="shared" si="80"/>
        <v>92</v>
      </c>
      <c r="C1559" s="24"/>
      <c r="D1559" s="24"/>
      <c r="E1559" s="24"/>
      <c r="F1559" s="149" t="s">
        <v>83</v>
      </c>
      <c r="G1559" s="150">
        <v>630</v>
      </c>
      <c r="H1559" s="24" t="s">
        <v>131</v>
      </c>
      <c r="I1559" s="25">
        <f>I1563+I1562+I1561+I1560</f>
        <v>81000</v>
      </c>
      <c r="J1559" s="25">
        <f>J1563+J1562+J1561+J1560</f>
        <v>81000</v>
      </c>
      <c r="K1559" s="25">
        <f>K1563+K1562+K1561+K1560</f>
        <v>81000</v>
      </c>
      <c r="L1559" s="620"/>
      <c r="M1559" s="25"/>
      <c r="N1559" s="25"/>
      <c r="O1559" s="25"/>
    </row>
    <row r="1560" spans="2:15" x14ac:dyDescent="0.2">
      <c r="B1560" s="8">
        <f t="shared" si="80"/>
        <v>93</v>
      </c>
      <c r="C1560" s="18"/>
      <c r="D1560" s="18"/>
      <c r="E1560" s="18"/>
      <c r="F1560" s="152"/>
      <c r="G1560" s="153">
        <v>632</v>
      </c>
      <c r="H1560" s="18" t="s">
        <v>144</v>
      </c>
      <c r="I1560" s="19">
        <v>70000</v>
      </c>
      <c r="J1560" s="19">
        <v>70000</v>
      </c>
      <c r="K1560" s="19">
        <v>70000</v>
      </c>
      <c r="L1560" s="621"/>
      <c r="M1560" s="19"/>
      <c r="N1560" s="19"/>
      <c r="O1560" s="19"/>
    </row>
    <row r="1561" spans="2:15" x14ac:dyDescent="0.2">
      <c r="B1561" s="8">
        <f t="shared" si="80"/>
        <v>94</v>
      </c>
      <c r="C1561" s="18"/>
      <c r="D1561" s="18"/>
      <c r="E1561" s="18"/>
      <c r="F1561" s="152"/>
      <c r="G1561" s="153">
        <v>633</v>
      </c>
      <c r="H1561" s="18" t="s">
        <v>135</v>
      </c>
      <c r="I1561" s="19">
        <v>2500</v>
      </c>
      <c r="J1561" s="19">
        <v>2500</v>
      </c>
      <c r="K1561" s="19">
        <v>2500</v>
      </c>
      <c r="L1561" s="621"/>
      <c r="M1561" s="19"/>
      <c r="N1561" s="19"/>
      <c r="O1561" s="19"/>
    </row>
    <row r="1562" spans="2:15" x14ac:dyDescent="0.2">
      <c r="B1562" s="8">
        <f t="shared" si="80"/>
        <v>95</v>
      </c>
      <c r="C1562" s="18"/>
      <c r="D1562" s="18"/>
      <c r="E1562" s="18"/>
      <c r="F1562" s="152"/>
      <c r="G1562" s="153">
        <v>635</v>
      </c>
      <c r="H1562" s="18" t="s">
        <v>143</v>
      </c>
      <c r="I1562" s="19">
        <v>5200</v>
      </c>
      <c r="J1562" s="19">
        <v>5200</v>
      </c>
      <c r="K1562" s="19">
        <v>5200</v>
      </c>
      <c r="L1562" s="621"/>
      <c r="M1562" s="19"/>
      <c r="N1562" s="19"/>
      <c r="O1562" s="19"/>
    </row>
    <row r="1563" spans="2:15" x14ac:dyDescent="0.2">
      <c r="B1563" s="8">
        <f t="shared" si="80"/>
        <v>96</v>
      </c>
      <c r="C1563" s="18"/>
      <c r="D1563" s="18"/>
      <c r="E1563" s="18"/>
      <c r="F1563" s="152"/>
      <c r="G1563" s="153">
        <v>637</v>
      </c>
      <c r="H1563" s="18" t="s">
        <v>132</v>
      </c>
      <c r="I1563" s="19">
        <v>3300</v>
      </c>
      <c r="J1563" s="19">
        <v>3300</v>
      </c>
      <c r="K1563" s="19">
        <v>3300</v>
      </c>
      <c r="L1563" s="621"/>
      <c r="M1563" s="19"/>
      <c r="N1563" s="19"/>
      <c r="O1563" s="19"/>
    </row>
    <row r="1564" spans="2:15" ht="15.75" x14ac:dyDescent="0.25">
      <c r="B1564" s="8">
        <f t="shared" si="80"/>
        <v>97</v>
      </c>
      <c r="C1564" s="141">
        <v>6</v>
      </c>
      <c r="D1564" s="677" t="s">
        <v>241</v>
      </c>
      <c r="E1564" s="678"/>
      <c r="F1564" s="678"/>
      <c r="G1564" s="678"/>
      <c r="H1564" s="678"/>
      <c r="I1564" s="142">
        <f>I1565</f>
        <v>2190730</v>
      </c>
      <c r="J1564" s="142">
        <f>J1565</f>
        <v>2209400</v>
      </c>
      <c r="K1564" s="142">
        <f>K1565</f>
        <v>2233400</v>
      </c>
      <c r="L1564" s="618"/>
      <c r="M1564" s="142">
        <f>M1565</f>
        <v>460000</v>
      </c>
      <c r="N1564" s="142"/>
      <c r="O1564" s="142"/>
    </row>
    <row r="1565" spans="2:15" ht="14.25" x14ac:dyDescent="0.2">
      <c r="B1565" s="8">
        <f t="shared" si="80"/>
        <v>98</v>
      </c>
      <c r="C1565" s="267"/>
      <c r="D1565" s="267"/>
      <c r="E1565" s="267">
        <v>5</v>
      </c>
      <c r="F1565" s="268"/>
      <c r="G1565" s="268"/>
      <c r="H1565" s="267" t="s">
        <v>114</v>
      </c>
      <c r="I1565" s="269">
        <f>I1566+I1567+I1568+I1576</f>
        <v>2190730</v>
      </c>
      <c r="J1565" s="269">
        <f>J1566+J1567+J1568+J1576</f>
        <v>2209400</v>
      </c>
      <c r="K1565" s="269">
        <f>K1566+K1567+K1568+K1576</f>
        <v>2233400</v>
      </c>
      <c r="L1565" s="619"/>
      <c r="M1565" s="269">
        <f>M1577</f>
        <v>460000</v>
      </c>
      <c r="N1565" s="269"/>
      <c r="O1565" s="269"/>
    </row>
    <row r="1566" spans="2:15" x14ac:dyDescent="0.2">
      <c r="B1566" s="8">
        <f t="shared" si="80"/>
        <v>99</v>
      </c>
      <c r="C1566" s="24"/>
      <c r="D1566" s="24"/>
      <c r="E1566" s="24"/>
      <c r="F1566" s="149" t="s">
        <v>82</v>
      </c>
      <c r="G1566" s="150">
        <v>610</v>
      </c>
      <c r="H1566" s="24" t="s">
        <v>141</v>
      </c>
      <c r="I1566" s="25">
        <f>812000+130000+170000+3000</f>
        <v>1115000</v>
      </c>
      <c r="J1566" s="25">
        <v>1130000</v>
      </c>
      <c r="K1566" s="25">
        <v>1150000</v>
      </c>
      <c r="L1566" s="620"/>
      <c r="M1566" s="25"/>
      <c r="N1566" s="25"/>
      <c r="O1566" s="25"/>
    </row>
    <row r="1567" spans="2:15" x14ac:dyDescent="0.2">
      <c r="B1567" s="8">
        <f t="shared" si="80"/>
        <v>100</v>
      </c>
      <c r="C1567" s="24"/>
      <c r="D1567" s="24"/>
      <c r="E1567" s="24"/>
      <c r="F1567" s="149" t="s">
        <v>82</v>
      </c>
      <c r="G1567" s="150">
        <v>620</v>
      </c>
      <c r="H1567" s="24" t="s">
        <v>134</v>
      </c>
      <c r="I1567" s="25">
        <f>65840+30000+15360+15610+156100+8920+33450+11150+52900+15000</f>
        <v>404330</v>
      </c>
      <c r="J1567" s="25">
        <v>408000</v>
      </c>
      <c r="K1567" s="25">
        <v>412000</v>
      </c>
      <c r="L1567" s="620"/>
      <c r="M1567" s="25"/>
      <c r="N1567" s="25"/>
      <c r="O1567" s="25"/>
    </row>
    <row r="1568" spans="2:15" x14ac:dyDescent="0.2">
      <c r="B1568" s="8">
        <f t="shared" si="80"/>
        <v>101</v>
      </c>
      <c r="C1568" s="24"/>
      <c r="D1568" s="24"/>
      <c r="E1568" s="24"/>
      <c r="F1568" s="149" t="s">
        <v>82</v>
      </c>
      <c r="G1568" s="150">
        <v>630</v>
      </c>
      <c r="H1568" s="24" t="s">
        <v>131</v>
      </c>
      <c r="I1568" s="25">
        <f>I1575+I1574+I1573+I1572+I1571+I1570+I1569</f>
        <v>611400</v>
      </c>
      <c r="J1568" s="25">
        <f>J1575+J1574+J1573+J1572+J1571+J1570+J1569</f>
        <v>611400</v>
      </c>
      <c r="K1568" s="25">
        <f>K1575+K1574+K1573+K1572+K1571+K1570+K1569</f>
        <v>611400</v>
      </c>
      <c r="L1568" s="620"/>
      <c r="M1568" s="25"/>
      <c r="N1568" s="25"/>
      <c r="O1568" s="25"/>
    </row>
    <row r="1569" spans="2:15" x14ac:dyDescent="0.2">
      <c r="B1569" s="8">
        <f t="shared" si="80"/>
        <v>102</v>
      </c>
      <c r="C1569" s="18"/>
      <c r="D1569" s="18"/>
      <c r="E1569" s="18"/>
      <c r="F1569" s="152"/>
      <c r="G1569" s="153">
        <v>631</v>
      </c>
      <c r="H1569" s="18" t="s">
        <v>137</v>
      </c>
      <c r="I1569" s="19">
        <v>200</v>
      </c>
      <c r="J1569" s="19">
        <v>200</v>
      </c>
      <c r="K1569" s="19">
        <v>200</v>
      </c>
      <c r="L1569" s="621"/>
      <c r="M1569" s="19"/>
      <c r="N1569" s="19"/>
      <c r="O1569" s="19"/>
    </row>
    <row r="1570" spans="2:15" x14ac:dyDescent="0.2">
      <c r="B1570" s="8">
        <f t="shared" si="80"/>
        <v>103</v>
      </c>
      <c r="C1570" s="18"/>
      <c r="D1570" s="18"/>
      <c r="E1570" s="18"/>
      <c r="F1570" s="152"/>
      <c r="G1570" s="153">
        <v>632</v>
      </c>
      <c r="H1570" s="18" t="s">
        <v>144</v>
      </c>
      <c r="I1570" s="19">
        <v>235000</v>
      </c>
      <c r="J1570" s="19">
        <v>235000</v>
      </c>
      <c r="K1570" s="19">
        <v>235000</v>
      </c>
      <c r="L1570" s="621"/>
      <c r="M1570" s="19"/>
      <c r="N1570" s="19"/>
      <c r="O1570" s="19"/>
    </row>
    <row r="1571" spans="2:15" x14ac:dyDescent="0.2">
      <c r="B1571" s="8">
        <f t="shared" si="80"/>
        <v>104</v>
      </c>
      <c r="C1571" s="18"/>
      <c r="D1571" s="18"/>
      <c r="E1571" s="18"/>
      <c r="F1571" s="152"/>
      <c r="G1571" s="153">
        <v>633</v>
      </c>
      <c r="H1571" s="18" t="s">
        <v>135</v>
      </c>
      <c r="I1571" s="19">
        <v>44000</v>
      </c>
      <c r="J1571" s="19">
        <v>44000</v>
      </c>
      <c r="K1571" s="19">
        <v>44000</v>
      </c>
      <c r="L1571" s="621"/>
      <c r="M1571" s="19"/>
      <c r="N1571" s="19"/>
      <c r="O1571" s="19"/>
    </row>
    <row r="1572" spans="2:15" x14ac:dyDescent="0.2">
      <c r="B1572" s="8">
        <f t="shared" si="80"/>
        <v>105</v>
      </c>
      <c r="C1572" s="18"/>
      <c r="D1572" s="18"/>
      <c r="E1572" s="18"/>
      <c r="F1572" s="152"/>
      <c r="G1572" s="153">
        <v>634</v>
      </c>
      <c r="H1572" s="18" t="s">
        <v>142</v>
      </c>
      <c r="I1572" s="19">
        <v>1200</v>
      </c>
      <c r="J1572" s="19">
        <v>1200</v>
      </c>
      <c r="K1572" s="19">
        <v>1200</v>
      </c>
      <c r="L1572" s="621"/>
      <c r="M1572" s="19"/>
      <c r="N1572" s="19"/>
      <c r="O1572" s="19"/>
    </row>
    <row r="1573" spans="2:15" x14ac:dyDescent="0.2">
      <c r="B1573" s="8">
        <f t="shared" si="80"/>
        <v>106</v>
      </c>
      <c r="C1573" s="18"/>
      <c r="D1573" s="18"/>
      <c r="E1573" s="18"/>
      <c r="F1573" s="152"/>
      <c r="G1573" s="153">
        <v>635</v>
      </c>
      <c r="H1573" s="18" t="s">
        <v>143</v>
      </c>
      <c r="I1573" s="19">
        <v>50000</v>
      </c>
      <c r="J1573" s="19">
        <v>50000</v>
      </c>
      <c r="K1573" s="19">
        <v>50000</v>
      </c>
      <c r="L1573" s="621"/>
      <c r="M1573" s="19"/>
      <c r="N1573" s="19"/>
      <c r="O1573" s="19"/>
    </row>
    <row r="1574" spans="2:15" x14ac:dyDescent="0.2">
      <c r="B1574" s="8">
        <f t="shared" si="80"/>
        <v>107</v>
      </c>
      <c r="C1574" s="18"/>
      <c r="D1574" s="18"/>
      <c r="E1574" s="18"/>
      <c r="F1574" s="152"/>
      <c r="G1574" s="153">
        <v>636</v>
      </c>
      <c r="H1574" s="18" t="s">
        <v>136</v>
      </c>
      <c r="I1574" s="19">
        <v>1000</v>
      </c>
      <c r="J1574" s="19">
        <v>1000</v>
      </c>
      <c r="K1574" s="19">
        <v>1000</v>
      </c>
      <c r="L1574" s="621"/>
      <c r="M1574" s="19"/>
      <c r="N1574" s="19"/>
      <c r="O1574" s="19"/>
    </row>
    <row r="1575" spans="2:15" x14ac:dyDescent="0.2">
      <c r="B1575" s="8">
        <f t="shared" si="80"/>
        <v>108</v>
      </c>
      <c r="C1575" s="18"/>
      <c r="D1575" s="18"/>
      <c r="E1575" s="18"/>
      <c r="F1575" s="152"/>
      <c r="G1575" s="153">
        <v>637</v>
      </c>
      <c r="H1575" s="18" t="s">
        <v>132</v>
      </c>
      <c r="I1575" s="19">
        <v>280000</v>
      </c>
      <c r="J1575" s="19">
        <v>280000</v>
      </c>
      <c r="K1575" s="19">
        <v>280000</v>
      </c>
      <c r="L1575" s="621"/>
      <c r="M1575" s="19"/>
      <c r="N1575" s="19"/>
      <c r="O1575" s="19"/>
    </row>
    <row r="1576" spans="2:15" x14ac:dyDescent="0.2">
      <c r="B1576" s="8">
        <f t="shared" si="80"/>
        <v>109</v>
      </c>
      <c r="C1576" s="24"/>
      <c r="D1576" s="24"/>
      <c r="E1576" s="24"/>
      <c r="F1576" s="149" t="s">
        <v>82</v>
      </c>
      <c r="G1576" s="150">
        <v>640</v>
      </c>
      <c r="H1576" s="24" t="s">
        <v>139</v>
      </c>
      <c r="I1576" s="25">
        <v>60000</v>
      </c>
      <c r="J1576" s="25">
        <v>60000</v>
      </c>
      <c r="K1576" s="25">
        <v>60000</v>
      </c>
      <c r="L1576" s="620"/>
      <c r="M1576" s="25"/>
      <c r="N1576" s="25"/>
      <c r="O1576" s="25"/>
    </row>
    <row r="1577" spans="2:15" x14ac:dyDescent="0.2">
      <c r="B1577" s="8">
        <f t="shared" si="80"/>
        <v>110</v>
      </c>
      <c r="C1577" s="24"/>
      <c r="D1577" s="24"/>
      <c r="E1577" s="24"/>
      <c r="F1577" s="149" t="s">
        <v>82</v>
      </c>
      <c r="G1577" s="150">
        <v>710</v>
      </c>
      <c r="H1577" s="24" t="s">
        <v>185</v>
      </c>
      <c r="I1577" s="25"/>
      <c r="J1577" s="25"/>
      <c r="K1577" s="25"/>
      <c r="L1577" s="620"/>
      <c r="M1577" s="25">
        <f>M1578+M1580</f>
        <v>460000</v>
      </c>
      <c r="N1577" s="25"/>
      <c r="O1577" s="25"/>
    </row>
    <row r="1578" spans="2:15" s="165" customFormat="1" x14ac:dyDescent="0.2">
      <c r="B1578" s="8">
        <f t="shared" si="80"/>
        <v>111</v>
      </c>
      <c r="C1578" s="156"/>
      <c r="D1578" s="156"/>
      <c r="E1578" s="156"/>
      <c r="F1578" s="272"/>
      <c r="G1578" s="153">
        <v>716</v>
      </c>
      <c r="H1578" s="18" t="s">
        <v>226</v>
      </c>
      <c r="I1578" s="19"/>
      <c r="J1578" s="19"/>
      <c r="K1578" s="19"/>
      <c r="L1578" s="621"/>
      <c r="M1578" s="19">
        <f>M1579</f>
        <v>10000</v>
      </c>
      <c r="N1578" s="19"/>
      <c r="O1578" s="19"/>
    </row>
    <row r="1579" spans="2:15" s="165" customFormat="1" x14ac:dyDescent="0.2">
      <c r="B1579" s="8">
        <f t="shared" si="80"/>
        <v>112</v>
      </c>
      <c r="C1579" s="156"/>
      <c r="D1579" s="156"/>
      <c r="E1579" s="156"/>
      <c r="F1579" s="272"/>
      <c r="G1579" s="155"/>
      <c r="H1579" s="156" t="s">
        <v>812</v>
      </c>
      <c r="I1579" s="157"/>
      <c r="J1579" s="157"/>
      <c r="K1579" s="157"/>
      <c r="L1579" s="614"/>
      <c r="M1579" s="157">
        <v>10000</v>
      </c>
      <c r="N1579" s="157"/>
      <c r="O1579" s="157"/>
    </row>
    <row r="1580" spans="2:15" x14ac:dyDescent="0.2">
      <c r="B1580" s="8">
        <f t="shared" si="80"/>
        <v>113</v>
      </c>
      <c r="C1580" s="18"/>
      <c r="D1580" s="18"/>
      <c r="E1580" s="18"/>
      <c r="F1580" s="152"/>
      <c r="G1580" s="153">
        <v>717</v>
      </c>
      <c r="H1580" s="18" t="s">
        <v>192</v>
      </c>
      <c r="I1580" s="19"/>
      <c r="J1580" s="19"/>
      <c r="K1580" s="19"/>
      <c r="L1580" s="621"/>
      <c r="M1580" s="19">
        <f>M1581</f>
        <v>450000</v>
      </c>
      <c r="N1580" s="19"/>
      <c r="O1580" s="19"/>
    </row>
    <row r="1581" spans="2:15" s="165" customFormat="1" x14ac:dyDescent="0.2">
      <c r="B1581" s="8">
        <f t="shared" si="80"/>
        <v>114</v>
      </c>
      <c r="C1581" s="156"/>
      <c r="D1581" s="156"/>
      <c r="E1581" s="156"/>
      <c r="F1581" s="272"/>
      <c r="G1581" s="155"/>
      <c r="H1581" s="156" t="s">
        <v>812</v>
      </c>
      <c r="I1581" s="157"/>
      <c r="J1581" s="157"/>
      <c r="K1581" s="157"/>
      <c r="L1581" s="614"/>
      <c r="M1581" s="157">
        <v>450000</v>
      </c>
      <c r="N1581" s="157"/>
      <c r="O1581" s="157"/>
    </row>
    <row r="1582" spans="2:15" ht="15.75" x14ac:dyDescent="0.25">
      <c r="B1582" s="8">
        <f t="shared" si="80"/>
        <v>115</v>
      </c>
      <c r="C1582" s="141">
        <v>7</v>
      </c>
      <c r="D1582" s="677" t="s">
        <v>56</v>
      </c>
      <c r="E1582" s="678"/>
      <c r="F1582" s="678"/>
      <c r="G1582" s="678"/>
      <c r="H1582" s="678"/>
      <c r="I1582" s="142">
        <f>I1583</f>
        <v>1178595</v>
      </c>
      <c r="J1582" s="142">
        <f>J1583</f>
        <v>1213940</v>
      </c>
      <c r="K1582" s="142">
        <f>K1583</f>
        <v>1248940</v>
      </c>
      <c r="L1582" s="618"/>
      <c r="M1582" s="142"/>
      <c r="N1582" s="142"/>
      <c r="O1582" s="142"/>
    </row>
    <row r="1583" spans="2:15" ht="14.25" x14ac:dyDescent="0.2">
      <c r="B1583" s="8">
        <f t="shared" si="80"/>
        <v>116</v>
      </c>
      <c r="C1583" s="267"/>
      <c r="D1583" s="267"/>
      <c r="E1583" s="267">
        <v>5</v>
      </c>
      <c r="F1583" s="268"/>
      <c r="G1583" s="268"/>
      <c r="H1583" s="267" t="s">
        <v>114</v>
      </c>
      <c r="I1583" s="269">
        <f>I1584+I1585+I1586+I1592</f>
        <v>1178595</v>
      </c>
      <c r="J1583" s="269">
        <f>J1584+J1585+J1586+J1592</f>
        <v>1213940</v>
      </c>
      <c r="K1583" s="269">
        <f>K1584+K1585+K1586+K1592</f>
        <v>1248940</v>
      </c>
      <c r="L1583" s="619"/>
      <c r="M1583" s="269"/>
      <c r="N1583" s="269"/>
      <c r="O1583" s="269"/>
    </row>
    <row r="1584" spans="2:15" x14ac:dyDescent="0.2">
      <c r="B1584" s="8">
        <f t="shared" si="80"/>
        <v>117</v>
      </c>
      <c r="C1584" s="24"/>
      <c r="D1584" s="24"/>
      <c r="E1584" s="24"/>
      <c r="F1584" s="149" t="s">
        <v>82</v>
      </c>
      <c r="G1584" s="150">
        <v>610</v>
      </c>
      <c r="H1584" s="24" t="s">
        <v>141</v>
      </c>
      <c r="I1584" s="25">
        <f>760284+13700+3700+600+1</f>
        <v>778285</v>
      </c>
      <c r="J1584" s="25">
        <v>810000</v>
      </c>
      <c r="K1584" s="25">
        <v>840000</v>
      </c>
      <c r="L1584" s="620"/>
      <c r="M1584" s="25"/>
      <c r="N1584" s="25"/>
      <c r="O1584" s="25"/>
    </row>
    <row r="1585" spans="2:15" x14ac:dyDescent="0.2">
      <c r="B1585" s="8">
        <f t="shared" si="80"/>
        <v>118</v>
      </c>
      <c r="C1585" s="24"/>
      <c r="D1585" s="24"/>
      <c r="E1585" s="24"/>
      <c r="F1585" s="149" t="s">
        <v>82</v>
      </c>
      <c r="G1585" s="150">
        <v>620</v>
      </c>
      <c r="H1585" s="24" t="s">
        <v>134</v>
      </c>
      <c r="I1585" s="25">
        <f>47200+16750+13850+10890+108900+6230+23330+7780+36940+14500</f>
        <v>286370</v>
      </c>
      <c r="J1585" s="25">
        <v>290000</v>
      </c>
      <c r="K1585" s="25">
        <v>295000</v>
      </c>
      <c r="L1585" s="620"/>
      <c r="M1585" s="25"/>
      <c r="N1585" s="25"/>
      <c r="O1585" s="25"/>
    </row>
    <row r="1586" spans="2:15" x14ac:dyDescent="0.2">
      <c r="B1586" s="8">
        <f t="shared" si="80"/>
        <v>119</v>
      </c>
      <c r="C1586" s="24"/>
      <c r="D1586" s="24"/>
      <c r="E1586" s="24"/>
      <c r="F1586" s="149" t="s">
        <v>82</v>
      </c>
      <c r="G1586" s="150">
        <v>630</v>
      </c>
      <c r="H1586" s="24" t="s">
        <v>131</v>
      </c>
      <c r="I1586" s="25">
        <f>I1591+I1590+I1589+I1588+I1587</f>
        <v>45440</v>
      </c>
      <c r="J1586" s="25">
        <f t="shared" ref="J1586:K1586" si="81">J1591+J1590+J1589+J1588+J1587</f>
        <v>45440</v>
      </c>
      <c r="K1586" s="25">
        <f t="shared" si="81"/>
        <v>45440</v>
      </c>
      <c r="L1586" s="620"/>
      <c r="M1586" s="25"/>
      <c r="N1586" s="25"/>
      <c r="O1586" s="25"/>
    </row>
    <row r="1587" spans="2:15" x14ac:dyDescent="0.2">
      <c r="B1587" s="8">
        <f t="shared" si="80"/>
        <v>120</v>
      </c>
      <c r="C1587" s="18"/>
      <c r="D1587" s="18"/>
      <c r="E1587" s="18"/>
      <c r="F1587" s="152"/>
      <c r="G1587" s="153">
        <v>631</v>
      </c>
      <c r="H1587" s="18" t="s">
        <v>137</v>
      </c>
      <c r="I1587" s="19">
        <v>500</v>
      </c>
      <c r="J1587" s="19">
        <v>500</v>
      </c>
      <c r="K1587" s="19">
        <v>500</v>
      </c>
      <c r="L1587" s="621"/>
      <c r="M1587" s="19"/>
      <c r="N1587" s="19"/>
      <c r="O1587" s="19"/>
    </row>
    <row r="1588" spans="2:15" x14ac:dyDescent="0.2">
      <c r="B1588" s="8">
        <f t="shared" si="80"/>
        <v>121</v>
      </c>
      <c r="C1588" s="18"/>
      <c r="D1588" s="18"/>
      <c r="E1588" s="18"/>
      <c r="F1588" s="152"/>
      <c r="G1588" s="153">
        <v>632</v>
      </c>
      <c r="H1588" s="18" t="s">
        <v>144</v>
      </c>
      <c r="I1588" s="19">
        <v>730</v>
      </c>
      <c r="J1588" s="19">
        <v>730</v>
      </c>
      <c r="K1588" s="19">
        <v>730</v>
      </c>
      <c r="L1588" s="621"/>
      <c r="M1588" s="19"/>
      <c r="N1588" s="19"/>
      <c r="O1588" s="19"/>
    </row>
    <row r="1589" spans="2:15" x14ac:dyDescent="0.2">
      <c r="B1589" s="8">
        <f t="shared" si="80"/>
        <v>122</v>
      </c>
      <c r="C1589" s="18"/>
      <c r="D1589" s="18"/>
      <c r="E1589" s="18"/>
      <c r="F1589" s="152"/>
      <c r="G1589" s="153">
        <v>633</v>
      </c>
      <c r="H1589" s="18" t="s">
        <v>135</v>
      </c>
      <c r="I1589" s="19">
        <f>300+610+4500</f>
        <v>5410</v>
      </c>
      <c r="J1589" s="19">
        <v>5410</v>
      </c>
      <c r="K1589" s="19">
        <v>5410</v>
      </c>
      <c r="L1589" s="621"/>
      <c r="M1589" s="19"/>
      <c r="N1589" s="19"/>
      <c r="O1589" s="19"/>
    </row>
    <row r="1590" spans="2:15" x14ac:dyDescent="0.2">
      <c r="B1590" s="8">
        <f t="shared" si="80"/>
        <v>123</v>
      </c>
      <c r="C1590" s="18"/>
      <c r="D1590" s="18"/>
      <c r="E1590" s="18"/>
      <c r="F1590" s="152"/>
      <c r="G1590" s="153">
        <v>634</v>
      </c>
      <c r="H1590" s="18" t="s">
        <v>142</v>
      </c>
      <c r="I1590" s="19">
        <v>6600</v>
      </c>
      <c r="J1590" s="19">
        <v>6600</v>
      </c>
      <c r="K1590" s="19">
        <v>6600</v>
      </c>
      <c r="L1590" s="621"/>
      <c r="M1590" s="19"/>
      <c r="N1590" s="19"/>
      <c r="O1590" s="19"/>
    </row>
    <row r="1591" spans="2:15" x14ac:dyDescent="0.2">
      <c r="B1591" s="8">
        <f t="shared" si="80"/>
        <v>124</v>
      </c>
      <c r="C1591" s="18"/>
      <c r="D1591" s="18"/>
      <c r="E1591" s="18"/>
      <c r="F1591" s="152"/>
      <c r="G1591" s="153">
        <v>637</v>
      </c>
      <c r="H1591" s="18" t="s">
        <v>132</v>
      </c>
      <c r="I1591" s="19">
        <v>32200</v>
      </c>
      <c r="J1591" s="19">
        <v>32200</v>
      </c>
      <c r="K1591" s="19">
        <v>32200</v>
      </c>
      <c r="L1591" s="621"/>
      <c r="M1591" s="19"/>
      <c r="N1591" s="19"/>
      <c r="O1591" s="19"/>
    </row>
    <row r="1592" spans="2:15" x14ac:dyDescent="0.2">
      <c r="B1592" s="8">
        <f t="shared" si="80"/>
        <v>125</v>
      </c>
      <c r="C1592" s="24"/>
      <c r="D1592" s="24"/>
      <c r="E1592" s="24"/>
      <c r="F1592" s="149" t="s">
        <v>82</v>
      </c>
      <c r="G1592" s="150">
        <v>640</v>
      </c>
      <c r="H1592" s="24" t="s">
        <v>139</v>
      </c>
      <c r="I1592" s="25">
        <f>23250+34050+11200</f>
        <v>68500</v>
      </c>
      <c r="J1592" s="25">
        <v>68500</v>
      </c>
      <c r="K1592" s="25">
        <v>68500</v>
      </c>
      <c r="L1592" s="620"/>
      <c r="M1592" s="25"/>
      <c r="N1592" s="25"/>
      <c r="O1592" s="25"/>
    </row>
    <row r="1593" spans="2:15" ht="15.75" x14ac:dyDescent="0.25">
      <c r="B1593" s="8">
        <f t="shared" si="80"/>
        <v>126</v>
      </c>
      <c r="C1593" s="141">
        <v>8</v>
      </c>
      <c r="D1593" s="677" t="s">
        <v>204</v>
      </c>
      <c r="E1593" s="678"/>
      <c r="F1593" s="678"/>
      <c r="G1593" s="678"/>
      <c r="H1593" s="678"/>
      <c r="I1593" s="142">
        <f t="shared" ref="I1593:K1594" si="82">I1594</f>
        <v>6650</v>
      </c>
      <c r="J1593" s="142">
        <f t="shared" si="82"/>
        <v>6650</v>
      </c>
      <c r="K1593" s="142">
        <f t="shared" si="82"/>
        <v>6650</v>
      </c>
      <c r="L1593" s="618"/>
      <c r="M1593" s="142"/>
      <c r="N1593" s="142"/>
      <c r="O1593" s="142"/>
    </row>
    <row r="1594" spans="2:15" x14ac:dyDescent="0.2">
      <c r="B1594" s="8">
        <f t="shared" si="80"/>
        <v>127</v>
      </c>
      <c r="C1594" s="24"/>
      <c r="D1594" s="24"/>
      <c r="E1594" s="24"/>
      <c r="F1594" s="149" t="s">
        <v>154</v>
      </c>
      <c r="G1594" s="150">
        <v>630</v>
      </c>
      <c r="H1594" s="24" t="s">
        <v>131</v>
      </c>
      <c r="I1594" s="25">
        <f t="shared" si="82"/>
        <v>6650</v>
      </c>
      <c r="J1594" s="25">
        <f t="shared" si="82"/>
        <v>6650</v>
      </c>
      <c r="K1594" s="25">
        <f t="shared" si="82"/>
        <v>6650</v>
      </c>
      <c r="L1594" s="620"/>
      <c r="M1594" s="25"/>
      <c r="N1594" s="25"/>
      <c r="O1594" s="25"/>
    </row>
    <row r="1595" spans="2:15" x14ac:dyDescent="0.2">
      <c r="B1595" s="8">
        <f t="shared" si="80"/>
        <v>128</v>
      </c>
      <c r="C1595" s="18"/>
      <c r="D1595" s="18"/>
      <c r="E1595" s="18"/>
      <c r="F1595" s="152"/>
      <c r="G1595" s="153">
        <v>637</v>
      </c>
      <c r="H1595" s="18" t="s">
        <v>132</v>
      </c>
      <c r="I1595" s="19">
        <f>7000-350</f>
        <v>6650</v>
      </c>
      <c r="J1595" s="19">
        <f>7000-350</f>
        <v>6650</v>
      </c>
      <c r="K1595" s="19">
        <f>7000-350</f>
        <v>6650</v>
      </c>
      <c r="L1595" s="621"/>
      <c r="M1595" s="19"/>
      <c r="N1595" s="19"/>
      <c r="O1595" s="19"/>
    </row>
    <row r="1596" spans="2:15" ht="15.75" x14ac:dyDescent="0.25">
      <c r="B1596" s="8">
        <f t="shared" si="80"/>
        <v>129</v>
      </c>
      <c r="C1596" s="141">
        <v>9</v>
      </c>
      <c r="D1596" s="677" t="s">
        <v>183</v>
      </c>
      <c r="E1596" s="678"/>
      <c r="F1596" s="678"/>
      <c r="G1596" s="678"/>
      <c r="H1596" s="678"/>
      <c r="I1596" s="142">
        <f>I1597+I1599</f>
        <v>17100</v>
      </c>
      <c r="J1596" s="142">
        <f>J1597+J1599</f>
        <v>17100</v>
      </c>
      <c r="K1596" s="142">
        <f>K1597+K1599</f>
        <v>17100</v>
      </c>
      <c r="L1596" s="618"/>
      <c r="M1596" s="142"/>
      <c r="N1596" s="142"/>
      <c r="O1596" s="142"/>
    </row>
    <row r="1597" spans="2:15" x14ac:dyDescent="0.2">
      <c r="B1597" s="8">
        <f t="shared" si="80"/>
        <v>130</v>
      </c>
      <c r="C1597" s="24"/>
      <c r="D1597" s="24"/>
      <c r="E1597" s="24"/>
      <c r="F1597" s="149" t="s">
        <v>81</v>
      </c>
      <c r="G1597" s="150">
        <v>630</v>
      </c>
      <c r="H1597" s="24" t="s">
        <v>131</v>
      </c>
      <c r="I1597" s="25">
        <f>I1598</f>
        <v>16000</v>
      </c>
      <c r="J1597" s="25">
        <f>J1598</f>
        <v>16000</v>
      </c>
      <c r="K1597" s="25">
        <f>K1598</f>
        <v>16000</v>
      </c>
      <c r="L1597" s="620"/>
      <c r="M1597" s="25"/>
      <c r="N1597" s="25"/>
      <c r="O1597" s="25"/>
    </row>
    <row r="1598" spans="2:15" x14ac:dyDescent="0.2">
      <c r="B1598" s="8">
        <f t="shared" si="80"/>
        <v>131</v>
      </c>
      <c r="C1598" s="18"/>
      <c r="D1598" s="18"/>
      <c r="E1598" s="18"/>
      <c r="F1598" s="152"/>
      <c r="G1598" s="153">
        <v>637</v>
      </c>
      <c r="H1598" s="18" t="s">
        <v>132</v>
      </c>
      <c r="I1598" s="19">
        <v>16000</v>
      </c>
      <c r="J1598" s="19">
        <v>16000</v>
      </c>
      <c r="K1598" s="19">
        <v>16000</v>
      </c>
      <c r="L1598" s="621"/>
      <c r="M1598" s="19"/>
      <c r="N1598" s="19"/>
      <c r="O1598" s="19"/>
    </row>
    <row r="1599" spans="2:15" x14ac:dyDescent="0.2">
      <c r="B1599" s="8">
        <f t="shared" ref="B1599:B1609" si="83">B1598+1</f>
        <v>132</v>
      </c>
      <c r="C1599" s="24"/>
      <c r="D1599" s="24"/>
      <c r="E1599" s="24"/>
      <c r="F1599" s="149" t="s">
        <v>81</v>
      </c>
      <c r="G1599" s="150">
        <v>640</v>
      </c>
      <c r="H1599" s="24" t="s">
        <v>139</v>
      </c>
      <c r="I1599" s="25">
        <f>I1600</f>
        <v>1100</v>
      </c>
      <c r="J1599" s="25">
        <f>J1600</f>
        <v>1100</v>
      </c>
      <c r="K1599" s="25">
        <f>K1600</f>
        <v>1100</v>
      </c>
      <c r="L1599" s="620"/>
      <c r="M1599" s="25"/>
      <c r="N1599" s="25"/>
      <c r="O1599" s="25"/>
    </row>
    <row r="1600" spans="2:15" x14ac:dyDescent="0.2">
      <c r="B1600" s="8">
        <f t="shared" si="83"/>
        <v>133</v>
      </c>
      <c r="C1600" s="120"/>
      <c r="D1600" s="120"/>
      <c r="E1600" s="120"/>
      <c r="F1600" s="298"/>
      <c r="G1600" s="298"/>
      <c r="H1600" s="156" t="s">
        <v>607</v>
      </c>
      <c r="I1600" s="157">
        <v>1100</v>
      </c>
      <c r="J1600" s="157">
        <v>1100</v>
      </c>
      <c r="K1600" s="157">
        <v>1100</v>
      </c>
      <c r="L1600" s="614"/>
      <c r="M1600" s="157"/>
      <c r="N1600" s="157"/>
      <c r="O1600" s="157"/>
    </row>
    <row r="1601" spans="2:15" ht="15.75" x14ac:dyDescent="0.25">
      <c r="B1601" s="8">
        <f t="shared" si="83"/>
        <v>134</v>
      </c>
      <c r="C1601" s="141">
        <v>10</v>
      </c>
      <c r="D1601" s="677" t="s">
        <v>184</v>
      </c>
      <c r="E1601" s="678"/>
      <c r="F1601" s="678"/>
      <c r="G1601" s="678"/>
      <c r="H1601" s="678"/>
      <c r="I1601" s="142">
        <f>I1602</f>
        <v>26770</v>
      </c>
      <c r="J1601" s="142">
        <f>J1602</f>
        <v>27945</v>
      </c>
      <c r="K1601" s="142">
        <f>K1602</f>
        <v>29445</v>
      </c>
      <c r="L1601" s="618"/>
      <c r="M1601" s="142">
        <f>M1602</f>
        <v>55000</v>
      </c>
      <c r="N1601" s="142"/>
      <c r="O1601" s="142"/>
    </row>
    <row r="1602" spans="2:15" ht="14.25" x14ac:dyDescent="0.2">
      <c r="B1602" s="8">
        <f t="shared" si="83"/>
        <v>135</v>
      </c>
      <c r="C1602" s="267"/>
      <c r="D1602" s="267"/>
      <c r="E1602" s="267">
        <v>5</v>
      </c>
      <c r="F1602" s="268"/>
      <c r="G1602" s="268"/>
      <c r="H1602" s="267" t="s">
        <v>114</v>
      </c>
      <c r="I1602" s="269">
        <f>I1603+I1604+I1605+I1610</f>
        <v>26770</v>
      </c>
      <c r="J1602" s="269">
        <f>J1603+J1604+J1605+J1610</f>
        <v>27945</v>
      </c>
      <c r="K1602" s="269">
        <f>K1603+K1604+K1605+K1610</f>
        <v>29445</v>
      </c>
      <c r="L1602" s="619"/>
      <c r="M1602" s="269">
        <f>M1611</f>
        <v>55000</v>
      </c>
      <c r="N1602" s="269"/>
      <c r="O1602" s="269"/>
    </row>
    <row r="1603" spans="2:15" x14ac:dyDescent="0.2">
      <c r="B1603" s="8">
        <f t="shared" si="83"/>
        <v>136</v>
      </c>
      <c r="C1603" s="24"/>
      <c r="D1603" s="24"/>
      <c r="E1603" s="24"/>
      <c r="F1603" s="149" t="s">
        <v>82</v>
      </c>
      <c r="G1603" s="150">
        <v>610</v>
      </c>
      <c r="H1603" s="24" t="s">
        <v>141</v>
      </c>
      <c r="I1603" s="25">
        <f>11920+3486</f>
        <v>15406</v>
      </c>
      <c r="J1603" s="25">
        <v>16000</v>
      </c>
      <c r="K1603" s="25">
        <v>17000</v>
      </c>
      <c r="L1603" s="620"/>
      <c r="M1603" s="25"/>
      <c r="N1603" s="25"/>
      <c r="O1603" s="25"/>
    </row>
    <row r="1604" spans="2:15" x14ac:dyDescent="0.2">
      <c r="B1604" s="8">
        <f t="shared" si="83"/>
        <v>137</v>
      </c>
      <c r="C1604" s="24"/>
      <c r="D1604" s="24"/>
      <c r="E1604" s="24"/>
      <c r="F1604" s="149" t="s">
        <v>82</v>
      </c>
      <c r="G1604" s="150">
        <v>620</v>
      </c>
      <c r="H1604" s="24" t="s">
        <v>134</v>
      </c>
      <c r="I1604" s="25">
        <f>1540+220+2200+125+465+155+735</f>
        <v>5440</v>
      </c>
      <c r="J1604" s="25">
        <v>6000</v>
      </c>
      <c r="K1604" s="25">
        <v>6500</v>
      </c>
      <c r="L1604" s="620"/>
      <c r="M1604" s="25"/>
      <c r="N1604" s="25"/>
      <c r="O1604" s="25"/>
    </row>
    <row r="1605" spans="2:15" x14ac:dyDescent="0.2">
      <c r="B1605" s="8">
        <f t="shared" si="83"/>
        <v>138</v>
      </c>
      <c r="C1605" s="24"/>
      <c r="D1605" s="24"/>
      <c r="E1605" s="24"/>
      <c r="F1605" s="149" t="s">
        <v>82</v>
      </c>
      <c r="G1605" s="150">
        <v>630</v>
      </c>
      <c r="H1605" s="24" t="s">
        <v>131</v>
      </c>
      <c r="I1605" s="25">
        <f>I1609+I1608+I1607+I1606</f>
        <v>4964</v>
      </c>
      <c r="J1605" s="25">
        <f>J1609+J1608+J1607+J1606</f>
        <v>4985</v>
      </c>
      <c r="K1605" s="25">
        <f>K1609+K1608+K1607+K1606</f>
        <v>4985</v>
      </c>
      <c r="L1605" s="620"/>
      <c r="M1605" s="25"/>
      <c r="N1605" s="25"/>
      <c r="O1605" s="25"/>
    </row>
    <row r="1606" spans="2:15" x14ac:dyDescent="0.2">
      <c r="B1606" s="8">
        <f t="shared" si="83"/>
        <v>139</v>
      </c>
      <c r="C1606" s="18"/>
      <c r="D1606" s="18"/>
      <c r="E1606" s="18"/>
      <c r="F1606" s="152"/>
      <c r="G1606" s="153">
        <v>632</v>
      </c>
      <c r="H1606" s="18" t="s">
        <v>144</v>
      </c>
      <c r="I1606" s="19">
        <f>20+25</f>
        <v>45</v>
      </c>
      <c r="J1606" s="19">
        <v>45</v>
      </c>
      <c r="K1606" s="19">
        <v>45</v>
      </c>
      <c r="L1606" s="621"/>
      <c r="M1606" s="19"/>
      <c r="N1606" s="19"/>
      <c r="O1606" s="19"/>
    </row>
    <row r="1607" spans="2:15" x14ac:dyDescent="0.2">
      <c r="B1607" s="8">
        <f t="shared" si="83"/>
        <v>140</v>
      </c>
      <c r="C1607" s="18"/>
      <c r="D1607" s="18"/>
      <c r="E1607" s="18"/>
      <c r="F1607" s="152"/>
      <c r="G1607" s="153">
        <v>633</v>
      </c>
      <c r="H1607" s="18" t="s">
        <v>135</v>
      </c>
      <c r="I1607" s="19">
        <f>50+80</f>
        <v>130</v>
      </c>
      <c r="J1607" s="19">
        <v>130</v>
      </c>
      <c r="K1607" s="19">
        <v>130</v>
      </c>
      <c r="L1607" s="621"/>
      <c r="M1607" s="19"/>
      <c r="N1607" s="19"/>
      <c r="O1607" s="19"/>
    </row>
    <row r="1608" spans="2:15" x14ac:dyDescent="0.2">
      <c r="B1608" s="8">
        <f t="shared" si="83"/>
        <v>141</v>
      </c>
      <c r="C1608" s="18"/>
      <c r="D1608" s="18"/>
      <c r="E1608" s="18"/>
      <c r="F1608" s="152"/>
      <c r="G1608" s="153">
        <v>634</v>
      </c>
      <c r="H1608" s="18" t="s">
        <v>142</v>
      </c>
      <c r="I1608" s="19">
        <f>2000+2000+320+120-261</f>
        <v>4179</v>
      </c>
      <c r="J1608" s="19">
        <v>4200</v>
      </c>
      <c r="K1608" s="19">
        <v>4200</v>
      </c>
      <c r="L1608" s="621"/>
      <c r="M1608" s="19"/>
      <c r="N1608" s="19"/>
      <c r="O1608" s="19"/>
    </row>
    <row r="1609" spans="2:15" x14ac:dyDescent="0.2">
      <c r="B1609" s="8">
        <f t="shared" si="83"/>
        <v>142</v>
      </c>
      <c r="C1609" s="18"/>
      <c r="D1609" s="18"/>
      <c r="E1609" s="18"/>
      <c r="F1609" s="152"/>
      <c r="G1609" s="153">
        <v>637</v>
      </c>
      <c r="H1609" s="18" t="s">
        <v>132</v>
      </c>
      <c r="I1609" s="19">
        <f>100+275+235</f>
        <v>610</v>
      </c>
      <c r="J1609" s="19">
        <v>610</v>
      </c>
      <c r="K1609" s="19">
        <v>610</v>
      </c>
      <c r="L1609" s="621"/>
      <c r="M1609" s="19"/>
      <c r="N1609" s="19"/>
      <c r="O1609" s="19"/>
    </row>
    <row r="1610" spans="2:15" x14ac:dyDescent="0.2">
      <c r="B1610" s="8">
        <f t="shared" ref="B1610:B1626" si="84">B1609+1</f>
        <v>143</v>
      </c>
      <c r="C1610" s="24"/>
      <c r="D1610" s="24"/>
      <c r="E1610" s="24"/>
      <c r="F1610" s="149" t="s">
        <v>82</v>
      </c>
      <c r="G1610" s="150">
        <v>640</v>
      </c>
      <c r="H1610" s="24" t="s">
        <v>139</v>
      </c>
      <c r="I1610" s="25">
        <f>760+200</f>
        <v>960</v>
      </c>
      <c r="J1610" s="25">
        <v>960</v>
      </c>
      <c r="K1610" s="25">
        <v>960</v>
      </c>
      <c r="L1610" s="620"/>
      <c r="M1610" s="25"/>
      <c r="N1610" s="25"/>
      <c r="O1610" s="25"/>
    </row>
    <row r="1611" spans="2:15" x14ac:dyDescent="0.2">
      <c r="B1611" s="8">
        <f t="shared" si="84"/>
        <v>144</v>
      </c>
      <c r="C1611" s="24"/>
      <c r="D1611" s="24"/>
      <c r="E1611" s="24"/>
      <c r="F1611" s="149" t="s">
        <v>82</v>
      </c>
      <c r="G1611" s="150">
        <v>710</v>
      </c>
      <c r="H1611" s="24" t="s">
        <v>185</v>
      </c>
      <c r="I1611" s="25"/>
      <c r="J1611" s="25"/>
      <c r="K1611" s="25"/>
      <c r="L1611" s="620"/>
      <c r="M1611" s="25">
        <f t="shared" ref="M1611:M1612" si="85">M1612</f>
        <v>55000</v>
      </c>
      <c r="N1611" s="25"/>
      <c r="O1611" s="25"/>
    </row>
    <row r="1612" spans="2:15" x14ac:dyDescent="0.2">
      <c r="B1612" s="8">
        <f t="shared" si="84"/>
        <v>145</v>
      </c>
      <c r="C1612" s="24"/>
      <c r="D1612" s="24"/>
      <c r="E1612" s="24"/>
      <c r="F1612" s="149"/>
      <c r="G1612" s="153">
        <v>713</v>
      </c>
      <c r="H1612" s="18" t="s">
        <v>186</v>
      </c>
      <c r="I1612" s="19"/>
      <c r="J1612" s="19"/>
      <c r="K1612" s="19"/>
      <c r="L1612" s="621"/>
      <c r="M1612" s="19">
        <f t="shared" si="85"/>
        <v>55000</v>
      </c>
      <c r="N1612" s="19"/>
      <c r="O1612" s="19"/>
    </row>
    <row r="1613" spans="2:15" x14ac:dyDescent="0.2">
      <c r="B1613" s="8">
        <f t="shared" si="84"/>
        <v>146</v>
      </c>
      <c r="C1613" s="24"/>
      <c r="D1613" s="24"/>
      <c r="E1613" s="24"/>
      <c r="F1613" s="149"/>
      <c r="G1613" s="313"/>
      <c r="H1613" s="410" t="s">
        <v>1092</v>
      </c>
      <c r="I1613" s="169"/>
      <c r="J1613" s="169"/>
      <c r="K1613" s="169"/>
      <c r="L1613" s="615"/>
      <c r="M1613" s="169">
        <v>55000</v>
      </c>
      <c r="N1613" s="169"/>
      <c r="O1613" s="169"/>
    </row>
    <row r="1614" spans="2:15" ht="15.75" x14ac:dyDescent="0.25">
      <c r="B1614" s="8">
        <f t="shared" si="84"/>
        <v>147</v>
      </c>
      <c r="C1614" s="141">
        <v>11</v>
      </c>
      <c r="D1614" s="677" t="s">
        <v>77</v>
      </c>
      <c r="E1614" s="678"/>
      <c r="F1614" s="678"/>
      <c r="G1614" s="678"/>
      <c r="H1614" s="678"/>
      <c r="I1614" s="142">
        <f>I1615</f>
        <v>265580</v>
      </c>
      <c r="J1614" s="142">
        <f>J1615</f>
        <v>267700</v>
      </c>
      <c r="K1614" s="142">
        <f>K1615</f>
        <v>269700</v>
      </c>
      <c r="L1614" s="618"/>
      <c r="M1614" s="142"/>
      <c r="N1614" s="142"/>
      <c r="O1614" s="142"/>
    </row>
    <row r="1615" spans="2:15" ht="14.25" x14ac:dyDescent="0.2">
      <c r="B1615" s="8">
        <f t="shared" si="84"/>
        <v>148</v>
      </c>
      <c r="C1615" s="267"/>
      <c r="D1615" s="267"/>
      <c r="E1615" s="267">
        <v>5</v>
      </c>
      <c r="F1615" s="268"/>
      <c r="G1615" s="268"/>
      <c r="H1615" s="267" t="s">
        <v>114</v>
      </c>
      <c r="I1615" s="269">
        <f>I1616+I1617+I1618+I1625</f>
        <v>265580</v>
      </c>
      <c r="J1615" s="269">
        <f>J1616+J1617+J1618+J1625</f>
        <v>267700</v>
      </c>
      <c r="K1615" s="269">
        <f>K1616+K1617+K1618+K1625</f>
        <v>269700</v>
      </c>
      <c r="L1615" s="619"/>
      <c r="M1615" s="269"/>
      <c r="N1615" s="269"/>
      <c r="O1615" s="269"/>
    </row>
    <row r="1616" spans="2:15" x14ac:dyDescent="0.2">
      <c r="B1616" s="8">
        <f t="shared" si="84"/>
        <v>149</v>
      </c>
      <c r="C1616" s="24"/>
      <c r="D1616" s="24"/>
      <c r="E1616" s="24"/>
      <c r="F1616" s="149" t="s">
        <v>66</v>
      </c>
      <c r="G1616" s="150">
        <v>610</v>
      </c>
      <c r="H1616" s="24" t="s">
        <v>141</v>
      </c>
      <c r="I1616" s="25">
        <f>114890+43600+7855+1875</f>
        <v>168220</v>
      </c>
      <c r="J1616" s="25">
        <v>170000</v>
      </c>
      <c r="K1616" s="25">
        <v>172000</v>
      </c>
      <c r="L1616" s="620"/>
      <c r="M1616" s="25"/>
      <c r="N1616" s="25"/>
      <c r="O1616" s="25"/>
    </row>
    <row r="1617" spans="2:15" x14ac:dyDescent="0.2">
      <c r="B1617" s="8">
        <f t="shared" si="84"/>
        <v>150</v>
      </c>
      <c r="C1617" s="24"/>
      <c r="D1617" s="24"/>
      <c r="E1617" s="24"/>
      <c r="F1617" s="149" t="s">
        <v>66</v>
      </c>
      <c r="G1617" s="150">
        <v>620</v>
      </c>
      <c r="H1617" s="24" t="s">
        <v>134</v>
      </c>
      <c r="I1617" s="25">
        <f>12680+1835+2130+2330+23300+1330+4990+1665+7900+5000</f>
        <v>63160</v>
      </c>
      <c r="J1617" s="25">
        <v>63500</v>
      </c>
      <c r="K1617" s="25">
        <v>63500</v>
      </c>
      <c r="L1617" s="620"/>
      <c r="M1617" s="25"/>
      <c r="N1617" s="25"/>
      <c r="O1617" s="25"/>
    </row>
    <row r="1618" spans="2:15" x14ac:dyDescent="0.2">
      <c r="B1618" s="8">
        <f t="shared" si="84"/>
        <v>151</v>
      </c>
      <c r="C1618" s="24"/>
      <c r="D1618" s="24"/>
      <c r="E1618" s="24"/>
      <c r="F1618" s="149" t="s">
        <v>66</v>
      </c>
      <c r="G1618" s="150">
        <v>630</v>
      </c>
      <c r="H1618" s="24" t="s">
        <v>131</v>
      </c>
      <c r="I1618" s="25">
        <f>I1624+I1623+I1622+I1621+I1620+I1619</f>
        <v>28600</v>
      </c>
      <c r="J1618" s="25">
        <f>J1624+J1623+J1622+J1621+J1620+J1619</f>
        <v>28600</v>
      </c>
      <c r="K1618" s="25">
        <f>K1624+K1623+K1622+K1621+K1620+K1619</f>
        <v>28600</v>
      </c>
      <c r="L1618" s="620"/>
      <c r="M1618" s="25"/>
      <c r="N1618" s="25"/>
      <c r="O1618" s="25"/>
    </row>
    <row r="1619" spans="2:15" x14ac:dyDescent="0.2">
      <c r="B1619" s="8">
        <f t="shared" si="84"/>
        <v>152</v>
      </c>
      <c r="C1619" s="18"/>
      <c r="D1619" s="18"/>
      <c r="E1619" s="18"/>
      <c r="F1619" s="152"/>
      <c r="G1619" s="153">
        <v>631</v>
      </c>
      <c r="H1619" s="18" t="s">
        <v>137</v>
      </c>
      <c r="I1619" s="19">
        <v>200</v>
      </c>
      <c r="J1619" s="19">
        <v>200</v>
      </c>
      <c r="K1619" s="19">
        <v>200</v>
      </c>
      <c r="L1619" s="621"/>
      <c r="M1619" s="19"/>
      <c r="N1619" s="19"/>
      <c r="O1619" s="19"/>
    </row>
    <row r="1620" spans="2:15" x14ac:dyDescent="0.2">
      <c r="B1620" s="8">
        <f t="shared" si="84"/>
        <v>153</v>
      </c>
      <c r="C1620" s="18"/>
      <c r="D1620" s="18"/>
      <c r="E1620" s="18"/>
      <c r="F1620" s="152"/>
      <c r="G1620" s="153">
        <v>632</v>
      </c>
      <c r="H1620" s="18" t="s">
        <v>144</v>
      </c>
      <c r="I1620" s="19">
        <v>1800</v>
      </c>
      <c r="J1620" s="19">
        <v>1800</v>
      </c>
      <c r="K1620" s="19">
        <v>1800</v>
      </c>
      <c r="L1620" s="621"/>
      <c r="M1620" s="19"/>
      <c r="N1620" s="19"/>
      <c r="O1620" s="19"/>
    </row>
    <row r="1621" spans="2:15" x14ac:dyDescent="0.2">
      <c r="B1621" s="8">
        <f t="shared" si="84"/>
        <v>154</v>
      </c>
      <c r="C1621" s="18"/>
      <c r="D1621" s="18"/>
      <c r="E1621" s="18"/>
      <c r="F1621" s="152"/>
      <c r="G1621" s="153">
        <v>633</v>
      </c>
      <c r="H1621" s="18" t="s">
        <v>135</v>
      </c>
      <c r="I1621" s="19">
        <v>2600</v>
      </c>
      <c r="J1621" s="19">
        <v>2600</v>
      </c>
      <c r="K1621" s="19">
        <v>2600</v>
      </c>
      <c r="L1621" s="621"/>
      <c r="M1621" s="19"/>
      <c r="N1621" s="19"/>
      <c r="O1621" s="19"/>
    </row>
    <row r="1622" spans="2:15" x14ac:dyDescent="0.2">
      <c r="B1622" s="8">
        <f t="shared" si="84"/>
        <v>155</v>
      </c>
      <c r="C1622" s="18"/>
      <c r="D1622" s="18"/>
      <c r="E1622" s="18"/>
      <c r="F1622" s="152"/>
      <c r="G1622" s="153">
        <v>634</v>
      </c>
      <c r="H1622" s="18" t="s">
        <v>142</v>
      </c>
      <c r="I1622" s="19">
        <v>1000</v>
      </c>
      <c r="J1622" s="19">
        <v>1000</v>
      </c>
      <c r="K1622" s="19">
        <v>1000</v>
      </c>
      <c r="L1622" s="621"/>
      <c r="M1622" s="19"/>
      <c r="N1622" s="19"/>
      <c r="O1622" s="19"/>
    </row>
    <row r="1623" spans="2:15" x14ac:dyDescent="0.2">
      <c r="B1623" s="8">
        <f t="shared" si="84"/>
        <v>156</v>
      </c>
      <c r="C1623" s="18"/>
      <c r="D1623" s="18"/>
      <c r="E1623" s="18"/>
      <c r="F1623" s="152"/>
      <c r="G1623" s="153">
        <v>635</v>
      </c>
      <c r="H1623" s="18" t="s">
        <v>143</v>
      </c>
      <c r="I1623" s="19">
        <v>500</v>
      </c>
      <c r="J1623" s="19">
        <v>500</v>
      </c>
      <c r="K1623" s="19">
        <v>500</v>
      </c>
      <c r="L1623" s="621"/>
      <c r="M1623" s="19"/>
      <c r="N1623" s="19"/>
      <c r="O1623" s="19"/>
    </row>
    <row r="1624" spans="2:15" x14ac:dyDescent="0.2">
      <c r="B1624" s="8">
        <f t="shared" si="84"/>
        <v>157</v>
      </c>
      <c r="C1624" s="18"/>
      <c r="D1624" s="18"/>
      <c r="E1624" s="18"/>
      <c r="F1624" s="152"/>
      <c r="G1624" s="153">
        <v>637</v>
      </c>
      <c r="H1624" s="18" t="s">
        <v>132</v>
      </c>
      <c r="I1624" s="19">
        <v>22500</v>
      </c>
      <c r="J1624" s="19">
        <v>22500</v>
      </c>
      <c r="K1624" s="19">
        <v>22500</v>
      </c>
      <c r="L1624" s="621"/>
      <c r="M1624" s="19"/>
      <c r="N1624" s="19"/>
      <c r="O1624" s="19"/>
    </row>
    <row r="1625" spans="2:15" x14ac:dyDescent="0.2">
      <c r="B1625" s="8">
        <f t="shared" si="84"/>
        <v>158</v>
      </c>
      <c r="C1625" s="319"/>
      <c r="D1625" s="319"/>
      <c r="E1625" s="319"/>
      <c r="F1625" s="320" t="s">
        <v>66</v>
      </c>
      <c r="G1625" s="321">
        <v>640</v>
      </c>
      <c r="H1625" s="319" t="s">
        <v>139</v>
      </c>
      <c r="I1625" s="322">
        <f>4550+1050</f>
        <v>5600</v>
      </c>
      <c r="J1625" s="322">
        <v>5600</v>
      </c>
      <c r="K1625" s="322">
        <v>5600</v>
      </c>
      <c r="L1625" s="620"/>
      <c r="M1625" s="322"/>
      <c r="N1625" s="322"/>
      <c r="O1625" s="322"/>
    </row>
    <row r="1626" spans="2:15" ht="15.75" x14ac:dyDescent="0.25">
      <c r="B1626" s="8">
        <f t="shared" si="84"/>
        <v>159</v>
      </c>
      <c r="C1626" s="303">
        <v>12</v>
      </c>
      <c r="D1626" s="690" t="s">
        <v>828</v>
      </c>
      <c r="E1626" s="691"/>
      <c r="F1626" s="691"/>
      <c r="G1626" s="691"/>
      <c r="H1626" s="691"/>
      <c r="I1626" s="304">
        <v>0</v>
      </c>
      <c r="J1626" s="304">
        <v>0</v>
      </c>
      <c r="K1626" s="304">
        <v>0</v>
      </c>
      <c r="L1626" s="618"/>
      <c r="M1626" s="304">
        <f>M1627</f>
        <v>0</v>
      </c>
      <c r="N1626" s="304"/>
      <c r="O1626" s="304"/>
    </row>
    <row r="1631" spans="2:15" ht="27" x14ac:dyDescent="0.35">
      <c r="B1631" s="679" t="s">
        <v>27</v>
      </c>
      <c r="C1631" s="680"/>
      <c r="D1631" s="680"/>
      <c r="E1631" s="680"/>
      <c r="F1631" s="680"/>
      <c r="G1631" s="680"/>
      <c r="H1631" s="680"/>
      <c r="I1631" s="680"/>
      <c r="J1631" s="680"/>
      <c r="K1631" s="680"/>
      <c r="L1631" s="680"/>
      <c r="M1631" s="680"/>
      <c r="N1631" s="3"/>
      <c r="O1631" s="3"/>
    </row>
    <row r="1632" spans="2:15" ht="12.75" customHeight="1" x14ac:dyDescent="0.2">
      <c r="B1632" s="739"/>
      <c r="C1632" s="739" t="s">
        <v>122</v>
      </c>
      <c r="D1632" s="739" t="s">
        <v>123</v>
      </c>
      <c r="E1632" s="739"/>
      <c r="F1632" s="739" t="s">
        <v>124</v>
      </c>
      <c r="G1632" s="740" t="s">
        <v>125</v>
      </c>
      <c r="H1632" s="741" t="s">
        <v>126</v>
      </c>
      <c r="I1632" s="742" t="s">
        <v>1135</v>
      </c>
      <c r="J1632" s="742" t="s">
        <v>1136</v>
      </c>
      <c r="K1632" s="742" t="s">
        <v>1137</v>
      </c>
      <c r="L1632" s="633"/>
      <c r="M1632" s="742" t="s">
        <v>1138</v>
      </c>
      <c r="N1632" s="742" t="s">
        <v>1139</v>
      </c>
      <c r="O1632" s="742" t="s">
        <v>1140</v>
      </c>
    </row>
    <row r="1633" spans="2:15" x14ac:dyDescent="0.2">
      <c r="B1633" s="681"/>
      <c r="C1633" s="681"/>
      <c r="D1633" s="681"/>
      <c r="E1633" s="681"/>
      <c r="F1633" s="681"/>
      <c r="G1633" s="689"/>
      <c r="H1633" s="686"/>
      <c r="I1633" s="673"/>
      <c r="J1633" s="673"/>
      <c r="K1633" s="673"/>
      <c r="L1633" s="616"/>
      <c r="M1633" s="673"/>
      <c r="N1633" s="673"/>
      <c r="O1633" s="673"/>
    </row>
    <row r="1634" spans="2:15" x14ac:dyDescent="0.2">
      <c r="B1634" s="681"/>
      <c r="C1634" s="681"/>
      <c r="D1634" s="681"/>
      <c r="E1634" s="681"/>
      <c r="F1634" s="681"/>
      <c r="G1634" s="689"/>
      <c r="H1634" s="686"/>
      <c r="I1634" s="673"/>
      <c r="J1634" s="673"/>
      <c r="K1634" s="673"/>
      <c r="L1634" s="616"/>
      <c r="M1634" s="673"/>
      <c r="N1634" s="673"/>
      <c r="O1634" s="673"/>
    </row>
    <row r="1635" spans="2:15" x14ac:dyDescent="0.2">
      <c r="B1635" s="681"/>
      <c r="C1635" s="681"/>
      <c r="D1635" s="681"/>
      <c r="E1635" s="681"/>
      <c r="F1635" s="681"/>
      <c r="G1635" s="689"/>
      <c r="H1635" s="686"/>
      <c r="I1635" s="673"/>
      <c r="J1635" s="673"/>
      <c r="K1635" s="673"/>
      <c r="L1635" s="616"/>
      <c r="M1635" s="673"/>
      <c r="N1635" s="673"/>
      <c r="O1635" s="673"/>
    </row>
    <row r="1636" spans="2:15" ht="15.75" x14ac:dyDescent="0.2">
      <c r="B1636" s="8">
        <v>1</v>
      </c>
      <c r="C1636" s="687" t="s">
        <v>27</v>
      </c>
      <c r="D1636" s="688"/>
      <c r="E1636" s="688"/>
      <c r="F1636" s="688"/>
      <c r="G1636" s="688"/>
      <c r="H1636" s="688"/>
      <c r="I1636" s="138">
        <f t="shared" ref="I1636:M1636" si="86">I1637</f>
        <v>385260</v>
      </c>
      <c r="J1636" s="138">
        <f t="shared" si="86"/>
        <v>391260</v>
      </c>
      <c r="K1636" s="138">
        <f t="shared" si="86"/>
        <v>396260</v>
      </c>
      <c r="L1636" s="617"/>
      <c r="M1636" s="138">
        <f t="shared" si="86"/>
        <v>1650</v>
      </c>
      <c r="N1636" s="138"/>
      <c r="O1636" s="138"/>
    </row>
    <row r="1637" spans="2:15" ht="15.75" x14ac:dyDescent="0.25">
      <c r="B1637" s="8">
        <f>B1636+1</f>
        <v>2</v>
      </c>
      <c r="C1637" s="141">
        <v>1</v>
      </c>
      <c r="D1637" s="677" t="s">
        <v>165</v>
      </c>
      <c r="E1637" s="678"/>
      <c r="F1637" s="678"/>
      <c r="G1637" s="678"/>
      <c r="H1637" s="678"/>
      <c r="I1637" s="142">
        <f>I1638+I1649</f>
        <v>385260</v>
      </c>
      <c r="J1637" s="142">
        <f>J1638+J1649</f>
        <v>391260</v>
      </c>
      <c r="K1637" s="142">
        <f>K1638+K1649</f>
        <v>396260</v>
      </c>
      <c r="L1637" s="618"/>
      <c r="M1637" s="142">
        <f>M1638+M1649</f>
        <v>1650</v>
      </c>
      <c r="N1637" s="142"/>
      <c r="O1637" s="142"/>
    </row>
    <row r="1638" spans="2:15" ht="14.25" x14ac:dyDescent="0.2">
      <c r="B1638" s="8">
        <f>B1637+1</f>
        <v>3</v>
      </c>
      <c r="C1638" s="160"/>
      <c r="D1638" s="160">
        <v>1</v>
      </c>
      <c r="E1638" s="675" t="s">
        <v>164</v>
      </c>
      <c r="F1638" s="676"/>
      <c r="G1638" s="676"/>
      <c r="H1638" s="676"/>
      <c r="I1638" s="161">
        <f>I1639+I1643</f>
        <v>336500</v>
      </c>
      <c r="J1638" s="161">
        <f>J1639+J1643</f>
        <v>342500</v>
      </c>
      <c r="K1638" s="161">
        <f>K1639+K1643</f>
        <v>347500</v>
      </c>
      <c r="L1638" s="619"/>
      <c r="M1638" s="161">
        <f>M1645</f>
        <v>1650</v>
      </c>
      <c r="N1638" s="161"/>
      <c r="O1638" s="161"/>
    </row>
    <row r="1639" spans="2:15" x14ac:dyDescent="0.2">
      <c r="B1639" s="8">
        <f t="shared" ref="B1639:B1656" si="87">B1638+1</f>
        <v>4</v>
      </c>
      <c r="C1639" s="24"/>
      <c r="D1639" s="24"/>
      <c r="E1639" s="24"/>
      <c r="F1639" s="149" t="s">
        <v>163</v>
      </c>
      <c r="G1639" s="150">
        <v>630</v>
      </c>
      <c r="H1639" s="24" t="s">
        <v>131</v>
      </c>
      <c r="I1639" s="25">
        <f>SUM(I1640:I1642)</f>
        <v>263000</v>
      </c>
      <c r="J1639" s="25">
        <f>SUM(J1640:J1642)</f>
        <v>269000</v>
      </c>
      <c r="K1639" s="25">
        <f>SUM(K1640:K1642)</f>
        <v>274000</v>
      </c>
      <c r="L1639" s="620"/>
      <c r="M1639" s="25"/>
      <c r="N1639" s="25"/>
      <c r="O1639" s="25"/>
    </row>
    <row r="1640" spans="2:15" x14ac:dyDescent="0.2">
      <c r="B1640" s="8">
        <f t="shared" si="87"/>
        <v>5</v>
      </c>
      <c r="C1640" s="18"/>
      <c r="D1640" s="18"/>
      <c r="E1640" s="18"/>
      <c r="F1640" s="152"/>
      <c r="G1640" s="153">
        <v>635</v>
      </c>
      <c r="H1640" s="18" t="s">
        <v>143</v>
      </c>
      <c r="I1640" s="19">
        <v>10000</v>
      </c>
      <c r="J1640" s="19">
        <v>10000</v>
      </c>
      <c r="K1640" s="19">
        <v>10000</v>
      </c>
      <c r="L1640" s="621"/>
      <c r="M1640" s="19"/>
      <c r="N1640" s="19"/>
      <c r="O1640" s="19"/>
    </row>
    <row r="1641" spans="2:15" x14ac:dyDescent="0.2">
      <c r="B1641" s="8">
        <f t="shared" si="87"/>
        <v>6</v>
      </c>
      <c r="C1641" s="18"/>
      <c r="D1641" s="18"/>
      <c r="E1641" s="18"/>
      <c r="F1641" s="152"/>
      <c r="G1641" s="153">
        <v>636</v>
      </c>
      <c r="H1641" s="18" t="s">
        <v>136</v>
      </c>
      <c r="I1641" s="19">
        <v>9000</v>
      </c>
      <c r="J1641" s="19">
        <v>9000</v>
      </c>
      <c r="K1641" s="19">
        <v>9000</v>
      </c>
      <c r="L1641" s="621"/>
      <c r="M1641" s="19"/>
      <c r="N1641" s="19"/>
      <c r="O1641" s="19"/>
    </row>
    <row r="1642" spans="2:15" x14ac:dyDescent="0.2">
      <c r="B1642" s="8">
        <f t="shared" si="87"/>
        <v>7</v>
      </c>
      <c r="C1642" s="18"/>
      <c r="D1642" s="18"/>
      <c r="E1642" s="18"/>
      <c r="F1642" s="152"/>
      <c r="G1642" s="153">
        <v>637</v>
      </c>
      <c r="H1642" s="18" t="s">
        <v>132</v>
      </c>
      <c r="I1642" s="19">
        <v>244000</v>
      </c>
      <c r="J1642" s="19">
        <v>250000</v>
      </c>
      <c r="K1642" s="19">
        <v>255000</v>
      </c>
      <c r="L1642" s="621"/>
      <c r="M1642" s="19"/>
      <c r="N1642" s="19"/>
      <c r="O1642" s="19"/>
    </row>
    <row r="1643" spans="2:15" x14ac:dyDescent="0.2">
      <c r="B1643" s="8">
        <f t="shared" si="87"/>
        <v>8</v>
      </c>
      <c r="C1643" s="24"/>
      <c r="D1643" s="24"/>
      <c r="E1643" s="24"/>
      <c r="F1643" s="149" t="s">
        <v>163</v>
      </c>
      <c r="G1643" s="150">
        <v>640</v>
      </c>
      <c r="H1643" s="24" t="s">
        <v>139</v>
      </c>
      <c r="I1643" s="25">
        <f>I1644</f>
        <v>73500</v>
      </c>
      <c r="J1643" s="25">
        <f>J1644</f>
        <v>73500</v>
      </c>
      <c r="K1643" s="25">
        <f>K1644</f>
        <v>73500</v>
      </c>
      <c r="L1643" s="620"/>
      <c r="M1643" s="25"/>
      <c r="N1643" s="25"/>
      <c r="O1643" s="25"/>
    </row>
    <row r="1644" spans="2:15" x14ac:dyDescent="0.2">
      <c r="B1644" s="8">
        <f t="shared" si="87"/>
        <v>9</v>
      </c>
      <c r="C1644" s="18"/>
      <c r="D1644" s="18"/>
      <c r="E1644" s="18"/>
      <c r="F1644" s="152"/>
      <c r="G1644" s="153">
        <v>642</v>
      </c>
      <c r="H1644" s="18" t="s">
        <v>140</v>
      </c>
      <c r="I1644" s="19">
        <v>73500</v>
      </c>
      <c r="J1644" s="19">
        <v>73500</v>
      </c>
      <c r="K1644" s="19">
        <v>73500</v>
      </c>
      <c r="L1644" s="621"/>
      <c r="M1644" s="19"/>
      <c r="N1644" s="19"/>
      <c r="O1644" s="19"/>
    </row>
    <row r="1645" spans="2:15" x14ac:dyDescent="0.2">
      <c r="B1645" s="8">
        <f t="shared" si="87"/>
        <v>10</v>
      </c>
      <c r="C1645" s="24"/>
      <c r="D1645" s="24"/>
      <c r="E1645" s="24"/>
      <c r="F1645" s="149" t="s">
        <v>163</v>
      </c>
      <c r="G1645" s="150">
        <v>710</v>
      </c>
      <c r="H1645" s="24" t="s">
        <v>185</v>
      </c>
      <c r="I1645" s="25"/>
      <c r="J1645" s="25"/>
      <c r="K1645" s="25"/>
      <c r="L1645" s="620"/>
      <c r="M1645" s="25">
        <f t="shared" ref="M1645:M1646" si="88">M1646</f>
        <v>1650</v>
      </c>
      <c r="N1645" s="25"/>
      <c r="O1645" s="25"/>
    </row>
    <row r="1646" spans="2:15" x14ac:dyDescent="0.2">
      <c r="B1646" s="8">
        <f t="shared" si="87"/>
        <v>11</v>
      </c>
      <c r="C1646" s="18"/>
      <c r="D1646" s="18"/>
      <c r="E1646" s="18"/>
      <c r="F1646" s="152"/>
      <c r="G1646" s="153">
        <v>717</v>
      </c>
      <c r="H1646" s="18" t="s">
        <v>192</v>
      </c>
      <c r="I1646" s="19"/>
      <c r="J1646" s="19"/>
      <c r="K1646" s="19"/>
      <c r="L1646" s="621"/>
      <c r="M1646" s="19">
        <f t="shared" si="88"/>
        <v>1650</v>
      </c>
      <c r="N1646" s="19"/>
      <c r="O1646" s="19"/>
    </row>
    <row r="1647" spans="2:15" x14ac:dyDescent="0.2">
      <c r="B1647" s="8">
        <f t="shared" si="87"/>
        <v>12</v>
      </c>
      <c r="C1647" s="120"/>
      <c r="D1647" s="120"/>
      <c r="E1647" s="120"/>
      <c r="F1647" s="298"/>
      <c r="G1647" s="298"/>
      <c r="H1647" s="156" t="s">
        <v>944</v>
      </c>
      <c r="I1647" s="157"/>
      <c r="J1647" s="157"/>
      <c r="K1647" s="157"/>
      <c r="L1647" s="614"/>
      <c r="M1647" s="157">
        <v>1650</v>
      </c>
      <c r="N1647" s="157"/>
      <c r="O1647" s="157"/>
    </row>
    <row r="1648" spans="2:15" ht="14.25" x14ac:dyDescent="0.2">
      <c r="B1648" s="8">
        <f t="shared" si="87"/>
        <v>13</v>
      </c>
      <c r="C1648" s="160"/>
      <c r="D1648" s="160">
        <v>2</v>
      </c>
      <c r="E1648" s="675" t="s">
        <v>504</v>
      </c>
      <c r="F1648" s="676"/>
      <c r="G1648" s="676"/>
      <c r="H1648" s="676"/>
      <c r="I1648" s="161">
        <v>0</v>
      </c>
      <c r="J1648" s="161">
        <v>0</v>
      </c>
      <c r="K1648" s="161">
        <v>0</v>
      </c>
      <c r="L1648" s="619"/>
      <c r="M1648" s="161"/>
      <c r="N1648" s="161"/>
      <c r="O1648" s="161"/>
    </row>
    <row r="1649" spans="2:15" ht="14.25" x14ac:dyDescent="0.2">
      <c r="B1649" s="8">
        <f t="shared" si="87"/>
        <v>14</v>
      </c>
      <c r="C1649" s="160"/>
      <c r="D1649" s="160">
        <v>3</v>
      </c>
      <c r="E1649" s="675" t="s">
        <v>196</v>
      </c>
      <c r="F1649" s="676"/>
      <c r="G1649" s="676"/>
      <c r="H1649" s="676"/>
      <c r="I1649" s="161">
        <f>I1650+I1651+I1652+I1656</f>
        <v>48760</v>
      </c>
      <c r="J1649" s="161">
        <f>J1650+J1651+J1652+J1656</f>
        <v>48760</v>
      </c>
      <c r="K1649" s="161">
        <f>K1650+K1651+K1652+K1656</f>
        <v>48760</v>
      </c>
      <c r="L1649" s="619"/>
      <c r="M1649" s="161"/>
      <c r="N1649" s="161"/>
      <c r="O1649" s="161"/>
    </row>
    <row r="1650" spans="2:15" x14ac:dyDescent="0.2">
      <c r="B1650" s="8">
        <f t="shared" si="87"/>
        <v>15</v>
      </c>
      <c r="C1650" s="24"/>
      <c r="D1650" s="24"/>
      <c r="E1650" s="24"/>
      <c r="F1650" s="149" t="s">
        <v>195</v>
      </c>
      <c r="G1650" s="150">
        <v>610</v>
      </c>
      <c r="H1650" s="24" t="s">
        <v>141</v>
      </c>
      <c r="I1650" s="25">
        <f>17700+11500+4000</f>
        <v>33200</v>
      </c>
      <c r="J1650" s="25">
        <f>17700+11500+4000</f>
        <v>33200</v>
      </c>
      <c r="K1650" s="25">
        <f>17700+11500+4000</f>
        <v>33200</v>
      </c>
      <c r="L1650" s="620"/>
      <c r="M1650" s="25"/>
      <c r="N1650" s="25"/>
      <c r="O1650" s="25"/>
    </row>
    <row r="1651" spans="2:15" x14ac:dyDescent="0.2">
      <c r="B1651" s="8">
        <f t="shared" si="87"/>
        <v>16</v>
      </c>
      <c r="C1651" s="24"/>
      <c r="D1651" s="24"/>
      <c r="E1651" s="24"/>
      <c r="F1651" s="149" t="s">
        <v>195</v>
      </c>
      <c r="G1651" s="150">
        <v>620</v>
      </c>
      <c r="H1651" s="24" t="s">
        <v>134</v>
      </c>
      <c r="I1651" s="25">
        <f>2500+400+1840+2700+250+920+300+1400+500</f>
        <v>10810</v>
      </c>
      <c r="J1651" s="25">
        <f>2500+400+1840+2700+250+920+300+1400+500</f>
        <v>10810</v>
      </c>
      <c r="K1651" s="25">
        <f>2500+400+1840+2700+250+920+300+1400+500</f>
        <v>10810</v>
      </c>
      <c r="L1651" s="620"/>
      <c r="M1651" s="25"/>
      <c r="N1651" s="25"/>
      <c r="O1651" s="25"/>
    </row>
    <row r="1652" spans="2:15" x14ac:dyDescent="0.2">
      <c r="B1652" s="8">
        <f t="shared" si="87"/>
        <v>17</v>
      </c>
      <c r="C1652" s="24"/>
      <c r="D1652" s="24"/>
      <c r="E1652" s="24"/>
      <c r="F1652" s="149" t="s">
        <v>195</v>
      </c>
      <c r="G1652" s="150">
        <v>630</v>
      </c>
      <c r="H1652" s="24" t="s">
        <v>131</v>
      </c>
      <c r="I1652" s="25">
        <f>SUM(I1653:I1655)</f>
        <v>2250</v>
      </c>
      <c r="J1652" s="25">
        <f>SUM(J1653:J1655)</f>
        <v>2250</v>
      </c>
      <c r="K1652" s="25">
        <f>SUM(K1653:K1655)</f>
        <v>2250</v>
      </c>
      <c r="L1652" s="620"/>
      <c r="M1652" s="25"/>
      <c r="N1652" s="25"/>
      <c r="O1652" s="25"/>
    </row>
    <row r="1653" spans="2:15" x14ac:dyDescent="0.2">
      <c r="B1653" s="8">
        <f t="shared" si="87"/>
        <v>18</v>
      </c>
      <c r="C1653" s="18"/>
      <c r="D1653" s="18"/>
      <c r="E1653" s="18"/>
      <c r="F1653" s="152"/>
      <c r="G1653" s="153">
        <v>632</v>
      </c>
      <c r="H1653" s="18" t="s">
        <v>144</v>
      </c>
      <c r="I1653" s="19">
        <f>500</f>
        <v>500</v>
      </c>
      <c r="J1653" s="19">
        <f>500</f>
        <v>500</v>
      </c>
      <c r="K1653" s="19">
        <f>500</f>
        <v>500</v>
      </c>
      <c r="L1653" s="621"/>
      <c r="M1653" s="19"/>
      <c r="N1653" s="19"/>
      <c r="O1653" s="19"/>
    </row>
    <row r="1654" spans="2:15" x14ac:dyDescent="0.2">
      <c r="B1654" s="8">
        <f t="shared" si="87"/>
        <v>19</v>
      </c>
      <c r="C1654" s="18"/>
      <c r="D1654" s="18"/>
      <c r="E1654" s="18"/>
      <c r="F1654" s="152"/>
      <c r="G1654" s="153">
        <v>633</v>
      </c>
      <c r="H1654" s="18" t="s">
        <v>135</v>
      </c>
      <c r="I1654" s="19">
        <f>400+300</f>
        <v>700</v>
      </c>
      <c r="J1654" s="19">
        <f>400+300</f>
        <v>700</v>
      </c>
      <c r="K1654" s="19">
        <f>400+300</f>
        <v>700</v>
      </c>
      <c r="L1654" s="621"/>
      <c r="M1654" s="19"/>
      <c r="N1654" s="19"/>
      <c r="O1654" s="19"/>
    </row>
    <row r="1655" spans="2:15" x14ac:dyDescent="0.2">
      <c r="B1655" s="8">
        <f t="shared" si="87"/>
        <v>20</v>
      </c>
      <c r="C1655" s="18"/>
      <c r="D1655" s="18"/>
      <c r="E1655" s="18"/>
      <c r="F1655" s="152"/>
      <c r="G1655" s="153">
        <v>637</v>
      </c>
      <c r="H1655" s="18" t="s">
        <v>132</v>
      </c>
      <c r="I1655" s="19">
        <f>600+450</f>
        <v>1050</v>
      </c>
      <c r="J1655" s="19">
        <f>600+450</f>
        <v>1050</v>
      </c>
      <c r="K1655" s="19">
        <f>600+450</f>
        <v>1050</v>
      </c>
      <c r="L1655" s="621"/>
      <c r="M1655" s="19"/>
      <c r="N1655" s="19"/>
      <c r="O1655" s="19"/>
    </row>
    <row r="1656" spans="2:15" x14ac:dyDescent="0.2">
      <c r="B1656" s="8">
        <f t="shared" si="87"/>
        <v>21</v>
      </c>
      <c r="C1656" s="355"/>
      <c r="D1656" s="355"/>
      <c r="E1656" s="355"/>
      <c r="F1656" s="356" t="s">
        <v>195</v>
      </c>
      <c r="G1656" s="357">
        <v>640</v>
      </c>
      <c r="H1656" s="355" t="s">
        <v>139</v>
      </c>
      <c r="I1656" s="358">
        <f>1900+600</f>
        <v>2500</v>
      </c>
      <c r="J1656" s="358">
        <f>1900+600</f>
        <v>2500</v>
      </c>
      <c r="K1656" s="358">
        <f>1900+600</f>
        <v>2500</v>
      </c>
      <c r="L1656" s="620"/>
      <c r="M1656" s="358"/>
      <c r="N1656" s="358"/>
      <c r="O1656" s="358"/>
    </row>
  </sheetData>
  <mergeCells count="275">
    <mergeCell ref="N1372:N1375"/>
    <mergeCell ref="O1372:O1375"/>
    <mergeCell ref="J96:J99"/>
    <mergeCell ref="J329:J332"/>
    <mergeCell ref="J429:J432"/>
    <mergeCell ref="J1305:J1308"/>
    <mergeCell ref="J1372:J1375"/>
    <mergeCell ref="M1372:M1375"/>
    <mergeCell ref="M73:M76"/>
    <mergeCell ref="K73:K76"/>
    <mergeCell ref="J73:J76"/>
    <mergeCell ref="O73:O76"/>
    <mergeCell ref="N73:N76"/>
    <mergeCell ref="M1305:M1308"/>
    <mergeCell ref="N1305:N1308"/>
    <mergeCell ref="O1305:O1308"/>
    <mergeCell ref="K1305:K1308"/>
    <mergeCell ref="N1195:N1198"/>
    <mergeCell ref="O1195:O1198"/>
    <mergeCell ref="N429:N432"/>
    <mergeCell ref="O429:O432"/>
    <mergeCell ref="K429:K432"/>
    <mergeCell ref="N263:N266"/>
    <mergeCell ref="O263:O266"/>
    <mergeCell ref="O1632:O1635"/>
    <mergeCell ref="C1636:H1636"/>
    <mergeCell ref="D1637:H1637"/>
    <mergeCell ref="E1638:H1638"/>
    <mergeCell ref="E1648:H1648"/>
    <mergeCell ref="D1601:H1601"/>
    <mergeCell ref="D1614:H1614"/>
    <mergeCell ref="D1626:H1626"/>
    <mergeCell ref="B1631:M1631"/>
    <mergeCell ref="B1632:B1635"/>
    <mergeCell ref="C1632:C1635"/>
    <mergeCell ref="D1632:D1635"/>
    <mergeCell ref="J1632:J1635"/>
    <mergeCell ref="K1632:K1635"/>
    <mergeCell ref="M1632:M1635"/>
    <mergeCell ref="N1632:N1635"/>
    <mergeCell ref="F1632:F1635"/>
    <mergeCell ref="G1632:G1635"/>
    <mergeCell ref="H1632:H1635"/>
    <mergeCell ref="I1632:I1635"/>
    <mergeCell ref="E1632:E1635"/>
    <mergeCell ref="E1542:H1542"/>
    <mergeCell ref="E1558:H1558"/>
    <mergeCell ref="C1468:H1468"/>
    <mergeCell ref="D1469:H1469"/>
    <mergeCell ref="E1470:H1470"/>
    <mergeCell ref="E1484:H1484"/>
    <mergeCell ref="D1492:H1492"/>
    <mergeCell ref="D1495:H1495"/>
    <mergeCell ref="E1649:H1649"/>
    <mergeCell ref="D1596:H1596"/>
    <mergeCell ref="D1509:H1509"/>
    <mergeCell ref="E1510:H1510"/>
    <mergeCell ref="E1521:H1521"/>
    <mergeCell ref="E1532:H1532"/>
    <mergeCell ref="D1533:H1533"/>
    <mergeCell ref="E1534:H1534"/>
    <mergeCell ref="D1564:H1564"/>
    <mergeCell ref="D1582:H1582"/>
    <mergeCell ref="D1593:H1593"/>
    <mergeCell ref="N1464:N1467"/>
    <mergeCell ref="O1464:O1467"/>
    <mergeCell ref="K1464:K1467"/>
    <mergeCell ref="G1464:G1467"/>
    <mergeCell ref="H1464:H1467"/>
    <mergeCell ref="I1464:I1467"/>
    <mergeCell ref="J1464:J1467"/>
    <mergeCell ref="D1377:H1377"/>
    <mergeCell ref="D1408:H1408"/>
    <mergeCell ref="E1409:H1409"/>
    <mergeCell ref="E1417:H1417"/>
    <mergeCell ref="D1420:H1420"/>
    <mergeCell ref="D1430:H1430"/>
    <mergeCell ref="D1433:H1433"/>
    <mergeCell ref="D1440:H1440"/>
    <mergeCell ref="B1463:M1463"/>
    <mergeCell ref="B1464:B1467"/>
    <mergeCell ref="C1464:C1467"/>
    <mergeCell ref="D1464:D1467"/>
    <mergeCell ref="E1464:E1467"/>
    <mergeCell ref="F1464:F1467"/>
    <mergeCell ref="M1464:M1467"/>
    <mergeCell ref="C1376:H1376"/>
    <mergeCell ref="K1372:K1375"/>
    <mergeCell ref="H1372:H1375"/>
    <mergeCell ref="I1372:I1375"/>
    <mergeCell ref="D1358:H1358"/>
    <mergeCell ref="B1371:M1371"/>
    <mergeCell ref="B1372:B1375"/>
    <mergeCell ref="C1372:C1375"/>
    <mergeCell ref="D1372:D1375"/>
    <mergeCell ref="E1372:E1375"/>
    <mergeCell ref="F1372:F1375"/>
    <mergeCell ref="G1372:G1375"/>
    <mergeCell ref="C1309:H1309"/>
    <mergeCell ref="D1310:H1310"/>
    <mergeCell ref="D1321:H1321"/>
    <mergeCell ref="D1325:H1325"/>
    <mergeCell ref="D1342:H1342"/>
    <mergeCell ref="B1305:B1308"/>
    <mergeCell ref="C1305:C1308"/>
    <mergeCell ref="D1305:D1308"/>
    <mergeCell ref="E1305:E1308"/>
    <mergeCell ref="F1305:F1308"/>
    <mergeCell ref="G1305:G1308"/>
    <mergeCell ref="H1305:H1308"/>
    <mergeCell ref="I1305:I1308"/>
    <mergeCell ref="D1210:H1210"/>
    <mergeCell ref="E1211:H1211"/>
    <mergeCell ref="E1218:H1218"/>
    <mergeCell ref="E1223:H1223"/>
    <mergeCell ref="E1244:H1244"/>
    <mergeCell ref="E1257:H1257"/>
    <mergeCell ref="D1261:H1261"/>
    <mergeCell ref="B1304:M1304"/>
    <mergeCell ref="C1199:H1199"/>
    <mergeCell ref="D1200:H1200"/>
    <mergeCell ref="I1195:I1198"/>
    <mergeCell ref="J1195:J1198"/>
    <mergeCell ref="K1195:K1198"/>
    <mergeCell ref="M1195:M1198"/>
    <mergeCell ref="D1203:H1203"/>
    <mergeCell ref="D807:H807"/>
    <mergeCell ref="D914:H914"/>
    <mergeCell ref="D1158:H1158"/>
    <mergeCell ref="B1194:M1194"/>
    <mergeCell ref="B1195:B1198"/>
    <mergeCell ref="C1195:C1198"/>
    <mergeCell ref="D1195:D1198"/>
    <mergeCell ref="E1195:E1198"/>
    <mergeCell ref="F1195:F1198"/>
    <mergeCell ref="G1195:G1198"/>
    <mergeCell ref="H1195:H1198"/>
    <mergeCell ref="D614:H614"/>
    <mergeCell ref="D370:H370"/>
    <mergeCell ref="B428:M428"/>
    <mergeCell ref="B429:B432"/>
    <mergeCell ref="C429:C432"/>
    <mergeCell ref="D429:D432"/>
    <mergeCell ref="E429:E432"/>
    <mergeCell ref="F429:F432"/>
    <mergeCell ref="M429:M432"/>
    <mergeCell ref="E361:H361"/>
    <mergeCell ref="C329:C332"/>
    <mergeCell ref="D329:D332"/>
    <mergeCell ref="I329:I332"/>
    <mergeCell ref="G429:G432"/>
    <mergeCell ref="H429:H432"/>
    <mergeCell ref="I429:I432"/>
    <mergeCell ref="C433:H433"/>
    <mergeCell ref="D434:H434"/>
    <mergeCell ref="D311:H311"/>
    <mergeCell ref="D316:H316"/>
    <mergeCell ref="B328:M328"/>
    <mergeCell ref="B329:B332"/>
    <mergeCell ref="C333:H333"/>
    <mergeCell ref="N329:N332"/>
    <mergeCell ref="D334:H334"/>
    <mergeCell ref="D342:H342"/>
    <mergeCell ref="E343:H343"/>
    <mergeCell ref="K329:K332"/>
    <mergeCell ref="M329:M332"/>
    <mergeCell ref="E329:E332"/>
    <mergeCell ref="F329:F332"/>
    <mergeCell ref="O329:O332"/>
    <mergeCell ref="D208:H208"/>
    <mergeCell ref="D217:H217"/>
    <mergeCell ref="D230:H230"/>
    <mergeCell ref="D241:H241"/>
    <mergeCell ref="D253:H253"/>
    <mergeCell ref="B262:M262"/>
    <mergeCell ref="B263:B266"/>
    <mergeCell ref="C263:C266"/>
    <mergeCell ref="D263:D266"/>
    <mergeCell ref="E263:E266"/>
    <mergeCell ref="F263:F266"/>
    <mergeCell ref="G263:G266"/>
    <mergeCell ref="H263:H266"/>
    <mergeCell ref="C267:H267"/>
    <mergeCell ref="D268:H268"/>
    <mergeCell ref="I263:I266"/>
    <mergeCell ref="J263:J266"/>
    <mergeCell ref="K263:K266"/>
    <mergeCell ref="M263:M266"/>
    <mergeCell ref="G329:G332"/>
    <mergeCell ref="H329:H332"/>
    <mergeCell ref="D283:H283"/>
    <mergeCell ref="D305:H305"/>
    <mergeCell ref="N187:N190"/>
    <mergeCell ref="O187:O190"/>
    <mergeCell ref="C191:H191"/>
    <mergeCell ref="D192:H192"/>
    <mergeCell ref="I187:I190"/>
    <mergeCell ref="J187:J190"/>
    <mergeCell ref="K187:K190"/>
    <mergeCell ref="M187:M190"/>
    <mergeCell ref="D198:H198"/>
    <mergeCell ref="D159:H159"/>
    <mergeCell ref="D164:H164"/>
    <mergeCell ref="D176:H176"/>
    <mergeCell ref="B186:M186"/>
    <mergeCell ref="B187:B190"/>
    <mergeCell ref="C187:C190"/>
    <mergeCell ref="D187:D190"/>
    <mergeCell ref="E187:E190"/>
    <mergeCell ref="F187:F190"/>
    <mergeCell ref="G187:G190"/>
    <mergeCell ref="H187:H190"/>
    <mergeCell ref="C100:H100"/>
    <mergeCell ref="D101:H101"/>
    <mergeCell ref="D104:H104"/>
    <mergeCell ref="E105:H105"/>
    <mergeCell ref="E108:H108"/>
    <mergeCell ref="E115:H115"/>
    <mergeCell ref="D123:H123"/>
    <mergeCell ref="D127:H127"/>
    <mergeCell ref="D143:H143"/>
    <mergeCell ref="B96:B99"/>
    <mergeCell ref="C96:C99"/>
    <mergeCell ref="D96:D99"/>
    <mergeCell ref="E96:E99"/>
    <mergeCell ref="F96:F99"/>
    <mergeCell ref="M96:M99"/>
    <mergeCell ref="N96:N99"/>
    <mergeCell ref="O96:O99"/>
    <mergeCell ref="K96:K99"/>
    <mergeCell ref="G96:G99"/>
    <mergeCell ref="H96:H99"/>
    <mergeCell ref="I96:I99"/>
    <mergeCell ref="C77:H77"/>
    <mergeCell ref="D78:H78"/>
    <mergeCell ref="D86:H86"/>
    <mergeCell ref="B95:M95"/>
    <mergeCell ref="G73:G76"/>
    <mergeCell ref="F73:F76"/>
    <mergeCell ref="E73:E76"/>
    <mergeCell ref="D73:D76"/>
    <mergeCell ref="C73:C76"/>
    <mergeCell ref="B73:B76"/>
    <mergeCell ref="I73:I76"/>
    <mergeCell ref="H73:H76"/>
    <mergeCell ref="D64:H64"/>
    <mergeCell ref="D67:H67"/>
    <mergeCell ref="B72:M72"/>
    <mergeCell ref="E16:H16"/>
    <mergeCell ref="E19:H19"/>
    <mergeCell ref="E22:H22"/>
    <mergeCell ref="D29:H29"/>
    <mergeCell ref="D42:H42"/>
    <mergeCell ref="D53:H53"/>
    <mergeCell ref="D54:H54"/>
    <mergeCell ref="D55:H55"/>
    <mergeCell ref="D56:H56"/>
    <mergeCell ref="O2:O5"/>
    <mergeCell ref="B6:M6"/>
    <mergeCell ref="C7:H7"/>
    <mergeCell ref="I2:I5"/>
    <mergeCell ref="J2:J5"/>
    <mergeCell ref="K2:K5"/>
    <mergeCell ref="M2:M5"/>
    <mergeCell ref="D8:H8"/>
    <mergeCell ref="E9:H9"/>
    <mergeCell ref="B1:M1"/>
    <mergeCell ref="B2:B5"/>
    <mergeCell ref="C2:C5"/>
    <mergeCell ref="D2:D5"/>
    <mergeCell ref="E2:E5"/>
    <mergeCell ref="F2:F5"/>
    <mergeCell ref="G2:G5"/>
    <mergeCell ref="H2:H5"/>
    <mergeCell ref="N2:N5"/>
  </mergeCells>
  <phoneticPr fontId="1" type="noConversion"/>
  <pageMargins left="0.39370078740157483" right="0.39370078740157483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46"/>
  <sheetViews>
    <sheetView zoomScaleNormal="100" workbookViewId="0"/>
  </sheetViews>
  <sheetFormatPr defaultRowHeight="12.75" x14ac:dyDescent="0.2"/>
  <cols>
    <col min="1" max="1" width="1" style="2" customWidth="1"/>
    <col min="2" max="2" width="2.7109375" style="2" customWidth="1"/>
    <col min="3" max="3" width="35.85546875" style="2" customWidth="1"/>
    <col min="4" max="4" width="14" style="2" customWidth="1"/>
    <col min="5" max="5" width="12.85546875" style="2" customWidth="1"/>
    <col min="6" max="6" width="13.140625" style="2" customWidth="1"/>
    <col min="7" max="7" width="2.5703125" style="2" customWidth="1"/>
    <col min="8" max="8" width="13.140625" style="2" customWidth="1"/>
    <col min="9" max="9" width="11.85546875" style="2" customWidth="1"/>
    <col min="10" max="10" width="12.5703125" style="2" customWidth="1"/>
    <col min="11" max="11" width="2" style="2" customWidth="1"/>
    <col min="12" max="12" width="13.85546875" style="2" customWidth="1"/>
    <col min="13" max="13" width="13.140625" style="2" customWidth="1"/>
    <col min="14" max="14" width="14" style="2" customWidth="1"/>
    <col min="15" max="15" width="10.140625" style="2" bestFit="1" customWidth="1"/>
    <col min="16" max="16384" width="9.140625" style="2"/>
  </cols>
  <sheetData>
    <row r="1" spans="2:15" ht="7.5" customHeight="1" x14ac:dyDescent="0.2"/>
    <row r="2" spans="2:15" s="327" customFormat="1" ht="28.5" customHeight="1" x14ac:dyDescent="0.2">
      <c r="B2" s="724"/>
      <c r="C2" s="725"/>
      <c r="D2" s="747" t="s">
        <v>127</v>
      </c>
      <c r="E2" s="729"/>
      <c r="F2" s="748"/>
      <c r="G2" s="326"/>
      <c r="H2" s="747" t="s">
        <v>128</v>
      </c>
      <c r="I2" s="729"/>
      <c r="J2" s="748"/>
      <c r="K2" s="326"/>
      <c r="L2" s="747" t="s">
        <v>1093</v>
      </c>
      <c r="M2" s="729"/>
      <c r="N2" s="748"/>
    </row>
    <row r="3" spans="2:15" s="12" customFormat="1" ht="31.5" customHeight="1" x14ac:dyDescent="0.2">
      <c r="B3" s="724"/>
      <c r="C3" s="725"/>
      <c r="D3" s="328" t="s">
        <v>1132</v>
      </c>
      <c r="E3" s="328" t="s">
        <v>1133</v>
      </c>
      <c r="F3" s="328" t="s">
        <v>1134</v>
      </c>
      <c r="G3" s="329"/>
      <c r="H3" s="328" t="s">
        <v>1132</v>
      </c>
      <c r="I3" s="328" t="s">
        <v>1133</v>
      </c>
      <c r="J3" s="328" t="s">
        <v>1134</v>
      </c>
      <c r="K3" s="329"/>
      <c r="L3" s="328" t="s">
        <v>1132</v>
      </c>
      <c r="M3" s="328" t="s">
        <v>1133</v>
      </c>
      <c r="N3" s="328" t="s">
        <v>1134</v>
      </c>
    </row>
    <row r="4" spans="2:15" ht="3.75" customHeight="1" x14ac:dyDescent="0.2">
      <c r="B4" s="330"/>
      <c r="C4" s="331"/>
      <c r="D4" s="331"/>
      <c r="E4" s="331"/>
      <c r="F4" s="331"/>
      <c r="G4" s="331"/>
      <c r="H4" s="214"/>
      <c r="I4" s="214"/>
      <c r="J4" s="214"/>
      <c r="K4" s="331"/>
      <c r="L4" s="214"/>
      <c r="M4" s="214"/>
      <c r="N4" s="214"/>
    </row>
    <row r="5" spans="2:15" s="1" customFormat="1" ht="15" x14ac:dyDescent="0.25">
      <c r="B5" s="332">
        <v>1</v>
      </c>
      <c r="C5" s="333" t="s">
        <v>561</v>
      </c>
      <c r="D5" s="383">
        <f>'Príjmy viacročné'!E326</f>
        <v>71335598</v>
      </c>
      <c r="E5" s="383">
        <f>'Príjmy viacročné'!G326</f>
        <v>73818306.280000001</v>
      </c>
      <c r="F5" s="383">
        <f>'Príjmy viacročné'!I326</f>
        <v>78151395.656800002</v>
      </c>
      <c r="G5" s="335"/>
      <c r="H5" s="383">
        <f>'Príjmy viacročné'!E327</f>
        <v>56102374</v>
      </c>
      <c r="I5" s="383">
        <f>'Príjmy viacročné'!G327</f>
        <v>30311000</v>
      </c>
      <c r="J5" s="383">
        <f>'Príjmy viacročné'!I327</f>
        <v>15380000</v>
      </c>
      <c r="K5" s="335"/>
      <c r="L5" s="383">
        <f t="shared" ref="L5:L18" si="0">D5+H5</f>
        <v>127437972</v>
      </c>
      <c r="M5" s="383">
        <f t="shared" ref="M5:N18" si="1">E5+I5</f>
        <v>104129306.28</v>
      </c>
      <c r="N5" s="383">
        <f t="shared" si="1"/>
        <v>93531395.656800002</v>
      </c>
    </row>
    <row r="6" spans="2:15" s="1" customFormat="1" ht="15" x14ac:dyDescent="0.25">
      <c r="B6" s="332">
        <v>2</v>
      </c>
      <c r="C6" s="333" t="s">
        <v>562</v>
      </c>
      <c r="D6" s="383">
        <f>SUM(D7:D18)</f>
        <v>70666374</v>
      </c>
      <c r="E6" s="383">
        <f t="shared" ref="E6:F6" si="2">SUM(E7:E18)</f>
        <v>72139523</v>
      </c>
      <c r="F6" s="383">
        <f t="shared" si="2"/>
        <v>74324470</v>
      </c>
      <c r="G6" s="335"/>
      <c r="H6" s="383">
        <f>SUM(H7:H18)</f>
        <v>83820867</v>
      </c>
      <c r="I6" s="383">
        <f t="shared" ref="I6:J6" si="3">SUM(I7:I18)</f>
        <v>41269783</v>
      </c>
      <c r="J6" s="383">
        <f t="shared" si="3"/>
        <v>16551926</v>
      </c>
      <c r="K6" s="335"/>
      <c r="L6" s="383">
        <f t="shared" si="0"/>
        <v>154487241</v>
      </c>
      <c r="M6" s="383">
        <f>E6+I6</f>
        <v>113409306</v>
      </c>
      <c r="N6" s="383">
        <f t="shared" si="1"/>
        <v>90876396</v>
      </c>
    </row>
    <row r="7" spans="2:15" ht="15" x14ac:dyDescent="0.25">
      <c r="B7" s="332">
        <v>3</v>
      </c>
      <c r="C7" s="224" t="s">
        <v>28</v>
      </c>
      <c r="D7" s="362">
        <f>'Výdavky viacročné'!I7</f>
        <v>977385</v>
      </c>
      <c r="E7" s="362">
        <f>'Výdavky viacročné'!J7</f>
        <v>729100</v>
      </c>
      <c r="F7" s="362">
        <f>'Výdavky viacročné'!K7</f>
        <v>742100</v>
      </c>
      <c r="G7" s="336"/>
      <c r="H7" s="362">
        <f>'Výdavky viacročné'!M7</f>
        <v>1113500</v>
      </c>
      <c r="I7" s="362">
        <f>'Výdavky viacročné'!N7</f>
        <v>1160000</v>
      </c>
      <c r="J7" s="362">
        <f>'Výdavky viacročné'!O7</f>
        <v>921492</v>
      </c>
      <c r="K7" s="336"/>
      <c r="L7" s="362">
        <f t="shared" si="0"/>
        <v>2090885</v>
      </c>
      <c r="M7" s="362">
        <f t="shared" si="1"/>
        <v>1889100</v>
      </c>
      <c r="N7" s="362">
        <f t="shared" si="1"/>
        <v>1663592</v>
      </c>
      <c r="O7" s="603"/>
    </row>
    <row r="8" spans="2:15" ht="15" x14ac:dyDescent="0.25">
      <c r="B8" s="332">
        <v>4</v>
      </c>
      <c r="C8" s="224" t="s">
        <v>29</v>
      </c>
      <c r="D8" s="362">
        <f>'Výdavky viacročné'!I77</f>
        <v>128440</v>
      </c>
      <c r="E8" s="362">
        <f>'Výdavky viacročné'!J77</f>
        <v>134000</v>
      </c>
      <c r="F8" s="362">
        <f>'Výdavky viacročné'!K77</f>
        <v>153000</v>
      </c>
      <c r="G8" s="336"/>
      <c r="H8" s="362">
        <f>'Výdavky viacročné'!M77</f>
        <v>0</v>
      </c>
      <c r="I8" s="362">
        <f>'Výdavky viacročné'!N77</f>
        <v>0</v>
      </c>
      <c r="J8" s="362">
        <f>'Výdavky viacročné'!O77</f>
        <v>0</v>
      </c>
      <c r="K8" s="336"/>
      <c r="L8" s="362">
        <f t="shared" si="0"/>
        <v>128440</v>
      </c>
      <c r="M8" s="362">
        <f t="shared" si="1"/>
        <v>134000</v>
      </c>
      <c r="N8" s="362">
        <f t="shared" si="1"/>
        <v>153000</v>
      </c>
      <c r="O8" s="603"/>
    </row>
    <row r="9" spans="2:15" ht="15" x14ac:dyDescent="0.25">
      <c r="B9" s="332">
        <v>5</v>
      </c>
      <c r="C9" s="224" t="s">
        <v>30</v>
      </c>
      <c r="D9" s="362">
        <f>'Výdavky viacročné'!I100</f>
        <v>7263625</v>
      </c>
      <c r="E9" s="362">
        <f>'Výdavky viacročné'!J100</f>
        <v>7475878</v>
      </c>
      <c r="F9" s="362">
        <f>'Výdavky viacročné'!K100</f>
        <v>7594825</v>
      </c>
      <c r="G9" s="336"/>
      <c r="H9" s="362">
        <f>'Výdavky viacročné'!M100</f>
        <v>3299081</v>
      </c>
      <c r="I9" s="362">
        <f>'Výdavky viacročné'!N100</f>
        <v>3801087</v>
      </c>
      <c r="J9" s="362">
        <f>'Výdavky viacročné'!O100</f>
        <v>1000000</v>
      </c>
      <c r="K9" s="336"/>
      <c r="L9" s="362">
        <f t="shared" si="0"/>
        <v>10562706</v>
      </c>
      <c r="M9" s="362">
        <f t="shared" si="1"/>
        <v>11276965</v>
      </c>
      <c r="N9" s="362">
        <f t="shared" si="1"/>
        <v>8594825</v>
      </c>
      <c r="O9" s="603"/>
    </row>
    <row r="10" spans="2:15" ht="15" x14ac:dyDescent="0.25">
      <c r="B10" s="332">
        <v>6</v>
      </c>
      <c r="C10" s="224" t="s">
        <v>31</v>
      </c>
      <c r="D10" s="362">
        <f>'Výdavky viacročné'!I191</f>
        <v>955055</v>
      </c>
      <c r="E10" s="362">
        <f>'Výdavky viacročné'!J191</f>
        <v>978865</v>
      </c>
      <c r="F10" s="362">
        <f>'Výdavky viacročné'!K191</f>
        <v>1006865</v>
      </c>
      <c r="G10" s="336"/>
      <c r="H10" s="362">
        <f>'Výdavky viacročné'!M191</f>
        <v>310560</v>
      </c>
      <c r="I10" s="362">
        <f>'Výdavky viacročné'!N191</f>
        <v>0</v>
      </c>
      <c r="J10" s="362">
        <f>'Výdavky viacročné'!O191</f>
        <v>0</v>
      </c>
      <c r="K10" s="336"/>
      <c r="L10" s="362">
        <f t="shared" si="0"/>
        <v>1265615</v>
      </c>
      <c r="M10" s="362">
        <f t="shared" si="1"/>
        <v>978865</v>
      </c>
      <c r="N10" s="362">
        <f t="shared" si="1"/>
        <v>1006865</v>
      </c>
      <c r="O10" s="603"/>
    </row>
    <row r="11" spans="2:15" ht="15" x14ac:dyDescent="0.25">
      <c r="B11" s="332">
        <v>7</v>
      </c>
      <c r="C11" s="224" t="s">
        <v>811</v>
      </c>
      <c r="D11" s="362">
        <f>'Výdavky viacročné'!I267</f>
        <v>2671049</v>
      </c>
      <c r="E11" s="362">
        <f>'Výdavky viacročné'!J267</f>
        <v>2625620</v>
      </c>
      <c r="F11" s="362">
        <f>'Výdavky viacročné'!K267</f>
        <v>2678120</v>
      </c>
      <c r="G11" s="336"/>
      <c r="H11" s="362">
        <f>'Výdavky viacročné'!M267</f>
        <v>15018400</v>
      </c>
      <c r="I11" s="362">
        <f>'Výdavky viacročné'!N267</f>
        <v>8250000</v>
      </c>
      <c r="J11" s="362">
        <f>'Výdavky viacročné'!O267</f>
        <v>0</v>
      </c>
      <c r="K11" s="336"/>
      <c r="L11" s="362">
        <f t="shared" si="0"/>
        <v>17689449</v>
      </c>
      <c r="M11" s="362">
        <f t="shared" si="1"/>
        <v>10875620</v>
      </c>
      <c r="N11" s="362">
        <f t="shared" si="1"/>
        <v>2678120</v>
      </c>
      <c r="O11" s="603"/>
    </row>
    <row r="12" spans="2:15" ht="15" x14ac:dyDescent="0.25">
      <c r="B12" s="332">
        <v>8</v>
      </c>
      <c r="C12" s="224" t="s">
        <v>32</v>
      </c>
      <c r="D12" s="362">
        <f>'Výdavky viacročné'!I333</f>
        <v>7153756</v>
      </c>
      <c r="E12" s="362">
        <f>'Výdavky viacročné'!J333</f>
        <v>7310940</v>
      </c>
      <c r="F12" s="362">
        <f>'Výdavky viacročné'!K333</f>
        <v>7484940</v>
      </c>
      <c r="G12" s="336"/>
      <c r="H12" s="362">
        <f>'Výdavky viacročné'!M333</f>
        <v>2423347</v>
      </c>
      <c r="I12" s="362">
        <f>'Výdavky viacročné'!N333</f>
        <v>1650000</v>
      </c>
      <c r="J12" s="362">
        <f>'Výdavky viacročné'!O333</f>
        <v>12000000</v>
      </c>
      <c r="K12" s="336"/>
      <c r="L12" s="362">
        <f t="shared" si="0"/>
        <v>9577103</v>
      </c>
      <c r="M12" s="362">
        <f t="shared" si="1"/>
        <v>8960940</v>
      </c>
      <c r="N12" s="362">
        <f t="shared" si="1"/>
        <v>19484940</v>
      </c>
      <c r="O12" s="603"/>
    </row>
    <row r="13" spans="2:15" ht="15" x14ac:dyDescent="0.25">
      <c r="B13" s="332">
        <v>9</v>
      </c>
      <c r="C13" s="224" t="s">
        <v>810</v>
      </c>
      <c r="D13" s="362">
        <f>'Výdavky viacročné'!I433</f>
        <v>34690214</v>
      </c>
      <c r="E13" s="362">
        <f>'Výdavky viacročné'!J433</f>
        <v>35359430</v>
      </c>
      <c r="F13" s="362">
        <f>'Výdavky viacročné'!K433</f>
        <v>35773730</v>
      </c>
      <c r="G13" s="336"/>
      <c r="H13" s="362">
        <f>'Výdavky viacročné'!M433</f>
        <v>2522461</v>
      </c>
      <c r="I13" s="362">
        <f>'Výdavky viacročné'!N433</f>
        <v>0</v>
      </c>
      <c r="J13" s="362">
        <f>'Výdavky viacročné'!O433</f>
        <v>0</v>
      </c>
      <c r="K13" s="336"/>
      <c r="L13" s="362">
        <f t="shared" si="0"/>
        <v>37212675</v>
      </c>
      <c r="M13" s="362">
        <f t="shared" si="1"/>
        <v>35359430</v>
      </c>
      <c r="N13" s="362">
        <f t="shared" si="1"/>
        <v>35773730</v>
      </c>
      <c r="O13" s="603"/>
    </row>
    <row r="14" spans="2:15" ht="15" x14ac:dyDescent="0.25">
      <c r="B14" s="332">
        <v>10</v>
      </c>
      <c r="C14" s="224" t="s">
        <v>809</v>
      </c>
      <c r="D14" s="362">
        <f>'Výdavky viacročné'!I1199</f>
        <v>3091945</v>
      </c>
      <c r="E14" s="362">
        <f>'Výdavky viacročné'!J1199</f>
        <v>3083540</v>
      </c>
      <c r="F14" s="362">
        <f>'Výdavky viacročné'!K1199</f>
        <v>3133540</v>
      </c>
      <c r="G14" s="336"/>
      <c r="H14" s="362">
        <f>'Výdavky viacročné'!M1199</f>
        <v>48452429</v>
      </c>
      <c r="I14" s="362">
        <f>'Výdavky viacročné'!N1199</f>
        <v>22060870</v>
      </c>
      <c r="J14" s="362">
        <f>'Výdavky viacročné'!O1199</f>
        <v>1543478</v>
      </c>
      <c r="K14" s="336"/>
      <c r="L14" s="362">
        <f t="shared" si="0"/>
        <v>51544374</v>
      </c>
      <c r="M14" s="362">
        <f t="shared" si="1"/>
        <v>25144410</v>
      </c>
      <c r="N14" s="362">
        <f t="shared" si="1"/>
        <v>4677018</v>
      </c>
      <c r="O14" s="603"/>
    </row>
    <row r="15" spans="2:15" ht="15" x14ac:dyDescent="0.25">
      <c r="B15" s="332">
        <v>11</v>
      </c>
      <c r="C15" s="224" t="s">
        <v>33</v>
      </c>
      <c r="D15" s="362">
        <f>'Výdavky viacročné'!I1309</f>
        <v>2102150</v>
      </c>
      <c r="E15" s="362">
        <f>'Výdavky viacročné'!J1309</f>
        <v>2697600</v>
      </c>
      <c r="F15" s="362">
        <f>'Výdavky viacročné'!K1309</f>
        <v>3717800</v>
      </c>
      <c r="G15" s="336"/>
      <c r="H15" s="362">
        <f>'Výdavky viacročné'!M1309</f>
        <v>8371139</v>
      </c>
      <c r="I15" s="362">
        <f>'Výdavky viacročné'!N1309</f>
        <v>4347826</v>
      </c>
      <c r="J15" s="362">
        <f>'Výdavky viacročné'!O1309</f>
        <v>1086956</v>
      </c>
      <c r="K15" s="336"/>
      <c r="L15" s="362">
        <f t="shared" si="0"/>
        <v>10473289</v>
      </c>
      <c r="M15" s="362">
        <f t="shared" si="1"/>
        <v>7045426</v>
      </c>
      <c r="N15" s="362">
        <f t="shared" si="1"/>
        <v>4804756</v>
      </c>
      <c r="O15" s="603"/>
    </row>
    <row r="16" spans="2:15" ht="15" x14ac:dyDescent="0.25">
      <c r="B16" s="332">
        <v>12</v>
      </c>
      <c r="C16" s="224" t="s">
        <v>34</v>
      </c>
      <c r="D16" s="362">
        <f>'Výdavky viacročné'!I1376</f>
        <v>5673545</v>
      </c>
      <c r="E16" s="362">
        <f>'Výdavky viacročné'!J1376</f>
        <v>5699085</v>
      </c>
      <c r="F16" s="362">
        <f>'Výdavky viacročné'!K1376</f>
        <v>5911085</v>
      </c>
      <c r="G16" s="336"/>
      <c r="H16" s="362">
        <f>'Výdavky viacročné'!M1376</f>
        <v>817500</v>
      </c>
      <c r="I16" s="362">
        <f>'Výdavky viacročné'!N1376</f>
        <v>0</v>
      </c>
      <c r="J16" s="362">
        <f>'Výdavky viacročné'!O1376</f>
        <v>0</v>
      </c>
      <c r="K16" s="336"/>
      <c r="L16" s="362">
        <f t="shared" si="0"/>
        <v>6491045</v>
      </c>
      <c r="M16" s="362">
        <f t="shared" si="1"/>
        <v>5699085</v>
      </c>
      <c r="N16" s="362">
        <f t="shared" si="1"/>
        <v>5911085</v>
      </c>
      <c r="O16" s="603"/>
    </row>
    <row r="17" spans="2:15" ht="15" x14ac:dyDescent="0.25">
      <c r="B17" s="332">
        <v>13</v>
      </c>
      <c r="C17" s="224" t="s">
        <v>35</v>
      </c>
      <c r="D17" s="362">
        <f>'Výdavky viacročné'!I1468</f>
        <v>5573950</v>
      </c>
      <c r="E17" s="362">
        <f>'Výdavky viacročné'!J1468</f>
        <v>5654205</v>
      </c>
      <c r="F17" s="362">
        <f>'Výdavky viacročné'!K1468</f>
        <v>5732205</v>
      </c>
      <c r="G17" s="336"/>
      <c r="H17" s="362">
        <f>'Výdavky viacročné'!M1468</f>
        <v>1490800</v>
      </c>
      <c r="I17" s="362">
        <f>'Výdavky viacročné'!N1468</f>
        <v>0</v>
      </c>
      <c r="J17" s="362">
        <f>'Výdavky viacročné'!O1468</f>
        <v>0</v>
      </c>
      <c r="K17" s="336"/>
      <c r="L17" s="362">
        <f t="shared" si="0"/>
        <v>7064750</v>
      </c>
      <c r="M17" s="362">
        <f t="shared" si="1"/>
        <v>5654205</v>
      </c>
      <c r="N17" s="362">
        <f t="shared" si="1"/>
        <v>5732205</v>
      </c>
      <c r="O17" s="603"/>
    </row>
    <row r="18" spans="2:15" ht="15" x14ac:dyDescent="0.25">
      <c r="B18" s="332">
        <v>14</v>
      </c>
      <c r="C18" s="224" t="s">
        <v>36</v>
      </c>
      <c r="D18" s="362">
        <f>'Výdavky viacročné'!I1636</f>
        <v>385260</v>
      </c>
      <c r="E18" s="362">
        <f>'Výdavky viacročné'!J1636</f>
        <v>391260</v>
      </c>
      <c r="F18" s="362">
        <f>'Výdavky viacročné'!K1636</f>
        <v>396260</v>
      </c>
      <c r="G18" s="336"/>
      <c r="H18" s="362">
        <f>'Výdavky viacročné'!M1636</f>
        <v>1650</v>
      </c>
      <c r="I18" s="362">
        <f>'Výdavky viacročné'!N1636</f>
        <v>0</v>
      </c>
      <c r="J18" s="362">
        <f>'Výdavky viacročné'!O1636</f>
        <v>0</v>
      </c>
      <c r="K18" s="336"/>
      <c r="L18" s="362">
        <f t="shared" si="0"/>
        <v>386910</v>
      </c>
      <c r="M18" s="362">
        <f t="shared" si="1"/>
        <v>391260</v>
      </c>
      <c r="N18" s="362">
        <f t="shared" si="1"/>
        <v>396260</v>
      </c>
    </row>
    <row r="19" spans="2:15" s="327" customFormat="1" ht="15" x14ac:dyDescent="0.2">
      <c r="B19" s="337">
        <v>15</v>
      </c>
      <c r="C19" s="338" t="s">
        <v>37</v>
      </c>
      <c r="D19" s="384">
        <f>D5-D6</f>
        <v>669224</v>
      </c>
      <c r="E19" s="384">
        <f t="shared" ref="E19:F19" si="4">E5-E6</f>
        <v>1678783.2800000012</v>
      </c>
      <c r="F19" s="384">
        <f t="shared" si="4"/>
        <v>3826925.6568000019</v>
      </c>
      <c r="G19" s="340"/>
      <c r="H19" s="338"/>
      <c r="I19" s="338"/>
      <c r="J19" s="338"/>
      <c r="K19" s="340"/>
      <c r="L19" s="338"/>
      <c r="M19" s="338"/>
      <c r="N19" s="338"/>
    </row>
    <row r="20" spans="2:15" s="327" customFormat="1" ht="15" x14ac:dyDescent="0.2">
      <c r="B20" s="337">
        <v>16</v>
      </c>
      <c r="C20" s="338" t="s">
        <v>1039</v>
      </c>
      <c r="D20" s="338"/>
      <c r="E20" s="338"/>
      <c r="F20" s="338"/>
      <c r="G20" s="340"/>
      <c r="H20" s="384">
        <f>H5-H6</f>
        <v>-27718493</v>
      </c>
      <c r="I20" s="384">
        <f t="shared" ref="I20:J20" si="5">I5-I6</f>
        <v>-10958783</v>
      </c>
      <c r="J20" s="384">
        <f t="shared" si="5"/>
        <v>-1171926</v>
      </c>
      <c r="K20" s="340"/>
      <c r="L20" s="338"/>
      <c r="M20" s="338"/>
      <c r="N20" s="338"/>
    </row>
    <row r="21" spans="2:15" s="327" customFormat="1" ht="15" x14ac:dyDescent="0.2">
      <c r="B21" s="341">
        <v>17</v>
      </c>
      <c r="C21" s="342" t="s">
        <v>1152</v>
      </c>
      <c r="D21" s="342"/>
      <c r="E21" s="342"/>
      <c r="F21" s="342"/>
      <c r="G21" s="343"/>
      <c r="H21" s="342"/>
      <c r="I21" s="342"/>
      <c r="J21" s="342"/>
      <c r="K21" s="343"/>
      <c r="L21" s="385">
        <f>L5-L6</f>
        <v>-27049269</v>
      </c>
      <c r="M21" s="385">
        <f t="shared" ref="M21:N21" si="6">M5-M6</f>
        <v>-9279999.7199999988</v>
      </c>
      <c r="N21" s="385">
        <f t="shared" si="6"/>
        <v>2654999.6568000019</v>
      </c>
    </row>
    <row r="22" spans="2:15" ht="15" customHeight="1" x14ac:dyDescent="0.2"/>
    <row r="23" spans="2:15" ht="15.75" x14ac:dyDescent="0.25">
      <c r="B23" s="749" t="s">
        <v>117</v>
      </c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</row>
    <row r="24" spans="2:15" s="1" customFormat="1" ht="15" x14ac:dyDescent="0.25">
      <c r="B24" s="332">
        <v>1</v>
      </c>
      <c r="C24" s="718" t="s">
        <v>38</v>
      </c>
      <c r="D24" s="719"/>
      <c r="E24" s="719"/>
      <c r="F24" s="719"/>
      <c r="G24" s="719"/>
      <c r="H24" s="719"/>
      <c r="I24" s="641"/>
      <c r="J24" s="641"/>
      <c r="K24" s="345"/>
      <c r="L24" s="386">
        <f>SUM(L25:L29)</f>
        <v>29801969</v>
      </c>
      <c r="M24" s="386">
        <f>SUM(M25:M29)</f>
        <v>12750000</v>
      </c>
      <c r="N24" s="386">
        <f>SUM(N25:N29)</f>
        <v>1000000</v>
      </c>
    </row>
    <row r="25" spans="2:15" x14ac:dyDescent="0.2">
      <c r="B25" s="332">
        <f>B24+1</f>
        <v>2</v>
      </c>
      <c r="C25" s="720" t="s">
        <v>1094</v>
      </c>
      <c r="D25" s="721"/>
      <c r="E25" s="721"/>
      <c r="F25" s="721"/>
      <c r="G25" s="721"/>
      <c r="H25" s="721"/>
      <c r="I25" s="224"/>
      <c r="J25" s="224"/>
      <c r="K25" s="331"/>
      <c r="L25" s="387">
        <f>2925000-116000+15800</f>
        <v>2824800</v>
      </c>
      <c r="M25" s="387">
        <v>500000</v>
      </c>
      <c r="N25" s="387"/>
    </row>
    <row r="26" spans="2:15" x14ac:dyDescent="0.2">
      <c r="B26" s="332">
        <f>B25+1</f>
        <v>3</v>
      </c>
      <c r="C26" s="720" t="s">
        <v>1095</v>
      </c>
      <c r="D26" s="721"/>
      <c r="E26" s="721"/>
      <c r="F26" s="721"/>
      <c r="G26" s="721"/>
      <c r="H26" s="721"/>
      <c r="I26" s="224"/>
      <c r="J26" s="224"/>
      <c r="K26" s="331"/>
      <c r="L26" s="387">
        <v>381000</v>
      </c>
      <c r="M26" s="387"/>
      <c r="N26" s="387"/>
    </row>
    <row r="27" spans="2:15" x14ac:dyDescent="0.2">
      <c r="B27" s="332">
        <f t="shared" ref="B27:B33" si="7">B26+1</f>
        <v>4</v>
      </c>
      <c r="C27" s="720" t="s">
        <v>569</v>
      </c>
      <c r="D27" s="721"/>
      <c r="E27" s="721"/>
      <c r="F27" s="721"/>
      <c r="G27" s="721"/>
      <c r="H27" s="721"/>
      <c r="I27" s="224"/>
      <c r="J27" s="224"/>
      <c r="K27" s="331"/>
      <c r="L27" s="387">
        <v>5000000</v>
      </c>
      <c r="M27" s="387">
        <f>2000000+2000000</f>
        <v>4000000</v>
      </c>
      <c r="N27" s="387">
        <f>1000000</f>
        <v>1000000</v>
      </c>
    </row>
    <row r="28" spans="2:15" x14ac:dyDescent="0.2">
      <c r="B28" s="332">
        <f t="shared" si="7"/>
        <v>5</v>
      </c>
      <c r="C28" s="361" t="s">
        <v>1061</v>
      </c>
      <c r="D28" s="368"/>
      <c r="E28" s="368"/>
      <c r="F28" s="368"/>
      <c r="G28" s="368"/>
      <c r="H28" s="450"/>
      <c r="I28" s="450"/>
      <c r="J28" s="450"/>
      <c r="K28" s="331"/>
      <c r="L28" s="387">
        <f>4222065+1090528+986386+342190+5000</f>
        <v>6646169</v>
      </c>
      <c r="M28" s="387"/>
      <c r="N28" s="387"/>
    </row>
    <row r="29" spans="2:15" x14ac:dyDescent="0.2">
      <c r="B29" s="332">
        <f t="shared" si="7"/>
        <v>6</v>
      </c>
      <c r="C29" s="361" t="s">
        <v>881</v>
      </c>
      <c r="D29" s="368"/>
      <c r="E29" s="368"/>
      <c r="F29" s="368"/>
      <c r="G29" s="368"/>
      <c r="K29" s="331"/>
      <c r="L29" s="387">
        <f>148000+6440000+8362000</f>
        <v>14950000</v>
      </c>
      <c r="M29" s="387">
        <v>8250000</v>
      </c>
      <c r="N29" s="387"/>
    </row>
    <row r="30" spans="2:15" s="1" customFormat="1" ht="15" x14ac:dyDescent="0.25">
      <c r="B30" s="332">
        <f t="shared" si="7"/>
        <v>7</v>
      </c>
      <c r="C30" s="718" t="s">
        <v>562</v>
      </c>
      <c r="D30" s="719"/>
      <c r="E30" s="719"/>
      <c r="F30" s="719"/>
      <c r="G30" s="719"/>
      <c r="H30" s="719"/>
      <c r="I30" s="641"/>
      <c r="J30" s="641"/>
      <c r="K30" s="345"/>
      <c r="L30" s="386">
        <f>L31+L32</f>
        <v>2610000</v>
      </c>
      <c r="M30" s="386">
        <f>M31+M32</f>
        <v>3470000</v>
      </c>
      <c r="N30" s="386">
        <f>N31+N32</f>
        <v>3655000</v>
      </c>
    </row>
    <row r="31" spans="2:15" x14ac:dyDescent="0.2">
      <c r="B31" s="332">
        <f t="shared" si="7"/>
        <v>8</v>
      </c>
      <c r="C31" s="720" t="s">
        <v>570</v>
      </c>
      <c r="D31" s="721"/>
      <c r="E31" s="721"/>
      <c r="F31" s="721"/>
      <c r="G31" s="721"/>
      <c r="H31" s="721"/>
      <c r="I31" s="224"/>
      <c r="J31" s="224"/>
      <c r="K31" s="331"/>
      <c r="L31" s="387">
        <v>2505000</v>
      </c>
      <c r="M31" s="387">
        <v>3365000</v>
      </c>
      <c r="N31" s="387">
        <v>3550000</v>
      </c>
    </row>
    <row r="32" spans="2:15" x14ac:dyDescent="0.2">
      <c r="B32" s="332">
        <f t="shared" si="7"/>
        <v>9</v>
      </c>
      <c r="C32" s="736" t="s">
        <v>572</v>
      </c>
      <c r="D32" s="737"/>
      <c r="E32" s="737"/>
      <c r="F32" s="737"/>
      <c r="G32" s="737"/>
      <c r="H32" s="737"/>
      <c r="I32" s="642"/>
      <c r="J32" s="642"/>
      <c r="K32" s="331"/>
      <c r="L32" s="387">
        <v>105000</v>
      </c>
      <c r="M32" s="387">
        <v>105000</v>
      </c>
      <c r="N32" s="387">
        <v>105000</v>
      </c>
    </row>
    <row r="33" spans="2:14" s="327" customFormat="1" ht="25.5" customHeight="1" x14ac:dyDescent="0.2">
      <c r="B33" s="332">
        <f t="shared" si="7"/>
        <v>10</v>
      </c>
      <c r="C33" s="734" t="s">
        <v>39</v>
      </c>
      <c r="D33" s="735"/>
      <c r="E33" s="735"/>
      <c r="F33" s="735"/>
      <c r="G33" s="735"/>
      <c r="H33" s="735"/>
      <c r="I33" s="640"/>
      <c r="J33" s="640"/>
      <c r="K33" s="348"/>
      <c r="L33" s="363">
        <f>L21+L24-L30</f>
        <v>142700</v>
      </c>
      <c r="M33" s="363">
        <f>M21+M24-M30</f>
        <v>0.2800000011920929</v>
      </c>
      <c r="N33" s="363">
        <f>N21+N24-N30</f>
        <v>-0.34319999814033508</v>
      </c>
    </row>
    <row r="34" spans="2:14" s="438" customFormat="1" x14ac:dyDescent="0.2"/>
    <row r="35" spans="2:14" s="438" customFormat="1" x14ac:dyDescent="0.2"/>
    <row r="36" spans="2:14" s="438" customFormat="1" x14ac:dyDescent="0.2"/>
    <row r="37" spans="2:14" s="438" customFormat="1" x14ac:dyDescent="0.2"/>
    <row r="38" spans="2:14" s="438" customFormat="1" x14ac:dyDescent="0.2"/>
    <row r="39" spans="2:14" s="438" customFormat="1" x14ac:dyDescent="0.2"/>
    <row r="40" spans="2:14" s="438" customFormat="1" x14ac:dyDescent="0.2"/>
    <row r="41" spans="2:14" s="438" customFormat="1" x14ac:dyDescent="0.2"/>
    <row r="42" spans="2:14" s="438" customFormat="1" x14ac:dyDescent="0.2"/>
    <row r="43" spans="2:14" s="438" customFormat="1" x14ac:dyDescent="0.2"/>
    <row r="44" spans="2:14" s="438" customFormat="1" x14ac:dyDescent="0.2"/>
    <row r="45" spans="2:14" s="438" customFormat="1" x14ac:dyDescent="0.2"/>
    <row r="46" spans="2:14" s="438" customFormat="1" x14ac:dyDescent="0.2"/>
    <row r="47" spans="2:14" s="438" customFormat="1" x14ac:dyDescent="0.2"/>
    <row r="48" spans="2:14" s="438" customFormat="1" x14ac:dyDescent="0.2"/>
    <row r="49" s="438" customFormat="1" x14ac:dyDescent="0.2"/>
    <row r="50" s="438" customFormat="1" x14ac:dyDescent="0.2"/>
    <row r="51" s="438" customFormat="1" x14ac:dyDescent="0.2"/>
    <row r="52" s="438" customFormat="1" x14ac:dyDescent="0.2"/>
    <row r="53" s="438" customFormat="1" x14ac:dyDescent="0.2"/>
    <row r="54" s="438" customFormat="1" x14ac:dyDescent="0.2"/>
    <row r="55" s="438" customFormat="1" x14ac:dyDescent="0.2"/>
    <row r="56" s="438" customFormat="1" x14ac:dyDescent="0.2"/>
    <row r="57" s="438" customFormat="1" x14ac:dyDescent="0.2"/>
    <row r="58" s="438" customFormat="1" x14ac:dyDescent="0.2"/>
    <row r="59" s="438" customFormat="1" x14ac:dyDescent="0.2"/>
    <row r="60" s="438" customFormat="1" x14ac:dyDescent="0.2"/>
    <row r="61" s="438" customFormat="1" x14ac:dyDescent="0.2"/>
    <row r="62" s="438" customFormat="1" x14ac:dyDescent="0.2"/>
    <row r="63" s="438" customFormat="1" x14ac:dyDescent="0.2"/>
    <row r="64" s="438" customFormat="1" x14ac:dyDescent="0.2"/>
    <row r="65" s="438" customFormat="1" x14ac:dyDescent="0.2"/>
    <row r="66" s="438" customFormat="1" x14ac:dyDescent="0.2"/>
    <row r="67" s="438" customFormat="1" x14ac:dyDescent="0.2"/>
    <row r="68" s="438" customFormat="1" x14ac:dyDescent="0.2"/>
    <row r="69" s="438" customFormat="1" x14ac:dyDescent="0.2"/>
    <row r="70" s="438" customFormat="1" x14ac:dyDescent="0.2"/>
    <row r="71" s="438" customFormat="1" x14ac:dyDescent="0.2"/>
    <row r="72" s="438" customFormat="1" x14ac:dyDescent="0.2"/>
    <row r="73" s="438" customFormat="1" x14ac:dyDescent="0.2"/>
    <row r="74" s="438" customFormat="1" x14ac:dyDescent="0.2"/>
    <row r="75" s="438" customFormat="1" x14ac:dyDescent="0.2"/>
    <row r="76" s="438" customFormat="1" x14ac:dyDescent="0.2"/>
    <row r="77" s="438" customFormat="1" x14ac:dyDescent="0.2"/>
    <row r="78" s="438" customFormat="1" x14ac:dyDescent="0.2"/>
    <row r="79" s="438" customFormat="1" x14ac:dyDescent="0.2"/>
    <row r="80" s="438" customFormat="1" x14ac:dyDescent="0.2"/>
    <row r="81" s="438" customFormat="1" x14ac:dyDescent="0.2"/>
    <row r="82" s="438" customFormat="1" x14ac:dyDescent="0.2"/>
    <row r="83" s="438" customFormat="1" x14ac:dyDescent="0.2"/>
    <row r="84" s="438" customFormat="1" x14ac:dyDescent="0.2"/>
    <row r="85" s="438" customFormat="1" x14ac:dyDescent="0.2"/>
    <row r="86" s="438" customFormat="1" x14ac:dyDescent="0.2"/>
    <row r="87" s="438" customFormat="1" x14ac:dyDescent="0.2"/>
    <row r="88" s="438" customFormat="1" x14ac:dyDescent="0.2"/>
    <row r="89" s="438" customFormat="1" x14ac:dyDescent="0.2"/>
    <row r="90" s="438" customFormat="1" x14ac:dyDescent="0.2"/>
    <row r="91" s="438" customFormat="1" x14ac:dyDescent="0.2"/>
    <row r="92" s="438" customFormat="1" x14ac:dyDescent="0.2"/>
    <row r="93" s="438" customFormat="1" x14ac:dyDescent="0.2"/>
    <row r="94" s="438" customFormat="1" x14ac:dyDescent="0.2"/>
    <row r="95" s="438" customFormat="1" x14ac:dyDescent="0.2"/>
    <row r="96" s="438" customFormat="1" x14ac:dyDescent="0.2"/>
    <row r="97" s="438" customFormat="1" x14ac:dyDescent="0.2"/>
    <row r="98" s="438" customFormat="1" x14ac:dyDescent="0.2"/>
    <row r="99" s="438" customFormat="1" x14ac:dyDescent="0.2"/>
    <row r="100" s="438" customFormat="1" x14ac:dyDescent="0.2"/>
    <row r="101" s="438" customFormat="1" x14ac:dyDescent="0.2"/>
    <row r="102" s="438" customFormat="1" x14ac:dyDescent="0.2"/>
    <row r="103" s="438" customFormat="1" x14ac:dyDescent="0.2"/>
    <row r="104" s="438" customFormat="1" x14ac:dyDescent="0.2"/>
    <row r="105" s="438" customFormat="1" x14ac:dyDescent="0.2"/>
    <row r="106" s="438" customFormat="1" x14ac:dyDescent="0.2"/>
    <row r="107" s="438" customFormat="1" x14ac:dyDescent="0.2"/>
    <row r="108" s="438" customFormat="1" x14ac:dyDescent="0.2"/>
    <row r="109" s="438" customFormat="1" x14ac:dyDescent="0.2"/>
    <row r="110" s="438" customFormat="1" x14ac:dyDescent="0.2"/>
    <row r="111" s="438" customFormat="1" x14ac:dyDescent="0.2"/>
    <row r="112" s="438" customFormat="1" x14ac:dyDescent="0.2"/>
    <row r="113" s="438" customFormat="1" x14ac:dyDescent="0.2"/>
    <row r="114" s="438" customFormat="1" x14ac:dyDescent="0.2"/>
    <row r="115" s="438" customFormat="1" x14ac:dyDescent="0.2"/>
    <row r="116" s="438" customFormat="1" x14ac:dyDescent="0.2"/>
    <row r="117" s="438" customFormat="1" x14ac:dyDescent="0.2"/>
    <row r="118" s="438" customFormat="1" x14ac:dyDescent="0.2"/>
    <row r="119" s="438" customFormat="1" x14ac:dyDescent="0.2"/>
    <row r="120" s="438" customFormat="1" x14ac:dyDescent="0.2"/>
    <row r="121" s="438" customFormat="1" x14ac:dyDescent="0.2"/>
    <row r="122" s="438" customFormat="1" x14ac:dyDescent="0.2"/>
    <row r="123" s="438" customFormat="1" x14ac:dyDescent="0.2"/>
    <row r="124" s="438" customFormat="1" x14ac:dyDescent="0.2"/>
    <row r="125" s="438" customFormat="1" x14ac:dyDescent="0.2"/>
    <row r="126" s="438" customFormat="1" x14ac:dyDescent="0.2"/>
    <row r="127" s="438" customFormat="1" x14ac:dyDescent="0.2"/>
    <row r="128" s="438" customFormat="1" x14ac:dyDescent="0.2"/>
    <row r="129" s="438" customFormat="1" x14ac:dyDescent="0.2"/>
    <row r="130" s="438" customFormat="1" x14ac:dyDescent="0.2"/>
    <row r="131" s="438" customFormat="1" x14ac:dyDescent="0.2"/>
    <row r="132" s="438" customFormat="1" x14ac:dyDescent="0.2"/>
    <row r="133" s="438" customFormat="1" x14ac:dyDescent="0.2"/>
    <row r="134" s="438" customFormat="1" x14ac:dyDescent="0.2"/>
    <row r="135" s="438" customFormat="1" x14ac:dyDescent="0.2"/>
    <row r="136" s="438" customFormat="1" x14ac:dyDescent="0.2"/>
    <row r="137" s="438" customFormat="1" x14ac:dyDescent="0.2"/>
    <row r="138" s="438" customFormat="1" x14ac:dyDescent="0.2"/>
    <row r="139" s="438" customFormat="1" x14ac:dyDescent="0.2"/>
    <row r="140" s="438" customFormat="1" x14ac:dyDescent="0.2"/>
    <row r="141" s="438" customFormat="1" x14ac:dyDescent="0.2"/>
    <row r="142" s="438" customFormat="1" x14ac:dyDescent="0.2"/>
    <row r="143" s="438" customFormat="1" x14ac:dyDescent="0.2"/>
    <row r="144" s="438" customFormat="1" x14ac:dyDescent="0.2"/>
    <row r="145" s="438" customFormat="1" x14ac:dyDescent="0.2"/>
    <row r="146" s="438" customFormat="1" x14ac:dyDescent="0.2"/>
    <row r="147" s="438" customFormat="1" x14ac:dyDescent="0.2"/>
    <row r="148" s="438" customFormat="1" x14ac:dyDescent="0.2"/>
    <row r="149" s="438" customFormat="1" x14ac:dyDescent="0.2"/>
    <row r="150" s="438" customFormat="1" x14ac:dyDescent="0.2"/>
    <row r="151" s="438" customFormat="1" x14ac:dyDescent="0.2"/>
    <row r="152" s="438" customFormat="1" x14ac:dyDescent="0.2"/>
    <row r="153" s="438" customFormat="1" x14ac:dyDescent="0.2"/>
    <row r="154" s="438" customFormat="1" x14ac:dyDescent="0.2"/>
    <row r="155" s="438" customFormat="1" x14ac:dyDescent="0.2"/>
    <row r="156" s="438" customFormat="1" x14ac:dyDescent="0.2"/>
    <row r="157" s="438" customFormat="1" x14ac:dyDescent="0.2"/>
    <row r="158" s="438" customFormat="1" x14ac:dyDescent="0.2"/>
    <row r="159" s="438" customFormat="1" x14ac:dyDescent="0.2"/>
    <row r="160" s="438" customFormat="1" x14ac:dyDescent="0.2"/>
    <row r="161" s="438" customFormat="1" x14ac:dyDescent="0.2"/>
    <row r="162" s="438" customFormat="1" x14ac:dyDescent="0.2"/>
    <row r="163" s="438" customFormat="1" x14ac:dyDescent="0.2"/>
    <row r="164" s="438" customFormat="1" x14ac:dyDescent="0.2"/>
    <row r="165" s="438" customFormat="1" x14ac:dyDescent="0.2"/>
    <row r="166" s="438" customFormat="1" x14ac:dyDescent="0.2"/>
    <row r="167" s="438" customFormat="1" x14ac:dyDescent="0.2"/>
    <row r="168" s="438" customFormat="1" x14ac:dyDescent="0.2"/>
    <row r="169" s="438" customFormat="1" x14ac:dyDescent="0.2"/>
    <row r="170" s="438" customFormat="1" x14ac:dyDescent="0.2"/>
    <row r="171" s="438" customFormat="1" x14ac:dyDescent="0.2"/>
    <row r="172" s="438" customFormat="1" x14ac:dyDescent="0.2"/>
    <row r="173" s="438" customFormat="1" x14ac:dyDescent="0.2"/>
    <row r="174" s="438" customFormat="1" x14ac:dyDescent="0.2"/>
    <row r="175" s="438" customFormat="1" x14ac:dyDescent="0.2"/>
    <row r="176" s="438" customFormat="1" x14ac:dyDescent="0.2"/>
    <row r="177" s="438" customFormat="1" x14ac:dyDescent="0.2"/>
    <row r="178" s="438" customFormat="1" x14ac:dyDescent="0.2"/>
    <row r="179" s="438" customFormat="1" x14ac:dyDescent="0.2"/>
    <row r="180" s="438" customFormat="1" x14ac:dyDescent="0.2"/>
    <row r="181" s="438" customFormat="1" x14ac:dyDescent="0.2"/>
    <row r="182" s="438" customFormat="1" x14ac:dyDescent="0.2"/>
    <row r="183" s="438" customFormat="1" x14ac:dyDescent="0.2"/>
    <row r="184" s="438" customFormat="1" x14ac:dyDescent="0.2"/>
    <row r="185" s="438" customFormat="1" x14ac:dyDescent="0.2"/>
    <row r="186" s="438" customFormat="1" x14ac:dyDescent="0.2"/>
    <row r="187" s="438" customFormat="1" x14ac:dyDescent="0.2"/>
    <row r="188" s="438" customFormat="1" x14ac:dyDescent="0.2"/>
    <row r="189" s="438" customFormat="1" x14ac:dyDescent="0.2"/>
    <row r="190" s="438" customFormat="1" x14ac:dyDescent="0.2"/>
    <row r="191" s="438" customFormat="1" x14ac:dyDescent="0.2"/>
    <row r="192" s="438" customFormat="1" x14ac:dyDescent="0.2"/>
    <row r="193" s="438" customFormat="1" x14ac:dyDescent="0.2"/>
    <row r="194" s="438" customFormat="1" x14ac:dyDescent="0.2"/>
    <row r="195" s="438" customFormat="1" x14ac:dyDescent="0.2"/>
    <row r="196" s="438" customFormat="1" x14ac:dyDescent="0.2"/>
    <row r="197" s="438" customFormat="1" x14ac:dyDescent="0.2"/>
    <row r="198" s="438" customFormat="1" x14ac:dyDescent="0.2"/>
    <row r="199" s="438" customFormat="1" x14ac:dyDescent="0.2"/>
    <row r="200" s="438" customFormat="1" x14ac:dyDescent="0.2"/>
    <row r="201" s="438" customFormat="1" x14ac:dyDescent="0.2"/>
    <row r="202" s="438" customFormat="1" x14ac:dyDescent="0.2"/>
    <row r="203" s="438" customFormat="1" x14ac:dyDescent="0.2"/>
    <row r="204" s="438" customFormat="1" x14ac:dyDescent="0.2"/>
    <row r="205" s="438" customFormat="1" x14ac:dyDescent="0.2"/>
    <row r="206" s="438" customFormat="1" x14ac:dyDescent="0.2"/>
    <row r="207" s="438" customFormat="1" x14ac:dyDescent="0.2"/>
    <row r="208" s="438" customFormat="1" x14ac:dyDescent="0.2"/>
    <row r="209" s="438" customFormat="1" x14ac:dyDescent="0.2"/>
    <row r="210" s="438" customFormat="1" x14ac:dyDescent="0.2"/>
    <row r="211" s="438" customFormat="1" x14ac:dyDescent="0.2"/>
    <row r="212" s="438" customFormat="1" x14ac:dyDescent="0.2"/>
    <row r="213" s="438" customFormat="1" x14ac:dyDescent="0.2"/>
    <row r="214" s="438" customFormat="1" x14ac:dyDescent="0.2"/>
    <row r="215" s="438" customFormat="1" x14ac:dyDescent="0.2"/>
    <row r="216" s="438" customFormat="1" x14ac:dyDescent="0.2"/>
    <row r="217" s="438" customFormat="1" x14ac:dyDescent="0.2"/>
    <row r="218" s="438" customFormat="1" x14ac:dyDescent="0.2"/>
    <row r="219" s="438" customFormat="1" x14ac:dyDescent="0.2"/>
    <row r="220" s="438" customFormat="1" x14ac:dyDescent="0.2"/>
    <row r="221" s="438" customFormat="1" x14ac:dyDescent="0.2"/>
    <row r="222" s="438" customFormat="1" x14ac:dyDescent="0.2"/>
    <row r="223" s="438" customFormat="1" x14ac:dyDescent="0.2"/>
    <row r="224" s="438" customFormat="1" x14ac:dyDescent="0.2"/>
    <row r="225" s="438" customFormat="1" x14ac:dyDescent="0.2"/>
    <row r="226" s="438" customFormat="1" x14ac:dyDescent="0.2"/>
    <row r="227" s="438" customFormat="1" x14ac:dyDescent="0.2"/>
    <row r="228" s="438" customFormat="1" x14ac:dyDescent="0.2"/>
    <row r="229" s="438" customFormat="1" x14ac:dyDescent="0.2"/>
    <row r="230" s="438" customFormat="1" x14ac:dyDescent="0.2"/>
    <row r="231" s="438" customFormat="1" x14ac:dyDescent="0.2"/>
    <row r="232" s="438" customFormat="1" x14ac:dyDescent="0.2"/>
    <row r="233" s="438" customFormat="1" x14ac:dyDescent="0.2"/>
    <row r="234" s="438" customFormat="1" x14ac:dyDescent="0.2"/>
    <row r="235" s="438" customFormat="1" x14ac:dyDescent="0.2"/>
    <row r="236" s="438" customFormat="1" x14ac:dyDescent="0.2"/>
    <row r="237" s="438" customFormat="1" x14ac:dyDescent="0.2"/>
    <row r="238" s="438" customFormat="1" x14ac:dyDescent="0.2"/>
    <row r="239" s="438" customFormat="1" x14ac:dyDescent="0.2"/>
    <row r="240" s="438" customFormat="1" x14ac:dyDescent="0.2"/>
    <row r="241" s="438" customFormat="1" x14ac:dyDescent="0.2"/>
    <row r="242" s="438" customFormat="1" x14ac:dyDescent="0.2"/>
    <row r="243" s="438" customFormat="1" x14ac:dyDescent="0.2"/>
    <row r="244" s="438" customFormat="1" x14ac:dyDescent="0.2"/>
    <row r="245" s="438" customFormat="1" x14ac:dyDescent="0.2"/>
    <row r="246" s="438" customFormat="1" x14ac:dyDescent="0.2"/>
    <row r="247" s="438" customFormat="1" x14ac:dyDescent="0.2"/>
    <row r="248" s="438" customFormat="1" x14ac:dyDescent="0.2"/>
    <row r="249" s="438" customFormat="1" x14ac:dyDescent="0.2"/>
    <row r="250" s="438" customFormat="1" x14ac:dyDescent="0.2"/>
    <row r="251" s="438" customFormat="1" x14ac:dyDescent="0.2"/>
    <row r="252" s="438" customFormat="1" x14ac:dyDescent="0.2"/>
    <row r="253" s="438" customFormat="1" x14ac:dyDescent="0.2"/>
    <row r="254" s="438" customFormat="1" x14ac:dyDescent="0.2"/>
    <row r="255" s="438" customFormat="1" x14ac:dyDescent="0.2"/>
    <row r="256" s="438" customFormat="1" x14ac:dyDescent="0.2"/>
    <row r="257" s="438" customFormat="1" x14ac:dyDescent="0.2"/>
    <row r="258" s="438" customFormat="1" x14ac:dyDescent="0.2"/>
    <row r="259" s="438" customFormat="1" x14ac:dyDescent="0.2"/>
    <row r="260" s="438" customFormat="1" x14ac:dyDescent="0.2"/>
    <row r="261" s="438" customFormat="1" x14ac:dyDescent="0.2"/>
    <row r="262" s="438" customFormat="1" x14ac:dyDescent="0.2"/>
    <row r="263" s="438" customFormat="1" x14ac:dyDescent="0.2"/>
    <row r="264" s="438" customFormat="1" x14ac:dyDescent="0.2"/>
    <row r="265" s="438" customFormat="1" x14ac:dyDescent="0.2"/>
    <row r="266" s="438" customFormat="1" x14ac:dyDescent="0.2"/>
    <row r="267" s="438" customFormat="1" x14ac:dyDescent="0.2"/>
    <row r="268" s="438" customFormat="1" x14ac:dyDescent="0.2"/>
    <row r="269" s="438" customFormat="1" x14ac:dyDescent="0.2"/>
    <row r="270" s="438" customFormat="1" x14ac:dyDescent="0.2"/>
    <row r="271" s="438" customFormat="1" x14ac:dyDescent="0.2"/>
    <row r="272" s="438" customFormat="1" x14ac:dyDescent="0.2"/>
    <row r="273" s="438" customFormat="1" x14ac:dyDescent="0.2"/>
    <row r="274" s="438" customFormat="1" x14ac:dyDescent="0.2"/>
    <row r="275" s="438" customFormat="1" x14ac:dyDescent="0.2"/>
    <row r="276" s="438" customFormat="1" x14ac:dyDescent="0.2"/>
    <row r="277" s="438" customFormat="1" x14ac:dyDescent="0.2"/>
    <row r="278" s="438" customFormat="1" x14ac:dyDescent="0.2"/>
    <row r="279" s="438" customFormat="1" x14ac:dyDescent="0.2"/>
    <row r="280" s="438" customFormat="1" x14ac:dyDescent="0.2"/>
    <row r="281" s="438" customFormat="1" x14ac:dyDescent="0.2"/>
    <row r="282" s="438" customFormat="1" x14ac:dyDescent="0.2"/>
    <row r="283" s="438" customFormat="1" x14ac:dyDescent="0.2"/>
    <row r="284" s="438" customFormat="1" x14ac:dyDescent="0.2"/>
    <row r="285" s="438" customFormat="1" x14ac:dyDescent="0.2"/>
    <row r="286" s="438" customFormat="1" x14ac:dyDescent="0.2"/>
    <row r="287" s="438" customFormat="1" x14ac:dyDescent="0.2"/>
    <row r="288" s="438" customFormat="1" x14ac:dyDescent="0.2"/>
    <row r="289" s="438" customFormat="1" x14ac:dyDescent="0.2"/>
    <row r="290" s="438" customFormat="1" x14ac:dyDescent="0.2"/>
    <row r="291" s="438" customFormat="1" x14ac:dyDescent="0.2"/>
    <row r="292" s="438" customFormat="1" x14ac:dyDescent="0.2"/>
    <row r="293" s="438" customFormat="1" x14ac:dyDescent="0.2"/>
    <row r="294" s="438" customFormat="1" x14ac:dyDescent="0.2"/>
    <row r="295" s="438" customFormat="1" x14ac:dyDescent="0.2"/>
    <row r="296" s="438" customFormat="1" x14ac:dyDescent="0.2"/>
    <row r="297" s="438" customFormat="1" x14ac:dyDescent="0.2"/>
    <row r="298" s="438" customFormat="1" x14ac:dyDescent="0.2"/>
    <row r="299" s="438" customFormat="1" x14ac:dyDescent="0.2"/>
    <row r="300" s="438" customFormat="1" x14ac:dyDescent="0.2"/>
    <row r="301" s="438" customFormat="1" x14ac:dyDescent="0.2"/>
    <row r="302" s="438" customFormat="1" x14ac:dyDescent="0.2"/>
    <row r="303" s="438" customFormat="1" x14ac:dyDescent="0.2"/>
    <row r="304" s="438" customFormat="1" x14ac:dyDescent="0.2"/>
    <row r="305" s="438" customFormat="1" x14ac:dyDescent="0.2"/>
    <row r="306" s="438" customFormat="1" x14ac:dyDescent="0.2"/>
    <row r="307" s="438" customFormat="1" x14ac:dyDescent="0.2"/>
    <row r="308" s="438" customFormat="1" x14ac:dyDescent="0.2"/>
    <row r="309" s="438" customFormat="1" x14ac:dyDescent="0.2"/>
    <row r="310" s="438" customFormat="1" x14ac:dyDescent="0.2"/>
    <row r="311" s="438" customFormat="1" x14ac:dyDescent="0.2"/>
    <row r="312" s="438" customFormat="1" x14ac:dyDescent="0.2"/>
    <row r="313" s="438" customFormat="1" x14ac:dyDescent="0.2"/>
    <row r="314" s="438" customFormat="1" x14ac:dyDescent="0.2"/>
    <row r="315" s="438" customFormat="1" x14ac:dyDescent="0.2"/>
    <row r="316" s="438" customFormat="1" x14ac:dyDescent="0.2"/>
    <row r="317" s="438" customFormat="1" x14ac:dyDescent="0.2"/>
    <row r="318" s="438" customFormat="1" x14ac:dyDescent="0.2"/>
    <row r="319" s="438" customFormat="1" x14ac:dyDescent="0.2"/>
    <row r="320" s="438" customFormat="1" x14ac:dyDescent="0.2"/>
    <row r="321" s="438" customFormat="1" x14ac:dyDescent="0.2"/>
    <row r="322" s="438" customFormat="1" x14ac:dyDescent="0.2"/>
    <row r="323" s="438" customFormat="1" x14ac:dyDescent="0.2"/>
    <row r="324" s="438" customFormat="1" x14ac:dyDescent="0.2"/>
    <row r="325" s="438" customFormat="1" x14ac:dyDescent="0.2"/>
    <row r="326" s="438" customFormat="1" x14ac:dyDescent="0.2"/>
    <row r="327" s="438" customFormat="1" x14ac:dyDescent="0.2"/>
    <row r="328" s="438" customFormat="1" x14ac:dyDescent="0.2"/>
    <row r="329" s="438" customFormat="1" x14ac:dyDescent="0.2"/>
    <row r="330" s="438" customFormat="1" x14ac:dyDescent="0.2"/>
    <row r="331" s="438" customFormat="1" x14ac:dyDescent="0.2"/>
    <row r="332" s="438" customFormat="1" x14ac:dyDescent="0.2"/>
    <row r="333" s="438" customFormat="1" x14ac:dyDescent="0.2"/>
    <row r="334" s="438" customFormat="1" x14ac:dyDescent="0.2"/>
    <row r="335" s="438" customFormat="1" x14ac:dyDescent="0.2"/>
    <row r="336" s="438" customFormat="1" x14ac:dyDescent="0.2"/>
    <row r="337" s="438" customFormat="1" x14ac:dyDescent="0.2"/>
    <row r="338" s="438" customFormat="1" x14ac:dyDescent="0.2"/>
    <row r="339" s="438" customFormat="1" x14ac:dyDescent="0.2"/>
    <row r="340" s="438" customFormat="1" x14ac:dyDescent="0.2"/>
    <row r="341" s="438" customFormat="1" x14ac:dyDescent="0.2"/>
    <row r="342" s="438" customFormat="1" x14ac:dyDescent="0.2"/>
    <row r="343" s="438" customFormat="1" x14ac:dyDescent="0.2"/>
    <row r="344" s="438" customFormat="1" x14ac:dyDescent="0.2"/>
    <row r="345" s="438" customFormat="1" x14ac:dyDescent="0.2"/>
    <row r="346" s="438" customFormat="1" x14ac:dyDescent="0.2"/>
    <row r="347" s="438" customFormat="1" x14ac:dyDescent="0.2"/>
    <row r="348" s="438" customFormat="1" x14ac:dyDescent="0.2"/>
    <row r="349" s="438" customFormat="1" x14ac:dyDescent="0.2"/>
    <row r="350" s="438" customFormat="1" x14ac:dyDescent="0.2"/>
    <row r="351" s="438" customFormat="1" x14ac:dyDescent="0.2"/>
    <row r="352" s="438" customFormat="1" x14ac:dyDescent="0.2"/>
    <row r="353" s="438" customFormat="1" x14ac:dyDescent="0.2"/>
    <row r="354" s="438" customFormat="1" x14ac:dyDescent="0.2"/>
    <row r="355" s="438" customFormat="1" x14ac:dyDescent="0.2"/>
    <row r="356" s="438" customFormat="1" x14ac:dyDescent="0.2"/>
    <row r="357" s="438" customFormat="1" x14ac:dyDescent="0.2"/>
    <row r="358" s="438" customFormat="1" x14ac:dyDescent="0.2"/>
    <row r="359" s="438" customFormat="1" x14ac:dyDescent="0.2"/>
    <row r="360" s="438" customFormat="1" x14ac:dyDescent="0.2"/>
    <row r="361" s="438" customFormat="1" x14ac:dyDescent="0.2"/>
    <row r="362" s="438" customFormat="1" x14ac:dyDescent="0.2"/>
    <row r="363" s="438" customFormat="1" x14ac:dyDescent="0.2"/>
    <row r="364" s="438" customFormat="1" x14ac:dyDescent="0.2"/>
    <row r="365" s="438" customFormat="1" x14ac:dyDescent="0.2"/>
    <row r="366" s="438" customFormat="1" x14ac:dyDescent="0.2"/>
    <row r="367" s="438" customFormat="1" x14ac:dyDescent="0.2"/>
    <row r="368" s="438" customFormat="1" x14ac:dyDescent="0.2"/>
    <row r="369" s="438" customFormat="1" x14ac:dyDescent="0.2"/>
    <row r="370" s="438" customFormat="1" x14ac:dyDescent="0.2"/>
    <row r="371" s="438" customFormat="1" x14ac:dyDescent="0.2"/>
    <row r="372" s="438" customFormat="1" x14ac:dyDescent="0.2"/>
    <row r="373" s="438" customFormat="1" x14ac:dyDescent="0.2"/>
    <row r="374" s="438" customFormat="1" x14ac:dyDescent="0.2"/>
    <row r="375" s="438" customFormat="1" x14ac:dyDescent="0.2"/>
    <row r="376" s="438" customFormat="1" x14ac:dyDescent="0.2"/>
    <row r="377" s="438" customFormat="1" x14ac:dyDescent="0.2"/>
    <row r="378" s="438" customFormat="1" x14ac:dyDescent="0.2"/>
    <row r="379" s="438" customFormat="1" x14ac:dyDescent="0.2"/>
    <row r="380" s="438" customFormat="1" x14ac:dyDescent="0.2"/>
    <row r="381" s="438" customFormat="1" x14ac:dyDescent="0.2"/>
    <row r="382" s="438" customFormat="1" x14ac:dyDescent="0.2"/>
    <row r="383" s="438" customFormat="1" x14ac:dyDescent="0.2"/>
    <row r="384" s="438" customFormat="1" x14ac:dyDescent="0.2"/>
    <row r="385" s="438" customFormat="1" x14ac:dyDescent="0.2"/>
    <row r="386" s="438" customFormat="1" x14ac:dyDescent="0.2"/>
    <row r="387" s="438" customFormat="1" x14ac:dyDescent="0.2"/>
    <row r="388" s="438" customFormat="1" x14ac:dyDescent="0.2"/>
    <row r="389" s="438" customFormat="1" x14ac:dyDescent="0.2"/>
    <row r="390" s="438" customFormat="1" x14ac:dyDescent="0.2"/>
    <row r="391" s="438" customFormat="1" x14ac:dyDescent="0.2"/>
    <row r="392" s="438" customFormat="1" x14ac:dyDescent="0.2"/>
    <row r="393" s="438" customFormat="1" x14ac:dyDescent="0.2"/>
    <row r="394" s="438" customFormat="1" x14ac:dyDescent="0.2"/>
    <row r="395" s="438" customFormat="1" x14ac:dyDescent="0.2"/>
    <row r="396" s="438" customFormat="1" x14ac:dyDescent="0.2"/>
    <row r="397" s="438" customFormat="1" x14ac:dyDescent="0.2"/>
    <row r="398" s="438" customFormat="1" x14ac:dyDescent="0.2"/>
    <row r="399" s="438" customFormat="1" x14ac:dyDescent="0.2"/>
    <row r="400" s="438" customFormat="1" x14ac:dyDescent="0.2"/>
    <row r="401" s="438" customFormat="1" x14ac:dyDescent="0.2"/>
    <row r="402" s="438" customFormat="1" x14ac:dyDescent="0.2"/>
    <row r="403" s="438" customFormat="1" x14ac:dyDescent="0.2"/>
    <row r="404" s="438" customFormat="1" x14ac:dyDescent="0.2"/>
    <row r="405" s="438" customFormat="1" x14ac:dyDescent="0.2"/>
    <row r="406" s="438" customFormat="1" x14ac:dyDescent="0.2"/>
    <row r="407" s="438" customFormat="1" x14ac:dyDescent="0.2"/>
    <row r="408" s="438" customFormat="1" x14ac:dyDescent="0.2"/>
    <row r="409" s="438" customFormat="1" x14ac:dyDescent="0.2"/>
    <row r="410" s="438" customFormat="1" x14ac:dyDescent="0.2"/>
    <row r="411" s="438" customFormat="1" x14ac:dyDescent="0.2"/>
    <row r="412" s="438" customFormat="1" x14ac:dyDescent="0.2"/>
    <row r="413" s="438" customFormat="1" x14ac:dyDescent="0.2"/>
    <row r="414" s="438" customFormat="1" x14ac:dyDescent="0.2"/>
    <row r="415" s="438" customFormat="1" x14ac:dyDescent="0.2"/>
    <row r="416" s="438" customFormat="1" x14ac:dyDescent="0.2"/>
    <row r="417" s="438" customFormat="1" x14ac:dyDescent="0.2"/>
    <row r="418" s="438" customFormat="1" x14ac:dyDescent="0.2"/>
    <row r="419" s="438" customFormat="1" x14ac:dyDescent="0.2"/>
    <row r="420" s="438" customFormat="1" x14ac:dyDescent="0.2"/>
    <row r="421" s="438" customFormat="1" x14ac:dyDescent="0.2"/>
    <row r="422" s="438" customFormat="1" x14ac:dyDescent="0.2"/>
    <row r="423" s="438" customFormat="1" x14ac:dyDescent="0.2"/>
    <row r="424" s="438" customFormat="1" x14ac:dyDescent="0.2"/>
    <row r="425" s="438" customFormat="1" x14ac:dyDescent="0.2"/>
    <row r="426" s="438" customFormat="1" x14ac:dyDescent="0.2"/>
    <row r="427" s="438" customFormat="1" x14ac:dyDescent="0.2"/>
    <row r="428" s="438" customFormat="1" x14ac:dyDescent="0.2"/>
    <row r="429" s="438" customFormat="1" x14ac:dyDescent="0.2"/>
    <row r="430" s="438" customFormat="1" x14ac:dyDescent="0.2"/>
    <row r="431" s="438" customFormat="1" x14ac:dyDescent="0.2"/>
    <row r="432" s="438" customFormat="1" x14ac:dyDescent="0.2"/>
    <row r="433" s="438" customFormat="1" x14ac:dyDescent="0.2"/>
    <row r="434" s="438" customFormat="1" x14ac:dyDescent="0.2"/>
    <row r="435" s="438" customFormat="1" x14ac:dyDescent="0.2"/>
    <row r="436" s="438" customFormat="1" x14ac:dyDescent="0.2"/>
    <row r="437" s="438" customFormat="1" x14ac:dyDescent="0.2"/>
    <row r="438" s="438" customFormat="1" x14ac:dyDescent="0.2"/>
    <row r="439" s="438" customFormat="1" x14ac:dyDescent="0.2"/>
    <row r="440" s="438" customFormat="1" x14ac:dyDescent="0.2"/>
    <row r="441" s="438" customFormat="1" x14ac:dyDescent="0.2"/>
    <row r="442" s="438" customFormat="1" x14ac:dyDescent="0.2"/>
    <row r="443" s="438" customFormat="1" x14ac:dyDescent="0.2"/>
    <row r="444" s="438" customFormat="1" x14ac:dyDescent="0.2"/>
    <row r="445" s="438" customFormat="1" x14ac:dyDescent="0.2"/>
    <row r="446" s="438" customFormat="1" x14ac:dyDescent="0.2"/>
    <row r="447" s="438" customFormat="1" x14ac:dyDescent="0.2"/>
    <row r="448" s="438" customFormat="1" x14ac:dyDescent="0.2"/>
    <row r="449" s="438" customFormat="1" x14ac:dyDescent="0.2"/>
    <row r="450" s="438" customFormat="1" x14ac:dyDescent="0.2"/>
    <row r="451" s="438" customFormat="1" x14ac:dyDescent="0.2"/>
    <row r="452" s="438" customFormat="1" x14ac:dyDescent="0.2"/>
    <row r="453" s="438" customFormat="1" x14ac:dyDescent="0.2"/>
    <row r="454" s="438" customFormat="1" x14ac:dyDescent="0.2"/>
    <row r="455" s="438" customFormat="1" x14ac:dyDescent="0.2"/>
    <row r="456" s="438" customFormat="1" x14ac:dyDescent="0.2"/>
    <row r="457" s="438" customFormat="1" x14ac:dyDescent="0.2"/>
    <row r="458" s="438" customFormat="1" x14ac:dyDescent="0.2"/>
    <row r="459" s="438" customFormat="1" x14ac:dyDescent="0.2"/>
    <row r="460" s="438" customFormat="1" x14ac:dyDescent="0.2"/>
    <row r="461" s="438" customFormat="1" x14ac:dyDescent="0.2"/>
    <row r="462" s="438" customFormat="1" x14ac:dyDescent="0.2"/>
    <row r="463" s="438" customFormat="1" x14ac:dyDescent="0.2"/>
    <row r="464" s="438" customFormat="1" x14ac:dyDescent="0.2"/>
    <row r="465" s="438" customFormat="1" x14ac:dyDescent="0.2"/>
    <row r="466" s="438" customFormat="1" x14ac:dyDescent="0.2"/>
    <row r="467" s="438" customFormat="1" x14ac:dyDescent="0.2"/>
    <row r="468" s="438" customFormat="1" x14ac:dyDescent="0.2"/>
    <row r="469" s="438" customFormat="1" x14ac:dyDescent="0.2"/>
    <row r="470" s="438" customFormat="1" x14ac:dyDescent="0.2"/>
    <row r="471" s="438" customFormat="1" x14ac:dyDescent="0.2"/>
    <row r="472" s="438" customFormat="1" x14ac:dyDescent="0.2"/>
    <row r="473" s="438" customFormat="1" x14ac:dyDescent="0.2"/>
    <row r="474" s="438" customFormat="1" x14ac:dyDescent="0.2"/>
    <row r="475" s="438" customFormat="1" x14ac:dyDescent="0.2"/>
    <row r="476" s="438" customFormat="1" x14ac:dyDescent="0.2"/>
    <row r="477" s="438" customFormat="1" x14ac:dyDescent="0.2"/>
    <row r="478" s="438" customFormat="1" x14ac:dyDescent="0.2"/>
    <row r="479" s="438" customFormat="1" x14ac:dyDescent="0.2"/>
    <row r="480" s="438" customFormat="1" x14ac:dyDescent="0.2"/>
    <row r="481" s="438" customFormat="1" x14ac:dyDescent="0.2"/>
    <row r="482" s="438" customFormat="1" x14ac:dyDescent="0.2"/>
    <row r="483" s="438" customFormat="1" x14ac:dyDescent="0.2"/>
    <row r="484" s="438" customFormat="1" x14ac:dyDescent="0.2"/>
    <row r="485" s="438" customFormat="1" x14ac:dyDescent="0.2"/>
    <row r="486" s="438" customFormat="1" x14ac:dyDescent="0.2"/>
    <row r="487" s="438" customFormat="1" x14ac:dyDescent="0.2"/>
    <row r="488" s="438" customFormat="1" x14ac:dyDescent="0.2"/>
    <row r="489" s="438" customFormat="1" x14ac:dyDescent="0.2"/>
    <row r="490" s="438" customFormat="1" x14ac:dyDescent="0.2"/>
    <row r="491" s="438" customFormat="1" x14ac:dyDescent="0.2"/>
    <row r="492" s="438" customFormat="1" x14ac:dyDescent="0.2"/>
    <row r="493" s="438" customFormat="1" x14ac:dyDescent="0.2"/>
    <row r="494" s="438" customFormat="1" x14ac:dyDescent="0.2"/>
    <row r="495" s="438" customFormat="1" x14ac:dyDescent="0.2"/>
    <row r="496" s="438" customFormat="1" x14ac:dyDescent="0.2"/>
    <row r="497" s="438" customFormat="1" x14ac:dyDescent="0.2"/>
    <row r="498" s="438" customFormat="1" x14ac:dyDescent="0.2"/>
    <row r="499" s="438" customFormat="1" x14ac:dyDescent="0.2"/>
    <row r="500" s="438" customFormat="1" x14ac:dyDescent="0.2"/>
    <row r="501" s="438" customFormat="1" x14ac:dyDescent="0.2"/>
    <row r="502" s="438" customFormat="1" x14ac:dyDescent="0.2"/>
    <row r="503" s="438" customFormat="1" x14ac:dyDescent="0.2"/>
    <row r="504" s="438" customFormat="1" x14ac:dyDescent="0.2"/>
    <row r="505" s="438" customFormat="1" x14ac:dyDescent="0.2"/>
    <row r="506" s="438" customFormat="1" x14ac:dyDescent="0.2"/>
    <row r="507" s="438" customFormat="1" x14ac:dyDescent="0.2"/>
    <row r="508" s="438" customFormat="1" x14ac:dyDescent="0.2"/>
    <row r="509" s="438" customFormat="1" x14ac:dyDescent="0.2"/>
    <row r="510" s="438" customFormat="1" x14ac:dyDescent="0.2"/>
    <row r="511" s="438" customFormat="1" x14ac:dyDescent="0.2"/>
    <row r="512" s="438" customFormat="1" x14ac:dyDescent="0.2"/>
    <row r="513" s="438" customFormat="1" x14ac:dyDescent="0.2"/>
    <row r="514" s="438" customFormat="1" x14ac:dyDescent="0.2"/>
    <row r="515" s="438" customFormat="1" x14ac:dyDescent="0.2"/>
    <row r="516" s="438" customFormat="1" x14ac:dyDescent="0.2"/>
    <row r="517" s="438" customFormat="1" x14ac:dyDescent="0.2"/>
    <row r="518" s="438" customFormat="1" x14ac:dyDescent="0.2"/>
    <row r="519" s="438" customFormat="1" x14ac:dyDescent="0.2"/>
    <row r="520" s="438" customFormat="1" x14ac:dyDescent="0.2"/>
    <row r="521" s="438" customFormat="1" x14ac:dyDescent="0.2"/>
    <row r="522" s="438" customFormat="1" x14ac:dyDescent="0.2"/>
    <row r="523" s="438" customFormat="1" x14ac:dyDescent="0.2"/>
    <row r="524" s="438" customFormat="1" x14ac:dyDescent="0.2"/>
    <row r="525" s="438" customFormat="1" x14ac:dyDescent="0.2"/>
    <row r="526" s="438" customFormat="1" x14ac:dyDescent="0.2"/>
    <row r="527" s="438" customFormat="1" x14ac:dyDescent="0.2"/>
    <row r="528" s="438" customFormat="1" x14ac:dyDescent="0.2"/>
    <row r="529" s="438" customFormat="1" x14ac:dyDescent="0.2"/>
    <row r="530" s="438" customFormat="1" x14ac:dyDescent="0.2"/>
    <row r="531" s="438" customFormat="1" x14ac:dyDescent="0.2"/>
    <row r="532" s="438" customFormat="1" x14ac:dyDescent="0.2"/>
    <row r="533" s="438" customFormat="1" x14ac:dyDescent="0.2"/>
    <row r="534" s="438" customFormat="1" x14ac:dyDescent="0.2"/>
    <row r="535" s="438" customFormat="1" x14ac:dyDescent="0.2"/>
    <row r="536" s="438" customFormat="1" x14ac:dyDescent="0.2"/>
    <row r="537" s="438" customFormat="1" x14ac:dyDescent="0.2"/>
    <row r="538" s="438" customFormat="1" x14ac:dyDescent="0.2"/>
    <row r="539" s="438" customFormat="1" x14ac:dyDescent="0.2"/>
    <row r="540" s="438" customFormat="1" x14ac:dyDescent="0.2"/>
    <row r="541" s="438" customFormat="1" x14ac:dyDescent="0.2"/>
    <row r="542" s="438" customFormat="1" x14ac:dyDescent="0.2"/>
    <row r="543" s="438" customFormat="1" x14ac:dyDescent="0.2"/>
    <row r="544" s="438" customFormat="1" x14ac:dyDescent="0.2"/>
    <row r="545" s="438" customFormat="1" x14ac:dyDescent="0.2"/>
    <row r="546" s="438" customFormat="1" x14ac:dyDescent="0.2"/>
    <row r="547" s="438" customFormat="1" x14ac:dyDescent="0.2"/>
    <row r="548" s="438" customFormat="1" x14ac:dyDescent="0.2"/>
    <row r="549" s="438" customFormat="1" x14ac:dyDescent="0.2"/>
    <row r="550" s="438" customFormat="1" x14ac:dyDescent="0.2"/>
    <row r="551" s="438" customFormat="1" x14ac:dyDescent="0.2"/>
    <row r="552" s="438" customFormat="1" x14ac:dyDescent="0.2"/>
    <row r="553" s="438" customFormat="1" x14ac:dyDescent="0.2"/>
    <row r="554" s="438" customFormat="1" x14ac:dyDescent="0.2"/>
    <row r="555" s="438" customFormat="1" x14ac:dyDescent="0.2"/>
    <row r="556" s="438" customFormat="1" x14ac:dyDescent="0.2"/>
    <row r="557" s="438" customFormat="1" x14ac:dyDescent="0.2"/>
    <row r="558" s="438" customFormat="1" x14ac:dyDescent="0.2"/>
    <row r="559" s="438" customFormat="1" x14ac:dyDescent="0.2"/>
    <row r="560" s="438" customFormat="1" x14ac:dyDescent="0.2"/>
    <row r="561" s="438" customFormat="1" x14ac:dyDescent="0.2"/>
    <row r="562" s="438" customFormat="1" x14ac:dyDescent="0.2"/>
    <row r="563" s="438" customFormat="1" x14ac:dyDescent="0.2"/>
    <row r="564" s="438" customFormat="1" x14ac:dyDescent="0.2"/>
    <row r="565" s="438" customFormat="1" x14ac:dyDescent="0.2"/>
    <row r="566" s="438" customFormat="1" x14ac:dyDescent="0.2"/>
    <row r="567" s="438" customFormat="1" x14ac:dyDescent="0.2"/>
    <row r="568" s="438" customFormat="1" x14ac:dyDescent="0.2"/>
    <row r="569" s="438" customFormat="1" x14ac:dyDescent="0.2"/>
    <row r="570" s="438" customFormat="1" x14ac:dyDescent="0.2"/>
    <row r="571" s="438" customFormat="1" x14ac:dyDescent="0.2"/>
    <row r="572" s="438" customFormat="1" x14ac:dyDescent="0.2"/>
    <row r="573" s="438" customFormat="1" x14ac:dyDescent="0.2"/>
    <row r="574" s="438" customFormat="1" x14ac:dyDescent="0.2"/>
    <row r="575" s="438" customFormat="1" x14ac:dyDescent="0.2"/>
    <row r="576" s="438" customFormat="1" x14ac:dyDescent="0.2"/>
    <row r="577" s="438" customFormat="1" x14ac:dyDescent="0.2"/>
    <row r="578" s="438" customFormat="1" x14ac:dyDescent="0.2"/>
    <row r="579" s="438" customFormat="1" x14ac:dyDescent="0.2"/>
    <row r="580" s="438" customFormat="1" x14ac:dyDescent="0.2"/>
    <row r="581" s="438" customFormat="1" x14ac:dyDescent="0.2"/>
    <row r="582" s="438" customFormat="1" x14ac:dyDescent="0.2"/>
    <row r="583" s="438" customFormat="1" x14ac:dyDescent="0.2"/>
    <row r="584" s="438" customFormat="1" x14ac:dyDescent="0.2"/>
    <row r="585" s="438" customFormat="1" x14ac:dyDescent="0.2"/>
    <row r="586" s="438" customFormat="1" x14ac:dyDescent="0.2"/>
    <row r="587" s="438" customFormat="1" x14ac:dyDescent="0.2"/>
    <row r="588" s="438" customFormat="1" x14ac:dyDescent="0.2"/>
    <row r="589" s="438" customFormat="1" x14ac:dyDescent="0.2"/>
    <row r="590" s="438" customFormat="1" x14ac:dyDescent="0.2"/>
    <row r="591" s="438" customFormat="1" x14ac:dyDescent="0.2"/>
    <row r="592" s="438" customFormat="1" x14ac:dyDescent="0.2"/>
    <row r="593" s="438" customFormat="1" x14ac:dyDescent="0.2"/>
    <row r="594" s="438" customFormat="1" x14ac:dyDescent="0.2"/>
    <row r="595" s="438" customFormat="1" x14ac:dyDescent="0.2"/>
    <row r="596" s="438" customFormat="1" x14ac:dyDescent="0.2"/>
    <row r="597" s="438" customFormat="1" x14ac:dyDescent="0.2"/>
    <row r="598" s="438" customFormat="1" x14ac:dyDescent="0.2"/>
    <row r="599" s="438" customFormat="1" x14ac:dyDescent="0.2"/>
    <row r="600" s="438" customFormat="1" x14ac:dyDescent="0.2"/>
    <row r="601" s="438" customFormat="1" x14ac:dyDescent="0.2"/>
    <row r="602" s="438" customFormat="1" x14ac:dyDescent="0.2"/>
    <row r="603" s="438" customFormat="1" x14ac:dyDescent="0.2"/>
    <row r="604" s="438" customFormat="1" x14ac:dyDescent="0.2"/>
    <row r="605" s="438" customFormat="1" x14ac:dyDescent="0.2"/>
    <row r="606" s="438" customFormat="1" x14ac:dyDescent="0.2"/>
    <row r="607" s="438" customFormat="1" x14ac:dyDescent="0.2"/>
    <row r="608" s="438" customFormat="1" x14ac:dyDescent="0.2"/>
    <row r="609" s="438" customFormat="1" x14ac:dyDescent="0.2"/>
    <row r="610" s="438" customFormat="1" x14ac:dyDescent="0.2"/>
    <row r="611" s="438" customFormat="1" x14ac:dyDescent="0.2"/>
    <row r="612" s="438" customFormat="1" x14ac:dyDescent="0.2"/>
    <row r="613" s="438" customFormat="1" x14ac:dyDescent="0.2"/>
    <row r="614" s="438" customFormat="1" x14ac:dyDescent="0.2"/>
    <row r="615" s="438" customFormat="1" x14ac:dyDescent="0.2"/>
    <row r="616" s="438" customFormat="1" x14ac:dyDescent="0.2"/>
    <row r="617" s="438" customFormat="1" x14ac:dyDescent="0.2"/>
    <row r="618" s="438" customFormat="1" x14ac:dyDescent="0.2"/>
    <row r="619" s="438" customFormat="1" x14ac:dyDescent="0.2"/>
    <row r="620" s="438" customFormat="1" x14ac:dyDescent="0.2"/>
    <row r="621" s="438" customFormat="1" x14ac:dyDescent="0.2"/>
    <row r="622" s="438" customFormat="1" x14ac:dyDescent="0.2"/>
    <row r="623" s="438" customFormat="1" x14ac:dyDescent="0.2"/>
    <row r="624" s="438" customFormat="1" x14ac:dyDescent="0.2"/>
    <row r="625" s="438" customFormat="1" x14ac:dyDescent="0.2"/>
    <row r="626" s="438" customFormat="1" x14ac:dyDescent="0.2"/>
    <row r="627" s="438" customFormat="1" x14ac:dyDescent="0.2"/>
    <row r="628" s="438" customFormat="1" x14ac:dyDescent="0.2"/>
    <row r="629" s="438" customFormat="1" x14ac:dyDescent="0.2"/>
    <row r="630" s="438" customFormat="1" x14ac:dyDescent="0.2"/>
    <row r="631" s="438" customFormat="1" x14ac:dyDescent="0.2"/>
    <row r="632" s="438" customFormat="1" x14ac:dyDescent="0.2"/>
    <row r="633" s="438" customFormat="1" x14ac:dyDescent="0.2"/>
    <row r="634" s="438" customFormat="1" x14ac:dyDescent="0.2"/>
    <row r="635" s="438" customFormat="1" x14ac:dyDescent="0.2"/>
    <row r="636" s="438" customFormat="1" x14ac:dyDescent="0.2"/>
    <row r="637" s="438" customFormat="1" x14ac:dyDescent="0.2"/>
    <row r="638" s="438" customFormat="1" x14ac:dyDescent="0.2"/>
    <row r="639" s="438" customFormat="1" x14ac:dyDescent="0.2"/>
    <row r="640" s="438" customFormat="1" x14ac:dyDescent="0.2"/>
    <row r="641" s="438" customFormat="1" x14ac:dyDescent="0.2"/>
    <row r="642" s="438" customFormat="1" x14ac:dyDescent="0.2"/>
    <row r="643" s="438" customFormat="1" x14ac:dyDescent="0.2"/>
    <row r="644" s="438" customFormat="1" x14ac:dyDescent="0.2"/>
    <row r="645" s="438" customFormat="1" x14ac:dyDescent="0.2"/>
    <row r="646" s="438" customFormat="1" x14ac:dyDescent="0.2"/>
    <row r="647" s="438" customFormat="1" x14ac:dyDescent="0.2"/>
    <row r="648" s="438" customFormat="1" x14ac:dyDescent="0.2"/>
    <row r="649" s="438" customFormat="1" x14ac:dyDescent="0.2"/>
    <row r="650" s="438" customFormat="1" x14ac:dyDescent="0.2"/>
    <row r="651" s="438" customFormat="1" x14ac:dyDescent="0.2"/>
    <row r="652" s="438" customFormat="1" x14ac:dyDescent="0.2"/>
    <row r="653" s="438" customFormat="1" x14ac:dyDescent="0.2"/>
    <row r="654" s="438" customFormat="1" x14ac:dyDescent="0.2"/>
    <row r="655" s="438" customFormat="1" x14ac:dyDescent="0.2"/>
    <row r="656" s="438" customFormat="1" x14ac:dyDescent="0.2"/>
    <row r="657" s="438" customFormat="1" x14ac:dyDescent="0.2"/>
    <row r="658" s="438" customFormat="1" x14ac:dyDescent="0.2"/>
    <row r="659" s="438" customFormat="1" x14ac:dyDescent="0.2"/>
    <row r="660" s="438" customFormat="1" x14ac:dyDescent="0.2"/>
    <row r="661" s="438" customFormat="1" x14ac:dyDescent="0.2"/>
    <row r="662" s="438" customFormat="1" x14ac:dyDescent="0.2"/>
    <row r="663" s="438" customFormat="1" x14ac:dyDescent="0.2"/>
    <row r="664" s="438" customFormat="1" x14ac:dyDescent="0.2"/>
    <row r="665" s="438" customFormat="1" x14ac:dyDescent="0.2"/>
    <row r="666" s="438" customFormat="1" x14ac:dyDescent="0.2"/>
    <row r="667" s="438" customFormat="1" x14ac:dyDescent="0.2"/>
    <row r="668" s="438" customFormat="1" x14ac:dyDescent="0.2"/>
    <row r="669" s="438" customFormat="1" x14ac:dyDescent="0.2"/>
    <row r="670" s="438" customFormat="1" x14ac:dyDescent="0.2"/>
    <row r="671" s="438" customFormat="1" x14ac:dyDescent="0.2"/>
    <row r="672" s="438" customFormat="1" x14ac:dyDescent="0.2"/>
    <row r="673" s="438" customFormat="1" x14ac:dyDescent="0.2"/>
    <row r="674" s="438" customFormat="1" x14ac:dyDescent="0.2"/>
    <row r="675" s="438" customFormat="1" x14ac:dyDescent="0.2"/>
    <row r="676" s="438" customFormat="1" x14ac:dyDescent="0.2"/>
    <row r="677" s="438" customFormat="1" x14ac:dyDescent="0.2"/>
    <row r="678" s="438" customFormat="1" x14ac:dyDescent="0.2"/>
    <row r="679" s="438" customFormat="1" x14ac:dyDescent="0.2"/>
    <row r="680" s="438" customFormat="1" x14ac:dyDescent="0.2"/>
    <row r="681" s="438" customFormat="1" x14ac:dyDescent="0.2"/>
    <row r="682" s="438" customFormat="1" x14ac:dyDescent="0.2"/>
    <row r="683" s="438" customFormat="1" x14ac:dyDescent="0.2"/>
    <row r="684" s="438" customFormat="1" x14ac:dyDescent="0.2"/>
    <row r="685" s="438" customFormat="1" x14ac:dyDescent="0.2"/>
    <row r="686" s="438" customFormat="1" x14ac:dyDescent="0.2"/>
    <row r="687" s="438" customFormat="1" x14ac:dyDescent="0.2"/>
    <row r="688" s="438" customFormat="1" x14ac:dyDescent="0.2"/>
    <row r="689" s="438" customFormat="1" x14ac:dyDescent="0.2"/>
    <row r="690" s="438" customFormat="1" x14ac:dyDescent="0.2"/>
    <row r="691" s="438" customFormat="1" x14ac:dyDescent="0.2"/>
    <row r="692" s="438" customFormat="1" x14ac:dyDescent="0.2"/>
    <row r="693" s="438" customFormat="1" x14ac:dyDescent="0.2"/>
    <row r="694" s="438" customFormat="1" x14ac:dyDescent="0.2"/>
    <row r="695" s="438" customFormat="1" x14ac:dyDescent="0.2"/>
    <row r="696" s="438" customFormat="1" x14ac:dyDescent="0.2"/>
    <row r="697" s="438" customFormat="1" x14ac:dyDescent="0.2"/>
    <row r="698" s="438" customFormat="1" x14ac:dyDescent="0.2"/>
    <row r="699" s="438" customFormat="1" x14ac:dyDescent="0.2"/>
    <row r="700" s="438" customFormat="1" x14ac:dyDescent="0.2"/>
    <row r="701" s="438" customFormat="1" x14ac:dyDescent="0.2"/>
    <row r="702" s="438" customFormat="1" x14ac:dyDescent="0.2"/>
    <row r="703" s="438" customFormat="1" x14ac:dyDescent="0.2"/>
    <row r="704" s="438" customFormat="1" x14ac:dyDescent="0.2"/>
    <row r="705" s="438" customFormat="1" x14ac:dyDescent="0.2"/>
    <row r="706" s="438" customFormat="1" x14ac:dyDescent="0.2"/>
    <row r="707" s="438" customFormat="1" x14ac:dyDescent="0.2"/>
    <row r="708" s="438" customFormat="1" x14ac:dyDescent="0.2"/>
    <row r="709" s="438" customFormat="1" x14ac:dyDescent="0.2"/>
    <row r="710" s="438" customFormat="1" x14ac:dyDescent="0.2"/>
    <row r="711" s="438" customFormat="1" x14ac:dyDescent="0.2"/>
    <row r="712" s="438" customFormat="1" x14ac:dyDescent="0.2"/>
    <row r="713" s="438" customFormat="1" x14ac:dyDescent="0.2"/>
    <row r="714" s="438" customFormat="1" x14ac:dyDescent="0.2"/>
    <row r="715" s="438" customFormat="1" x14ac:dyDescent="0.2"/>
    <row r="716" s="438" customFormat="1" x14ac:dyDescent="0.2"/>
    <row r="717" s="438" customFormat="1" x14ac:dyDescent="0.2"/>
    <row r="718" s="438" customFormat="1" x14ac:dyDescent="0.2"/>
    <row r="719" s="438" customFormat="1" x14ac:dyDescent="0.2"/>
    <row r="720" s="438" customFormat="1" x14ac:dyDescent="0.2"/>
    <row r="721" s="438" customFormat="1" x14ac:dyDescent="0.2"/>
    <row r="722" s="438" customFormat="1" x14ac:dyDescent="0.2"/>
    <row r="723" s="438" customFormat="1" x14ac:dyDescent="0.2"/>
    <row r="724" s="438" customFormat="1" x14ac:dyDescent="0.2"/>
    <row r="725" s="438" customFormat="1" x14ac:dyDescent="0.2"/>
    <row r="726" s="438" customFormat="1" x14ac:dyDescent="0.2"/>
    <row r="727" s="438" customFormat="1" x14ac:dyDescent="0.2"/>
    <row r="728" s="438" customFormat="1" x14ac:dyDescent="0.2"/>
    <row r="729" s="438" customFormat="1" x14ac:dyDescent="0.2"/>
    <row r="730" s="438" customFormat="1" x14ac:dyDescent="0.2"/>
    <row r="731" s="438" customFormat="1" x14ac:dyDescent="0.2"/>
    <row r="732" s="438" customFormat="1" x14ac:dyDescent="0.2"/>
    <row r="733" s="438" customFormat="1" x14ac:dyDescent="0.2"/>
    <row r="734" s="438" customFormat="1" x14ac:dyDescent="0.2"/>
    <row r="735" s="438" customFormat="1" x14ac:dyDescent="0.2"/>
    <row r="736" s="438" customFormat="1" x14ac:dyDescent="0.2"/>
    <row r="737" s="438" customFormat="1" x14ac:dyDescent="0.2"/>
    <row r="738" s="438" customFormat="1" x14ac:dyDescent="0.2"/>
    <row r="739" s="438" customFormat="1" x14ac:dyDescent="0.2"/>
    <row r="740" s="438" customFormat="1" x14ac:dyDescent="0.2"/>
    <row r="741" s="438" customFormat="1" x14ac:dyDescent="0.2"/>
    <row r="742" s="438" customFormat="1" x14ac:dyDescent="0.2"/>
    <row r="743" s="438" customFormat="1" x14ac:dyDescent="0.2"/>
    <row r="744" s="438" customFormat="1" x14ac:dyDescent="0.2"/>
    <row r="745" s="438" customFormat="1" x14ac:dyDescent="0.2"/>
    <row r="746" s="438" customFormat="1" x14ac:dyDescent="0.2"/>
    <row r="747" s="438" customFormat="1" x14ac:dyDescent="0.2"/>
    <row r="748" s="438" customFormat="1" x14ac:dyDescent="0.2"/>
    <row r="749" s="438" customFormat="1" x14ac:dyDescent="0.2"/>
    <row r="750" s="438" customFormat="1" x14ac:dyDescent="0.2"/>
    <row r="751" s="438" customFormat="1" x14ac:dyDescent="0.2"/>
    <row r="752" s="438" customFormat="1" x14ac:dyDescent="0.2"/>
    <row r="753" s="438" customFormat="1" x14ac:dyDescent="0.2"/>
    <row r="754" s="438" customFormat="1" x14ac:dyDescent="0.2"/>
    <row r="755" s="438" customFormat="1" x14ac:dyDescent="0.2"/>
    <row r="756" s="438" customFormat="1" x14ac:dyDescent="0.2"/>
    <row r="757" s="438" customFormat="1" x14ac:dyDescent="0.2"/>
    <row r="758" s="438" customFormat="1" x14ac:dyDescent="0.2"/>
    <row r="759" s="438" customFormat="1" x14ac:dyDescent="0.2"/>
    <row r="760" s="438" customFormat="1" x14ac:dyDescent="0.2"/>
    <row r="761" s="438" customFormat="1" x14ac:dyDescent="0.2"/>
    <row r="762" s="438" customFormat="1" x14ac:dyDescent="0.2"/>
    <row r="763" s="438" customFormat="1" x14ac:dyDescent="0.2"/>
    <row r="764" s="438" customFormat="1" x14ac:dyDescent="0.2"/>
    <row r="765" s="438" customFormat="1" x14ac:dyDescent="0.2"/>
    <row r="766" s="438" customFormat="1" x14ac:dyDescent="0.2"/>
    <row r="767" s="438" customFormat="1" x14ac:dyDescent="0.2"/>
    <row r="768" s="438" customFormat="1" x14ac:dyDescent="0.2"/>
    <row r="769" s="438" customFormat="1" x14ac:dyDescent="0.2"/>
    <row r="770" s="438" customFormat="1" x14ac:dyDescent="0.2"/>
    <row r="771" s="438" customFormat="1" x14ac:dyDescent="0.2"/>
    <row r="772" s="438" customFormat="1" x14ac:dyDescent="0.2"/>
    <row r="773" s="438" customFormat="1" x14ac:dyDescent="0.2"/>
    <row r="774" s="438" customFormat="1" x14ac:dyDescent="0.2"/>
    <row r="775" s="438" customFormat="1" x14ac:dyDescent="0.2"/>
    <row r="776" s="438" customFormat="1" x14ac:dyDescent="0.2"/>
    <row r="777" s="438" customFormat="1" x14ac:dyDescent="0.2"/>
    <row r="778" s="438" customFormat="1" x14ac:dyDescent="0.2"/>
    <row r="779" s="438" customFormat="1" x14ac:dyDescent="0.2"/>
    <row r="780" s="438" customFormat="1" x14ac:dyDescent="0.2"/>
    <row r="781" s="438" customFormat="1" x14ac:dyDescent="0.2"/>
    <row r="782" s="438" customFormat="1" x14ac:dyDescent="0.2"/>
    <row r="783" s="438" customFormat="1" x14ac:dyDescent="0.2"/>
    <row r="784" s="438" customFormat="1" x14ac:dyDescent="0.2"/>
    <row r="785" s="438" customFormat="1" x14ac:dyDescent="0.2"/>
    <row r="786" s="438" customFormat="1" x14ac:dyDescent="0.2"/>
    <row r="787" s="438" customFormat="1" x14ac:dyDescent="0.2"/>
    <row r="788" s="438" customFormat="1" x14ac:dyDescent="0.2"/>
    <row r="789" s="438" customFormat="1" x14ac:dyDescent="0.2"/>
    <row r="790" s="438" customFormat="1" x14ac:dyDescent="0.2"/>
    <row r="791" s="438" customFormat="1" x14ac:dyDescent="0.2"/>
    <row r="792" s="438" customFormat="1" x14ac:dyDescent="0.2"/>
    <row r="793" s="438" customFormat="1" x14ac:dyDescent="0.2"/>
    <row r="794" s="438" customFormat="1" x14ac:dyDescent="0.2"/>
    <row r="795" s="438" customFormat="1" x14ac:dyDescent="0.2"/>
    <row r="796" s="438" customFormat="1" x14ac:dyDescent="0.2"/>
    <row r="797" s="438" customFormat="1" x14ac:dyDescent="0.2"/>
    <row r="798" s="438" customFormat="1" x14ac:dyDescent="0.2"/>
    <row r="799" s="438" customFormat="1" x14ac:dyDescent="0.2"/>
    <row r="800" s="438" customFormat="1" x14ac:dyDescent="0.2"/>
    <row r="801" s="438" customFormat="1" x14ac:dyDescent="0.2"/>
    <row r="802" s="438" customFormat="1" x14ac:dyDescent="0.2"/>
    <row r="803" s="438" customFormat="1" x14ac:dyDescent="0.2"/>
    <row r="804" s="438" customFormat="1" x14ac:dyDescent="0.2"/>
    <row r="805" s="438" customFormat="1" x14ac:dyDescent="0.2"/>
    <row r="806" s="438" customFormat="1" x14ac:dyDescent="0.2"/>
    <row r="807" s="438" customFormat="1" x14ac:dyDescent="0.2"/>
    <row r="808" s="438" customFormat="1" x14ac:dyDescent="0.2"/>
    <row r="809" s="438" customFormat="1" x14ac:dyDescent="0.2"/>
    <row r="810" s="438" customFormat="1" x14ac:dyDescent="0.2"/>
    <row r="811" s="438" customFormat="1" x14ac:dyDescent="0.2"/>
    <row r="812" s="438" customFormat="1" x14ac:dyDescent="0.2"/>
    <row r="813" s="438" customFormat="1" x14ac:dyDescent="0.2"/>
    <row r="814" s="438" customFormat="1" x14ac:dyDescent="0.2"/>
    <row r="815" s="438" customFormat="1" x14ac:dyDescent="0.2"/>
    <row r="816" s="438" customFormat="1" x14ac:dyDescent="0.2"/>
    <row r="817" s="438" customFormat="1" x14ac:dyDescent="0.2"/>
    <row r="818" s="438" customFormat="1" x14ac:dyDescent="0.2"/>
    <row r="819" s="438" customFormat="1" x14ac:dyDescent="0.2"/>
    <row r="820" s="438" customFormat="1" x14ac:dyDescent="0.2"/>
    <row r="821" s="438" customFormat="1" x14ac:dyDescent="0.2"/>
    <row r="822" s="438" customFormat="1" x14ac:dyDescent="0.2"/>
    <row r="823" s="438" customFormat="1" x14ac:dyDescent="0.2"/>
    <row r="824" s="438" customFormat="1" x14ac:dyDescent="0.2"/>
    <row r="825" s="438" customFormat="1" x14ac:dyDescent="0.2"/>
    <row r="826" s="438" customFormat="1" x14ac:dyDescent="0.2"/>
    <row r="827" s="438" customFormat="1" x14ac:dyDescent="0.2"/>
    <row r="828" s="438" customFormat="1" x14ac:dyDescent="0.2"/>
    <row r="829" s="438" customFormat="1" x14ac:dyDescent="0.2"/>
    <row r="830" s="438" customFormat="1" x14ac:dyDescent="0.2"/>
    <row r="831" s="438" customFormat="1" x14ac:dyDescent="0.2"/>
    <row r="832" s="438" customFormat="1" x14ac:dyDescent="0.2"/>
    <row r="833" s="438" customFormat="1" x14ac:dyDescent="0.2"/>
    <row r="834" s="438" customFormat="1" x14ac:dyDescent="0.2"/>
    <row r="835" s="438" customFormat="1" x14ac:dyDescent="0.2"/>
    <row r="836" s="438" customFormat="1" x14ac:dyDescent="0.2"/>
    <row r="837" s="438" customFormat="1" x14ac:dyDescent="0.2"/>
    <row r="838" s="438" customFormat="1" x14ac:dyDescent="0.2"/>
    <row r="839" s="438" customFormat="1" x14ac:dyDescent="0.2"/>
    <row r="840" s="438" customFormat="1" x14ac:dyDescent="0.2"/>
    <row r="841" s="438" customFormat="1" x14ac:dyDescent="0.2"/>
    <row r="842" s="438" customFormat="1" x14ac:dyDescent="0.2"/>
    <row r="843" s="438" customFormat="1" x14ac:dyDescent="0.2"/>
    <row r="844" s="438" customFormat="1" x14ac:dyDescent="0.2"/>
    <row r="845" s="438" customFormat="1" x14ac:dyDescent="0.2"/>
    <row r="846" s="438" customFormat="1" x14ac:dyDescent="0.2"/>
    <row r="847" s="438" customFormat="1" x14ac:dyDescent="0.2"/>
    <row r="848" s="438" customFormat="1" x14ac:dyDescent="0.2"/>
    <row r="849" s="438" customFormat="1" x14ac:dyDescent="0.2"/>
    <row r="850" s="438" customFormat="1" x14ac:dyDescent="0.2"/>
    <row r="851" s="438" customFormat="1" x14ac:dyDescent="0.2"/>
    <row r="852" s="438" customFormat="1" x14ac:dyDescent="0.2"/>
    <row r="853" s="438" customFormat="1" x14ac:dyDescent="0.2"/>
    <row r="854" s="438" customFormat="1" x14ac:dyDescent="0.2"/>
    <row r="855" s="438" customFormat="1" x14ac:dyDescent="0.2"/>
    <row r="856" s="438" customFormat="1" x14ac:dyDescent="0.2"/>
    <row r="857" s="438" customFormat="1" x14ac:dyDescent="0.2"/>
    <row r="858" s="438" customFormat="1" x14ac:dyDescent="0.2"/>
    <row r="859" s="438" customFormat="1" x14ac:dyDescent="0.2"/>
    <row r="860" s="438" customFormat="1" x14ac:dyDescent="0.2"/>
    <row r="861" s="438" customFormat="1" x14ac:dyDescent="0.2"/>
    <row r="862" s="438" customFormat="1" x14ac:dyDescent="0.2"/>
    <row r="863" s="438" customFormat="1" x14ac:dyDescent="0.2"/>
    <row r="864" s="438" customFormat="1" x14ac:dyDescent="0.2"/>
    <row r="865" s="438" customFormat="1" x14ac:dyDescent="0.2"/>
    <row r="866" s="438" customFormat="1" x14ac:dyDescent="0.2"/>
    <row r="867" s="438" customFormat="1" x14ac:dyDescent="0.2"/>
    <row r="868" s="438" customFormat="1" x14ac:dyDescent="0.2"/>
    <row r="869" s="438" customFormat="1" x14ac:dyDescent="0.2"/>
    <row r="870" s="438" customFormat="1" x14ac:dyDescent="0.2"/>
    <row r="871" s="438" customFormat="1" x14ac:dyDescent="0.2"/>
    <row r="872" s="438" customFormat="1" x14ac:dyDescent="0.2"/>
    <row r="873" s="438" customFormat="1" x14ac:dyDescent="0.2"/>
    <row r="874" s="438" customFormat="1" x14ac:dyDescent="0.2"/>
    <row r="875" s="438" customFormat="1" x14ac:dyDescent="0.2"/>
    <row r="876" s="438" customFormat="1" x14ac:dyDescent="0.2"/>
    <row r="877" s="438" customFormat="1" x14ac:dyDescent="0.2"/>
    <row r="878" s="438" customFormat="1" x14ac:dyDescent="0.2"/>
    <row r="879" s="438" customFormat="1" x14ac:dyDescent="0.2"/>
    <row r="880" s="438" customFormat="1" x14ac:dyDescent="0.2"/>
    <row r="881" s="438" customFormat="1" x14ac:dyDescent="0.2"/>
    <row r="882" s="438" customFormat="1" x14ac:dyDescent="0.2"/>
    <row r="883" s="438" customFormat="1" x14ac:dyDescent="0.2"/>
    <row r="884" s="438" customFormat="1" x14ac:dyDescent="0.2"/>
    <row r="885" s="438" customFormat="1" x14ac:dyDescent="0.2"/>
    <row r="886" s="438" customFormat="1" x14ac:dyDescent="0.2"/>
    <row r="887" s="438" customFormat="1" x14ac:dyDescent="0.2"/>
    <row r="888" s="438" customFormat="1" x14ac:dyDescent="0.2"/>
    <row r="889" s="438" customFormat="1" x14ac:dyDescent="0.2"/>
    <row r="890" s="438" customFormat="1" x14ac:dyDescent="0.2"/>
    <row r="891" s="438" customFormat="1" x14ac:dyDescent="0.2"/>
    <row r="892" s="438" customFormat="1" x14ac:dyDescent="0.2"/>
    <row r="893" s="438" customFormat="1" x14ac:dyDescent="0.2"/>
    <row r="894" s="438" customFormat="1" x14ac:dyDescent="0.2"/>
    <row r="895" s="438" customFormat="1" x14ac:dyDescent="0.2"/>
    <row r="896" s="438" customFormat="1" x14ac:dyDescent="0.2"/>
    <row r="897" s="438" customFormat="1" x14ac:dyDescent="0.2"/>
    <row r="898" s="438" customFormat="1" x14ac:dyDescent="0.2"/>
    <row r="899" s="438" customFormat="1" x14ac:dyDescent="0.2"/>
    <row r="900" s="438" customFormat="1" x14ac:dyDescent="0.2"/>
    <row r="901" s="438" customFormat="1" x14ac:dyDescent="0.2"/>
    <row r="902" s="438" customFormat="1" x14ac:dyDescent="0.2"/>
    <row r="903" s="438" customFormat="1" x14ac:dyDescent="0.2"/>
    <row r="904" s="438" customFormat="1" x14ac:dyDescent="0.2"/>
    <row r="905" s="438" customFormat="1" x14ac:dyDescent="0.2"/>
    <row r="906" s="438" customFormat="1" x14ac:dyDescent="0.2"/>
    <row r="907" s="438" customFormat="1" x14ac:dyDescent="0.2"/>
    <row r="908" s="438" customFormat="1" x14ac:dyDescent="0.2"/>
    <row r="909" s="438" customFormat="1" x14ac:dyDescent="0.2"/>
    <row r="910" s="438" customFormat="1" x14ac:dyDescent="0.2"/>
    <row r="911" s="438" customFormat="1" x14ac:dyDescent="0.2"/>
    <row r="912" s="438" customFormat="1" x14ac:dyDescent="0.2"/>
    <row r="913" s="438" customFormat="1" x14ac:dyDescent="0.2"/>
    <row r="914" s="438" customFormat="1" x14ac:dyDescent="0.2"/>
    <row r="915" s="438" customFormat="1" x14ac:dyDescent="0.2"/>
    <row r="916" s="438" customFormat="1" x14ac:dyDescent="0.2"/>
    <row r="917" s="438" customFormat="1" x14ac:dyDescent="0.2"/>
    <row r="918" s="438" customFormat="1" x14ac:dyDescent="0.2"/>
    <row r="919" s="438" customFormat="1" x14ac:dyDescent="0.2"/>
    <row r="920" s="438" customFormat="1" x14ac:dyDescent="0.2"/>
    <row r="921" s="438" customFormat="1" x14ac:dyDescent="0.2"/>
    <row r="922" s="438" customFormat="1" x14ac:dyDescent="0.2"/>
    <row r="923" s="438" customFormat="1" x14ac:dyDescent="0.2"/>
    <row r="924" s="438" customFormat="1" x14ac:dyDescent="0.2"/>
    <row r="925" s="438" customFormat="1" x14ac:dyDescent="0.2"/>
    <row r="926" s="438" customFormat="1" x14ac:dyDescent="0.2"/>
    <row r="927" s="438" customFormat="1" x14ac:dyDescent="0.2"/>
    <row r="928" s="438" customFormat="1" x14ac:dyDescent="0.2"/>
    <row r="929" s="438" customFormat="1" x14ac:dyDescent="0.2"/>
    <row r="930" s="438" customFormat="1" x14ac:dyDescent="0.2"/>
    <row r="931" s="438" customFormat="1" x14ac:dyDescent="0.2"/>
    <row r="932" s="438" customFormat="1" x14ac:dyDescent="0.2"/>
    <row r="933" s="438" customFormat="1" x14ac:dyDescent="0.2"/>
    <row r="934" s="438" customFormat="1" x14ac:dyDescent="0.2"/>
    <row r="935" s="438" customFormat="1" x14ac:dyDescent="0.2"/>
    <row r="936" s="438" customFormat="1" x14ac:dyDescent="0.2"/>
    <row r="937" s="438" customFormat="1" x14ac:dyDescent="0.2"/>
    <row r="938" s="438" customFormat="1" x14ac:dyDescent="0.2"/>
    <row r="939" s="438" customFormat="1" x14ac:dyDescent="0.2"/>
    <row r="940" s="438" customFormat="1" x14ac:dyDescent="0.2"/>
    <row r="941" s="438" customFormat="1" x14ac:dyDescent="0.2"/>
    <row r="942" s="438" customFormat="1" x14ac:dyDescent="0.2"/>
    <row r="943" s="438" customFormat="1" x14ac:dyDescent="0.2"/>
    <row r="944" s="438" customFormat="1" x14ac:dyDescent="0.2"/>
    <row r="945" s="438" customFormat="1" x14ac:dyDescent="0.2"/>
    <row r="946" s="438" customFormat="1" x14ac:dyDescent="0.2"/>
    <row r="947" s="438" customFormat="1" x14ac:dyDescent="0.2"/>
    <row r="948" s="438" customFormat="1" x14ac:dyDescent="0.2"/>
    <row r="949" s="438" customFormat="1" x14ac:dyDescent="0.2"/>
    <row r="950" s="438" customFormat="1" x14ac:dyDescent="0.2"/>
    <row r="951" s="438" customFormat="1" x14ac:dyDescent="0.2"/>
    <row r="952" s="438" customFormat="1" x14ac:dyDescent="0.2"/>
    <row r="953" s="438" customFormat="1" x14ac:dyDescent="0.2"/>
    <row r="954" s="438" customFormat="1" x14ac:dyDescent="0.2"/>
    <row r="955" s="438" customFormat="1" x14ac:dyDescent="0.2"/>
    <row r="956" s="438" customFormat="1" x14ac:dyDescent="0.2"/>
    <row r="957" s="438" customFormat="1" x14ac:dyDescent="0.2"/>
    <row r="958" s="438" customFormat="1" x14ac:dyDescent="0.2"/>
    <row r="959" s="438" customFormat="1" x14ac:dyDescent="0.2"/>
    <row r="960" s="438" customFormat="1" x14ac:dyDescent="0.2"/>
    <row r="961" s="438" customFormat="1" x14ac:dyDescent="0.2"/>
    <row r="962" s="438" customFormat="1" x14ac:dyDescent="0.2"/>
    <row r="963" s="438" customFormat="1" x14ac:dyDescent="0.2"/>
    <row r="964" s="438" customFormat="1" x14ac:dyDescent="0.2"/>
    <row r="965" s="438" customFormat="1" x14ac:dyDescent="0.2"/>
    <row r="966" s="438" customFormat="1" x14ac:dyDescent="0.2"/>
    <row r="967" s="438" customFormat="1" x14ac:dyDescent="0.2"/>
    <row r="968" s="438" customFormat="1" x14ac:dyDescent="0.2"/>
    <row r="969" s="438" customFormat="1" x14ac:dyDescent="0.2"/>
    <row r="970" s="438" customFormat="1" x14ac:dyDescent="0.2"/>
    <row r="971" s="438" customFormat="1" x14ac:dyDescent="0.2"/>
    <row r="972" s="438" customFormat="1" x14ac:dyDescent="0.2"/>
    <row r="973" s="438" customFormat="1" x14ac:dyDescent="0.2"/>
    <row r="974" s="438" customFormat="1" x14ac:dyDescent="0.2"/>
    <row r="975" s="438" customFormat="1" x14ac:dyDescent="0.2"/>
    <row r="976" s="438" customFormat="1" x14ac:dyDescent="0.2"/>
    <row r="977" s="438" customFormat="1" x14ac:dyDescent="0.2"/>
    <row r="978" s="438" customFormat="1" x14ac:dyDescent="0.2"/>
    <row r="979" s="438" customFormat="1" x14ac:dyDescent="0.2"/>
    <row r="980" s="438" customFormat="1" x14ac:dyDescent="0.2"/>
    <row r="981" s="438" customFormat="1" x14ac:dyDescent="0.2"/>
    <row r="982" s="438" customFormat="1" x14ac:dyDescent="0.2"/>
    <row r="983" s="438" customFormat="1" x14ac:dyDescent="0.2"/>
    <row r="984" s="438" customFormat="1" x14ac:dyDescent="0.2"/>
    <row r="985" s="438" customFormat="1" x14ac:dyDescent="0.2"/>
    <row r="986" s="438" customFormat="1" x14ac:dyDescent="0.2"/>
    <row r="987" s="438" customFormat="1" x14ac:dyDescent="0.2"/>
    <row r="988" s="438" customFormat="1" x14ac:dyDescent="0.2"/>
    <row r="989" s="438" customFormat="1" x14ac:dyDescent="0.2"/>
    <row r="990" s="438" customFormat="1" x14ac:dyDescent="0.2"/>
    <row r="991" s="438" customFormat="1" x14ac:dyDescent="0.2"/>
    <row r="992" s="438" customFormat="1" x14ac:dyDescent="0.2"/>
    <row r="993" s="438" customFormat="1" x14ac:dyDescent="0.2"/>
    <row r="994" s="438" customFormat="1" x14ac:dyDescent="0.2"/>
    <row r="995" s="438" customFormat="1" x14ac:dyDescent="0.2"/>
    <row r="996" s="438" customFormat="1" x14ac:dyDescent="0.2"/>
    <row r="997" s="438" customFormat="1" x14ac:dyDescent="0.2"/>
    <row r="998" s="438" customFormat="1" x14ac:dyDescent="0.2"/>
    <row r="999" s="438" customFormat="1" x14ac:dyDescent="0.2"/>
    <row r="1000" s="438" customFormat="1" x14ac:dyDescent="0.2"/>
    <row r="1001" s="438" customFormat="1" x14ac:dyDescent="0.2"/>
    <row r="1002" s="438" customFormat="1" x14ac:dyDescent="0.2"/>
    <row r="1003" s="438" customFormat="1" x14ac:dyDescent="0.2"/>
    <row r="1004" s="438" customFormat="1" x14ac:dyDescent="0.2"/>
    <row r="1005" s="438" customFormat="1" x14ac:dyDescent="0.2"/>
    <row r="1006" s="438" customFormat="1" x14ac:dyDescent="0.2"/>
    <row r="1007" s="438" customFormat="1" x14ac:dyDescent="0.2"/>
    <row r="1008" s="438" customFormat="1" x14ac:dyDescent="0.2"/>
    <row r="1009" s="438" customFormat="1" x14ac:dyDescent="0.2"/>
    <row r="1010" s="438" customFormat="1" x14ac:dyDescent="0.2"/>
    <row r="1011" s="438" customFormat="1" x14ac:dyDescent="0.2"/>
    <row r="1012" s="438" customFormat="1" x14ac:dyDescent="0.2"/>
    <row r="1013" s="438" customFormat="1" x14ac:dyDescent="0.2"/>
    <row r="1014" s="438" customFormat="1" x14ac:dyDescent="0.2"/>
    <row r="1015" s="438" customFormat="1" x14ac:dyDescent="0.2"/>
    <row r="1016" s="438" customFormat="1" x14ac:dyDescent="0.2"/>
    <row r="1017" s="438" customFormat="1" x14ac:dyDescent="0.2"/>
    <row r="1018" s="438" customFormat="1" x14ac:dyDescent="0.2"/>
    <row r="1019" s="438" customFormat="1" x14ac:dyDescent="0.2"/>
    <row r="1020" s="438" customFormat="1" x14ac:dyDescent="0.2"/>
    <row r="1021" s="438" customFormat="1" x14ac:dyDescent="0.2"/>
    <row r="1022" s="438" customFormat="1" x14ac:dyDescent="0.2"/>
    <row r="1023" s="438" customFormat="1" x14ac:dyDescent="0.2"/>
    <row r="1024" s="438" customFormat="1" x14ac:dyDescent="0.2"/>
    <row r="1025" s="438" customFormat="1" x14ac:dyDescent="0.2"/>
    <row r="1026" s="438" customFormat="1" x14ac:dyDescent="0.2"/>
    <row r="1027" s="438" customFormat="1" x14ac:dyDescent="0.2"/>
    <row r="1028" s="438" customFormat="1" x14ac:dyDescent="0.2"/>
    <row r="1029" s="438" customFormat="1" x14ac:dyDescent="0.2"/>
    <row r="1030" s="438" customFormat="1" x14ac:dyDescent="0.2"/>
    <row r="1031" s="438" customFormat="1" x14ac:dyDescent="0.2"/>
    <row r="1032" s="438" customFormat="1" x14ac:dyDescent="0.2"/>
    <row r="1033" s="438" customFormat="1" x14ac:dyDescent="0.2"/>
    <row r="1034" s="438" customFormat="1" x14ac:dyDescent="0.2"/>
    <row r="1035" s="438" customFormat="1" x14ac:dyDescent="0.2"/>
    <row r="1036" s="438" customFormat="1" x14ac:dyDescent="0.2"/>
    <row r="1037" s="438" customFormat="1" x14ac:dyDescent="0.2"/>
    <row r="1038" s="438" customFormat="1" x14ac:dyDescent="0.2"/>
    <row r="1039" s="438" customFormat="1" x14ac:dyDescent="0.2"/>
    <row r="1040" s="438" customFormat="1" x14ac:dyDescent="0.2"/>
    <row r="1041" s="438" customFormat="1" x14ac:dyDescent="0.2"/>
    <row r="1042" s="438" customFormat="1" x14ac:dyDescent="0.2"/>
    <row r="1043" s="438" customFormat="1" x14ac:dyDescent="0.2"/>
    <row r="1044" s="438" customFormat="1" x14ac:dyDescent="0.2"/>
    <row r="1045" s="438" customFormat="1" x14ac:dyDescent="0.2"/>
    <row r="1046" s="438" customFormat="1" x14ac:dyDescent="0.2"/>
    <row r="1047" s="438" customFormat="1" x14ac:dyDescent="0.2"/>
    <row r="1048" s="438" customFormat="1" x14ac:dyDescent="0.2"/>
    <row r="1049" s="438" customFormat="1" x14ac:dyDescent="0.2"/>
    <row r="1050" s="438" customFormat="1" x14ac:dyDescent="0.2"/>
    <row r="1051" s="438" customFormat="1" x14ac:dyDescent="0.2"/>
    <row r="1052" s="438" customFormat="1" x14ac:dyDescent="0.2"/>
    <row r="1053" s="438" customFormat="1" x14ac:dyDescent="0.2"/>
    <row r="1054" s="438" customFormat="1" x14ac:dyDescent="0.2"/>
    <row r="1055" s="438" customFormat="1" x14ac:dyDescent="0.2"/>
    <row r="1056" s="438" customFormat="1" x14ac:dyDescent="0.2"/>
    <row r="1057" s="438" customFormat="1" x14ac:dyDescent="0.2"/>
    <row r="1058" s="438" customFormat="1" x14ac:dyDescent="0.2"/>
    <row r="1059" s="438" customFormat="1" x14ac:dyDescent="0.2"/>
    <row r="1060" s="438" customFormat="1" x14ac:dyDescent="0.2"/>
    <row r="1061" s="438" customFormat="1" x14ac:dyDescent="0.2"/>
    <row r="1062" s="438" customFormat="1" x14ac:dyDescent="0.2"/>
    <row r="1063" s="438" customFormat="1" x14ac:dyDescent="0.2"/>
    <row r="1064" s="438" customFormat="1" x14ac:dyDescent="0.2"/>
    <row r="1065" s="438" customFormat="1" x14ac:dyDescent="0.2"/>
    <row r="1066" s="438" customFormat="1" x14ac:dyDescent="0.2"/>
    <row r="1067" s="438" customFormat="1" x14ac:dyDescent="0.2"/>
    <row r="1068" s="438" customFormat="1" x14ac:dyDescent="0.2"/>
    <row r="1069" s="438" customFormat="1" x14ac:dyDescent="0.2"/>
    <row r="1070" s="438" customFormat="1" x14ac:dyDescent="0.2"/>
    <row r="1071" s="438" customFormat="1" x14ac:dyDescent="0.2"/>
    <row r="1072" s="438" customFormat="1" x14ac:dyDescent="0.2"/>
    <row r="1073" s="438" customFormat="1" x14ac:dyDescent="0.2"/>
    <row r="1074" s="438" customFormat="1" x14ac:dyDescent="0.2"/>
    <row r="1075" s="438" customFormat="1" x14ac:dyDescent="0.2"/>
    <row r="1076" s="438" customFormat="1" x14ac:dyDescent="0.2"/>
    <row r="1077" s="438" customFormat="1" x14ac:dyDescent="0.2"/>
    <row r="1078" s="438" customFormat="1" x14ac:dyDescent="0.2"/>
    <row r="1079" s="438" customFormat="1" x14ac:dyDescent="0.2"/>
    <row r="1080" s="438" customFormat="1" x14ac:dyDescent="0.2"/>
    <row r="1081" s="438" customFormat="1" x14ac:dyDescent="0.2"/>
    <row r="1082" s="438" customFormat="1" x14ac:dyDescent="0.2"/>
    <row r="1083" s="438" customFormat="1" x14ac:dyDescent="0.2"/>
    <row r="1084" s="438" customFormat="1" x14ac:dyDescent="0.2"/>
    <row r="1085" s="438" customFormat="1" x14ac:dyDescent="0.2"/>
    <row r="1086" s="438" customFormat="1" x14ac:dyDescent="0.2"/>
    <row r="1087" s="438" customFormat="1" x14ac:dyDescent="0.2"/>
    <row r="1088" s="438" customFormat="1" x14ac:dyDescent="0.2"/>
    <row r="1089" s="438" customFormat="1" x14ac:dyDescent="0.2"/>
    <row r="1090" s="438" customFormat="1" x14ac:dyDescent="0.2"/>
    <row r="1091" s="438" customFormat="1" x14ac:dyDescent="0.2"/>
    <row r="1092" s="438" customFormat="1" x14ac:dyDescent="0.2"/>
    <row r="1093" s="438" customFormat="1" x14ac:dyDescent="0.2"/>
    <row r="1094" s="438" customFormat="1" x14ac:dyDescent="0.2"/>
    <row r="1095" s="438" customFormat="1" x14ac:dyDescent="0.2"/>
    <row r="1096" s="438" customFormat="1" x14ac:dyDescent="0.2"/>
    <row r="1097" s="438" customFormat="1" x14ac:dyDescent="0.2"/>
    <row r="1098" s="438" customFormat="1" x14ac:dyDescent="0.2"/>
    <row r="1099" s="438" customFormat="1" x14ac:dyDescent="0.2"/>
    <row r="1100" s="438" customFormat="1" x14ac:dyDescent="0.2"/>
    <row r="1101" s="438" customFormat="1" x14ac:dyDescent="0.2"/>
    <row r="1102" s="438" customFormat="1" x14ac:dyDescent="0.2"/>
    <row r="1103" s="438" customFormat="1" x14ac:dyDescent="0.2"/>
    <row r="1104" s="438" customFormat="1" x14ac:dyDescent="0.2"/>
    <row r="1105" s="438" customFormat="1" x14ac:dyDescent="0.2"/>
    <row r="1106" s="438" customFormat="1" x14ac:dyDescent="0.2"/>
    <row r="1107" s="438" customFormat="1" x14ac:dyDescent="0.2"/>
    <row r="1108" s="438" customFormat="1" x14ac:dyDescent="0.2"/>
    <row r="1109" s="438" customFormat="1" x14ac:dyDescent="0.2"/>
    <row r="1110" s="438" customFormat="1" x14ac:dyDescent="0.2"/>
    <row r="1111" s="438" customFormat="1" x14ac:dyDescent="0.2"/>
    <row r="1112" s="438" customFormat="1" x14ac:dyDescent="0.2"/>
    <row r="1113" s="438" customFormat="1" x14ac:dyDescent="0.2"/>
    <row r="1114" s="438" customFormat="1" x14ac:dyDescent="0.2"/>
    <row r="1115" s="438" customFormat="1" x14ac:dyDescent="0.2"/>
    <row r="1116" s="438" customFormat="1" x14ac:dyDescent="0.2"/>
    <row r="1117" s="438" customFormat="1" x14ac:dyDescent="0.2"/>
    <row r="1118" s="438" customFormat="1" x14ac:dyDescent="0.2"/>
    <row r="1119" s="438" customFormat="1" x14ac:dyDescent="0.2"/>
    <row r="1120" s="438" customFormat="1" x14ac:dyDescent="0.2"/>
    <row r="1121" s="438" customFormat="1" x14ac:dyDescent="0.2"/>
    <row r="1122" s="438" customFormat="1" x14ac:dyDescent="0.2"/>
    <row r="1123" s="438" customFormat="1" x14ac:dyDescent="0.2"/>
    <row r="1124" s="438" customFormat="1" x14ac:dyDescent="0.2"/>
    <row r="1125" s="438" customFormat="1" x14ac:dyDescent="0.2"/>
    <row r="1126" s="438" customFormat="1" x14ac:dyDescent="0.2"/>
    <row r="1127" s="438" customFormat="1" x14ac:dyDescent="0.2"/>
    <row r="1128" s="438" customFormat="1" x14ac:dyDescent="0.2"/>
    <row r="1129" s="438" customFormat="1" x14ac:dyDescent="0.2"/>
    <row r="1130" s="438" customFormat="1" x14ac:dyDescent="0.2"/>
    <row r="1131" s="438" customFormat="1" x14ac:dyDescent="0.2"/>
    <row r="1132" s="438" customFormat="1" x14ac:dyDescent="0.2"/>
    <row r="1133" s="438" customFormat="1" x14ac:dyDescent="0.2"/>
    <row r="1134" s="438" customFormat="1" x14ac:dyDescent="0.2"/>
    <row r="1135" s="438" customFormat="1" x14ac:dyDescent="0.2"/>
    <row r="1136" s="438" customFormat="1" x14ac:dyDescent="0.2"/>
    <row r="1137" s="438" customFormat="1" x14ac:dyDescent="0.2"/>
    <row r="1138" s="438" customFormat="1" x14ac:dyDescent="0.2"/>
    <row r="1139" s="438" customFormat="1" x14ac:dyDescent="0.2"/>
    <row r="1140" s="438" customFormat="1" x14ac:dyDescent="0.2"/>
    <row r="1141" s="438" customFormat="1" x14ac:dyDescent="0.2"/>
    <row r="1142" s="438" customFormat="1" x14ac:dyDescent="0.2"/>
    <row r="1143" s="438" customFormat="1" x14ac:dyDescent="0.2"/>
    <row r="1144" s="438" customFormat="1" x14ac:dyDescent="0.2"/>
    <row r="1145" s="438" customFormat="1" x14ac:dyDescent="0.2"/>
    <row r="1146" s="438" customFormat="1" x14ac:dyDescent="0.2"/>
    <row r="1147" s="438" customFormat="1" x14ac:dyDescent="0.2"/>
    <row r="1148" s="438" customFormat="1" x14ac:dyDescent="0.2"/>
    <row r="1149" s="438" customFormat="1" x14ac:dyDescent="0.2"/>
    <row r="1150" s="438" customFormat="1" x14ac:dyDescent="0.2"/>
    <row r="1151" s="438" customFormat="1" x14ac:dyDescent="0.2"/>
    <row r="1152" s="438" customFormat="1" x14ac:dyDescent="0.2"/>
    <row r="1153" s="438" customFormat="1" x14ac:dyDescent="0.2"/>
    <row r="1154" s="438" customFormat="1" x14ac:dyDescent="0.2"/>
    <row r="1155" s="438" customFormat="1" x14ac:dyDescent="0.2"/>
    <row r="1156" s="438" customFormat="1" x14ac:dyDescent="0.2"/>
    <row r="1157" s="438" customFormat="1" x14ac:dyDescent="0.2"/>
    <row r="1158" s="438" customFormat="1" x14ac:dyDescent="0.2"/>
    <row r="1159" s="438" customFormat="1" x14ac:dyDescent="0.2"/>
    <row r="1160" s="438" customFormat="1" x14ac:dyDescent="0.2"/>
    <row r="1161" s="438" customFormat="1" x14ac:dyDescent="0.2"/>
    <row r="1162" s="438" customFormat="1" x14ac:dyDescent="0.2"/>
    <row r="1163" s="438" customFormat="1" x14ac:dyDescent="0.2"/>
    <row r="1164" s="438" customFormat="1" x14ac:dyDescent="0.2"/>
    <row r="1165" s="438" customFormat="1" x14ac:dyDescent="0.2"/>
    <row r="1166" s="438" customFormat="1" x14ac:dyDescent="0.2"/>
    <row r="1167" s="438" customFormat="1" x14ac:dyDescent="0.2"/>
    <row r="1168" s="438" customFormat="1" x14ac:dyDescent="0.2"/>
    <row r="1169" s="438" customFormat="1" x14ac:dyDescent="0.2"/>
    <row r="1170" s="438" customFormat="1" x14ac:dyDescent="0.2"/>
    <row r="1171" s="438" customFormat="1" x14ac:dyDescent="0.2"/>
    <row r="1172" s="438" customFormat="1" x14ac:dyDescent="0.2"/>
    <row r="1173" s="438" customFormat="1" x14ac:dyDescent="0.2"/>
    <row r="1174" s="438" customFormat="1" x14ac:dyDescent="0.2"/>
    <row r="1175" s="438" customFormat="1" x14ac:dyDescent="0.2"/>
    <row r="1176" s="438" customFormat="1" x14ac:dyDescent="0.2"/>
    <row r="1177" s="438" customFormat="1" x14ac:dyDescent="0.2"/>
    <row r="1178" s="438" customFormat="1" x14ac:dyDescent="0.2"/>
    <row r="1179" s="438" customFormat="1" x14ac:dyDescent="0.2"/>
    <row r="1180" s="438" customFormat="1" x14ac:dyDescent="0.2"/>
    <row r="1181" s="438" customFormat="1" x14ac:dyDescent="0.2"/>
    <row r="1182" s="438" customFormat="1" x14ac:dyDescent="0.2"/>
    <row r="1183" s="438" customFormat="1" x14ac:dyDescent="0.2"/>
    <row r="1184" s="438" customFormat="1" x14ac:dyDescent="0.2"/>
    <row r="1185" s="438" customFormat="1" x14ac:dyDescent="0.2"/>
    <row r="1186" s="438" customFormat="1" x14ac:dyDescent="0.2"/>
    <row r="1187" s="438" customFormat="1" x14ac:dyDescent="0.2"/>
    <row r="1188" s="438" customFormat="1" x14ac:dyDescent="0.2"/>
    <row r="1189" s="438" customFormat="1" x14ac:dyDescent="0.2"/>
    <row r="1190" s="438" customFormat="1" x14ac:dyDescent="0.2"/>
    <row r="1191" s="438" customFormat="1" x14ac:dyDescent="0.2"/>
    <row r="1192" s="438" customFormat="1" x14ac:dyDescent="0.2"/>
    <row r="1193" s="438" customFormat="1" x14ac:dyDescent="0.2"/>
    <row r="1194" s="438" customFormat="1" x14ac:dyDescent="0.2"/>
    <row r="1195" s="438" customFormat="1" x14ac:dyDescent="0.2"/>
    <row r="1196" s="438" customFormat="1" x14ac:dyDescent="0.2"/>
    <row r="1197" s="438" customFormat="1" x14ac:dyDescent="0.2"/>
    <row r="1198" s="438" customFormat="1" x14ac:dyDescent="0.2"/>
    <row r="1199" s="438" customFormat="1" x14ac:dyDescent="0.2"/>
    <row r="1200" s="438" customFormat="1" x14ac:dyDescent="0.2"/>
    <row r="1201" s="438" customFormat="1" x14ac:dyDescent="0.2"/>
    <row r="1202" s="438" customFormat="1" x14ac:dyDescent="0.2"/>
    <row r="1203" s="438" customFormat="1" x14ac:dyDescent="0.2"/>
    <row r="1204" s="438" customFormat="1" x14ac:dyDescent="0.2"/>
    <row r="1205" s="438" customFormat="1" x14ac:dyDescent="0.2"/>
    <row r="1206" s="438" customFormat="1" x14ac:dyDescent="0.2"/>
    <row r="1207" s="438" customFormat="1" x14ac:dyDescent="0.2"/>
    <row r="1208" s="438" customFormat="1" x14ac:dyDescent="0.2"/>
    <row r="1209" s="438" customFormat="1" x14ac:dyDescent="0.2"/>
    <row r="1210" s="438" customFormat="1" x14ac:dyDescent="0.2"/>
    <row r="1211" s="438" customFormat="1" x14ac:dyDescent="0.2"/>
    <row r="1212" s="438" customFormat="1" x14ac:dyDescent="0.2"/>
    <row r="1213" s="438" customFormat="1" x14ac:dyDescent="0.2"/>
    <row r="1214" s="438" customFormat="1" x14ac:dyDescent="0.2"/>
    <row r="1215" s="438" customFormat="1" x14ac:dyDescent="0.2"/>
    <row r="1216" s="438" customFormat="1" x14ac:dyDescent="0.2"/>
    <row r="1217" s="438" customFormat="1" x14ac:dyDescent="0.2"/>
    <row r="1218" s="438" customFormat="1" x14ac:dyDescent="0.2"/>
    <row r="1219" s="438" customFormat="1" x14ac:dyDescent="0.2"/>
    <row r="1220" s="438" customFormat="1" x14ac:dyDescent="0.2"/>
    <row r="1221" s="438" customFormat="1" x14ac:dyDescent="0.2"/>
    <row r="1222" s="438" customFormat="1" x14ac:dyDescent="0.2"/>
    <row r="1223" s="438" customFormat="1" x14ac:dyDescent="0.2"/>
    <row r="1224" s="438" customFormat="1" x14ac:dyDescent="0.2"/>
    <row r="1225" s="438" customFormat="1" x14ac:dyDescent="0.2"/>
    <row r="1226" s="438" customFormat="1" x14ac:dyDescent="0.2"/>
    <row r="1227" s="438" customFormat="1" x14ac:dyDescent="0.2"/>
    <row r="1228" s="438" customFormat="1" x14ac:dyDescent="0.2"/>
    <row r="1229" s="438" customFormat="1" x14ac:dyDescent="0.2"/>
    <row r="1230" s="438" customFormat="1" x14ac:dyDescent="0.2"/>
    <row r="1231" s="438" customFormat="1" x14ac:dyDescent="0.2"/>
    <row r="1232" s="438" customFormat="1" x14ac:dyDescent="0.2"/>
    <row r="1233" s="438" customFormat="1" x14ac:dyDescent="0.2"/>
    <row r="1234" s="438" customFormat="1" x14ac:dyDescent="0.2"/>
    <row r="1235" s="438" customFormat="1" x14ac:dyDescent="0.2"/>
    <row r="1236" s="438" customFormat="1" x14ac:dyDescent="0.2"/>
    <row r="1237" s="438" customFormat="1" x14ac:dyDescent="0.2"/>
    <row r="1238" s="438" customFormat="1" x14ac:dyDescent="0.2"/>
    <row r="1239" s="438" customFormat="1" x14ac:dyDescent="0.2"/>
    <row r="1240" s="438" customFormat="1" x14ac:dyDescent="0.2"/>
    <row r="1241" s="438" customFormat="1" x14ac:dyDescent="0.2"/>
    <row r="1242" s="438" customFormat="1" x14ac:dyDescent="0.2"/>
    <row r="1243" s="438" customFormat="1" x14ac:dyDescent="0.2"/>
    <row r="1244" s="438" customFormat="1" x14ac:dyDescent="0.2"/>
    <row r="1245" s="438" customFormat="1" x14ac:dyDescent="0.2"/>
    <row r="1246" s="438" customFormat="1" x14ac:dyDescent="0.2"/>
    <row r="1247" s="438" customFormat="1" x14ac:dyDescent="0.2"/>
    <row r="1248" s="438" customFormat="1" x14ac:dyDescent="0.2"/>
    <row r="1249" s="438" customFormat="1" x14ac:dyDescent="0.2"/>
    <row r="1250" s="438" customFormat="1" x14ac:dyDescent="0.2"/>
    <row r="1251" s="438" customFormat="1" x14ac:dyDescent="0.2"/>
    <row r="1252" s="438" customFormat="1" x14ac:dyDescent="0.2"/>
    <row r="1253" s="438" customFormat="1" x14ac:dyDescent="0.2"/>
    <row r="1254" s="438" customFormat="1" x14ac:dyDescent="0.2"/>
    <row r="1255" s="438" customFormat="1" x14ac:dyDescent="0.2"/>
    <row r="1256" s="438" customFormat="1" x14ac:dyDescent="0.2"/>
    <row r="1257" s="438" customFormat="1" x14ac:dyDescent="0.2"/>
    <row r="1258" s="438" customFormat="1" x14ac:dyDescent="0.2"/>
    <row r="1259" s="438" customFormat="1" x14ac:dyDescent="0.2"/>
    <row r="1260" s="438" customFormat="1" x14ac:dyDescent="0.2"/>
    <row r="1261" s="438" customFormat="1" x14ac:dyDescent="0.2"/>
    <row r="1262" s="438" customFormat="1" x14ac:dyDescent="0.2"/>
    <row r="1263" s="438" customFormat="1" x14ac:dyDescent="0.2"/>
    <row r="1264" s="438" customFormat="1" x14ac:dyDescent="0.2"/>
    <row r="1265" s="438" customFormat="1" x14ac:dyDescent="0.2"/>
    <row r="1266" s="438" customFormat="1" x14ac:dyDescent="0.2"/>
    <row r="1267" s="438" customFormat="1" x14ac:dyDescent="0.2"/>
    <row r="1268" s="438" customFormat="1" x14ac:dyDescent="0.2"/>
    <row r="1269" s="438" customFormat="1" x14ac:dyDescent="0.2"/>
    <row r="1270" s="438" customFormat="1" x14ac:dyDescent="0.2"/>
    <row r="1271" s="438" customFormat="1" x14ac:dyDescent="0.2"/>
    <row r="1272" s="438" customFormat="1" x14ac:dyDescent="0.2"/>
    <row r="1273" s="438" customFormat="1" x14ac:dyDescent="0.2"/>
    <row r="1274" s="438" customFormat="1" x14ac:dyDescent="0.2"/>
    <row r="1275" s="438" customFormat="1" x14ac:dyDescent="0.2"/>
    <row r="1276" s="438" customFormat="1" x14ac:dyDescent="0.2"/>
    <row r="1277" s="438" customFormat="1" x14ac:dyDescent="0.2"/>
    <row r="1278" s="438" customFormat="1" x14ac:dyDescent="0.2"/>
    <row r="1279" s="438" customFormat="1" x14ac:dyDescent="0.2"/>
    <row r="1280" s="438" customFormat="1" x14ac:dyDescent="0.2"/>
    <row r="1281" s="438" customFormat="1" x14ac:dyDescent="0.2"/>
    <row r="1282" s="438" customFormat="1" x14ac:dyDescent="0.2"/>
    <row r="1283" s="438" customFormat="1" x14ac:dyDescent="0.2"/>
    <row r="1284" s="438" customFormat="1" x14ac:dyDescent="0.2"/>
    <row r="1285" s="438" customFormat="1" x14ac:dyDescent="0.2"/>
    <row r="1286" s="438" customFormat="1" x14ac:dyDescent="0.2"/>
    <row r="1287" s="438" customFormat="1" x14ac:dyDescent="0.2"/>
    <row r="1288" s="438" customFormat="1" x14ac:dyDescent="0.2"/>
    <row r="1289" s="438" customFormat="1" x14ac:dyDescent="0.2"/>
    <row r="1290" s="438" customFormat="1" x14ac:dyDescent="0.2"/>
    <row r="1291" s="438" customFormat="1" x14ac:dyDescent="0.2"/>
    <row r="1292" s="438" customFormat="1" x14ac:dyDescent="0.2"/>
    <row r="1293" s="438" customFormat="1" x14ac:dyDescent="0.2"/>
    <row r="1294" s="438" customFormat="1" x14ac:dyDescent="0.2"/>
    <row r="1295" s="438" customFormat="1" x14ac:dyDescent="0.2"/>
    <row r="1296" s="438" customFormat="1" x14ac:dyDescent="0.2"/>
    <row r="1297" s="438" customFormat="1" x14ac:dyDescent="0.2"/>
    <row r="1298" s="438" customFormat="1" x14ac:dyDescent="0.2"/>
    <row r="1299" s="438" customFormat="1" x14ac:dyDescent="0.2"/>
    <row r="1300" s="438" customFormat="1" x14ac:dyDescent="0.2"/>
    <row r="1301" s="438" customFormat="1" x14ac:dyDescent="0.2"/>
    <row r="1302" s="438" customFormat="1" x14ac:dyDescent="0.2"/>
    <row r="1303" s="438" customFormat="1" x14ac:dyDescent="0.2"/>
    <row r="1304" s="438" customFormat="1" x14ac:dyDescent="0.2"/>
    <row r="1305" s="438" customFormat="1" x14ac:dyDescent="0.2"/>
    <row r="1306" s="438" customFormat="1" x14ac:dyDescent="0.2"/>
    <row r="1307" s="438" customFormat="1" x14ac:dyDescent="0.2"/>
    <row r="1308" s="438" customFormat="1" x14ac:dyDescent="0.2"/>
    <row r="1309" s="438" customFormat="1" x14ac:dyDescent="0.2"/>
    <row r="1310" s="438" customFormat="1" x14ac:dyDescent="0.2"/>
    <row r="1311" s="438" customFormat="1" x14ac:dyDescent="0.2"/>
    <row r="1312" s="438" customFormat="1" x14ac:dyDescent="0.2"/>
    <row r="1313" s="438" customFormat="1" x14ac:dyDescent="0.2"/>
    <row r="1314" s="438" customFormat="1" x14ac:dyDescent="0.2"/>
    <row r="1315" s="438" customFormat="1" x14ac:dyDescent="0.2"/>
    <row r="1316" s="438" customFormat="1" x14ac:dyDescent="0.2"/>
    <row r="1317" s="438" customFormat="1" x14ac:dyDescent="0.2"/>
    <row r="1318" s="438" customFormat="1" x14ac:dyDescent="0.2"/>
    <row r="1319" s="438" customFormat="1" x14ac:dyDescent="0.2"/>
    <row r="1320" s="438" customFormat="1" x14ac:dyDescent="0.2"/>
    <row r="1321" s="438" customFormat="1" x14ac:dyDescent="0.2"/>
    <row r="1322" s="438" customFormat="1" x14ac:dyDescent="0.2"/>
    <row r="1323" s="438" customFormat="1" x14ac:dyDescent="0.2"/>
    <row r="1324" s="438" customFormat="1" x14ac:dyDescent="0.2"/>
    <row r="1325" s="438" customFormat="1" x14ac:dyDescent="0.2"/>
    <row r="1326" s="438" customFormat="1" x14ac:dyDescent="0.2"/>
    <row r="1327" s="438" customFormat="1" x14ac:dyDescent="0.2"/>
    <row r="1328" s="438" customFormat="1" x14ac:dyDescent="0.2"/>
    <row r="1329" s="438" customFormat="1" x14ac:dyDescent="0.2"/>
    <row r="1330" s="438" customFormat="1" x14ac:dyDescent="0.2"/>
    <row r="1331" s="438" customFormat="1" x14ac:dyDescent="0.2"/>
    <row r="1332" s="438" customFormat="1" x14ac:dyDescent="0.2"/>
    <row r="1333" s="438" customFormat="1" x14ac:dyDescent="0.2"/>
    <row r="1334" s="438" customFormat="1" x14ac:dyDescent="0.2"/>
    <row r="1335" s="438" customFormat="1" x14ac:dyDescent="0.2"/>
    <row r="1336" s="438" customFormat="1" x14ac:dyDescent="0.2"/>
    <row r="1337" s="438" customFormat="1" x14ac:dyDescent="0.2"/>
    <row r="1338" s="438" customFormat="1" x14ac:dyDescent="0.2"/>
    <row r="1339" s="438" customFormat="1" x14ac:dyDescent="0.2"/>
    <row r="1340" s="438" customFormat="1" x14ac:dyDescent="0.2"/>
    <row r="1341" s="438" customFormat="1" x14ac:dyDescent="0.2"/>
    <row r="1342" s="438" customFormat="1" x14ac:dyDescent="0.2"/>
    <row r="1343" s="438" customFormat="1" x14ac:dyDescent="0.2"/>
    <row r="1344" s="438" customFormat="1" x14ac:dyDescent="0.2"/>
    <row r="1345" s="438" customFormat="1" x14ac:dyDescent="0.2"/>
    <row r="1346" s="438" customFormat="1" x14ac:dyDescent="0.2"/>
    <row r="1347" s="438" customFormat="1" x14ac:dyDescent="0.2"/>
    <row r="1348" s="438" customFormat="1" x14ac:dyDescent="0.2"/>
    <row r="1349" s="438" customFormat="1" x14ac:dyDescent="0.2"/>
    <row r="1350" s="438" customFormat="1" x14ac:dyDescent="0.2"/>
    <row r="1351" s="438" customFormat="1" x14ac:dyDescent="0.2"/>
    <row r="1352" s="438" customFormat="1" x14ac:dyDescent="0.2"/>
    <row r="1353" s="438" customFormat="1" x14ac:dyDescent="0.2"/>
    <row r="1354" s="438" customFormat="1" x14ac:dyDescent="0.2"/>
    <row r="1355" s="438" customFormat="1" x14ac:dyDescent="0.2"/>
    <row r="1356" s="438" customFormat="1" x14ac:dyDescent="0.2"/>
    <row r="1357" s="438" customFormat="1" x14ac:dyDescent="0.2"/>
    <row r="1358" s="438" customFormat="1" x14ac:dyDescent="0.2"/>
    <row r="1359" s="438" customFormat="1" x14ac:dyDescent="0.2"/>
    <row r="1360" s="438" customFormat="1" x14ac:dyDescent="0.2"/>
    <row r="1361" s="438" customFormat="1" x14ac:dyDescent="0.2"/>
    <row r="1362" s="438" customFormat="1" x14ac:dyDescent="0.2"/>
    <row r="1363" s="438" customFormat="1" x14ac:dyDescent="0.2"/>
    <row r="1364" s="438" customFormat="1" x14ac:dyDescent="0.2"/>
    <row r="1365" s="438" customFormat="1" x14ac:dyDescent="0.2"/>
    <row r="1366" s="438" customFormat="1" x14ac:dyDescent="0.2"/>
    <row r="1367" s="438" customFormat="1" x14ac:dyDescent="0.2"/>
    <row r="1368" s="438" customFormat="1" x14ac:dyDescent="0.2"/>
    <row r="1369" s="438" customFormat="1" x14ac:dyDescent="0.2"/>
    <row r="1370" s="438" customFormat="1" x14ac:dyDescent="0.2"/>
    <row r="1371" s="438" customFormat="1" x14ac:dyDescent="0.2"/>
    <row r="1372" s="438" customFormat="1" x14ac:dyDescent="0.2"/>
    <row r="1373" s="438" customFormat="1" x14ac:dyDescent="0.2"/>
    <row r="1374" s="438" customFormat="1" x14ac:dyDescent="0.2"/>
    <row r="1375" s="438" customFormat="1" x14ac:dyDescent="0.2"/>
    <row r="1376" s="438" customFormat="1" x14ac:dyDescent="0.2"/>
    <row r="1377" s="438" customFormat="1" x14ac:dyDescent="0.2"/>
    <row r="1378" s="438" customFormat="1" x14ac:dyDescent="0.2"/>
    <row r="1379" s="438" customFormat="1" x14ac:dyDescent="0.2"/>
    <row r="1380" s="438" customFormat="1" x14ac:dyDescent="0.2"/>
    <row r="1381" s="438" customFormat="1" x14ac:dyDescent="0.2"/>
    <row r="1382" s="438" customFormat="1" x14ac:dyDescent="0.2"/>
    <row r="1383" s="438" customFormat="1" x14ac:dyDescent="0.2"/>
    <row r="1384" s="438" customFormat="1" x14ac:dyDescent="0.2"/>
    <row r="1385" s="438" customFormat="1" x14ac:dyDescent="0.2"/>
    <row r="1386" s="438" customFormat="1" x14ac:dyDescent="0.2"/>
    <row r="1387" s="438" customFormat="1" x14ac:dyDescent="0.2"/>
    <row r="1388" s="438" customFormat="1" x14ac:dyDescent="0.2"/>
    <row r="1389" s="438" customFormat="1" x14ac:dyDescent="0.2"/>
    <row r="1390" s="438" customFormat="1" x14ac:dyDescent="0.2"/>
    <row r="1391" s="438" customFormat="1" x14ac:dyDescent="0.2"/>
    <row r="1392" s="438" customFormat="1" x14ac:dyDescent="0.2"/>
    <row r="1393" s="438" customFormat="1" x14ac:dyDescent="0.2"/>
    <row r="1394" s="438" customFormat="1" x14ac:dyDescent="0.2"/>
    <row r="1395" s="438" customFormat="1" x14ac:dyDescent="0.2"/>
    <row r="1396" s="438" customFormat="1" x14ac:dyDescent="0.2"/>
    <row r="1397" s="438" customFormat="1" x14ac:dyDescent="0.2"/>
    <row r="1398" s="438" customFormat="1" x14ac:dyDescent="0.2"/>
    <row r="1399" s="438" customFormat="1" x14ac:dyDescent="0.2"/>
    <row r="1400" s="438" customFormat="1" x14ac:dyDescent="0.2"/>
    <row r="1401" s="438" customFormat="1" x14ac:dyDescent="0.2"/>
    <row r="1402" s="438" customFormat="1" x14ac:dyDescent="0.2"/>
    <row r="1403" s="438" customFormat="1" x14ac:dyDescent="0.2"/>
    <row r="1404" s="438" customFormat="1" x14ac:dyDescent="0.2"/>
    <row r="1405" s="438" customFormat="1" x14ac:dyDescent="0.2"/>
    <row r="1406" s="438" customFormat="1" x14ac:dyDescent="0.2"/>
    <row r="1407" s="438" customFormat="1" x14ac:dyDescent="0.2"/>
    <row r="1408" s="438" customFormat="1" x14ac:dyDescent="0.2"/>
    <row r="1409" s="438" customFormat="1" x14ac:dyDescent="0.2"/>
    <row r="1410" s="438" customFormat="1" x14ac:dyDescent="0.2"/>
    <row r="1411" s="438" customFormat="1" x14ac:dyDescent="0.2"/>
    <row r="1412" s="438" customFormat="1" x14ac:dyDescent="0.2"/>
    <row r="1413" s="438" customFormat="1" x14ac:dyDescent="0.2"/>
    <row r="1414" s="438" customFormat="1" x14ac:dyDescent="0.2"/>
    <row r="1415" s="438" customFormat="1" x14ac:dyDescent="0.2"/>
    <row r="1416" s="438" customFormat="1" x14ac:dyDescent="0.2"/>
    <row r="1417" s="438" customFormat="1" x14ac:dyDescent="0.2"/>
    <row r="1418" s="438" customFormat="1" x14ac:dyDescent="0.2"/>
    <row r="1419" s="438" customFormat="1" x14ac:dyDescent="0.2"/>
    <row r="1420" s="438" customFormat="1" x14ac:dyDescent="0.2"/>
    <row r="1421" s="438" customFormat="1" x14ac:dyDescent="0.2"/>
    <row r="1422" s="438" customFormat="1" x14ac:dyDescent="0.2"/>
    <row r="1423" s="438" customFormat="1" x14ac:dyDescent="0.2"/>
    <row r="1424" s="438" customFormat="1" x14ac:dyDescent="0.2"/>
    <row r="1425" s="438" customFormat="1" x14ac:dyDescent="0.2"/>
    <row r="1426" s="438" customFormat="1" x14ac:dyDescent="0.2"/>
    <row r="1427" s="438" customFormat="1" x14ac:dyDescent="0.2"/>
    <row r="1428" s="438" customFormat="1" x14ac:dyDescent="0.2"/>
    <row r="1429" s="438" customFormat="1" x14ac:dyDescent="0.2"/>
    <row r="1430" s="438" customFormat="1" x14ac:dyDescent="0.2"/>
    <row r="1431" s="438" customFormat="1" x14ac:dyDescent="0.2"/>
    <row r="1432" s="438" customFormat="1" x14ac:dyDescent="0.2"/>
    <row r="1433" s="438" customFormat="1" x14ac:dyDescent="0.2"/>
    <row r="1434" s="438" customFormat="1" x14ac:dyDescent="0.2"/>
    <row r="1435" s="438" customFormat="1" x14ac:dyDescent="0.2"/>
    <row r="1436" s="438" customFormat="1" x14ac:dyDescent="0.2"/>
    <row r="1437" s="438" customFormat="1" x14ac:dyDescent="0.2"/>
    <row r="1438" s="438" customFormat="1" x14ac:dyDescent="0.2"/>
    <row r="1439" s="438" customFormat="1" x14ac:dyDescent="0.2"/>
    <row r="1440" s="438" customFormat="1" x14ac:dyDescent="0.2"/>
    <row r="1441" s="438" customFormat="1" x14ac:dyDescent="0.2"/>
    <row r="1442" s="438" customFormat="1" x14ac:dyDescent="0.2"/>
    <row r="1443" s="438" customFormat="1" x14ac:dyDescent="0.2"/>
    <row r="1444" s="438" customFormat="1" x14ac:dyDescent="0.2"/>
    <row r="1445" s="438" customFormat="1" x14ac:dyDescent="0.2"/>
    <row r="1446" s="438" customFormat="1" x14ac:dyDescent="0.2"/>
    <row r="1447" s="438" customFormat="1" x14ac:dyDescent="0.2"/>
    <row r="1448" s="438" customFormat="1" x14ac:dyDescent="0.2"/>
    <row r="1449" s="438" customFormat="1" x14ac:dyDescent="0.2"/>
    <row r="1450" s="438" customFormat="1" x14ac:dyDescent="0.2"/>
    <row r="1451" s="438" customFormat="1" x14ac:dyDescent="0.2"/>
    <row r="1452" s="438" customFormat="1" x14ac:dyDescent="0.2"/>
    <row r="1453" s="438" customFormat="1" x14ac:dyDescent="0.2"/>
    <row r="1454" s="438" customFormat="1" x14ac:dyDescent="0.2"/>
    <row r="1455" s="438" customFormat="1" x14ac:dyDescent="0.2"/>
    <row r="1456" s="438" customFormat="1" x14ac:dyDescent="0.2"/>
    <row r="1457" s="438" customFormat="1" x14ac:dyDescent="0.2"/>
    <row r="1458" s="438" customFormat="1" x14ac:dyDescent="0.2"/>
    <row r="1459" s="438" customFormat="1" x14ac:dyDescent="0.2"/>
    <row r="1460" s="438" customFormat="1" x14ac:dyDescent="0.2"/>
    <row r="1461" s="438" customFormat="1" x14ac:dyDescent="0.2"/>
    <row r="1462" s="438" customFormat="1" x14ac:dyDescent="0.2"/>
    <row r="1463" s="438" customFormat="1" x14ac:dyDescent="0.2"/>
    <row r="1464" s="438" customFormat="1" x14ac:dyDescent="0.2"/>
    <row r="1465" s="438" customFormat="1" x14ac:dyDescent="0.2"/>
    <row r="1466" s="438" customFormat="1" x14ac:dyDescent="0.2"/>
    <row r="1467" s="438" customFormat="1" x14ac:dyDescent="0.2"/>
    <row r="1468" s="438" customFormat="1" x14ac:dyDescent="0.2"/>
    <row r="1469" s="438" customFormat="1" x14ac:dyDescent="0.2"/>
    <row r="1470" s="438" customFormat="1" x14ac:dyDescent="0.2"/>
    <row r="1471" s="438" customFormat="1" x14ac:dyDescent="0.2"/>
    <row r="1472" s="438" customFormat="1" x14ac:dyDescent="0.2"/>
    <row r="1473" s="438" customFormat="1" x14ac:dyDescent="0.2"/>
    <row r="1474" s="438" customFormat="1" x14ac:dyDescent="0.2"/>
    <row r="1475" s="438" customFormat="1" x14ac:dyDescent="0.2"/>
    <row r="1476" s="438" customFormat="1" x14ac:dyDescent="0.2"/>
    <row r="1477" s="438" customFormat="1" x14ac:dyDescent="0.2"/>
    <row r="1478" s="438" customFormat="1" x14ac:dyDescent="0.2"/>
    <row r="1479" s="438" customFormat="1" x14ac:dyDescent="0.2"/>
    <row r="1480" s="438" customFormat="1" x14ac:dyDescent="0.2"/>
    <row r="1481" s="438" customFormat="1" x14ac:dyDescent="0.2"/>
    <row r="1482" s="438" customFormat="1" x14ac:dyDescent="0.2"/>
    <row r="1483" s="438" customFormat="1" x14ac:dyDescent="0.2"/>
    <row r="1484" s="438" customFormat="1" x14ac:dyDescent="0.2"/>
    <row r="1485" s="438" customFormat="1" x14ac:dyDescent="0.2"/>
    <row r="1486" s="438" customFormat="1" x14ac:dyDescent="0.2"/>
    <row r="1487" s="438" customFormat="1" x14ac:dyDescent="0.2"/>
    <row r="1488" s="438" customFormat="1" x14ac:dyDescent="0.2"/>
    <row r="1489" s="438" customFormat="1" x14ac:dyDescent="0.2"/>
    <row r="1490" s="438" customFormat="1" x14ac:dyDescent="0.2"/>
    <row r="1491" s="438" customFormat="1" x14ac:dyDescent="0.2"/>
    <row r="1492" s="438" customFormat="1" x14ac:dyDescent="0.2"/>
    <row r="1493" s="438" customFormat="1" x14ac:dyDescent="0.2"/>
    <row r="1494" s="438" customFormat="1" x14ac:dyDescent="0.2"/>
    <row r="1495" s="438" customFormat="1" x14ac:dyDescent="0.2"/>
    <row r="1496" s="438" customFormat="1" x14ac:dyDescent="0.2"/>
    <row r="1497" s="438" customFormat="1" x14ac:dyDescent="0.2"/>
    <row r="1498" s="438" customFormat="1" x14ac:dyDescent="0.2"/>
    <row r="1499" s="438" customFormat="1" x14ac:dyDescent="0.2"/>
    <row r="1500" s="438" customFormat="1" x14ac:dyDescent="0.2"/>
    <row r="1501" s="438" customFormat="1" x14ac:dyDescent="0.2"/>
    <row r="1502" s="438" customFormat="1" x14ac:dyDescent="0.2"/>
    <row r="1503" s="438" customFormat="1" x14ac:dyDescent="0.2"/>
    <row r="1504" s="438" customFormat="1" x14ac:dyDescent="0.2"/>
    <row r="1505" s="438" customFormat="1" x14ac:dyDescent="0.2"/>
    <row r="1506" s="438" customFormat="1" x14ac:dyDescent="0.2"/>
    <row r="1507" s="438" customFormat="1" x14ac:dyDescent="0.2"/>
    <row r="1508" s="438" customFormat="1" x14ac:dyDescent="0.2"/>
    <row r="1509" s="438" customFormat="1" x14ac:dyDescent="0.2"/>
    <row r="1510" s="438" customFormat="1" x14ac:dyDescent="0.2"/>
    <row r="1511" s="438" customFormat="1" x14ac:dyDescent="0.2"/>
    <row r="1512" s="438" customFormat="1" x14ac:dyDescent="0.2"/>
    <row r="1513" s="438" customFormat="1" x14ac:dyDescent="0.2"/>
    <row r="1514" s="438" customFormat="1" x14ac:dyDescent="0.2"/>
    <row r="1515" s="438" customFormat="1" x14ac:dyDescent="0.2"/>
    <row r="1516" s="438" customFormat="1" x14ac:dyDescent="0.2"/>
    <row r="1517" s="438" customFormat="1" x14ac:dyDescent="0.2"/>
    <row r="1518" s="438" customFormat="1" x14ac:dyDescent="0.2"/>
    <row r="1519" s="438" customFormat="1" x14ac:dyDescent="0.2"/>
    <row r="1520" s="438" customFormat="1" x14ac:dyDescent="0.2"/>
    <row r="1521" s="438" customFormat="1" x14ac:dyDescent="0.2"/>
    <row r="1522" s="438" customFormat="1" x14ac:dyDescent="0.2"/>
    <row r="1523" s="438" customFormat="1" x14ac:dyDescent="0.2"/>
    <row r="1524" s="438" customFormat="1" x14ac:dyDescent="0.2"/>
    <row r="1525" s="438" customFormat="1" x14ac:dyDescent="0.2"/>
    <row r="1526" s="438" customFormat="1" x14ac:dyDescent="0.2"/>
    <row r="1527" s="438" customFormat="1" x14ac:dyDescent="0.2"/>
    <row r="1528" s="438" customFormat="1" x14ac:dyDescent="0.2"/>
    <row r="1529" s="438" customFormat="1" x14ac:dyDescent="0.2"/>
    <row r="1530" s="438" customFormat="1" x14ac:dyDescent="0.2"/>
    <row r="1531" s="438" customFormat="1" x14ac:dyDescent="0.2"/>
    <row r="1532" s="438" customFormat="1" x14ac:dyDescent="0.2"/>
    <row r="1533" s="438" customFormat="1" x14ac:dyDescent="0.2"/>
    <row r="1534" s="438" customFormat="1" x14ac:dyDescent="0.2"/>
    <row r="1535" s="438" customFormat="1" x14ac:dyDescent="0.2"/>
    <row r="1536" s="438" customFormat="1" x14ac:dyDescent="0.2"/>
    <row r="1537" s="438" customFormat="1" x14ac:dyDescent="0.2"/>
    <row r="1538" s="438" customFormat="1" x14ac:dyDescent="0.2"/>
    <row r="1539" s="438" customFormat="1" x14ac:dyDescent="0.2"/>
    <row r="1540" s="438" customFormat="1" x14ac:dyDescent="0.2"/>
    <row r="1541" s="438" customFormat="1" x14ac:dyDescent="0.2"/>
    <row r="1542" s="438" customFormat="1" x14ac:dyDescent="0.2"/>
    <row r="1543" s="438" customFormat="1" x14ac:dyDescent="0.2"/>
    <row r="1544" s="438" customFormat="1" x14ac:dyDescent="0.2"/>
    <row r="1545" s="438" customFormat="1" x14ac:dyDescent="0.2"/>
    <row r="1546" s="438" customFormat="1" x14ac:dyDescent="0.2"/>
    <row r="1547" s="438" customFormat="1" x14ac:dyDescent="0.2"/>
    <row r="1548" s="438" customFormat="1" x14ac:dyDescent="0.2"/>
    <row r="1549" s="438" customFormat="1" x14ac:dyDescent="0.2"/>
    <row r="1550" s="438" customFormat="1" x14ac:dyDescent="0.2"/>
    <row r="1551" s="438" customFormat="1" x14ac:dyDescent="0.2"/>
    <row r="1552" s="438" customFormat="1" x14ac:dyDescent="0.2"/>
    <row r="1553" s="438" customFormat="1" x14ac:dyDescent="0.2"/>
    <row r="1554" s="438" customFormat="1" x14ac:dyDescent="0.2"/>
    <row r="1555" s="438" customFormat="1" x14ac:dyDescent="0.2"/>
    <row r="1556" s="438" customFormat="1" x14ac:dyDescent="0.2"/>
    <row r="1557" s="438" customFormat="1" x14ac:dyDescent="0.2"/>
    <row r="1558" s="438" customFormat="1" x14ac:dyDescent="0.2"/>
    <row r="1559" s="438" customFormat="1" x14ac:dyDescent="0.2"/>
    <row r="1560" s="438" customFormat="1" x14ac:dyDescent="0.2"/>
    <row r="1561" s="438" customFormat="1" x14ac:dyDescent="0.2"/>
    <row r="1562" s="438" customFormat="1" x14ac:dyDescent="0.2"/>
    <row r="1563" s="438" customFormat="1" x14ac:dyDescent="0.2"/>
    <row r="1564" s="438" customFormat="1" x14ac:dyDescent="0.2"/>
    <row r="1565" s="438" customFormat="1" x14ac:dyDescent="0.2"/>
    <row r="1566" s="438" customFormat="1" x14ac:dyDescent="0.2"/>
    <row r="1567" s="438" customFormat="1" x14ac:dyDescent="0.2"/>
    <row r="1568" s="438" customFormat="1" x14ac:dyDescent="0.2"/>
    <row r="1569" s="438" customFormat="1" x14ac:dyDescent="0.2"/>
    <row r="1570" s="438" customFormat="1" x14ac:dyDescent="0.2"/>
    <row r="1571" s="438" customFormat="1" x14ac:dyDescent="0.2"/>
    <row r="1572" s="438" customFormat="1" x14ac:dyDescent="0.2"/>
    <row r="1573" s="438" customFormat="1" x14ac:dyDescent="0.2"/>
    <row r="1574" s="438" customFormat="1" x14ac:dyDescent="0.2"/>
    <row r="1575" s="438" customFormat="1" x14ac:dyDescent="0.2"/>
    <row r="1576" s="438" customFormat="1" x14ac:dyDescent="0.2"/>
    <row r="1577" s="438" customFormat="1" x14ac:dyDescent="0.2"/>
    <row r="1578" s="438" customFormat="1" x14ac:dyDescent="0.2"/>
    <row r="1579" s="438" customFormat="1" x14ac:dyDescent="0.2"/>
    <row r="1580" s="438" customFormat="1" x14ac:dyDescent="0.2"/>
    <row r="1581" s="438" customFormat="1" x14ac:dyDescent="0.2"/>
    <row r="1582" s="438" customFormat="1" x14ac:dyDescent="0.2"/>
    <row r="1583" s="438" customFormat="1" x14ac:dyDescent="0.2"/>
    <row r="1584" s="438" customFormat="1" x14ac:dyDescent="0.2"/>
    <row r="1585" s="438" customFormat="1" x14ac:dyDescent="0.2"/>
    <row r="1586" s="438" customFormat="1" x14ac:dyDescent="0.2"/>
    <row r="1587" s="438" customFormat="1" x14ac:dyDescent="0.2"/>
    <row r="1588" s="438" customFormat="1" x14ac:dyDescent="0.2"/>
    <row r="1589" s="438" customFormat="1" x14ac:dyDescent="0.2"/>
    <row r="1590" s="438" customFormat="1" x14ac:dyDescent="0.2"/>
    <row r="1591" s="438" customFormat="1" x14ac:dyDescent="0.2"/>
    <row r="1592" s="438" customFormat="1" x14ac:dyDescent="0.2"/>
    <row r="1593" s="438" customFormat="1" x14ac:dyDescent="0.2"/>
    <row r="1594" s="438" customFormat="1" x14ac:dyDescent="0.2"/>
    <row r="1595" s="438" customFormat="1" x14ac:dyDescent="0.2"/>
    <row r="1596" s="438" customFormat="1" x14ac:dyDescent="0.2"/>
    <row r="1597" s="438" customFormat="1" x14ac:dyDescent="0.2"/>
    <row r="1598" s="438" customFormat="1" x14ac:dyDescent="0.2"/>
    <row r="1599" s="438" customFormat="1" x14ac:dyDescent="0.2"/>
    <row r="1600" s="438" customFormat="1" x14ac:dyDescent="0.2"/>
    <row r="1601" s="438" customFormat="1" x14ac:dyDescent="0.2"/>
    <row r="1602" s="438" customFormat="1" x14ac:dyDescent="0.2"/>
    <row r="1603" s="438" customFormat="1" x14ac:dyDescent="0.2"/>
    <row r="1604" s="438" customFormat="1" x14ac:dyDescent="0.2"/>
    <row r="1605" s="438" customFormat="1" x14ac:dyDescent="0.2"/>
    <row r="1606" s="438" customFormat="1" x14ac:dyDescent="0.2"/>
    <row r="1607" s="438" customFormat="1" x14ac:dyDescent="0.2"/>
    <row r="1608" s="438" customFormat="1" x14ac:dyDescent="0.2"/>
    <row r="1609" s="438" customFormat="1" x14ac:dyDescent="0.2"/>
    <row r="1610" s="438" customFormat="1" x14ac:dyDescent="0.2"/>
    <row r="1611" s="438" customFormat="1" x14ac:dyDescent="0.2"/>
    <row r="1612" s="438" customFormat="1" x14ac:dyDescent="0.2"/>
    <row r="1613" s="438" customFormat="1" x14ac:dyDescent="0.2"/>
    <row r="1614" s="438" customFormat="1" x14ac:dyDescent="0.2"/>
    <row r="1615" s="438" customFormat="1" x14ac:dyDescent="0.2"/>
    <row r="1616" s="438" customFormat="1" x14ac:dyDescent="0.2"/>
    <row r="1617" s="438" customFormat="1" x14ac:dyDescent="0.2"/>
    <row r="1618" s="438" customFormat="1" x14ac:dyDescent="0.2"/>
    <row r="1619" s="438" customFormat="1" x14ac:dyDescent="0.2"/>
    <row r="1620" s="438" customFormat="1" x14ac:dyDescent="0.2"/>
    <row r="1621" s="438" customFormat="1" x14ac:dyDescent="0.2"/>
    <row r="1622" s="438" customFormat="1" x14ac:dyDescent="0.2"/>
    <row r="1623" s="438" customFormat="1" x14ac:dyDescent="0.2"/>
    <row r="1624" s="438" customFormat="1" x14ac:dyDescent="0.2"/>
    <row r="1625" s="438" customFormat="1" x14ac:dyDescent="0.2"/>
    <row r="1626" s="438" customFormat="1" x14ac:dyDescent="0.2"/>
    <row r="1627" s="438" customFormat="1" x14ac:dyDescent="0.2"/>
    <row r="1628" s="438" customFormat="1" x14ac:dyDescent="0.2"/>
    <row r="1629" s="438" customFormat="1" x14ac:dyDescent="0.2"/>
    <row r="1630" s="438" customFormat="1" x14ac:dyDescent="0.2"/>
    <row r="1631" s="438" customFormat="1" x14ac:dyDescent="0.2"/>
    <row r="1632" s="438" customFormat="1" x14ac:dyDescent="0.2"/>
    <row r="1633" s="438" customFormat="1" x14ac:dyDescent="0.2"/>
    <row r="1634" s="438" customFormat="1" x14ac:dyDescent="0.2"/>
    <row r="1635" s="438" customFormat="1" x14ac:dyDescent="0.2"/>
    <row r="1636" s="438" customFormat="1" x14ac:dyDescent="0.2"/>
    <row r="1637" s="438" customFormat="1" x14ac:dyDescent="0.2"/>
    <row r="1638" s="438" customFormat="1" x14ac:dyDescent="0.2"/>
    <row r="1639" s="438" customFormat="1" x14ac:dyDescent="0.2"/>
    <row r="1640" s="438" customFormat="1" x14ac:dyDescent="0.2"/>
    <row r="1641" s="438" customFormat="1" x14ac:dyDescent="0.2"/>
    <row r="1642" s="438" customFormat="1" x14ac:dyDescent="0.2"/>
    <row r="1643" s="438" customFormat="1" x14ac:dyDescent="0.2"/>
    <row r="1644" s="438" customFormat="1" x14ac:dyDescent="0.2"/>
    <row r="1645" s="438" customFormat="1" x14ac:dyDescent="0.2"/>
    <row r="1646" s="438" customFormat="1" x14ac:dyDescent="0.2"/>
  </sheetData>
  <mergeCells count="13">
    <mergeCell ref="C30:H30"/>
    <mergeCell ref="C31:H31"/>
    <mergeCell ref="C32:H32"/>
    <mergeCell ref="C33:H33"/>
    <mergeCell ref="C26:H26"/>
    <mergeCell ref="C27:H27"/>
    <mergeCell ref="L2:N2"/>
    <mergeCell ref="B23:N23"/>
    <mergeCell ref="C24:H24"/>
    <mergeCell ref="C25:H25"/>
    <mergeCell ref="B2:C3"/>
    <mergeCell ref="D2:F2"/>
    <mergeCell ref="H2:J2"/>
  </mergeCells>
  <phoneticPr fontId="49" type="noConversion"/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Príjmy 2024</vt:lpstr>
      <vt:lpstr>Výdavky 2024</vt:lpstr>
      <vt:lpstr>Sumarizácia 2024</vt:lpstr>
      <vt:lpstr>Príjmy viacročné</vt:lpstr>
      <vt:lpstr>Výdavky viacročné</vt:lpstr>
      <vt:lpstr>Sumarizácia 2024-26</vt:lpstr>
      <vt:lpstr>'Príjmy 2024'!Oblasť_tlače</vt:lpstr>
      <vt:lpstr>'Príjmy viacročné'!Oblasť_tlače</vt:lpstr>
      <vt:lpstr>'Sumarizácia 2024'!Oblasť_tlače</vt:lpstr>
      <vt:lpstr>'Sumarizácia 2024-26'!Oblasť_tlače</vt:lpstr>
      <vt:lpstr>'Výdavky 2024'!Oblasť_tlače</vt:lpstr>
      <vt:lpstr>'Výdavky viacročné'!Oblasť_tlače</vt:lpstr>
    </vt:vector>
  </TitlesOfParts>
  <Company>corageo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Prnová Žilková Andrea, Ing.</cp:lastModifiedBy>
  <cp:lastPrinted>2023-12-04T09:20:43Z</cp:lastPrinted>
  <dcterms:created xsi:type="dcterms:W3CDTF">2014-05-27T11:25:41Z</dcterms:created>
  <dcterms:modified xsi:type="dcterms:W3CDTF">2023-12-20T10:04:22Z</dcterms:modified>
</cp:coreProperties>
</file>