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2\Záverečný účet mesta 2022\"/>
    </mc:Choice>
  </mc:AlternateContent>
  <xr:revisionPtr revIDLastSave="0" documentId="13_ncr:1_{F10854B5-355B-450A-96A4-1DB6981C3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zamest_ZŠ" sheetId="22" r:id="rId22"/>
    <sheet name="Počet_žiakov_a_tried" sheetId="23" r:id="rId23"/>
    <sheet name="Zoznam_org_" sheetId="24" r:id="rId24"/>
    <sheet name="ESA" sheetId="25" r:id="rId25"/>
  </sheets>
  <externalReferences>
    <externalReference r:id="rId26"/>
  </externalReferences>
  <definedNames>
    <definedName name="_xlnm.Print_Area" localSheetId="6">Bežné_dotácie!$C$3:$F$61</definedName>
    <definedName name="_xlnm.Print_Area" localSheetId="17">'BV-funkčná_kl_'!$B$2:$G$51</definedName>
    <definedName name="_xlnm.Print_Area" localSheetId="10">Dotácie_kultúra!$B$1:$E$66</definedName>
    <definedName name="_xlnm.Print_Area" localSheetId="8">Dotácie_na_šport_1!$B$3:$D$39</definedName>
    <definedName name="_xlnm.Print_Area" localSheetId="9">Dotácie_na_šport_2!$B$3:$E$81</definedName>
    <definedName name="_xlnm.Print_Area" localSheetId="12">Dotácie_v_oblasti_školstva!$B$3:$E$23</definedName>
    <definedName name="_xlnm.Print_Area" localSheetId="13">Dotácie_v_oblasti_ŽP!$B$2:$E$16</definedName>
    <definedName name="_xlnm.Print_Area" localSheetId="11">Dotácie_v_soc_oblasti!$B$2:$E$38</definedName>
    <definedName name="_xlnm.Print_Area" localSheetId="24">ESA!$D$2:$F$31</definedName>
    <definedName name="_xlnm.Print_Area" localSheetId="20">FO_podľa_RK!$B$2:$F$14</definedName>
    <definedName name="_xlnm.Print_Area" localSheetId="7">Kapitálové_dotácie!$B$3:$E$18</definedName>
    <definedName name="_xlnm.Print_Area" localSheetId="18">'KV-funkčná_kl_'!$B$2:$G$40</definedName>
    <definedName name="_xlnm.Print_Area" localSheetId="4">Materské_školy!$B$2:$I$73</definedName>
    <definedName name="_xlnm.Print_Area" localSheetId="1">MHSL!$B$1:$H$72</definedName>
    <definedName name="_xlnm.Print_Area" localSheetId="21">Počet_zamest_ZŠ!$B$2:$I$21</definedName>
    <definedName name="_xlnm.Print_Area" localSheetId="22">Počet_žiakov_a_tried!$B$2:$U$25</definedName>
    <definedName name="_xlnm.Print_Area" localSheetId="14">Pohľadávky!$B$1:$E$24</definedName>
    <definedName name="_xlnm.Print_Area" localSheetId="15">Prehľad_dlhu!$B$2:$J$46</definedName>
    <definedName name="_xlnm.Print_Area" localSheetId="2">SSMT!$B$2:$G$68</definedName>
    <definedName name="_xlnm.Print_Area" localSheetId="0">Súvahy!$B$3:$L$23</definedName>
    <definedName name="_xlnm.Print_Area" localSheetId="3">ŠZMT!$B$1:$H$30</definedName>
    <definedName name="_xlnm.Print_Area" localSheetId="19">Výdavky_ek_kl_!$B$3:$F$31</definedName>
    <definedName name="_xlnm.Print_Area" localSheetId="16">Vývoj_dlhovej_služby!$B$2:$H$38</definedName>
    <definedName name="_xlnm.Print_Area" localSheetId="5">Základné_školy!$B$7:$K$375</definedName>
    <definedName name="_xlnm.Print_Area" localSheetId="23">Zoznam_org_!$B$2:$D$21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5" l="1"/>
  <c r="F15" i="25"/>
  <c r="F14" i="25"/>
  <c r="F11" i="25"/>
  <c r="F10" i="25" s="1"/>
  <c r="F9" i="25"/>
  <c r="F8" i="25"/>
  <c r="F7" i="25"/>
  <c r="F23" i="25"/>
  <c r="F20" i="25"/>
  <c r="H16" i="17"/>
  <c r="H17" i="17"/>
  <c r="F26" i="25" l="1"/>
  <c r="F13" i="25"/>
  <c r="F6" i="25"/>
  <c r="F18" i="25" l="1"/>
  <c r="F27" i="25" s="1"/>
  <c r="F17" i="25"/>
  <c r="H11" i="17"/>
  <c r="H13" i="17"/>
  <c r="F7" i="7"/>
  <c r="F61" i="7"/>
  <c r="C11" i="7" l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D11" i="21" l="1"/>
  <c r="E7" i="21"/>
  <c r="F7" i="21"/>
  <c r="D7" i="21"/>
  <c r="D22" i="20"/>
  <c r="F29" i="19" l="1"/>
  <c r="G29" i="19"/>
  <c r="E29" i="19"/>
  <c r="F20" i="19"/>
  <c r="G20" i="19"/>
  <c r="E20" i="19"/>
  <c r="E41" i="18"/>
  <c r="E36" i="18" s="1"/>
  <c r="E7" i="18"/>
  <c r="H290" i="6" l="1"/>
  <c r="E290" i="6"/>
  <c r="E285" i="6"/>
  <c r="E283" i="6"/>
  <c r="E282" i="6"/>
  <c r="E269" i="6" l="1"/>
  <c r="D213" i="6"/>
  <c r="E213" i="6"/>
  <c r="F213" i="6"/>
  <c r="G213" i="6"/>
  <c r="C213" i="6"/>
  <c r="H214" i="6"/>
  <c r="G282" i="6"/>
  <c r="H282" i="6"/>
  <c r="I282" i="6"/>
  <c r="J282" i="6"/>
  <c r="D282" i="6"/>
  <c r="C147" i="6"/>
  <c r="E147" i="6"/>
  <c r="F147" i="6"/>
  <c r="G147" i="6"/>
  <c r="H147" i="6"/>
  <c r="D147" i="6"/>
  <c r="I148" i="6"/>
  <c r="G284" i="6"/>
  <c r="J97" i="6"/>
  <c r="J96" i="6"/>
  <c r="J95" i="6"/>
  <c r="J94" i="6"/>
  <c r="J93" i="6"/>
  <c r="J92" i="6"/>
  <c r="J91" i="6"/>
  <c r="J90" i="6"/>
  <c r="J89" i="6"/>
  <c r="J87" i="6"/>
  <c r="J86" i="6"/>
  <c r="F88" i="6"/>
  <c r="F98" i="6" s="1"/>
  <c r="G88" i="6"/>
  <c r="G98" i="6" s="1"/>
  <c r="H88" i="6"/>
  <c r="H98" i="6" s="1"/>
  <c r="I88" i="6"/>
  <c r="I98" i="6" s="1"/>
  <c r="H213" i="6" l="1"/>
  <c r="K282" i="6"/>
  <c r="F284" i="6"/>
  <c r="H291" i="6" l="1"/>
  <c r="E291" i="6"/>
  <c r="I62" i="6"/>
  <c r="E292" i="6"/>
  <c r="K291" i="6" l="1"/>
  <c r="I31" i="6"/>
  <c r="F74" i="5"/>
  <c r="E74" i="5"/>
  <c r="D74" i="5"/>
  <c r="C74" i="5"/>
  <c r="F73" i="5"/>
  <c r="E73" i="5"/>
  <c r="D73" i="5"/>
  <c r="C73" i="5"/>
  <c r="F72" i="5"/>
  <c r="E72" i="5"/>
  <c r="D72" i="5"/>
  <c r="C72" i="5"/>
  <c r="F71" i="5"/>
  <c r="E71" i="5"/>
  <c r="D71" i="5"/>
  <c r="C71" i="5"/>
  <c r="F70" i="5"/>
  <c r="E70" i="5"/>
  <c r="D70" i="5"/>
  <c r="C70" i="5"/>
  <c r="F69" i="5"/>
  <c r="E69" i="5"/>
  <c r="D69" i="5"/>
  <c r="C69" i="5"/>
  <c r="F68" i="5"/>
  <c r="E68" i="5"/>
  <c r="D68" i="5"/>
  <c r="C68" i="5"/>
  <c r="F67" i="5"/>
  <c r="E67" i="5"/>
  <c r="D67" i="5"/>
  <c r="C67" i="5"/>
  <c r="F66" i="5"/>
  <c r="E66" i="5"/>
  <c r="D66" i="5"/>
  <c r="C66" i="5"/>
  <c r="F65" i="5"/>
  <c r="E65" i="5"/>
  <c r="D65" i="5"/>
  <c r="C65" i="5"/>
  <c r="F64" i="5"/>
  <c r="E64" i="5"/>
  <c r="D64" i="5"/>
  <c r="C64" i="5"/>
  <c r="F63" i="5"/>
  <c r="E63" i="5"/>
  <c r="D63" i="5"/>
  <c r="C63" i="5"/>
  <c r="F62" i="5"/>
  <c r="E62" i="5"/>
  <c r="D62" i="5"/>
  <c r="C62" i="5"/>
  <c r="F61" i="5"/>
  <c r="E61" i="5"/>
  <c r="D61" i="5"/>
  <c r="C61" i="5"/>
  <c r="F60" i="5"/>
  <c r="E60" i="5"/>
  <c r="D60" i="5"/>
  <c r="C60" i="5"/>
  <c r="F59" i="5"/>
  <c r="E59" i="5"/>
  <c r="E75" i="5" s="1"/>
  <c r="D59" i="5"/>
  <c r="D75" i="5" s="1"/>
  <c r="C59" i="5"/>
  <c r="C75" i="5" s="1"/>
  <c r="F51" i="5"/>
  <c r="E51" i="5"/>
  <c r="D51" i="5"/>
  <c r="C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H30" i="5"/>
  <c r="G30" i="5"/>
  <c r="F30" i="5"/>
  <c r="E30" i="5"/>
  <c r="D30" i="5"/>
  <c r="I29" i="5"/>
  <c r="I28" i="5"/>
  <c r="C28" i="5"/>
  <c r="C30" i="5" s="1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H22" i="6"/>
  <c r="E14" i="14"/>
  <c r="F75" i="5" l="1"/>
  <c r="I26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51" i="5"/>
  <c r="I30" i="5"/>
  <c r="G59" i="5"/>
  <c r="E22" i="13"/>
  <c r="E16" i="12"/>
  <c r="E37" i="12" s="1"/>
  <c r="E66" i="11"/>
  <c r="E81" i="10"/>
  <c r="G75" i="5" l="1"/>
  <c r="D22" i="15"/>
  <c r="U18" i="23"/>
  <c r="T18" i="23"/>
  <c r="S18" i="23"/>
  <c r="R18" i="23"/>
  <c r="P18" i="23"/>
  <c r="O18" i="23"/>
  <c r="N18" i="23"/>
  <c r="M18" i="23"/>
  <c r="L18" i="23"/>
  <c r="K18" i="23"/>
  <c r="J18" i="23"/>
  <c r="H18" i="23"/>
  <c r="G18" i="23"/>
  <c r="F18" i="23"/>
  <c r="E18" i="23"/>
  <c r="D18" i="23"/>
  <c r="C18" i="23"/>
  <c r="I21" i="22"/>
  <c r="H21" i="22"/>
  <c r="G21" i="22"/>
  <c r="F21" i="22"/>
  <c r="E21" i="22"/>
  <c r="D21" i="22"/>
  <c r="C21" i="22"/>
  <c r="G66" i="3" l="1"/>
  <c r="G64" i="3"/>
  <c r="G63" i="3"/>
  <c r="G62" i="3"/>
  <c r="G61" i="3"/>
  <c r="G60" i="3"/>
  <c r="G59" i="3"/>
  <c r="G57" i="3"/>
  <c r="G56" i="3"/>
  <c r="G42" i="3"/>
  <c r="G51" i="3" s="1"/>
  <c r="F65" i="3"/>
  <c r="E65" i="3"/>
  <c r="D65" i="3"/>
  <c r="C68" i="3"/>
  <c r="G68" i="3" s="1"/>
  <c r="C65" i="3"/>
  <c r="F49" i="3"/>
  <c r="G65" i="3" s="1"/>
  <c r="E49" i="3"/>
  <c r="D49" i="3"/>
  <c r="C49" i="3"/>
  <c r="E24" i="3"/>
  <c r="E13" i="3"/>
  <c r="E6" i="3"/>
  <c r="E34" i="3"/>
  <c r="E29" i="3" s="1"/>
  <c r="D69" i="2"/>
  <c r="D68" i="2"/>
  <c r="D67" i="2"/>
  <c r="D66" i="2"/>
  <c r="D65" i="2"/>
  <c r="D64" i="2"/>
  <c r="D63" i="2"/>
  <c r="D60" i="2"/>
  <c r="D59" i="2"/>
  <c r="D40" i="2"/>
  <c r="D38" i="2"/>
  <c r="D36" i="2"/>
  <c r="D35" i="2"/>
  <c r="D33" i="2"/>
  <c r="G72" i="2"/>
  <c r="E8" i="2"/>
  <c r="E11" i="1" l="1"/>
  <c r="D11" i="1"/>
  <c r="G11" i="17"/>
  <c r="G17" i="17" l="1"/>
  <c r="G13" i="17"/>
  <c r="F13" i="17"/>
  <c r="F22" i="20" l="1"/>
  <c r="E22" i="20"/>
  <c r="J287" i="6"/>
  <c r="J285" i="6"/>
  <c r="I287" i="6"/>
  <c r="I285" i="6"/>
  <c r="H287" i="6"/>
  <c r="H285" i="6"/>
  <c r="G289" i="6"/>
  <c r="G288" i="6"/>
  <c r="G287" i="6"/>
  <c r="G286" i="6"/>
  <c r="G285" i="6"/>
  <c r="G283" i="6"/>
  <c r="G280" i="6"/>
  <c r="G279" i="6"/>
  <c r="F292" i="6"/>
  <c r="E274" i="6"/>
  <c r="E271" i="6"/>
  <c r="E287" i="6"/>
  <c r="D287" i="6"/>
  <c r="D285" i="6"/>
  <c r="I250" i="6"/>
  <c r="I249" i="6"/>
  <c r="I248" i="6"/>
  <c r="I247" i="6"/>
  <c r="I246" i="6"/>
  <c r="I245" i="6"/>
  <c r="I244" i="6"/>
  <c r="I243" i="6"/>
  <c r="I242" i="6"/>
  <c r="I240" i="6"/>
  <c r="J183" i="6"/>
  <c r="J182" i="6"/>
  <c r="J181" i="6"/>
  <c r="J180" i="6"/>
  <c r="J179" i="6"/>
  <c r="J178" i="6"/>
  <c r="J177" i="6"/>
  <c r="J176" i="6"/>
  <c r="J174" i="6"/>
  <c r="J173" i="6"/>
  <c r="I155" i="6"/>
  <c r="I154" i="6"/>
  <c r="I153" i="6"/>
  <c r="I152" i="6"/>
  <c r="I151" i="6"/>
  <c r="I150" i="6"/>
  <c r="I149" i="6"/>
  <c r="I146" i="6"/>
  <c r="I145" i="6"/>
  <c r="I64" i="6"/>
  <c r="I63" i="6"/>
  <c r="I61" i="6"/>
  <c r="I60" i="6"/>
  <c r="I59" i="6"/>
  <c r="I58" i="6"/>
  <c r="I57" i="6"/>
  <c r="I56" i="6"/>
  <c r="I55" i="6"/>
  <c r="I54" i="6"/>
  <c r="I52" i="6"/>
  <c r="I51" i="6"/>
  <c r="I30" i="6"/>
  <c r="I29" i="6"/>
  <c r="I28" i="6"/>
  <c r="I27" i="6"/>
  <c r="I26" i="6"/>
  <c r="I25" i="6"/>
  <c r="I24" i="6"/>
  <c r="I23" i="6"/>
  <c r="I21" i="6"/>
  <c r="I20" i="6"/>
  <c r="I147" i="6" l="1"/>
  <c r="K285" i="6"/>
  <c r="E18" i="8" l="1"/>
  <c r="B28" i="10" l="1"/>
  <c r="B31" i="10"/>
  <c r="B34" i="10"/>
  <c r="B37" i="10"/>
  <c r="B40" i="10"/>
  <c r="B43" i="10"/>
  <c r="B46" i="10"/>
  <c r="B49" i="10"/>
  <c r="B52" i="10"/>
  <c r="B55" i="10"/>
  <c r="B58" i="10"/>
  <c r="B61" i="10"/>
  <c r="B64" i="10"/>
  <c r="B67" i="10"/>
  <c r="B70" i="10"/>
  <c r="B73" i="10"/>
  <c r="E360" i="6" l="1"/>
  <c r="E265" i="6"/>
  <c r="H292" i="6"/>
  <c r="H284" i="6"/>
  <c r="H283" i="6"/>
  <c r="H280" i="6"/>
  <c r="H279" i="6"/>
  <c r="J289" i="6"/>
  <c r="J288" i="6"/>
  <c r="J286" i="6"/>
  <c r="J284" i="6"/>
  <c r="J283" i="6"/>
  <c r="J280" i="6"/>
  <c r="J279" i="6"/>
  <c r="E273" i="6"/>
  <c r="E111" i="6"/>
  <c r="E270" i="6"/>
  <c r="G290" i="6"/>
  <c r="G292" i="6"/>
  <c r="E82" i="6"/>
  <c r="I290" i="6"/>
  <c r="J290" i="6"/>
  <c r="I292" i="6"/>
  <c r="E47" i="6"/>
  <c r="H30" i="4"/>
  <c r="D20" i="4"/>
  <c r="E20" i="4"/>
  <c r="F20" i="4"/>
  <c r="G20" i="4"/>
  <c r="C20" i="4"/>
  <c r="H21" i="4"/>
  <c r="J43" i="16"/>
  <c r="G41" i="16"/>
  <c r="J41" i="16" s="1"/>
  <c r="G39" i="16"/>
  <c r="J39" i="16" s="1"/>
  <c r="G37" i="16"/>
  <c r="J37" i="16" s="1"/>
  <c r="G35" i="16"/>
  <c r="J35" i="16" s="1"/>
  <c r="G32" i="16"/>
  <c r="J32" i="16" s="1"/>
  <c r="G29" i="16"/>
  <c r="J29" i="16" s="1"/>
  <c r="G26" i="16"/>
  <c r="J26" i="16" s="1"/>
  <c r="G23" i="16"/>
  <c r="J23" i="16" s="1"/>
  <c r="G20" i="16"/>
  <c r="J20" i="16" s="1"/>
  <c r="G17" i="16"/>
  <c r="J17" i="16" s="1"/>
  <c r="G14" i="16"/>
  <c r="D14" i="16"/>
  <c r="J11" i="16"/>
  <c r="J8" i="16"/>
  <c r="F7" i="16"/>
  <c r="E7" i="16"/>
  <c r="J5" i="16"/>
  <c r="K292" i="6" l="1"/>
  <c r="E141" i="6"/>
  <c r="E272" i="6"/>
  <c r="H20" i="4"/>
  <c r="J14" i="16"/>
  <c r="F17" i="17" l="1"/>
  <c r="F11" i="17"/>
  <c r="C11" i="17"/>
  <c r="D11" i="17"/>
  <c r="D13" i="17"/>
  <c r="C15" i="17"/>
  <c r="D17" i="17"/>
  <c r="F13" i="19"/>
  <c r="G13" i="19"/>
  <c r="E13" i="19"/>
  <c r="F10" i="19"/>
  <c r="G10" i="19"/>
  <c r="E10" i="19"/>
  <c r="G66" i="2" l="1"/>
  <c r="G34" i="2"/>
  <c r="G43" i="2" s="1"/>
  <c r="G60" i="2"/>
  <c r="G59" i="2"/>
  <c r="B25" i="10" l="1"/>
  <c r="E18" i="10"/>
  <c r="D22" i="9"/>
  <c r="D23" i="1" l="1"/>
  <c r="D14" i="1" l="1"/>
  <c r="E266" i="6" l="1"/>
  <c r="E267" i="6"/>
  <c r="E268" i="6"/>
  <c r="C279" i="6"/>
  <c r="D279" i="6"/>
  <c r="E279" i="6"/>
  <c r="I279" i="6"/>
  <c r="C280" i="6"/>
  <c r="D280" i="6"/>
  <c r="E280" i="6"/>
  <c r="I280" i="6"/>
  <c r="C283" i="6"/>
  <c r="D283" i="6"/>
  <c r="I283" i="6"/>
  <c r="C284" i="6"/>
  <c r="D284" i="6"/>
  <c r="E284" i="6"/>
  <c r="I284" i="6"/>
  <c r="C286" i="6"/>
  <c r="D286" i="6"/>
  <c r="E286" i="6"/>
  <c r="H286" i="6"/>
  <c r="I286" i="6"/>
  <c r="C287" i="6"/>
  <c r="K287" i="6" s="1"/>
  <c r="D288" i="6"/>
  <c r="E288" i="6"/>
  <c r="H288" i="6"/>
  <c r="I288" i="6"/>
  <c r="D289" i="6"/>
  <c r="E289" i="6"/>
  <c r="H289" i="6"/>
  <c r="I289" i="6"/>
  <c r="D290" i="6"/>
  <c r="K290" i="6" s="1"/>
  <c r="F37" i="19"/>
  <c r="G37" i="19"/>
  <c r="E37" i="19"/>
  <c r="K283" i="6" l="1"/>
  <c r="K280" i="6"/>
  <c r="K279" i="6"/>
  <c r="K288" i="6"/>
  <c r="K284" i="6"/>
  <c r="K289" i="6"/>
  <c r="K286" i="6"/>
  <c r="E275" i="6"/>
  <c r="I239" i="6"/>
  <c r="H220" i="6"/>
  <c r="H219" i="6"/>
  <c r="H218" i="6"/>
  <c r="H217" i="6"/>
  <c r="H216" i="6"/>
  <c r="H215" i="6"/>
  <c r="H212" i="6"/>
  <c r="H211" i="6"/>
  <c r="C175" i="6"/>
  <c r="I124" i="6"/>
  <c r="I123" i="6"/>
  <c r="I122" i="6"/>
  <c r="I121" i="6"/>
  <c r="I120" i="6"/>
  <c r="I119" i="6"/>
  <c r="I118" i="6"/>
  <c r="I116" i="6"/>
  <c r="I115" i="6"/>
  <c r="G69" i="2"/>
  <c r="G68" i="2"/>
  <c r="G67" i="2"/>
  <c r="G65" i="2"/>
  <c r="G63" i="2"/>
  <c r="C184" i="6" l="1"/>
  <c r="G64" i="2" l="1"/>
  <c r="I175" i="6"/>
  <c r="I184" i="6" s="1"/>
  <c r="H241" i="6"/>
  <c r="H251" i="6" s="1"/>
  <c r="E175" i="6"/>
  <c r="E184" i="6" s="1"/>
  <c r="E88" i="6"/>
  <c r="H117" i="6"/>
  <c r="H125" i="6" s="1"/>
  <c r="E98" i="6" l="1"/>
  <c r="F281" i="6"/>
  <c r="F293" i="6" s="1"/>
  <c r="F21" i="20" l="1"/>
  <c r="D21" i="20"/>
  <c r="F36" i="18"/>
  <c r="G36" i="18"/>
  <c r="E11" i="17" l="1"/>
  <c r="E13" i="17"/>
  <c r="E17" i="17"/>
  <c r="E21" i="20"/>
  <c r="H281" i="6" l="1"/>
  <c r="H293" i="6" s="1"/>
  <c r="G281" i="6"/>
  <c r="G293" i="6" s="1"/>
  <c r="D281" i="6"/>
  <c r="D293" i="6" s="1"/>
  <c r="J281" i="6"/>
  <c r="J293" i="6" s="1"/>
  <c r="E281" i="6"/>
  <c r="E293" i="6" s="1"/>
  <c r="I281" i="6"/>
  <c r="I293" i="6" s="1"/>
  <c r="C281" i="6"/>
  <c r="C293" i="6" s="1"/>
  <c r="K293" i="6" l="1"/>
  <c r="K281" i="6"/>
  <c r="H53" i="6" l="1"/>
  <c r="H65" i="6" s="1"/>
  <c r="H156" i="6" l="1"/>
  <c r="C53" i="6" l="1"/>
  <c r="C65" i="6" s="1"/>
  <c r="D53" i="6"/>
  <c r="D65" i="6" s="1"/>
  <c r="E53" i="6"/>
  <c r="E65" i="6" s="1"/>
  <c r="F53" i="6"/>
  <c r="F65" i="6" s="1"/>
  <c r="G53" i="6"/>
  <c r="G65" i="6" s="1"/>
  <c r="C88" i="6"/>
  <c r="D88" i="6"/>
  <c r="C117" i="6"/>
  <c r="D117" i="6"/>
  <c r="D125" i="6" s="1"/>
  <c r="E117" i="6"/>
  <c r="E125" i="6" s="1"/>
  <c r="F117" i="6"/>
  <c r="F125" i="6" s="1"/>
  <c r="G117" i="6"/>
  <c r="G125" i="6" s="1"/>
  <c r="C156" i="6"/>
  <c r="D156" i="6"/>
  <c r="E156" i="6"/>
  <c r="F156" i="6"/>
  <c r="G156" i="6"/>
  <c r="C22" i="6"/>
  <c r="C32" i="6" s="1"/>
  <c r="D22" i="6"/>
  <c r="D32" i="6" s="1"/>
  <c r="E22" i="6"/>
  <c r="E32" i="6" s="1"/>
  <c r="F22" i="6"/>
  <c r="F32" i="6" s="1"/>
  <c r="G22" i="6"/>
  <c r="G32" i="6" s="1"/>
  <c r="H32" i="6"/>
  <c r="D98" i="6" l="1"/>
  <c r="J88" i="6"/>
  <c r="I32" i="6"/>
  <c r="I156" i="6"/>
  <c r="I53" i="6"/>
  <c r="I65" i="6" s="1"/>
  <c r="I22" i="6"/>
  <c r="I117" i="6"/>
  <c r="C125" i="6"/>
  <c r="I125" i="6" s="1"/>
  <c r="H28" i="4"/>
  <c r="H27" i="4"/>
  <c r="H26" i="4"/>
  <c r="H25" i="4"/>
  <c r="H24" i="4"/>
  <c r="H23" i="4"/>
  <c r="H22" i="4"/>
  <c r="H19" i="4"/>
  <c r="H18" i="4"/>
  <c r="E34" i="2" l="1"/>
  <c r="E43" i="2" s="1"/>
  <c r="G62" i="2"/>
  <c r="G19" i="2"/>
  <c r="G28" i="2" s="1"/>
  <c r="F19" i="2"/>
  <c r="F28" i="2" s="1"/>
  <c r="E19" i="2"/>
  <c r="E28" i="2" s="1"/>
  <c r="D19" i="2"/>
  <c r="D28" i="2" s="1"/>
  <c r="C19" i="2"/>
  <c r="C28" i="2" s="1"/>
  <c r="G61" i="2" l="1"/>
  <c r="F11" i="21" l="1"/>
  <c r="E11" i="21"/>
  <c r="F10" i="20"/>
  <c r="F7" i="20" s="1"/>
  <c r="E10" i="20"/>
  <c r="E7" i="20" s="1"/>
  <c r="D10" i="20"/>
  <c r="D7" i="20" s="1"/>
  <c r="G24" i="19"/>
  <c r="F24" i="19"/>
  <c r="E24" i="19"/>
  <c r="G17" i="19"/>
  <c r="F17" i="19"/>
  <c r="E17" i="19"/>
  <c r="G8" i="19"/>
  <c r="F8" i="19"/>
  <c r="E8" i="19"/>
  <c r="G46" i="18"/>
  <c r="F46" i="18"/>
  <c r="E46" i="18"/>
  <c r="G31" i="18"/>
  <c r="F31" i="18"/>
  <c r="E31" i="18"/>
  <c r="G26" i="18"/>
  <c r="F26" i="18"/>
  <c r="E26" i="18"/>
  <c r="G23" i="18"/>
  <c r="F23" i="18"/>
  <c r="E23" i="18"/>
  <c r="G18" i="18"/>
  <c r="F18" i="18"/>
  <c r="E18" i="18"/>
  <c r="G15" i="18"/>
  <c r="F15" i="18"/>
  <c r="E15" i="18"/>
  <c r="G13" i="18"/>
  <c r="F13" i="18"/>
  <c r="E13" i="18"/>
  <c r="G7" i="18"/>
  <c r="F7" i="18"/>
  <c r="C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C366" i="6"/>
  <c r="C375" i="6" s="1"/>
  <c r="C340" i="6"/>
  <c r="C349" i="6" s="1"/>
  <c r="E334" i="6"/>
  <c r="G241" i="6"/>
  <c r="G251" i="6" s="1"/>
  <c r="F241" i="6"/>
  <c r="F251" i="6" s="1"/>
  <c r="E241" i="6"/>
  <c r="E251" i="6" s="1"/>
  <c r="D241" i="6"/>
  <c r="D251" i="6" s="1"/>
  <c r="C241" i="6"/>
  <c r="E235" i="6"/>
  <c r="G222" i="6"/>
  <c r="F222" i="6"/>
  <c r="E222" i="6"/>
  <c r="D222" i="6"/>
  <c r="E207" i="6"/>
  <c r="H175" i="6"/>
  <c r="H184" i="6" s="1"/>
  <c r="G175" i="6"/>
  <c r="G184" i="6" s="1"/>
  <c r="F175" i="6"/>
  <c r="F184" i="6" s="1"/>
  <c r="D175" i="6"/>
  <c r="E169" i="6"/>
  <c r="E16" i="6"/>
  <c r="G29" i="4"/>
  <c r="F29" i="4"/>
  <c r="E29" i="4"/>
  <c r="D29" i="4"/>
  <c r="E13" i="4"/>
  <c r="F58" i="3"/>
  <c r="F67" i="3" s="1"/>
  <c r="E58" i="3"/>
  <c r="E67" i="3" s="1"/>
  <c r="D58" i="3"/>
  <c r="D67" i="3" s="1"/>
  <c r="C58" i="3"/>
  <c r="C67" i="3" s="1"/>
  <c r="F42" i="3"/>
  <c r="F51" i="3" s="1"/>
  <c r="E42" i="3"/>
  <c r="E51" i="3" s="1"/>
  <c r="D42" i="3"/>
  <c r="D51" i="3" s="1"/>
  <c r="C42" i="3"/>
  <c r="E21" i="3"/>
  <c r="E19" i="3"/>
  <c r="E17" i="3"/>
  <c r="F61" i="2"/>
  <c r="F71" i="2" s="1"/>
  <c r="E61" i="2"/>
  <c r="E71" i="2" s="1"/>
  <c r="D61" i="2"/>
  <c r="D71" i="2" s="1"/>
  <c r="C61" i="2"/>
  <c r="C71" i="2" s="1"/>
  <c r="F34" i="2"/>
  <c r="F43" i="2" s="1"/>
  <c r="D34" i="2"/>
  <c r="D43" i="2" s="1"/>
  <c r="C34" i="2"/>
  <c r="C43" i="2" s="1"/>
  <c r="E4" i="2"/>
  <c r="K23" i="1"/>
  <c r="J23" i="1"/>
  <c r="I23" i="1"/>
  <c r="H23" i="1"/>
  <c r="G23" i="1"/>
  <c r="F23" i="1"/>
  <c r="E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E5" i="3" l="1"/>
  <c r="G58" i="3"/>
  <c r="I241" i="6"/>
  <c r="D184" i="6"/>
  <c r="J184" i="6" s="1"/>
  <c r="J175" i="6"/>
  <c r="G71" i="2"/>
  <c r="C251" i="6"/>
  <c r="I251" i="6" s="1"/>
  <c r="F7" i="19"/>
  <c r="G7" i="19"/>
  <c r="E6" i="18"/>
  <c r="C222" i="6"/>
  <c r="H222" i="6" s="1"/>
  <c r="L11" i="1"/>
  <c r="E22" i="15"/>
  <c r="F6" i="18"/>
  <c r="L23" i="1"/>
  <c r="C51" i="3"/>
  <c r="G67" i="3" s="1"/>
  <c r="E7" i="19"/>
  <c r="G6" i="18"/>
  <c r="C98" i="6"/>
  <c r="J98" i="6" s="1"/>
  <c r="C29" i="4"/>
  <c r="H29" i="4" s="1"/>
  <c r="L14" i="1"/>
</calcChain>
</file>

<file path=xl/sharedStrings.xml><?xml version="1.0" encoding="utf-8"?>
<sst xmlns="http://schemas.openxmlformats.org/spreadsheetml/2006/main" count="1661" uniqueCount="1002">
  <si>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</si>
  <si>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</si>
  <si>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</si>
  <si>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</si>
  <si>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</si>
  <si>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</si>
  <si>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</si>
  <si>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</si>
  <si>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</si>
  <si>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</si>
  <si>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</si>
  <si>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</si>
  <si>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</si>
  <si>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</si>
  <si>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</si>
  <si>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</si>
  <si>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</si>
  <si>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</si>
  <si>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</si>
  <si>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</si>
  <si>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</si>
  <si>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</si>
  <si>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</si>
  <si>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</si>
  <si>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</si>
  <si>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</si>
  <si>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</si>
  <si>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</si>
  <si>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</si>
  <si>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</si>
  <si>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</si>
  <si>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</si>
  <si>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</si>
  <si>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</si>
  <si>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</si>
  <si>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</si>
  <si>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</si>
  <si>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</si>
  <si>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</si>
  <si>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16.</t>
  </si>
  <si>
    <t>Výnosy budúcich období</t>
  </si>
  <si>
    <t>Bankové úvery a ostatné prijaté výpomoci</t>
  </si>
  <si>
    <t>P A S Í V A   celkom</t>
  </si>
  <si>
    <t>Príloha č.1</t>
  </si>
  <si>
    <t>Mestské hospodárstvo a správa lesov m.r.o.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</si>
  <si>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</si>
  <si>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</si>
  <si>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</si>
  <si>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</si>
  <si>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</si>
  <si>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</si>
  <si>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</si>
  <si>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Výdavky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</si>
  <si>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</si>
  <si>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</si>
  <si>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</si>
  <si>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</si>
  <si>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</si>
  <si>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</si>
  <si>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</si>
  <si>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</si>
  <si>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</si>
  <si>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</si>
  <si>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</si>
  <si>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</si>
  <si>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620: Poistné</t>
  </si>
  <si>
    <t>631: Cestovné náhrady</t>
  </si>
  <si>
    <t>Spolu výdavky MHSL m.r.o.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</si>
  <si>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</si>
  <si>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</si>
  <si>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</si>
  <si>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</si>
  <si>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</si>
  <si>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</si>
  <si>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</si>
  <si>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</si>
  <si>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</si>
  <si>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</si>
  <si>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</si>
  <si>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</si>
  <si>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</si>
  <si>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</si>
  <si>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</si>
  <si>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</si>
  <si>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</si>
  <si>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212 003 - Prenájom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</si>
  <si>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</si>
  <si>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</si>
  <si>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</si>
  <si>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</si>
  <si>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</si>
  <si>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</si>
  <si>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292 012: dobropisy</t>
  </si>
  <si>
    <t>311: dary</t>
  </si>
  <si>
    <t>453: prostriedky z minulých rokov</t>
  </si>
  <si>
    <t>631: Cestovné</t>
  </si>
  <si>
    <t xml:space="preserve">Bežné výdavky 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</si>
  <si>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</si>
  <si>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</si>
  <si>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</si>
  <si>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</si>
  <si>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</si>
  <si>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</si>
  <si>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</si>
  <si>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</si>
  <si>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</si>
  <si>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</si>
  <si>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453: Prostriedky z predchádzajúcich rokov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</si>
  <si>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</si>
  <si>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</si>
  <si>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</si>
  <si>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</si>
  <si>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</si>
  <si>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</si>
  <si>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</si>
  <si>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</si>
  <si>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</si>
  <si>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M.Turkovej</t>
  </si>
  <si>
    <t>MŠ Soblahovská</t>
  </si>
  <si>
    <t>MŠ Šmidkeho</t>
  </si>
  <si>
    <t>MŠ J.Halašu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</si>
  <si>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</si>
  <si>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</si>
  <si>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</si>
  <si>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</si>
  <si>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</si>
  <si>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</si>
  <si>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</si>
  <si>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</si>
  <si>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</si>
  <si>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</si>
  <si>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</si>
  <si>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</si>
  <si>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</si>
  <si>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</si>
  <si>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</si>
  <si>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</si>
  <si>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311: Granty</t>
  </si>
  <si>
    <t>312: Transfery v rámci verejnej správy</t>
  </si>
  <si>
    <t>Základná škola Kubranská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</si>
  <si>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</si>
  <si>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</si>
  <si>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</si>
  <si>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</si>
  <si>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</si>
  <si>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</si>
  <si>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Základná škola Dlhé Hony</t>
  </si>
  <si>
    <t>Základná škola Veľkomoravská</t>
  </si>
  <si>
    <t>Základné školy spolu</t>
  </si>
  <si>
    <t>453: Prostriedky z minulých rokov</t>
  </si>
  <si>
    <t>Základná umelecká škola Karola Pádivého m.r.o.</t>
  </si>
  <si>
    <t>223 002: Za školy a školské zariadenia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</si>
  <si>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</si>
  <si>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</si>
  <si>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</si>
  <si>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</si>
  <si>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</si>
  <si>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</si>
  <si>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</si>
  <si>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</si>
  <si>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</si>
  <si>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</si>
  <si>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</si>
  <si>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</si>
  <si>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</si>
  <si>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</si>
  <si>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</si>
  <si>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</si>
  <si>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</si>
  <si>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</si>
  <si>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</si>
  <si>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</si>
  <si>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</si>
  <si>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</si>
  <si>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+ nárast</t>
  </si>
  <si>
    <t>- pokles</t>
  </si>
  <si>
    <t>Daň z nehnuteľností</t>
  </si>
  <si>
    <t>Daň za psa</t>
  </si>
  <si>
    <t>Daň z predaja alk. nápojov a tabak. výrobkov</t>
  </si>
  <si>
    <t>Daň z reklamy</t>
  </si>
  <si>
    <t xml:space="preserve">Daň za užívanie verejného priestranstva 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</si>
  <si>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</si>
  <si>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</si>
  <si>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</si>
  <si>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</si>
  <si>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</si>
  <si>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</si>
  <si>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</si>
  <si>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</si>
  <si>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Príjmy budúcich období</t>
  </si>
  <si>
    <t>Ostatné pohľadávky</t>
  </si>
  <si>
    <t xml:space="preserve">Zmluva č. </t>
  </si>
  <si>
    <t>Výška poskytnutého úveru</t>
  </si>
  <si>
    <t>1.splátka úveru</t>
  </si>
  <si>
    <t>Splátky</t>
  </si>
  <si>
    <t>Splátky spolu od 1.splátky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</si>
  <si>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</si>
  <si>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</si>
  <si>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</si>
  <si>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</si>
  <si>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</si>
  <si>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</si>
  <si>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mesačne vrátane úroku</t>
  </si>
  <si>
    <t>300/149/2017</t>
  </si>
  <si>
    <t>jún 2018</t>
  </si>
  <si>
    <t>vždy do 15.na účte</t>
  </si>
  <si>
    <t>2048</t>
  </si>
  <si>
    <t>trvalý príkaz v čsob</t>
  </si>
  <si>
    <t>300/202/2018</t>
  </si>
  <si>
    <t>Slovenská sporiteľňa a.s.</t>
  </si>
  <si>
    <t>1186/CC/16</t>
  </si>
  <si>
    <t>31.1.2014</t>
  </si>
  <si>
    <t>mesačne: 10 530 €</t>
  </si>
  <si>
    <t>dodatok č.1,2,3</t>
  </si>
  <si>
    <t>posledná: 10 110 €</t>
  </si>
  <si>
    <t>1190/CC/16</t>
  </si>
  <si>
    <t>31.1.2017</t>
  </si>
  <si>
    <t>mesačne: 8 334 €</t>
  </si>
  <si>
    <t>posledná: 8 254 €</t>
  </si>
  <si>
    <t>335/CC/18</t>
  </si>
  <si>
    <t>31.1.2019</t>
  </si>
  <si>
    <t>mesačne: 26.750 €</t>
  </si>
  <si>
    <t>posledná: 26.750 €</t>
  </si>
  <si>
    <t>Československá obchodná banka a.s.</t>
  </si>
  <si>
    <t>0499/15/80226</t>
  </si>
  <si>
    <t>mesačne 20.012,24 €</t>
  </si>
  <si>
    <t>posledná 20.012,24 €</t>
  </si>
  <si>
    <t>0840/14/80226</t>
  </si>
  <si>
    <t>mesačné: 5.681,33 €</t>
  </si>
  <si>
    <t>posledná: 5.681,73 €</t>
  </si>
  <si>
    <t xml:space="preserve">Tatrabanka a.s. </t>
  </si>
  <si>
    <t>S00912/2013</t>
  </si>
  <si>
    <t>mesačne: 12 500 €</t>
  </si>
  <si>
    <t>posledná: 12 500 €</t>
  </si>
  <si>
    <t>S01545/2014</t>
  </si>
  <si>
    <t>31.1.2015</t>
  </si>
  <si>
    <t>mesačne: 10 834 €</t>
  </si>
  <si>
    <t>posledná: 10 784 €</t>
  </si>
  <si>
    <t>S02531/2015</t>
  </si>
  <si>
    <t>29.1.2016</t>
  </si>
  <si>
    <t>mesačne: 15 000 €</t>
  </si>
  <si>
    <t>posledná 15 000 €</t>
  </si>
  <si>
    <t>Slovenská záručná a rozvojová banka</t>
  </si>
  <si>
    <t>282917-2017</t>
  </si>
  <si>
    <t>21.1.2018</t>
  </si>
  <si>
    <t>mesačne: 27 130 €</t>
  </si>
  <si>
    <t>posledná 27 180 €</t>
  </si>
  <si>
    <t>Príloha č. 15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</si>
  <si>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</si>
  <si>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</si>
  <si>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</si>
  <si>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</si>
  <si>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</si>
  <si>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</si>
  <si>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</si>
  <si>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</si>
  <si>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</si>
  <si>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</si>
  <si>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</si>
  <si>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</si>
  <si>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</si>
  <si>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</si>
  <si>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</si>
  <si>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</si>
  <si>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</si>
  <si>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</si>
  <si>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</si>
  <si>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</si>
  <si>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</si>
  <si>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</si>
  <si>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</si>
  <si>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</si>
  <si>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</si>
  <si>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</si>
  <si>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</si>
  <si>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</si>
  <si>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</si>
  <si>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</si>
  <si>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</si>
  <si>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</si>
  <si>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</si>
  <si>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</si>
  <si>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</si>
  <si>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</si>
  <si>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</si>
  <si>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</si>
  <si>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</si>
  <si>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</si>
  <si>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</si>
  <si>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</si>
  <si>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</si>
  <si>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</si>
  <si>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</si>
  <si>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</si>
  <si>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</si>
  <si>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</si>
  <si>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</si>
  <si>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</si>
  <si>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</si>
  <si>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</si>
  <si>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</si>
  <si>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</si>
  <si>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</si>
  <si>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</si>
  <si>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</si>
  <si>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</si>
  <si>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</si>
  <si>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</si>
  <si>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</si>
  <si>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</si>
  <si>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</si>
  <si>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</si>
  <si>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</si>
  <si>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</si>
  <si>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</si>
  <si>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</si>
  <si>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</si>
  <si>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</si>
  <si>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</si>
  <si>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</si>
  <si>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</si>
  <si>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</si>
  <si>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</si>
  <si>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</si>
  <si>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</si>
  <si>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</si>
  <si>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</si>
  <si>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</si>
  <si>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</si>
  <si>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</si>
  <si>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</si>
  <si>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</si>
  <si>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</si>
  <si>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</si>
  <si>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</si>
  <si>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</si>
  <si>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</si>
  <si>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</si>
  <si>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</si>
  <si>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</si>
  <si>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</si>
  <si>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</si>
  <si>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</si>
  <si>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</si>
  <si>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</si>
  <si>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</si>
  <si>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</si>
  <si>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</si>
  <si>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</si>
  <si>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</si>
  <si>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</si>
  <si>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10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</si>
  <si>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</si>
  <si>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</si>
  <si>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</si>
  <si>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</si>
  <si>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</si>
  <si>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</si>
  <si>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</si>
  <si>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</si>
  <si>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</si>
  <si>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</si>
  <si>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</si>
  <si>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</si>
  <si>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</si>
  <si>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</si>
  <si>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</si>
  <si>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</si>
  <si>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</si>
  <si>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</si>
  <si>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nákup dopravných prostriedkov</t>
  </si>
  <si>
    <t>prípravná a projektová dokumentácia</t>
  </si>
  <si>
    <t>Realizácia stavieb a ich tech.zhodnotenia</t>
  </si>
  <si>
    <t>Kapitálové transfery</t>
  </si>
  <si>
    <t>Príloha č.19</t>
  </si>
  <si>
    <t>Príjmové operácie spolu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</si>
  <si>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</si>
  <si>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</si>
  <si>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</si>
  <si>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</si>
  <si>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</si>
  <si>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</si>
  <si>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Asistenti učiteľa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</si>
  <si>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</si>
  <si>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</si>
  <si>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</si>
  <si>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</si>
  <si>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</si>
  <si>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</si>
  <si>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</si>
  <si>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</si>
  <si>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</si>
  <si>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</si>
  <si>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</si>
  <si>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</si>
  <si>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ZŠ Potočná</t>
  </si>
  <si>
    <t>ZUŠ</t>
  </si>
  <si>
    <t>CVČ</t>
  </si>
  <si>
    <t>Príloha č.21</t>
  </si>
  <si>
    <t>škola/trieda</t>
  </si>
  <si>
    <t>5. - 9.r.</t>
  </si>
  <si>
    <t>spolu žiakov školy</t>
  </si>
  <si>
    <t>porovnanie s min. r.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</si>
  <si>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</si>
  <si>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</si>
  <si>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</si>
  <si>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</si>
  <si>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</si>
  <si>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</si>
  <si>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</si>
  <si>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</si>
  <si>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</si>
  <si>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</si>
  <si>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Potočná 86</t>
  </si>
  <si>
    <t>Veľkomoravská</t>
  </si>
  <si>
    <t>Východná</t>
  </si>
  <si>
    <t>Spolu žiakov v ročníku</t>
  </si>
  <si>
    <t>Počet tried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</si>
  <si>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</si>
  <si>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</si>
  <si>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</si>
  <si>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</si>
  <si>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</si>
  <si>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Školské zariadenia mesta Trenčín, Kubranská cesta 20, Trenčín</t>
  </si>
  <si>
    <t>Základná umelecká škola Karola Pádivého, Nám.SNP 2, Trenčín</t>
  </si>
  <si>
    <t>Centrum voľného času Trenčín, Východná č.9, Trenčín</t>
  </si>
  <si>
    <t>ZŠ Veľkomoravská, Veľkomoravská č.12, Trenčín</t>
  </si>
  <si>
    <t>ZŠ Dlhé Hony, Dlhé Hony č.1, Trenčín</t>
  </si>
  <si>
    <t>ZŠ Bezručova, Bezručova č.66, Trenčín</t>
  </si>
  <si>
    <t>ZŠ Hodžova, Hodžova č.37, Trenčín</t>
  </si>
  <si>
    <t>ZŠ L. Novomeského, L.Novomeského č.11, Trenčín</t>
  </si>
  <si>
    <t>ZŠ Východná, Východná č.9, Trenčín</t>
  </si>
  <si>
    <t>ZŠ Na dolinách, Na dolinách 27, Trenčín</t>
  </si>
  <si>
    <t>ZŠ Kubranská, Kubranská 80</t>
  </si>
  <si>
    <t>MŠ Šafárikova, Šafárikova 11, Trenčín</t>
  </si>
  <si>
    <t>Príloha č. 23</t>
  </si>
  <si>
    <t>Číslo riadku</t>
  </si>
  <si>
    <t>Ukazovateľ (hlavná kategória ekonomickej klasifikácie)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</si>
  <si>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</si>
  <si>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</si>
  <si>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</si>
  <si>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</si>
  <si>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</si>
  <si>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</si>
  <si>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</si>
  <si>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</si>
  <si>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</si>
  <si>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</si>
  <si>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</si>
  <si>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</si>
  <si>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</si>
  <si>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</si>
  <si>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t>Zmena stavu vybraných záväzkov (+,-) (r.19 - r.18)</t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</si>
  <si>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</si>
  <si>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</si>
  <si>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</si>
  <si>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</si>
  <si>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</si>
  <si>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312 001: transfer</t>
  </si>
  <si>
    <t>536/CC/19</t>
  </si>
  <si>
    <t>31.1.2020</t>
  </si>
  <si>
    <t>posledná: 17 044 €</t>
  </si>
  <si>
    <t>Centrum voľného času, m.r.o.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</si>
  <si>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</si>
  <si>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</si>
  <si>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</si>
  <si>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mesačne: 17 084 €</t>
  </si>
  <si>
    <t>Príloha č.7</t>
  </si>
  <si>
    <t>Poskytnutá dotácia</t>
  </si>
  <si>
    <t>1. - 4.r. (vrátane prípravného roč.)</t>
  </si>
  <si>
    <t>Kubranská - Aprogén</t>
  </si>
  <si>
    <t>229017: Z vratiek</t>
  </si>
  <si>
    <t>223 001: Za jasle odborné činnosti</t>
  </si>
  <si>
    <t>223 001: Odborné činnosti</t>
  </si>
  <si>
    <t>361/CC/20</t>
  </si>
  <si>
    <t>31.1.2021</t>
  </si>
  <si>
    <t>mesačne: 13 333 €</t>
  </si>
  <si>
    <t>posledná: 13 373 €</t>
  </si>
  <si>
    <t>Ministerstvo financií SR</t>
  </si>
  <si>
    <t>2020/128/0613</t>
  </si>
  <si>
    <t>do 31.10.2024</t>
  </si>
  <si>
    <t>ročne 320.130 €</t>
  </si>
  <si>
    <t>do 31.10.2025</t>
  </si>
  <si>
    <t>do 31.10.2026</t>
  </si>
  <si>
    <t>do 31.10.2027</t>
  </si>
  <si>
    <t>Staroba</t>
  </si>
  <si>
    <t>Ostatné kapitálové výdavky</t>
  </si>
  <si>
    <t>Bankové úvery</t>
  </si>
  <si>
    <t>Prevod prostriedkov z peňažných fondov</t>
  </si>
  <si>
    <t>Tenisové centrum mládeže Trenčín</t>
  </si>
  <si>
    <t>Tenisový klub AS Trenčín</t>
  </si>
  <si>
    <t>Golfový a športový klub Trenčín</t>
  </si>
  <si>
    <t>Stolnotenisový klub Keraming Trenčín</t>
  </si>
  <si>
    <t>Športujeme a tvoríme bez bariér</t>
  </si>
  <si>
    <t>Memoriál Jána Cellera</t>
  </si>
  <si>
    <t>Martin Vlnka</t>
  </si>
  <si>
    <t>Florbalový klub AS Trenčín</t>
  </si>
  <si>
    <t>Hviezdy deťom</t>
  </si>
  <si>
    <t>Golf pre všetkých</t>
  </si>
  <si>
    <t>Trenčiansky kolkársky klub</t>
  </si>
  <si>
    <t>Turnaj mládeže 6 klubov</t>
  </si>
  <si>
    <t>Free Trenčín</t>
  </si>
  <si>
    <t>Slovenská asociácia silných mužov</t>
  </si>
  <si>
    <t>Tenisový turnaj</t>
  </si>
  <si>
    <t>Zaži Trenčín OZ</t>
  </si>
  <si>
    <t>Športová olympiáda pre zdravotne postihnutých</t>
  </si>
  <si>
    <t>Mestská kolkárska liga</t>
  </si>
  <si>
    <t>Súkromná základná škola pre žiakov s autizmom</t>
  </si>
  <si>
    <t>Technická škôlka</t>
  </si>
  <si>
    <t>Prípravný ročník - NKS</t>
  </si>
  <si>
    <t>1. ročník špeciálnej triedy - NKS</t>
  </si>
  <si>
    <t>x</t>
  </si>
  <si>
    <t>Kanoistický klub TTS Trenčín</t>
  </si>
  <si>
    <t>Tanečný klub AURA DANCE</t>
  </si>
  <si>
    <t>k 31.12.2021</t>
  </si>
  <si>
    <t>0.3.2.0.</t>
  </si>
  <si>
    <t>Vzdelávanie nedefinované podľa úrovne</t>
  </si>
  <si>
    <t>Primárne vzdelávanie s bežnou starostlivosťou</t>
  </si>
  <si>
    <t>292 017: Z vratiek</t>
  </si>
  <si>
    <t>717: Realizácia stavieb</t>
  </si>
  <si>
    <t>341: Prostriedky z rozpočtu EÚ</t>
  </si>
  <si>
    <t>CPR Trenčín</t>
  </si>
  <si>
    <t>Divadelná Opatová</t>
  </si>
  <si>
    <t>Hospic Milosrdných sestier</t>
  </si>
  <si>
    <t>BAMBULA</t>
  </si>
  <si>
    <t>Z našej kuchyne</t>
  </si>
  <si>
    <t>Slovenský deň kroja</t>
  </si>
  <si>
    <t>Projekt Slamka</t>
  </si>
  <si>
    <t>Mestské divadlo Trenčín - MDT</t>
  </si>
  <si>
    <t>TRAKT</t>
  </si>
  <si>
    <t>Trenčín na korze</t>
  </si>
  <si>
    <t>Magická Brezina - večerný program</t>
  </si>
  <si>
    <t>Krojové vybavenie MSS Škrupinka</t>
  </si>
  <si>
    <t>DFS Kornička</t>
  </si>
  <si>
    <t>Seniorklub Družba</t>
  </si>
  <si>
    <t>Veselé Zlatovce</t>
  </si>
  <si>
    <t>Nová vlna</t>
  </si>
  <si>
    <t>Sýkorka</t>
  </si>
  <si>
    <t>Bella a cappella</t>
  </si>
  <si>
    <t>činnosť</t>
  </si>
  <si>
    <t>Asociácia zväzov zdravotne postihnutých</t>
  </si>
  <si>
    <t>OZ Amazonky</t>
  </si>
  <si>
    <t>Silnejší - Slabším</t>
  </si>
  <si>
    <t>Centrum nepočujúcich ANEPS Trenčín</t>
  </si>
  <si>
    <t>Klub abstinentov Trenčín</t>
  </si>
  <si>
    <t>Kurz nordic walking zameraný na špecifické potreby onkologického pacienta</t>
  </si>
  <si>
    <t>NFP Zvýšenie mestskej mobility budovaním siete cyklist.infraštr.v TN: Riešenie cyklodopravy, ul. Na Kamenci, od Ul.na Vinohrady po Kasárenskú</t>
  </si>
  <si>
    <t>Ministerstvo práce, sociálnych vecí a rodiny SR</t>
  </si>
  <si>
    <t>Okresný úrad Trenčín</t>
  </si>
  <si>
    <t>Dotácia na úhradu cestovných nákladov žiakov</t>
  </si>
  <si>
    <t>Dotácia na osobné náklady asistentov učiteľov</t>
  </si>
  <si>
    <t>Dotácia na vzdelávacie poukazy</t>
  </si>
  <si>
    <t>Dotácia na učebnice</t>
  </si>
  <si>
    <t>Finančné prostriedky na výchovu a vzdelávanie pre materské školy</t>
  </si>
  <si>
    <t>Úrad práce, sociálnych vecí a rodiny SR</t>
  </si>
  <si>
    <t>Dotácia na školské potreby pre deti v hmotnej núdzi</t>
  </si>
  <si>
    <t>Dotácia na zabezpečenie starostlivosti o vojnové hroby</t>
  </si>
  <si>
    <t>Ministerstvo dopravy, výstavby a regionálneho rozvoja SR</t>
  </si>
  <si>
    <t>Prenesený výkon štátnej správy ŠFRB</t>
  </si>
  <si>
    <t>Prenesený výkon štátnej správy starostlivosti o životné prostredie</t>
  </si>
  <si>
    <t>Prenesený výkon štátnej správy na úseku miest. účel.komunikácií</t>
  </si>
  <si>
    <t>Prenesený výkon štátnej správy v oblasti stav.poriadku  vr.vyvlast.</t>
  </si>
  <si>
    <t>Dotácia na financovanie soc.služby v zariadení  sociálnych služieb</t>
  </si>
  <si>
    <t>Ministerstvo vnútra SR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</si>
  <si>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</si>
  <si>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</si>
  <si>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</si>
  <si>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Prídavky na deti</t>
  </si>
  <si>
    <t>Dobrovoľná požiarna ochrana SR</t>
  </si>
  <si>
    <t>Bežné príjmy, príjmové finančné operácie</t>
  </si>
  <si>
    <t>Program 4.4: Verejné toalety</t>
  </si>
  <si>
    <t>Program 4.5: Prevádzka mestských trhovísk</t>
  </si>
  <si>
    <t>Program 4.7:  Miestne média</t>
  </si>
  <si>
    <t>Program 5.2: Verejné osvetlenie</t>
  </si>
  <si>
    <t>Program 6.2.1:  Správa a údržba pozemných komunikácií</t>
  </si>
  <si>
    <t>Program 8.3.4.: Plavárne</t>
  </si>
  <si>
    <t>Program 8.3.3.: Zimný štadión</t>
  </si>
  <si>
    <t>Program 8.3.5.: Mobilná ľadová plocha</t>
  </si>
  <si>
    <t>Program 8.4. Mobiliár mesta a detské ihriská</t>
  </si>
  <si>
    <t>Program 10.3. Ochrana prostredia pre život</t>
  </si>
  <si>
    <t xml:space="preserve">Program 10.1.: Verejná zeleň </t>
  </si>
  <si>
    <t>Program 10.1.Verejná zeleň - Brezina a Soblahov</t>
  </si>
  <si>
    <t>Program 10.5.: Fontány</t>
  </si>
  <si>
    <t>Program 10.6.: Podporná činnosť</t>
  </si>
  <si>
    <t>Program 11.4.1.: Nocľaháreň</t>
  </si>
  <si>
    <t>Program 11.4.2.: Nízkoprahové denné centrum</t>
  </si>
  <si>
    <t>Program 11.5.2:  Zariadenie pre seniorov</t>
  </si>
  <si>
    <t>Program 11.7.: Terénna opatrovateľská služba</t>
  </si>
  <si>
    <t>Program 11.10.: Prepravná služba</t>
  </si>
  <si>
    <t>Program 11.11.: Manažment SSMT</t>
  </si>
  <si>
    <t>Program 11.6.: Zariadenie opatr. služby</t>
  </si>
  <si>
    <t>Program 7.1.: Materské školy</t>
  </si>
  <si>
    <t>Program 7.2.: Základné školy</t>
  </si>
  <si>
    <t>Program 7.3.:  Voľno časové vzdelávanie</t>
  </si>
  <si>
    <t>Program 7.4.: Školské jedálne</t>
  </si>
  <si>
    <t>Program 7.5.: Politika vzdelávania</t>
  </si>
  <si>
    <t>Program 7.2. Základné škola</t>
  </si>
  <si>
    <t>Program 7.4. Školské jedálne</t>
  </si>
  <si>
    <t>Program 7.3. Voľnočasové vzdelávanie</t>
  </si>
  <si>
    <t>Program 7.2.</t>
  </si>
  <si>
    <t>Program 8.3.3. Zimný štadióm</t>
  </si>
  <si>
    <t>713: Nákup strojov...</t>
  </si>
  <si>
    <t xml:space="preserve">717: Realizácia stavieb </t>
  </si>
  <si>
    <t>713: Nákup strojov..</t>
  </si>
  <si>
    <t xml:space="preserve">713: Nákup strojov... </t>
  </si>
  <si>
    <t xml:space="preserve">Štátny fond rozvoja bývania 48 b.j. </t>
  </si>
  <si>
    <t>Štátny fond rozvoja bývania 26 b.j.</t>
  </si>
  <si>
    <t>Poskytovateľ úveru/návratnej finančnej výpomoci</t>
  </si>
  <si>
    <t>Suma 2021</t>
  </si>
  <si>
    <t>Badminton klub MI Trenčín</t>
  </si>
  <si>
    <t>Climberg športový klub</t>
  </si>
  <si>
    <t>Kultúrne centrum Kubra</t>
  </si>
  <si>
    <t>Kultúrne centrum Opatová</t>
  </si>
  <si>
    <t>Základná organizácia nedoslýchavých v Trenčíne</t>
  </si>
  <si>
    <t>Združenie na pomoc ľuďom s mentálnym postihnutím v Trenčíne</t>
  </si>
  <si>
    <t>Súvaha Mesta Trenčín a mestských rozpočtových organizácií mesta  k 31.12.2022</t>
  </si>
  <si>
    <t>231: Príjem z predaja kapitálových aktív</t>
  </si>
  <si>
    <t>312: Transfery v rámci VS</t>
  </si>
  <si>
    <t>Nevyč.dotácia</t>
  </si>
  <si>
    <t>k 31.12.2022</t>
  </si>
  <si>
    <t>Pohľadávky Mesta Trenčín k 31.12.2022</t>
  </si>
  <si>
    <t>Mesto Trenčín nemalo v roku 2022 zriadené príspevkové organizácie</t>
  </si>
  <si>
    <t>222 003: Úroky z omeškania</t>
  </si>
  <si>
    <t>292 019: príjmy z refundácie</t>
  </si>
  <si>
    <t>Pomoc pri osobnej starostlivosti o dieťa</t>
  </si>
  <si>
    <t>Program 11.1.2: Pomoc pri osobnej starostlivosti o dieťa</t>
  </si>
  <si>
    <t>Program 11.1.1: Detské jasle</t>
  </si>
  <si>
    <t>292 006: Náhrad z poistného plnenia</t>
  </si>
  <si>
    <t>Prepočítaný počet zamestnancov základných škôl  v šk.roku roku 2022/2023</t>
  </si>
  <si>
    <t>stav k 15.9.2022</t>
  </si>
  <si>
    <t>POČTY ŽIAKOV A TRIED V ROČNÍKOCH V ZŠ K 15. 09. 2022</t>
  </si>
  <si>
    <t>MŠ - 1 501 detí (+ 48 detí), z toho 511 predškolákov; 45 detí z Ukrajiny (celkový počet detí 1 546)</t>
  </si>
  <si>
    <t>Stav 15.9.2022</t>
  </si>
  <si>
    <t>Športový klub Real Team Trenčín, o.z.</t>
  </si>
  <si>
    <t>Vzpieračský klub KOFI Trenčín</t>
  </si>
  <si>
    <t>Jednota Sokol Trenčín</t>
  </si>
  <si>
    <t>Telovýchovná jednota Štadión</t>
  </si>
  <si>
    <t>Karate klub Ekonóm</t>
  </si>
  <si>
    <t>Športový klub REHAFIT</t>
  </si>
  <si>
    <t>Tanečný klub Dukla Trenčín pri Strednej umeleckej škole v Trenčíne</t>
  </si>
  <si>
    <t>Dračia légia Trenčín</t>
  </si>
  <si>
    <t>Dotácie v oblasti športu a mládeže v roku 2022</t>
  </si>
  <si>
    <t>Združenie kresťanských spoločenstiev mládeže</t>
  </si>
  <si>
    <t>Silnejší slabším oz</t>
  </si>
  <si>
    <t>Ipčko</t>
  </si>
  <si>
    <t>I Ambitious</t>
  </si>
  <si>
    <t>Vzdelávacie centrum KRTKo a jeho kamaráti</t>
  </si>
  <si>
    <t>COOLTÚRNE</t>
  </si>
  <si>
    <t>wash-ed</t>
  </si>
  <si>
    <t>Študentský deň - Deň nezávislosti</t>
  </si>
  <si>
    <t>zo Sídliska ku hviezdam Trenčín 2022</t>
  </si>
  <si>
    <t>Detská reštaurácia</t>
  </si>
  <si>
    <t>Čarovná záhrada</t>
  </si>
  <si>
    <t>Psychologická pomoc a podpora pre mladých ľudí v Trenčíne</t>
  </si>
  <si>
    <t>projekt I Ambitious</t>
  </si>
  <si>
    <t>Krtkov klub výnimočných - rozozvučme naše srdcia pre všetkých</t>
  </si>
  <si>
    <t>Slow by Priestor</t>
  </si>
  <si>
    <t>Make your own space</t>
  </si>
  <si>
    <t xml:space="preserve">Nordic Walking Trenčín a okolie </t>
  </si>
  <si>
    <t>AS Trenčín</t>
  </si>
  <si>
    <t>Elite fight promotion</t>
  </si>
  <si>
    <t>OZ Kolotoč pri Centre voľného času</t>
  </si>
  <si>
    <t>Športový klub polície Trenčín</t>
  </si>
  <si>
    <t>KC Sihoť</t>
  </si>
  <si>
    <t>GK Pavlo s.r.o.</t>
  </si>
  <si>
    <t xml:space="preserve">Športový klub nepočujúcich </t>
  </si>
  <si>
    <t>Jednota Sokol</t>
  </si>
  <si>
    <t>Gevorg tennis club</t>
  </si>
  <si>
    <t>Považská sokolská župa M.R.Štefánika</t>
  </si>
  <si>
    <t>Vrchárska koruna Trenčianska</t>
  </si>
  <si>
    <t>Letci Trenčín</t>
  </si>
  <si>
    <t>Telovýchovná jednota Štadion</t>
  </si>
  <si>
    <t>Hokejový klub Dukla Trenčín</t>
  </si>
  <si>
    <t>Centrum včasnej intervencie Trenčín</t>
  </si>
  <si>
    <t>Trenčín inline</t>
  </si>
  <si>
    <t>LUAN občianske združenie</t>
  </si>
  <si>
    <t>Pro Sport Team o.z.</t>
  </si>
  <si>
    <t>Občianske združenie Honkadori Dojo Trenčín</t>
  </si>
  <si>
    <t>Joga v škole</t>
  </si>
  <si>
    <t>Hádzanársky klub Asociácie športov Trenčín</t>
  </si>
  <si>
    <t>DIVO občianske združenie o.z.</t>
  </si>
  <si>
    <t>Športový klub 1.FBC Trenčín o.z.</t>
  </si>
  <si>
    <t>Sportkemp</t>
  </si>
  <si>
    <t>Buď lepší - Challenge day 12.</t>
  </si>
  <si>
    <t>Športové lezenie Trenčín</t>
  </si>
  <si>
    <t>AUTIS o.z.</t>
  </si>
  <si>
    <t>Tanečný klub DUKLA Trenčín pri Strednej umeleckej škole</t>
  </si>
  <si>
    <t>ILYO-TAEKWONDO Trenčín</t>
  </si>
  <si>
    <t>Basketbalový klub Trenčín</t>
  </si>
  <si>
    <t>Trenčiansky futbalový klub 1939 Záblatie</t>
  </si>
  <si>
    <t>3run Slovakia</t>
  </si>
  <si>
    <t xml:space="preserve">Kurz Nordic Walkingu pre deti a seniorov </t>
  </si>
  <si>
    <t>This is my sen cup</t>
  </si>
  <si>
    <t>Turnaj Laugaricio cup</t>
  </si>
  <si>
    <t>Elite Figt Promotion</t>
  </si>
  <si>
    <t>Maratón pohybu</t>
  </si>
  <si>
    <t>Všetci robia duatlon</t>
  </si>
  <si>
    <t>Usporiadanie pohára...............</t>
  </si>
  <si>
    <t>Cross run Opatová 2022</t>
  </si>
  <si>
    <t>Hokejbalový turnaj o pohár Sihote</t>
  </si>
  <si>
    <t>8.ročník Trenčiasnka bežecká liga</t>
  </si>
  <si>
    <t>Slovenský pohár 3.6.-4.6.2022</t>
  </si>
  <si>
    <t>Tenisové turnaje 2022</t>
  </si>
  <si>
    <t>Trenčianska regata 65.výročie</t>
  </si>
  <si>
    <t>Majstrovská Slovenskej republiky</t>
  </si>
  <si>
    <t>15.ročník Športového dňa nepočujúcich - memoriál Tomáša Prekopa (futsal a bowling)</t>
  </si>
  <si>
    <t>Sokolská olympiáda všestrannosti</t>
  </si>
  <si>
    <t>2.Sokolský cyklorok 2022</t>
  </si>
  <si>
    <t xml:space="preserve">CUP </t>
  </si>
  <si>
    <t>IV.Sokolský športový memoriál M.R.Štefánika</t>
  </si>
  <si>
    <t>Love Trenčín</t>
  </si>
  <si>
    <t xml:space="preserve">Player Development program </t>
  </si>
  <si>
    <t>TJ Štadion Trenčín</t>
  </si>
  <si>
    <t>SBA 3x3 tour</t>
  </si>
  <si>
    <t>Hantákov memoriál</t>
  </si>
  <si>
    <t>Pohyb pre každého</t>
  </si>
  <si>
    <t>Prebudenie draka</t>
  </si>
  <si>
    <t>Dobudovanie trate pumptrack</t>
  </si>
  <si>
    <t>Enduro Cup Stred 5.ročník</t>
  </si>
  <si>
    <t>Trenčiansky polmaratón 11.9.2022</t>
  </si>
  <si>
    <t>X.ročník - Detská športová olympiáda 2022</t>
  </si>
  <si>
    <t>Moderná koncepcia približovania telesnej kultúry a športu deťom predškolského veku 2022</t>
  </si>
  <si>
    <t>Deň otvorených dverí bojových umení</t>
  </si>
  <si>
    <t>AS Trenčín Beach Handball Cup 2022</t>
  </si>
  <si>
    <t>DIVOtraily - dobudovanie značenia a XC trailu</t>
  </si>
  <si>
    <t>Trenčín floorball games 2022</t>
  </si>
  <si>
    <t>Beh od hradu k hradu 15.10.2022</t>
  </si>
  <si>
    <t>Trenčiansky triatlon 3.7.2022</t>
  </si>
  <si>
    <t>Night run Trenčín</t>
  </si>
  <si>
    <t>SalmingFloorballCamp 2022 - 11.ročník</t>
  </si>
  <si>
    <t>Olympijská 3kombinácia v lezení 17.9.2022</t>
  </si>
  <si>
    <t>Buď fit s Rehafit</t>
  </si>
  <si>
    <t>Benefičný beh Pro Autis 10.ročník</t>
  </si>
  <si>
    <t>Medzinárodný pretek Meč Matúša Čáka 3.9.2022</t>
  </si>
  <si>
    <t>Laugaricio cup</t>
  </si>
  <si>
    <t>Trenčín Taekwondo Cup</t>
  </si>
  <si>
    <t>Dragon Boat Grand Prix Majstrovstvá dračích lodí - krátke trate</t>
  </si>
  <si>
    <t>Letný futbalový turnaj prípraviek 1.8.2022 až 31.8.2022</t>
  </si>
  <si>
    <t>V zdravom tele, zdravý duch</t>
  </si>
  <si>
    <t>OZ Kolotoč pri CVČ Trenčín</t>
  </si>
  <si>
    <t>Dart club Trenčín</t>
  </si>
  <si>
    <t>ŠKRUPINKA Trenčín</t>
  </si>
  <si>
    <t>TRENČANIA PRE TRENČÍN</t>
  </si>
  <si>
    <t>Galéria M.A.Bazovského v Trenčíne</t>
  </si>
  <si>
    <t>LUAN</t>
  </si>
  <si>
    <t>OZ Naše Záblatie</t>
  </si>
  <si>
    <t>OZ Trenčianska jazzová spoločnosť FÉNIX</t>
  </si>
  <si>
    <t>Projekt Ostrov</t>
  </si>
  <si>
    <t>Dychová hudba Textilanka</t>
  </si>
  <si>
    <t>Detský folklórny súbor Kornička</t>
  </si>
  <si>
    <t>OZ face2bass klub</t>
  </si>
  <si>
    <t>Silnejší slabžím oz</t>
  </si>
  <si>
    <t>Morava krásna zem</t>
  </si>
  <si>
    <t>Trenčiansky spevácky zbor</t>
  </si>
  <si>
    <t>Dfs Radosť v Trenčíne</t>
  </si>
  <si>
    <t>Trenčan, folklórny súbor Gymnázia Ľ.Štúra</t>
  </si>
  <si>
    <t>Trenčianska nadácia</t>
  </si>
  <si>
    <t>TJ Družstevník Opatová n/V</t>
  </si>
  <si>
    <t>Mgr. Art. Zuzana Budinská Art.D</t>
  </si>
  <si>
    <t>Grandvino sro</t>
  </si>
  <si>
    <t>Magdaléna Schonová - Majda Pekná</t>
  </si>
  <si>
    <t>FS ÚSMEV</t>
  </si>
  <si>
    <t>Vandrovka</t>
  </si>
  <si>
    <t>FS Čákovec</t>
  </si>
  <si>
    <t>OZ Hudobné aktivity</t>
  </si>
  <si>
    <t>SUSAN Slovakia</t>
  </si>
  <si>
    <t>Zaži</t>
  </si>
  <si>
    <t>OZ Hudobno spevácká folklórna skupina</t>
  </si>
  <si>
    <t>KC Kubra</t>
  </si>
  <si>
    <t>FS Družba</t>
  </si>
  <si>
    <t>Ing. Katarína Vidal</t>
  </si>
  <si>
    <t>Coffee Sheep s.r.o.</t>
  </si>
  <si>
    <t>Komorný orchester mesta Trenčín</t>
  </si>
  <si>
    <t>Občania pre Trenčín</t>
  </si>
  <si>
    <t>FS Nadšenci</t>
  </si>
  <si>
    <t>Clover Media sro</t>
  </si>
  <si>
    <t>Trenčiansky festival tanca 3</t>
  </si>
  <si>
    <t>Festival starej hudby Ad fontes musica 2022</t>
  </si>
  <si>
    <t>Program k 15.výročiu založenia Škrupinky</t>
  </si>
  <si>
    <t>Kultúrne leto na SEVERE</t>
  </si>
  <si>
    <t>Leto v galérii</t>
  </si>
  <si>
    <t>Opera Rigoletto</t>
  </si>
  <si>
    <t>Udržiavanie tradícií v mestskej časti Záblatie</t>
  </si>
  <si>
    <t>XXIX. Trenčiansky jazzový festival JAZZ POD HRADOM</t>
  </si>
  <si>
    <t>Rozhranie</t>
  </si>
  <si>
    <t>Kultúrne leto na Zámostí 2022</t>
  </si>
  <si>
    <t>Zabezpečenie činnosti DFS Kornička2022</t>
  </si>
  <si>
    <t>FEST ART Trenčín 2022</t>
  </si>
  <si>
    <t>4.ročník Bavíme sa bez bariér</t>
  </si>
  <si>
    <t>Morava krásna zem - Žijeme vedľa seba</t>
  </si>
  <si>
    <t>Zborový spev - jeho zachovanie a rozvoj v Trenčíne, záujmová činnosť</t>
  </si>
  <si>
    <t>My sme súbor Radosť - uchovávame tradície a rozdávame radosť</t>
  </si>
  <si>
    <t>Činnosť FS Trenčan</t>
  </si>
  <si>
    <t>Výstavy súčasného vizuálneho umenia VII</t>
  </si>
  <si>
    <t>Otvor srde, daruj knihu</t>
  </si>
  <si>
    <t>Hodové slávnosti v Opatovej</t>
  </si>
  <si>
    <t>Generácia nula</t>
  </si>
  <si>
    <t>Víno pod hradom 2022</t>
  </si>
  <si>
    <t>Yogacamp 2022 - festival jogy nielen o joge</t>
  </si>
  <si>
    <t>Deň s Doktorom Klaunom</t>
  </si>
  <si>
    <t>Dobrý bazár</t>
  </si>
  <si>
    <t>Strecha nad hlavou</t>
  </si>
  <si>
    <t>Neboj sa remesla</t>
  </si>
  <si>
    <t>V každom kraji inak</t>
  </si>
  <si>
    <t>Adventý festival</t>
  </si>
  <si>
    <t>Hiding dance</t>
  </si>
  <si>
    <t>Činnosť</t>
  </si>
  <si>
    <t>Rozvoj a podpora našich kultúrnych tradícií</t>
  </si>
  <si>
    <t>Kultúrna Severu mesta Trenčín</t>
  </si>
  <si>
    <t>Vianočný galaprogram Tanečného klubu BAMBULA</t>
  </si>
  <si>
    <t>Kultúrne leto v Kubre</t>
  </si>
  <si>
    <t>Zachovávanie ľudových tradícií</t>
  </si>
  <si>
    <t>Živé tradície</t>
  </si>
  <si>
    <t>činnosť...</t>
  </si>
  <si>
    <t>tance pre radosť</t>
  </si>
  <si>
    <t>doplnenie krojov pre DFS Kubranček</t>
  </si>
  <si>
    <t>Stretnutie s....</t>
  </si>
  <si>
    <t>Letné divadelné večery 2022</t>
  </si>
  <si>
    <t>Materiálne zabezpečenie na chod a činnosť súborov Musica Poetica a Fistulatoris consort</t>
  </si>
  <si>
    <t>KULTURSHEEP</t>
  </si>
  <si>
    <t>TEDx Trenčín 2022 - Sedmička</t>
  </si>
  <si>
    <t>Textilanka 50 rokov</t>
  </si>
  <si>
    <t>13.Zlatovský festival dychových hudieb</t>
  </si>
  <si>
    <t>15.výročie FS Nadšenci</t>
  </si>
  <si>
    <t>Festival dychových hudieb Okolo Trenčína 2022</t>
  </si>
  <si>
    <t>DOGMA DIVADLO</t>
  </si>
  <si>
    <t>Činnosť Dogma Divadlo v roku 2023</t>
  </si>
  <si>
    <t>Dotácie v  oblasti kultúry  v roku 2022</t>
  </si>
  <si>
    <t>Dotácie v sociálnej oblasti v roku 2022</t>
  </si>
  <si>
    <t xml:space="preserve">Autis </t>
  </si>
  <si>
    <t>Liga proti reumatizmu na Slovensku</t>
  </si>
  <si>
    <t>Jednota dôchodcov Slovenska ZO č.02</t>
  </si>
  <si>
    <t>Slovenský zväz telesne postihnutých, ZO č.17 Trenčín</t>
  </si>
  <si>
    <t>ZO Slovenského zväzu protifašistických bojovníkov Trenčín 1</t>
  </si>
  <si>
    <t>Asociácia zväzov zdravotne postihnutých v Trenčín</t>
  </si>
  <si>
    <t>Jednota dôchodcov Slovenska ZO č.27</t>
  </si>
  <si>
    <t>Zväz diabetikov Slovenska - ZO DIAVIA Trenčín</t>
  </si>
  <si>
    <t>Slovenský zväz telesne postihnutých, ZO č.57 Trenčín</t>
  </si>
  <si>
    <t>Jednota dôchodcov Slovenska ZO č.01</t>
  </si>
  <si>
    <t>Misia lásky</t>
  </si>
  <si>
    <t>Organizácia postihnutých chronickými chorobami v Trenčíne</t>
  </si>
  <si>
    <t>Jednota dôchodcov Slovenska ZO č.06</t>
  </si>
  <si>
    <t>Združenie kresťanských seniorov Slovenska, Klub Trenčín - mesto</t>
  </si>
  <si>
    <t>Jednota dôchodcov Slovenska ZO č.19</t>
  </si>
  <si>
    <t>Trenčín Na ceste</t>
  </si>
  <si>
    <t>Jednota dôchodcov Slovenska ZO č.32</t>
  </si>
  <si>
    <t>Únia nevidiacich a slabozrakých Slovenska</t>
  </si>
  <si>
    <t>Jednota dôchodcov Slovensko ZO č.05</t>
  </si>
  <si>
    <t>Materské centrum SRDIEČKO</t>
  </si>
  <si>
    <t>Ars Vivendi - občianske združenei pre pomoc duševne chorých</t>
  </si>
  <si>
    <t>Jednota dôchodcov Slovenska ZO č.30</t>
  </si>
  <si>
    <t>2.ročník V zdravom tele zdravý duch</t>
  </si>
  <si>
    <t>Hipoterapia u detí s autizmom v Trenčianskom autistickom centre PRO AUTIS</t>
  </si>
  <si>
    <t>Rodinná terénna terapia 2022</t>
  </si>
  <si>
    <t>Liečebno-rehabilitačný pobyt v kúpeľoch Nimnica</t>
  </si>
  <si>
    <t>Finančné zabezpečenie ročného plánu ZO 02 JDS Trenčín</t>
  </si>
  <si>
    <t>Rekondícia ťažko telesne postihnutých</t>
  </si>
  <si>
    <t>Činnosť ZO SZPB Trenčín v roku 2022</t>
  </si>
  <si>
    <t>VZŤA-H-UDBA</t>
  </si>
  <si>
    <t>Finačné pookrytie ročného plánu činnosti ZO JDS č.27 v Trenčíne na rok 2022</t>
  </si>
  <si>
    <t>na činnosť</t>
  </si>
  <si>
    <t>Rekondíciou za zdravým telom i duchom</t>
  </si>
  <si>
    <t>Finančné zabezpečenie ročného plánu ZO 01 JDS Trenčín</t>
  </si>
  <si>
    <t>Sociálno-rekondičný pobyt nepočujúcich</t>
  </si>
  <si>
    <t>Pomoc osobám v núdzi 2022</t>
  </si>
  <si>
    <t>Činnosť a organizovanie ozdravno-rehabilitačných aktivít pre členov ZON v Trenčíne spojená s prednáškami a poradenstvom</t>
  </si>
  <si>
    <t>Rekondičný pobyt pre ZP v penzióne ZORA Tatranská Lomnica</t>
  </si>
  <si>
    <t>Aby sa nikto necítil osamotený</t>
  </si>
  <si>
    <t>Po stopách osobnosstí Trenčína</t>
  </si>
  <si>
    <t>Hipoterapia - liečba jazdou na koni</t>
  </si>
  <si>
    <t>Celoročný plán na rok 2022</t>
  </si>
  <si>
    <t>Vykurovanie prevádzky chránenej dielne - kaviareň Na ceste 2022</t>
  </si>
  <si>
    <t>Poznávací rekreačno relaxačný pobyt</t>
  </si>
  <si>
    <t>Čítame, píšeme, učíme sa, bavíme sa</t>
  </si>
  <si>
    <t>Celoročná činnosť ZO 05 v roku 2022</t>
  </si>
  <si>
    <t>Inovácie v oblasti poskytovania sociálnych služieb</t>
  </si>
  <si>
    <t>Pobočka materského centra Srdiečko</t>
  </si>
  <si>
    <t>Resocializačný pobyt pre duševne chorých v Luhačoviciach</t>
  </si>
  <si>
    <t>Covid...., Ukrajina...., a čo bude ďalej</t>
  </si>
  <si>
    <t>Dotácie v  oblasti školstva  v roku 2022</t>
  </si>
  <si>
    <t>Jednota dôchodcov</t>
  </si>
  <si>
    <t>Rada rodičovského združenia pri 7.ZŠ v Trenčíne</t>
  </si>
  <si>
    <t>Združenie rodičov a priateľov MŠ Medňanského 9</t>
  </si>
  <si>
    <t>Verejná knižnica Michala Rešetku</t>
  </si>
  <si>
    <t xml:space="preserve">Spojená škola internátna </t>
  </si>
  <si>
    <t>Občianske združenie pri ZŠ Kubra - ARCHA</t>
  </si>
  <si>
    <t xml:space="preserve">Občianske združenie Komenský </t>
  </si>
  <si>
    <t>Združenie rodičov pri Materskej škole Jána Halašu v Trenčíne</t>
  </si>
  <si>
    <t>Združenie rodičov Základnej školy Dlhé Hony</t>
  </si>
  <si>
    <t>Združenie rodičov a priateľov školy pri ZŠ Na Dolinách</t>
  </si>
  <si>
    <t xml:space="preserve">Klub aktivít školy pri ZŠ Východná </t>
  </si>
  <si>
    <t>Felinoterapia pre žiakov s autizmom</t>
  </si>
  <si>
    <t>Akadémia tretieho veku</t>
  </si>
  <si>
    <t>Mama je len jedna</t>
  </si>
  <si>
    <t>Duševné zdravie v školách</t>
  </si>
  <si>
    <t>Hudobná rozprávka "Kráľovstvo kráľa Muzikusa"</t>
  </si>
  <si>
    <t>Workshop Krmenie vtakov v zime a stavba krmidiel</t>
  </si>
  <si>
    <t>Motivačné a vzdelávacie súťaže pre deti III.</t>
  </si>
  <si>
    <t>Umenie nás spája</t>
  </si>
  <si>
    <t>Zlepšenie podmienok vzdelávania žiakov so zdravotným znevýhodnením 2022</t>
  </si>
  <si>
    <t>Interaktívna pojmová a obrázková mapa v učebni hudobnej výchovy</t>
  </si>
  <si>
    <t>Školský podporný tím</t>
  </si>
  <si>
    <t>Folklórny súbor DOLINÁČIK</t>
  </si>
  <si>
    <t>DRUMMER´S;</t>
  </si>
  <si>
    <t>Hospic milosrdných sestier</t>
  </si>
  <si>
    <t>Galéria Miloša Alexandra Bazovského</t>
  </si>
  <si>
    <t>Zaži Trenčín</t>
  </si>
  <si>
    <t>mff Eko sro</t>
  </si>
  <si>
    <t>Zelené dobrodružstvo</t>
  </si>
  <si>
    <t>Family Garden - hospicová záhrada pre pacientov a ich príbuzných</t>
  </si>
  <si>
    <t>Zelená galéria</t>
  </si>
  <si>
    <t>2.ročník Objavujme a chráňme, spoznávajme a skrášľujme</t>
  </si>
  <si>
    <t>Čistá Brezina 2022</t>
  </si>
  <si>
    <t>EKOTOPFILM - ENVIROFILM</t>
  </si>
  <si>
    <t>Dotácie v  oblasti životného prostredia  v roku 2022</t>
  </si>
  <si>
    <t>716: Projektová dokumentácia</t>
  </si>
  <si>
    <t>Bežné výdavky podľa funkčnej klasifikácie k 31.12.2022</t>
  </si>
  <si>
    <t>01.6.0.</t>
  </si>
  <si>
    <t>Všeobecné verejné služby inde neklasifikované</t>
  </si>
  <si>
    <t>Kapitálové výdavky podľa funkčnej klasifikácie k 31.12.2022</t>
  </si>
  <si>
    <t>Bežné a kapitálové výdavky podľa ekonomickej klasifikácie k 31.12.2022</t>
  </si>
  <si>
    <t>Rekonštrukcia a modernizácia</t>
  </si>
  <si>
    <t>Finančné operácie podľa ekonomickej  klasifikácie k 31.12.2022</t>
  </si>
  <si>
    <t>Z kontokorentných úrokov</t>
  </si>
  <si>
    <t>Splátky od 1.1.2022 do 31.12.2022</t>
  </si>
  <si>
    <t xml:space="preserve"> k 31.12.2022 v EUR</t>
  </si>
  <si>
    <t>Prehľad dlhu v zmysle § 17, ods. 6,7 zákona č. 583/2004 o rozpočtových pravidlách územnej samosprávy v znení neskorších predpisov k 31.12.2022</t>
  </si>
  <si>
    <t>Regionálny úrad štátnej správy v TN</t>
  </si>
  <si>
    <t>Dotácia na prenesené kompetnencie - mzdy, odvody, tovary a služby</t>
  </si>
  <si>
    <t>Dotácia na prenesené kompetencie - odchodné</t>
  </si>
  <si>
    <t>Dotácia na prenesené kompetencie - odstupné</t>
  </si>
  <si>
    <t>Dotácia na prenesené kompetencie - odmeny učiteľom</t>
  </si>
  <si>
    <t>Dotácia na PK - dofinancovanie školských bazénov</t>
  </si>
  <si>
    <t>Dotácia na PK - príspevok na rekreačné poukazy</t>
  </si>
  <si>
    <t>Dotácia na PK - jazykové  kurzy pre cudzincov</t>
  </si>
  <si>
    <t>Energie</t>
  </si>
  <si>
    <t xml:space="preserve">Dotácia na príspevok  na žiakov  zo SZP </t>
  </si>
  <si>
    <t>Prenesený výkon štátnej správy - školský úrad</t>
  </si>
  <si>
    <t>Mimoriadne výsledky žiakov</t>
  </si>
  <si>
    <t>Škola v prírode</t>
  </si>
  <si>
    <t>Lyžiarsky kurz</t>
  </si>
  <si>
    <t>Obedy zadarmo</t>
  </si>
  <si>
    <t>Refundácia MPC</t>
  </si>
  <si>
    <t>Školské potreby pre deti utečencov z Ukrajiny</t>
  </si>
  <si>
    <t>Jazykový kurz - Ukrajina</t>
  </si>
  <si>
    <t>Škola v prírode - Ukrajina</t>
  </si>
  <si>
    <t>Edukačné publikácie</t>
  </si>
  <si>
    <t>Podpora integrácie žiakov z Ukrajiny</t>
  </si>
  <si>
    <t>Projekt "Predškoláci"</t>
  </si>
  <si>
    <t>Prijaté bežné dotácie v roku 2022</t>
  </si>
  <si>
    <t xml:space="preserve">Príspevok za ubytovanie odídenca </t>
  </si>
  <si>
    <t>SSMT energie</t>
  </si>
  <si>
    <t>Dotácia  - voľby do OSO a VÚC 2022</t>
  </si>
  <si>
    <t xml:space="preserve">Dotácia - referendum 2023 </t>
  </si>
  <si>
    <t>Refundácia COVID</t>
  </si>
  <si>
    <t>Zabezpečenie akcieschopnosti  DHZO Trenčín-Opatová</t>
  </si>
  <si>
    <t>Zabezpečenie akcieschopnosti  DHZO Trenčín-Záblatie</t>
  </si>
  <si>
    <t>Ministerstvo hospodárstva</t>
  </si>
  <si>
    <t>Refundácia - energie</t>
  </si>
  <si>
    <t>Záchranné práce UKRAJINA 2022</t>
  </si>
  <si>
    <t>Marius Pedersen a.s.</t>
  </si>
  <si>
    <t>Dar na riešenie humanitárnej pomoci v súvislosti s konfliktom na Ukrajine</t>
  </si>
  <si>
    <t>Slovenská agentúra životného prostredia</t>
  </si>
  <si>
    <t>Cena v súťaži ENVIROMESTO</t>
  </si>
  <si>
    <t>Kreatívny inštitút Trenčín n.o.</t>
  </si>
  <si>
    <t>Grant z Nadačného fondu Slovenských elektrární - Nadácia Pontis na projekt Cyklistom prístupné centrum Mesta</t>
  </si>
  <si>
    <t>Nadácia EPH - finančný príspevok na Revitalizáciu verejných priestranstiev</t>
  </si>
  <si>
    <t>Fond na podporu športu - Modernizácia Zimného štadióna P.Demitru v Trenčíne</t>
  </si>
  <si>
    <t>NFP - Zlepšenie enviromentánych aspektov v meste Trenčín - vybudovanie prvkov zelenej infraštruktúry  pri regenerácii vnútrobloku  Sihoť, Turkovej</t>
  </si>
  <si>
    <t>NFP - Zlepšenie enviromentánych aspektov v meste Trenčín - vybudovanie prvkov zelenej infraštruktúry  pri regenerácii vnútrobloku Východná</t>
  </si>
  <si>
    <t>NFP Centrum kultúrno - kreatívneho potenciálu Hviezda</t>
  </si>
  <si>
    <t>NFP Podpora sociálnych služieb poskytovaných v zariadení na komunitnej báze v meste Trenčín</t>
  </si>
  <si>
    <t>NFP Zelené pľúca mesta - vysoko vzrastlé a alejové stromy a kry vo VZ v TN</t>
  </si>
  <si>
    <t>NFP Zvýšenie mestskej mobility budovaním siete cyklist.infraštr.v TN: Vetva D - SO Piešťanská</t>
  </si>
  <si>
    <t>NFP Zvýšenie mestskej mobility budovaním siete cyklist.infraštr.v TN: Vetva E-SO Záblatská</t>
  </si>
  <si>
    <t>Prijaté kapitálové dotácie v roku 2022</t>
  </si>
  <si>
    <t>Nadácia PONTIS</t>
  </si>
  <si>
    <t>Nadácia EPH</t>
  </si>
  <si>
    <t>Fond na podporu športu</t>
  </si>
  <si>
    <t>Ministerstvo pôdohospodárstva a rozvoja vidieka Slovenskej republiky</t>
  </si>
  <si>
    <t>Ministerstvo investícií, regionálneho rozvoja a informatizácie Slovenskej republiky</t>
  </si>
  <si>
    <t>Ministerstvo kultúry Slovenskej republiky</t>
  </si>
  <si>
    <t>HORIZON 2020</t>
  </si>
  <si>
    <t>Ministerstvo investícií, regionálneho rozvoj a informatizácie SR</t>
  </si>
  <si>
    <t>Nenávratný finančný príspevok na podporu administratívnych kapacít sprostredkovateľského orgánu pre IROP Trenčín</t>
  </si>
  <si>
    <t>Enviromentálny fond</t>
  </si>
  <si>
    <t>Príspevok na Inštitút participácie</t>
  </si>
  <si>
    <t>Nadácia CARTIF</t>
  </si>
  <si>
    <t>Metodicko-pedagogické cenrum</t>
  </si>
  <si>
    <t xml:space="preserve">  Vývoj dlhovej služby Mesta Trenčín v rokoch  2017-2022 vo väzbe  na zákon č.583/2004 Z.z. o rozpočtových pravidlách územnej samosprávy  a o zmene a doplnení niektorých zákonov v znení neskorších predpisov </t>
  </si>
  <si>
    <t>Výsledok hospodárenia Mesta Trenčín v metodike ESA 2010 za rok 2022</t>
  </si>
  <si>
    <t>Dotácie v oblasti športu na činnosť v roku 2022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</si>
  <si>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Times New Roman"/>
        <family val="1"/>
        <charset val="238"/>
      </rPr>
      <t xml:space="preserve"> </t>
    </r>
    <r>
      <rPr>
        <sz val="8"/>
        <color rgb="FF000000"/>
        <rFont val="Times New Roman"/>
        <family val="1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</si>
  <si>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r>
      <t xml:space="preserve">ZUŠ - 1057 žiakov (do 15 r. aj nad 15 r.), 524 individuálne; 533 skupinové vyučovanie; </t>
    </r>
    <r>
      <rPr>
        <b/>
        <u/>
        <sz val="10"/>
        <color rgb="FF000000"/>
        <rFont val="Times New Roman"/>
        <family val="1"/>
        <charset val="238"/>
      </rPr>
      <t>o 26 žiakov viac ako v minulom šk. roku</t>
    </r>
  </si>
  <si>
    <r>
      <t xml:space="preserve">CVČ -  325, </t>
    </r>
    <r>
      <rPr>
        <b/>
        <u/>
        <sz val="10"/>
        <rFont val="Times New Roman"/>
        <family val="1"/>
        <charset val="238"/>
      </rPr>
      <t>pokles o 1 člena</t>
    </r>
  </si>
  <si>
    <r>
      <t xml:space="preserve">ŠKD - 1772 žiakov - </t>
    </r>
    <r>
      <rPr>
        <b/>
        <u/>
        <sz val="10"/>
        <rFont val="Times New Roman"/>
        <family val="1"/>
        <charset val="238"/>
      </rPr>
      <t>o 48 detí viac ako vlani</t>
    </r>
  </si>
  <si>
    <r>
      <t xml:space="preserve">ZŠ - 4725 žiakov - </t>
    </r>
    <r>
      <rPr>
        <b/>
        <u/>
        <sz val="10"/>
        <rFont val="Times New Roman"/>
        <family val="1"/>
        <charset val="238"/>
      </rPr>
      <t>o 198 viac ako vlani</t>
    </r>
  </si>
  <si>
    <r>
      <t xml:space="preserve">Stav vybraných pohľadávok  </t>
    </r>
    <r>
      <rPr>
        <sz val="8"/>
        <color rgb="FF000000"/>
        <rFont val="Times New Roman"/>
        <family val="1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</si>
  <si>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Times New Roman"/>
        <family val="1"/>
        <charset val="238"/>
      </rPr>
      <t>k 31.12. predchádzajúceho obdobia</t>
    </r>
  </si>
  <si>
    <r>
      <t xml:space="preserve">Stav vybraných záväzkov  </t>
    </r>
    <r>
      <rPr>
        <sz val="8"/>
        <color rgb="FF000000"/>
        <rFont val="Times New Roman"/>
        <family val="1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</si>
  <si>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Times New Roman"/>
        <family val="1"/>
        <charset val="238"/>
      </rPr>
      <t>k 31.12. predchádzajúceho obdobia</t>
    </r>
  </si>
  <si>
    <t>Príloha č.14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</si>
</sst>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#,##0.00&quot; &quot;[$€-41B];[Red]&quot;-&quot;#,##0.00&quot; &quot;[$€-41B]"/>
    <numFmt numFmtId="166" formatCode="d&quot;.&quot;m&quot;.&quot;yyyy"/>
    <numFmt numFmtId="167" formatCode="#,##0.0"/>
    <numFmt numFmtId="168" formatCode="#,##0.00\ &quot;Sk&quot;"/>
    <numFmt numFmtId="169" formatCode="#,##0.00\ [$€-1];\-#,##0.00\ [$€-1]"/>
    <numFmt numFmtId="170" formatCode="#,##0.00\ [$€-1]"/>
    <numFmt numFmtId="171" formatCode="#,##0.00\ &quot;€&quot;;[Red]#,##0.00\ &quot;€&quot;"/>
    <numFmt numFmtId="172" formatCode="#,##0.00\ &quot;€&quot;"/>
  </numFmts>
  <fonts count="7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color rgb="FF000000"/>
      <name val="Trebuchet MS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4" tint="-0.499984740745262"/>
      <name val="Times New Roman"/>
      <family val="1"/>
      <charset val="238"/>
    </font>
    <font>
      <b/>
      <sz val="9"/>
      <color rgb="FFFFFFFF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FFFFFF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1"/>
      <color rgb="FFFFFFFF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rgb="FF8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color rgb="FF9933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C6E7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rgb="FF366092"/>
      </patternFill>
    </fill>
    <fill>
      <patternFill patternType="solid">
        <fgColor rgb="FF1F4E78"/>
        <bgColor rgb="FF36609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D9F1"/>
      </patternFill>
    </fill>
    <fill>
      <patternFill patternType="solid">
        <fgColor theme="4" tint="0.79998168889431442"/>
        <bgColor rgb="FF8DB4E2"/>
      </patternFill>
    </fill>
    <fill>
      <patternFill patternType="solid">
        <fgColor rgb="FF366092"/>
        <bgColor rgb="FF538DD5"/>
      </patternFill>
    </fill>
    <fill>
      <patternFill patternType="solid">
        <fgColor theme="4" tint="0.79998168889431442"/>
        <bgColor rgb="FF366092"/>
      </patternFill>
    </fill>
    <fill>
      <patternFill patternType="solid">
        <fgColor rgb="FFC5D9F1"/>
        <bgColor rgb="FF8DB4E2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6" tint="0.79998168889431442"/>
        <bgColor rgb="FF366092"/>
      </patternFill>
    </fill>
    <fill>
      <patternFill patternType="solid">
        <fgColor theme="6" tint="0.79998168889431442"/>
        <bgColor rgb="FFC5D9F1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366092"/>
      </patternFill>
    </fill>
    <fill>
      <patternFill patternType="solid">
        <fgColor theme="3" tint="0.79998168889431442"/>
        <bgColor rgb="FFC5D9F1"/>
      </patternFill>
    </fill>
    <fill>
      <patternFill patternType="solid">
        <fgColor theme="0" tint="-4.9989318521683403E-2"/>
        <bgColor rgb="FFC5D9F1"/>
      </patternFill>
    </fill>
    <fill>
      <patternFill patternType="solid">
        <fgColor theme="0" tint="-0.14999847407452621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6" tint="0.59999389629810485"/>
        <bgColor rgb="FF548235"/>
      </patternFill>
    </fill>
    <fill>
      <patternFill patternType="solid">
        <fgColor theme="6" tint="0.79998168889431442"/>
        <bgColor rgb="FFA9D08E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6" tint="0.59999389629810485"/>
        <bgColor rgb="FFB4C6E7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 style="thin">
        <color indexed="64"/>
      </top>
      <bottom style="hair">
        <color theme="4" tint="-0.24994659260841701"/>
      </bottom>
      <diagonal/>
    </border>
    <border>
      <left/>
      <right/>
      <top/>
      <bottom style="hair">
        <color rgb="FF366092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</borders>
  <cellStyleXfs count="50">
    <xf numFmtId="0" fontId="0" fillId="0" borderId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91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7" fillId="0" borderId="0" xfId="0" applyNumberFormat="1" applyFont="1"/>
    <xf numFmtId="0" fontId="13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3" fontId="19" fillId="4" borderId="0" xfId="0" applyNumberFormat="1" applyFont="1" applyFill="1"/>
    <xf numFmtId="3" fontId="18" fillId="4" borderId="0" xfId="0" applyNumberFormat="1" applyFont="1" applyFill="1"/>
    <xf numFmtId="0" fontId="13" fillId="4" borderId="0" xfId="0" applyFont="1" applyFill="1"/>
    <xf numFmtId="3" fontId="16" fillId="4" borderId="0" xfId="0" applyNumberFormat="1" applyFont="1" applyFill="1"/>
    <xf numFmtId="0" fontId="14" fillId="0" borderId="0" xfId="0" applyFont="1" applyAlignment="1">
      <alignment vertical="center"/>
    </xf>
    <xf numFmtId="0" fontId="20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/>
    <xf numFmtId="4" fontId="23" fillId="0" borderId="0" xfId="0" applyNumberFormat="1" applyFont="1" applyAlignment="1">
      <alignment horizont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14" fontId="23" fillId="0" borderId="0" xfId="0" applyNumberFormat="1" applyFont="1" applyAlignment="1">
      <alignment horizontal="center"/>
    </xf>
    <xf numFmtId="0" fontId="25" fillId="0" borderId="0" xfId="0" applyFont="1"/>
    <xf numFmtId="0" fontId="18" fillId="0" borderId="0" xfId="0" applyFont="1"/>
    <xf numFmtId="3" fontId="18" fillId="0" borderId="0" xfId="0" applyNumberFormat="1" applyFont="1"/>
    <xf numFmtId="0" fontId="26" fillId="0" borderId="0" xfId="0" applyFont="1"/>
    <xf numFmtId="3" fontId="29" fillId="0" borderId="11" xfId="0" applyNumberFormat="1" applyFont="1" applyBorder="1"/>
    <xf numFmtId="3" fontId="30" fillId="18" borderId="11" xfId="0" applyNumberFormat="1" applyFont="1" applyFill="1" applyBorder="1"/>
    <xf numFmtId="0" fontId="31" fillId="0" borderId="14" xfId="0" applyFont="1" applyBorder="1" applyAlignment="1">
      <alignment horizontal="center"/>
    </xf>
    <xf numFmtId="0" fontId="31" fillId="0" borderId="14" xfId="0" applyFont="1" applyBorder="1"/>
    <xf numFmtId="3" fontId="31" fillId="0" borderId="14" xfId="0" applyNumberFormat="1" applyFont="1" applyBorder="1"/>
    <xf numFmtId="3" fontId="32" fillId="18" borderId="14" xfId="0" applyNumberFormat="1" applyFont="1" applyFill="1" applyBorder="1"/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3" fontId="31" fillId="0" borderId="11" xfId="0" applyNumberFormat="1" applyFont="1" applyBorder="1"/>
    <xf numFmtId="3" fontId="32" fillId="18" borderId="11" xfId="0" applyNumberFormat="1" applyFont="1" applyFill="1" applyBorder="1"/>
    <xf numFmtId="0" fontId="31" fillId="0" borderId="13" xfId="0" applyFont="1" applyBorder="1" applyAlignment="1">
      <alignment horizontal="center"/>
    </xf>
    <xf numFmtId="0" fontId="31" fillId="0" borderId="13" xfId="0" applyFont="1" applyBorder="1"/>
    <xf numFmtId="3" fontId="31" fillId="0" borderId="13" xfId="0" applyNumberFormat="1" applyFont="1" applyBorder="1"/>
    <xf numFmtId="3" fontId="32" fillId="18" borderId="1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 applyAlignment="1">
      <alignment vertical="center"/>
    </xf>
    <xf numFmtId="0" fontId="34" fillId="2" borderId="9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/>
    </xf>
    <xf numFmtId="0" fontId="34" fillId="2" borderId="9" xfId="0" applyFont="1" applyFill="1" applyBorder="1"/>
    <xf numFmtId="3" fontId="34" fillId="2" borderId="9" xfId="0" applyNumberFormat="1" applyFont="1" applyFill="1" applyBorder="1"/>
    <xf numFmtId="0" fontId="31" fillId="0" borderId="0" xfId="0" applyFont="1"/>
    <xf numFmtId="0" fontId="29" fillId="0" borderId="0" xfId="0" applyFont="1"/>
    <xf numFmtId="0" fontId="28" fillId="2" borderId="10" xfId="0" applyFont="1" applyFill="1" applyBorder="1" applyAlignment="1">
      <alignment horizontal="left" vertical="center"/>
    </xf>
    <xf numFmtId="0" fontId="29" fillId="0" borderId="11" xfId="0" applyFont="1" applyBorder="1" applyAlignment="1">
      <alignment horizontal="left" vertical="center" wrapText="1"/>
    </xf>
    <xf numFmtId="3" fontId="36" fillId="8" borderId="0" xfId="0" applyNumberFormat="1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4" fillId="20" borderId="10" xfId="0" applyFont="1" applyFill="1" applyBorder="1"/>
    <xf numFmtId="3" fontId="34" fillId="20" borderId="10" xfId="0" applyNumberFormat="1" applyFont="1" applyFill="1" applyBorder="1"/>
    <xf numFmtId="0" fontId="31" fillId="0" borderId="11" xfId="0" applyFont="1" applyBorder="1" applyAlignment="1">
      <alignment horizontal="left" wrapText="1"/>
    </xf>
    <xf numFmtId="3" fontId="31" fillId="0" borderId="11" xfId="0" applyNumberFormat="1" applyFont="1" applyBorder="1" applyAlignment="1">
      <alignment horizontal="right"/>
    </xf>
    <xf numFmtId="3" fontId="31" fillId="0" borderId="13" xfId="0" applyNumberFormat="1" applyFont="1" applyBorder="1" applyAlignment="1">
      <alignment horizontal="right"/>
    </xf>
    <xf numFmtId="0" fontId="31" fillId="0" borderId="12" xfId="0" applyFont="1" applyBorder="1"/>
    <xf numFmtId="3" fontId="31" fillId="0" borderId="12" xfId="0" applyNumberFormat="1" applyFont="1" applyBorder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4" fillId="2" borderId="10" xfId="0" applyFont="1" applyFill="1" applyBorder="1" applyAlignment="1">
      <alignment horizontal="left" vertical="center"/>
    </xf>
    <xf numFmtId="0" fontId="34" fillId="2" borderId="10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 vertical="center" wrapText="1"/>
    </xf>
    <xf numFmtId="0" fontId="32" fillId="19" borderId="11" xfId="0" applyFont="1" applyFill="1" applyBorder="1" applyAlignment="1">
      <alignment horizontal="left" vertical="center" wrapText="1"/>
    </xf>
    <xf numFmtId="3" fontId="32" fillId="19" borderId="11" xfId="0" applyNumberFormat="1" applyFont="1" applyFill="1" applyBorder="1"/>
    <xf numFmtId="3" fontId="32" fillId="9" borderId="0" xfId="0" applyNumberFormat="1" applyFont="1" applyFill="1"/>
    <xf numFmtId="0" fontId="31" fillId="0" borderId="11" xfId="0" applyFont="1" applyBorder="1" applyAlignment="1">
      <alignment horizontal="left" vertical="center" wrapText="1"/>
    </xf>
    <xf numFmtId="3" fontId="31" fillId="10" borderId="0" xfId="0" applyNumberFormat="1" applyFont="1" applyFill="1"/>
    <xf numFmtId="0" fontId="34" fillId="0" borderId="13" xfId="0" applyFont="1" applyBorder="1" applyAlignment="1">
      <alignment horizontal="left" vertical="center" wrapText="1"/>
    </xf>
    <xf numFmtId="3" fontId="33" fillId="0" borderId="13" xfId="0" applyNumberFormat="1" applyFont="1" applyBorder="1"/>
    <xf numFmtId="3" fontId="31" fillId="4" borderId="13" xfId="0" applyNumberFormat="1" applyFont="1" applyFill="1" applyBorder="1"/>
    <xf numFmtId="3" fontId="31" fillId="11" borderId="0" xfId="0" applyNumberFormat="1" applyFont="1" applyFill="1"/>
    <xf numFmtId="0" fontId="34" fillId="2" borderId="9" xfId="0" applyFont="1" applyFill="1" applyBorder="1" applyAlignment="1">
      <alignment horizontal="left" vertical="center" wrapText="1"/>
    </xf>
    <xf numFmtId="3" fontId="34" fillId="8" borderId="0" xfId="0" applyNumberFormat="1" applyFont="1" applyFill="1"/>
    <xf numFmtId="3" fontId="34" fillId="2" borderId="9" xfId="0" applyNumberFormat="1" applyFont="1" applyFill="1" applyBorder="1" applyAlignment="1">
      <alignment vertical="center"/>
    </xf>
    <xf numFmtId="3" fontId="34" fillId="8" borderId="0" xfId="0" applyNumberFormat="1" applyFont="1" applyFill="1" applyAlignment="1">
      <alignment vertical="center"/>
    </xf>
    <xf numFmtId="0" fontId="32" fillId="4" borderId="13" xfId="0" applyFont="1" applyFill="1" applyBorder="1" applyAlignment="1">
      <alignment horizontal="left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3" fontId="38" fillId="21" borderId="17" xfId="0" applyNumberFormat="1" applyFont="1" applyFill="1" applyBorder="1"/>
    <xf numFmtId="3" fontId="32" fillId="0" borderId="17" xfId="0" applyNumberFormat="1" applyFont="1" applyBorder="1"/>
    <xf numFmtId="3" fontId="32" fillId="4" borderId="13" xfId="0" applyNumberFormat="1" applyFont="1" applyFill="1" applyBorder="1"/>
    <xf numFmtId="3" fontId="32" fillId="4" borderId="18" xfId="0" applyNumberFormat="1" applyFont="1" applyFill="1" applyBorder="1"/>
    <xf numFmtId="0" fontId="31" fillId="4" borderId="0" xfId="0" applyFont="1" applyFill="1"/>
    <xf numFmtId="3" fontId="34" fillId="2" borderId="15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3" fontId="29" fillId="0" borderId="0" xfId="0" applyNumberFormat="1" applyFont="1"/>
    <xf numFmtId="3" fontId="29" fillId="0" borderId="17" xfId="0" applyNumberFormat="1" applyFont="1" applyBorder="1"/>
    <xf numFmtId="0" fontId="34" fillId="2" borderId="10" xfId="0" applyFont="1" applyFill="1" applyBorder="1" applyAlignment="1">
      <alignment vertical="center"/>
    </xf>
    <xf numFmtId="3" fontId="34" fillId="2" borderId="10" xfId="0" applyNumberFormat="1" applyFont="1" applyFill="1" applyBorder="1" applyAlignment="1">
      <alignment vertical="center"/>
    </xf>
    <xf numFmtId="3" fontId="31" fillId="0" borderId="0" xfId="0" applyNumberFormat="1" applyFont="1"/>
    <xf numFmtId="3" fontId="32" fillId="22" borderId="11" xfId="0" applyNumberFormat="1" applyFont="1" applyFill="1" applyBorder="1" applyAlignment="1">
      <alignment horizontal="right"/>
    </xf>
    <xf numFmtId="3" fontId="31" fillId="0" borderId="11" xfId="0" applyNumberFormat="1" applyFont="1" applyBorder="1" applyAlignment="1">
      <alignment horizontal="right" vertical="center"/>
    </xf>
    <xf numFmtId="0" fontId="31" fillId="0" borderId="11" xfId="0" applyFont="1" applyBorder="1" applyAlignment="1">
      <alignment horizontal="left"/>
    </xf>
    <xf numFmtId="3" fontId="31" fillId="0" borderId="11" xfId="0" applyNumberFormat="1" applyFont="1" applyBorder="1" applyAlignment="1" applyProtection="1">
      <alignment horizontal="right"/>
      <protection locked="0"/>
    </xf>
    <xf numFmtId="3" fontId="31" fillId="0" borderId="12" xfId="0" applyNumberFormat="1" applyFont="1" applyBorder="1" applyAlignment="1" applyProtection="1">
      <alignment horizontal="right"/>
      <protection locked="0"/>
    </xf>
    <xf numFmtId="0" fontId="32" fillId="22" borderId="11" xfId="0" applyFont="1" applyFill="1" applyBorder="1" applyAlignment="1">
      <alignment horizontal="left" vertical="center" wrapText="1"/>
    </xf>
    <xf numFmtId="3" fontId="32" fillId="22" borderId="11" xfId="0" applyNumberFormat="1" applyFont="1" applyFill="1" applyBorder="1"/>
    <xf numFmtId="0" fontId="32" fillId="22" borderId="13" xfId="0" applyFont="1" applyFill="1" applyBorder="1" applyAlignment="1">
      <alignment horizontal="left" vertical="center" wrapText="1"/>
    </xf>
    <xf numFmtId="3" fontId="32" fillId="22" borderId="13" xfId="0" applyNumberFormat="1" applyFont="1" applyFill="1" applyBorder="1"/>
    <xf numFmtId="0" fontId="34" fillId="2" borderId="16" xfId="0" applyFont="1" applyFill="1" applyBorder="1" applyAlignment="1">
      <alignment horizontal="center" vertical="center"/>
    </xf>
    <xf numFmtId="3" fontId="32" fillId="22" borderId="17" xfId="0" applyNumberFormat="1" applyFont="1" applyFill="1" applyBorder="1"/>
    <xf numFmtId="3" fontId="31" fillId="0" borderId="17" xfId="0" applyNumberFormat="1" applyFont="1" applyBorder="1"/>
    <xf numFmtId="3" fontId="32" fillId="22" borderId="18" xfId="0" applyNumberFormat="1" applyFont="1" applyFill="1" applyBorder="1"/>
    <xf numFmtId="0" fontId="31" fillId="0" borderId="0" xfId="0" applyFont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28" fillId="2" borderId="12" xfId="0" applyNumberFormat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3" fontId="31" fillId="0" borderId="11" xfId="0" applyNumberFormat="1" applyFont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vertical="center"/>
    </xf>
    <xf numFmtId="3" fontId="31" fillId="0" borderId="0" xfId="0" applyNumberFormat="1" applyFont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3" fontId="32" fillId="22" borderId="11" xfId="0" applyNumberFormat="1" applyFont="1" applyFill="1" applyBorder="1" applyAlignment="1">
      <alignment vertical="center"/>
    </xf>
    <xf numFmtId="3" fontId="32" fillId="0" borderId="11" xfId="0" applyNumberFormat="1" applyFont="1" applyBorder="1" applyAlignment="1">
      <alignment vertical="center"/>
    </xf>
    <xf numFmtId="0" fontId="31" fillId="0" borderId="0" xfId="2" applyFont="1"/>
    <xf numFmtId="0" fontId="40" fillId="0" borderId="0" xfId="48" applyFont="1"/>
    <xf numFmtId="0" fontId="31" fillId="0" borderId="0" xfId="2" applyFont="1" applyAlignment="1">
      <alignment horizontal="right"/>
    </xf>
    <xf numFmtId="0" fontId="32" fillId="0" borderId="0" xfId="2" applyFont="1" applyAlignment="1">
      <alignment horizontal="center"/>
    </xf>
    <xf numFmtId="0" fontId="41" fillId="0" borderId="0" xfId="2" applyFont="1"/>
    <xf numFmtId="0" fontId="42" fillId="0" borderId="0" xfId="2" applyFont="1" applyBorder="1"/>
    <xf numFmtId="0" fontId="40" fillId="0" borderId="0" xfId="47" applyFont="1"/>
    <xf numFmtId="0" fontId="40" fillId="0" borderId="0" xfId="4" applyFont="1"/>
    <xf numFmtId="0" fontId="31" fillId="0" borderId="0" xfId="2" applyFont="1" applyAlignment="1">
      <alignment vertical="center"/>
    </xf>
    <xf numFmtId="3" fontId="26" fillId="0" borderId="0" xfId="0" applyNumberFormat="1" applyFont="1"/>
    <xf numFmtId="3" fontId="31" fillId="0" borderId="0" xfId="2" applyNumberFormat="1" applyFont="1"/>
    <xf numFmtId="0" fontId="34" fillId="0" borderId="0" xfId="2" applyFont="1" applyBorder="1" applyAlignment="1">
      <alignment vertical="center"/>
    </xf>
    <xf numFmtId="0" fontId="40" fillId="0" borderId="0" xfId="49" applyFont="1"/>
    <xf numFmtId="3" fontId="40" fillId="0" borderId="0" xfId="49" applyNumberFormat="1" applyFont="1"/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horizontal="right" vertical="center"/>
    </xf>
    <xf numFmtId="3" fontId="40" fillId="0" borderId="0" xfId="48" applyNumberFormat="1" applyFont="1"/>
    <xf numFmtId="3" fontId="31" fillId="0" borderId="0" xfId="2" applyNumberFormat="1" applyFont="1" applyAlignment="1">
      <alignment vertical="center"/>
    </xf>
    <xf numFmtId="0" fontId="43" fillId="0" borderId="0" xfId="2" applyFont="1"/>
    <xf numFmtId="0" fontId="38" fillId="21" borderId="11" xfId="2" applyFont="1" applyFill="1" applyBorder="1" applyAlignment="1">
      <alignment horizontal="left"/>
    </xf>
    <xf numFmtId="3" fontId="32" fillId="23" borderId="11" xfId="2" applyNumberFormat="1" applyFont="1" applyFill="1" applyBorder="1" applyAlignment="1">
      <alignment horizontal="center"/>
    </xf>
    <xf numFmtId="3" fontId="32" fillId="6" borderId="11" xfId="2" applyNumberFormat="1" applyFont="1" applyFill="1" applyBorder="1" applyAlignment="1">
      <alignment horizontal="right"/>
    </xf>
    <xf numFmtId="3" fontId="44" fillId="0" borderId="11" xfId="48" applyNumberFormat="1" applyFont="1" applyBorder="1"/>
    <xf numFmtId="3" fontId="32" fillId="19" borderId="11" xfId="2" applyNumberFormat="1" applyFont="1" applyFill="1" applyBorder="1" applyAlignment="1">
      <alignment horizontal="right"/>
    </xf>
    <xf numFmtId="0" fontId="38" fillId="21" borderId="13" xfId="2" applyFont="1" applyFill="1" applyBorder="1" applyAlignment="1">
      <alignment horizontal="left"/>
    </xf>
    <xf numFmtId="3" fontId="32" fillId="23" borderId="13" xfId="2" applyNumberFormat="1" applyFont="1" applyFill="1" applyBorder="1" applyAlignment="1">
      <alignment horizontal="center"/>
    </xf>
    <xf numFmtId="3" fontId="32" fillId="6" borderId="13" xfId="2" applyNumberFormat="1" applyFont="1" applyFill="1" applyBorder="1" applyAlignment="1">
      <alignment horizontal="right"/>
    </xf>
    <xf numFmtId="3" fontId="44" fillId="0" borderId="13" xfId="48" applyNumberFormat="1" applyFont="1" applyBorder="1"/>
    <xf numFmtId="0" fontId="34" fillId="2" borderId="9" xfId="2" applyFont="1" applyFill="1" applyBorder="1" applyAlignment="1">
      <alignment horizontal="center" vertical="center"/>
    </xf>
    <xf numFmtId="3" fontId="34" fillId="2" borderId="9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0" fontId="38" fillId="21" borderId="9" xfId="2" applyFont="1" applyFill="1" applyBorder="1" applyAlignment="1">
      <alignment horizontal="left"/>
    </xf>
    <xf numFmtId="3" fontId="32" fillId="5" borderId="9" xfId="2" applyNumberFormat="1" applyFont="1" applyFill="1" applyBorder="1" applyAlignment="1">
      <alignment horizontal="center"/>
    </xf>
    <xf numFmtId="3" fontId="32" fillId="6" borderId="9" xfId="2" applyNumberFormat="1" applyFont="1" applyFill="1" applyBorder="1" applyAlignment="1">
      <alignment horizontal="right"/>
    </xf>
    <xf numFmtId="3" fontId="31" fillId="0" borderId="9" xfId="2" applyNumberFormat="1" applyFont="1" applyBorder="1" applyAlignment="1">
      <alignment horizontal="right"/>
    </xf>
    <xf numFmtId="0" fontId="44" fillId="0" borderId="0" xfId="49" applyFont="1"/>
    <xf numFmtId="0" fontId="34" fillId="2" borderId="11" xfId="2" applyFont="1" applyFill="1" applyBorder="1" applyAlignment="1">
      <alignment horizontal="center" vertical="center"/>
    </xf>
    <xf numFmtId="3" fontId="44" fillId="0" borderId="0" xfId="49" applyNumberFormat="1" applyFont="1"/>
    <xf numFmtId="3" fontId="34" fillId="2" borderId="9" xfId="2" applyNumberFormat="1" applyFont="1" applyFill="1" applyBorder="1" applyAlignment="1">
      <alignment horizontal="right" vertical="center"/>
    </xf>
    <xf numFmtId="3" fontId="31" fillId="0" borderId="11" xfId="2" applyNumberFormat="1" applyFont="1" applyBorder="1" applyAlignment="1">
      <alignment horizontal="right"/>
    </xf>
    <xf numFmtId="3" fontId="38" fillId="19" borderId="11" xfId="2" applyNumberFormat="1" applyFont="1" applyFill="1" applyBorder="1" applyAlignment="1">
      <alignment horizontal="right"/>
    </xf>
    <xf numFmtId="0" fontId="39" fillId="0" borderId="0" xfId="0" applyFont="1"/>
    <xf numFmtId="0" fontId="34" fillId="8" borderId="0" xfId="0" applyFont="1" applyFill="1" applyAlignment="1">
      <alignment horizontal="left" vertical="center"/>
    </xf>
    <xf numFmtId="3" fontId="31" fillId="10" borderId="0" xfId="0" applyNumberFormat="1" applyFont="1" applyFill="1" applyAlignment="1">
      <alignment horizontal="right" vertical="center" wrapText="1"/>
    </xf>
    <xf numFmtId="0" fontId="28" fillId="2" borderId="11" xfId="0" applyFont="1" applyFill="1" applyBorder="1" applyAlignment="1">
      <alignment horizontal="left" vertical="center"/>
    </xf>
    <xf numFmtId="0" fontId="34" fillId="2" borderId="17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left" vertical="center" wrapText="1"/>
    </xf>
    <xf numFmtId="3" fontId="30" fillId="18" borderId="17" xfId="0" applyNumberFormat="1" applyFont="1" applyFill="1" applyBorder="1"/>
    <xf numFmtId="0" fontId="28" fillId="2" borderId="12" xfId="0" applyFont="1" applyFill="1" applyBorder="1" applyAlignment="1">
      <alignment horizontal="left" vertical="center" wrapText="1"/>
    </xf>
    <xf numFmtId="3" fontId="28" fillId="2" borderId="19" xfId="0" applyNumberFormat="1" applyFont="1" applyFill="1" applyBorder="1" applyAlignment="1">
      <alignment vertical="center"/>
    </xf>
    <xf numFmtId="4" fontId="31" fillId="0" borderId="0" xfId="0" applyNumberFormat="1" applyFont="1"/>
    <xf numFmtId="3" fontId="30" fillId="18" borderId="11" xfId="0" applyNumberFormat="1" applyFont="1" applyFill="1" applyBorder="1" applyAlignment="1">
      <alignment vertical="center"/>
    </xf>
    <xf numFmtId="3" fontId="30" fillId="18" borderId="17" xfId="0" applyNumberFormat="1" applyFont="1" applyFill="1" applyBorder="1" applyAlignment="1">
      <alignment vertical="center"/>
    </xf>
    <xf numFmtId="3" fontId="31" fillId="10" borderId="0" xfId="0" applyNumberFormat="1" applyFont="1" applyFill="1" applyAlignment="1">
      <alignment horizontal="right"/>
    </xf>
    <xf numFmtId="3" fontId="34" fillId="8" borderId="0" xfId="0" applyNumberFormat="1" applyFont="1" applyFill="1" applyAlignment="1">
      <alignment horizontal="right" vertical="center"/>
    </xf>
    <xf numFmtId="0" fontId="34" fillId="2" borderId="12" xfId="0" applyFont="1" applyFill="1" applyBorder="1" applyAlignment="1">
      <alignment horizontal="left" vertical="center" wrapText="1"/>
    </xf>
    <xf numFmtId="3" fontId="34" fillId="2" borderId="19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left" vertical="center"/>
    </xf>
    <xf numFmtId="3" fontId="38" fillId="8" borderId="0" xfId="0" applyNumberFormat="1" applyFont="1" applyFill="1" applyAlignment="1">
      <alignment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4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3" fontId="31" fillId="0" borderId="11" xfId="0" applyNumberFormat="1" applyFont="1" applyBorder="1" applyAlignment="1">
      <alignment horizontal="right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2" fillId="18" borderId="11" xfId="0" applyFont="1" applyFill="1" applyBorder="1" applyAlignment="1">
      <alignment horizontal="left" vertical="center" wrapText="1"/>
    </xf>
    <xf numFmtId="3" fontId="32" fillId="18" borderId="17" xfId="0" applyNumberFormat="1" applyFont="1" applyFill="1" applyBorder="1"/>
    <xf numFmtId="3" fontId="32" fillId="18" borderId="11" xfId="0" applyNumberFormat="1" applyFont="1" applyFill="1" applyBorder="1" applyAlignment="1">
      <alignment vertical="center"/>
    </xf>
    <xf numFmtId="3" fontId="32" fillId="18" borderId="17" xfId="0" applyNumberFormat="1" applyFont="1" applyFill="1" applyBorder="1" applyAlignment="1">
      <alignment vertical="center"/>
    </xf>
    <xf numFmtId="0" fontId="42" fillId="2" borderId="12" xfId="0" applyFont="1" applyFill="1" applyBorder="1" applyAlignment="1">
      <alignment horizontal="left" vertical="center" wrapText="1"/>
    </xf>
    <xf numFmtId="3" fontId="42" fillId="2" borderId="12" xfId="0" applyNumberFormat="1" applyFont="1" applyFill="1" applyBorder="1" applyAlignment="1">
      <alignment vertical="center"/>
    </xf>
    <xf numFmtId="3" fontId="42" fillId="2" borderId="19" xfId="0" applyNumberFormat="1" applyFont="1" applyFill="1" applyBorder="1" applyAlignment="1">
      <alignment vertical="center"/>
    </xf>
    <xf numFmtId="3" fontId="32" fillId="18" borderId="11" xfId="0" applyNumberFormat="1" applyFont="1" applyFill="1" applyBorder="1" applyAlignment="1">
      <alignment horizontal="right" vertical="center"/>
    </xf>
    <xf numFmtId="3" fontId="34" fillId="2" borderId="12" xfId="0" applyNumberFormat="1" applyFont="1" applyFill="1" applyBorder="1" applyAlignment="1">
      <alignment horizontal="right" vertical="center"/>
    </xf>
    <xf numFmtId="3" fontId="32" fillId="18" borderId="17" xfId="0" applyNumberFormat="1" applyFont="1" applyFill="1" applyBorder="1" applyAlignment="1">
      <alignment horizontal="right" vertical="center"/>
    </xf>
    <xf numFmtId="3" fontId="31" fillId="0" borderId="7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3" fontId="31" fillId="0" borderId="4" xfId="0" applyNumberFormat="1" applyFont="1" applyBorder="1" applyAlignment="1">
      <alignment horizontal="right" vertical="center" wrapText="1"/>
    </xf>
    <xf numFmtId="3" fontId="34" fillId="2" borderId="3" xfId="0" applyNumberFormat="1" applyFont="1" applyFill="1" applyBorder="1" applyAlignment="1">
      <alignment horizontal="right" vertical="center"/>
    </xf>
    <xf numFmtId="3" fontId="38" fillId="8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center" vertical="center"/>
    </xf>
    <xf numFmtId="3" fontId="34" fillId="2" borderId="12" xfId="0" applyNumberFormat="1" applyFont="1" applyFill="1" applyBorder="1"/>
    <xf numFmtId="0" fontId="26" fillId="0" borderId="0" xfId="38" applyFont="1" applyAlignment="1">
      <alignment vertical="center"/>
    </xf>
    <xf numFmtId="4" fontId="26" fillId="0" borderId="0" xfId="38" applyNumberFormat="1" applyFont="1" applyAlignment="1">
      <alignment vertical="center"/>
    </xf>
    <xf numFmtId="4" fontId="31" fillId="0" borderId="0" xfId="38" applyNumberFormat="1" applyFont="1" applyAlignment="1">
      <alignment horizontal="right" vertical="center"/>
    </xf>
    <xf numFmtId="0" fontId="29" fillId="0" borderId="0" xfId="38" applyFont="1" applyAlignment="1">
      <alignment horizontal="center" vertical="center"/>
    </xf>
    <xf numFmtId="0" fontId="29" fillId="0" borderId="0" xfId="38" applyFont="1" applyAlignment="1">
      <alignment vertical="center"/>
    </xf>
    <xf numFmtId="4" fontId="29" fillId="0" borderId="0" xfId="38" applyNumberFormat="1" applyFont="1" applyAlignment="1">
      <alignment vertical="center"/>
    </xf>
    <xf numFmtId="0" fontId="40" fillId="0" borderId="0" xfId="38" applyFont="1" applyAlignment="1">
      <alignment vertical="center"/>
    </xf>
    <xf numFmtId="0" fontId="48" fillId="0" borderId="0" xfId="38" applyFont="1" applyAlignment="1">
      <alignment vertical="center"/>
    </xf>
    <xf numFmtId="4" fontId="23" fillId="17" borderId="30" xfId="38" applyNumberFormat="1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4" fontId="34" fillId="2" borderId="26" xfId="38" applyNumberFormat="1" applyFont="1" applyFill="1" applyBorder="1" applyAlignment="1">
      <alignment vertical="center"/>
    </xf>
    <xf numFmtId="0" fontId="34" fillId="2" borderId="10" xfId="38" applyFont="1" applyFill="1" applyBorder="1" applyAlignment="1">
      <alignment horizontal="center" vertical="center"/>
    </xf>
    <xf numFmtId="0" fontId="34" fillId="2" borderId="10" xfId="38" applyFont="1" applyFill="1" applyBorder="1" applyAlignment="1">
      <alignment vertical="center"/>
    </xf>
    <xf numFmtId="4" fontId="34" fillId="2" borderId="10" xfId="38" applyNumberFormat="1" applyFont="1" applyFill="1" applyBorder="1" applyAlignment="1">
      <alignment horizontal="center" vertical="center" wrapText="1"/>
    </xf>
    <xf numFmtId="4" fontId="32" fillId="3" borderId="13" xfId="38" applyNumberFormat="1" applyFont="1" applyFill="1" applyBorder="1" applyAlignment="1">
      <alignment vertical="center"/>
    </xf>
    <xf numFmtId="0" fontId="23" fillId="0" borderId="30" xfId="0" applyFont="1" applyBorder="1" applyAlignment="1">
      <alignment horizontal="center" vertical="center"/>
    </xf>
    <xf numFmtId="0" fontId="23" fillId="0" borderId="30" xfId="0" applyFont="1" applyBorder="1"/>
    <xf numFmtId="4" fontId="23" fillId="10" borderId="30" xfId="0" applyNumberFormat="1" applyFont="1" applyFill="1" applyBorder="1"/>
    <xf numFmtId="4" fontId="44" fillId="10" borderId="30" xfId="38" applyNumberFormat="1" applyFont="1" applyFill="1" applyBorder="1" applyAlignment="1">
      <alignment vertical="center"/>
    </xf>
    <xf numFmtId="0" fontId="23" fillId="0" borderId="30" xfId="0" applyFont="1" applyBorder="1" applyAlignment="1">
      <alignment vertical="center" wrapText="1"/>
    </xf>
    <xf numFmtId="0" fontId="23" fillId="0" borderId="30" xfId="0" applyFont="1" applyBorder="1" applyAlignment="1">
      <alignment horizontal="left" vertical="center"/>
    </xf>
    <xf numFmtId="4" fontId="44" fillId="10" borderId="30" xfId="38" applyNumberFormat="1" applyFont="1" applyFill="1" applyBorder="1" applyAlignment="1">
      <alignment horizontal="right" vertical="center"/>
    </xf>
    <xf numFmtId="0" fontId="23" fillId="0" borderId="30" xfId="0" applyFont="1" applyBorder="1" applyAlignment="1">
      <alignment vertical="center"/>
    </xf>
    <xf numFmtId="4" fontId="23" fillId="10" borderId="30" xfId="38" applyNumberFormat="1" applyFont="1" applyFill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44" fillId="0" borderId="30" xfId="0" applyFont="1" applyBorder="1"/>
    <xf numFmtId="0" fontId="29" fillId="0" borderId="0" xfId="0" applyFont="1" applyAlignment="1">
      <alignment horizontal="center"/>
    </xf>
    <xf numFmtId="0" fontId="50" fillId="0" borderId="0" xfId="0" applyFont="1"/>
    <xf numFmtId="4" fontId="29" fillId="0" borderId="0" xfId="0" applyNumberFormat="1" applyFont="1"/>
    <xf numFmtId="4" fontId="34" fillId="2" borderId="10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4" fontId="34" fillId="2" borderId="12" xfId="0" applyNumberFormat="1" applyFont="1" applyFill="1" applyBorder="1" applyAlignment="1">
      <alignment vertical="center"/>
    </xf>
    <xf numFmtId="4" fontId="31" fillId="0" borderId="0" xfId="0" applyNumberFormat="1" applyFont="1" applyAlignment="1">
      <alignment horizontal="right" textRotation="180"/>
    </xf>
    <xf numFmtId="0" fontId="48" fillId="0" borderId="0" xfId="0" applyFont="1"/>
    <xf numFmtId="4" fontId="26" fillId="0" borderId="0" xfId="0" applyNumberFormat="1" applyFont="1"/>
    <xf numFmtId="0" fontId="31" fillId="0" borderId="11" xfId="0" applyFont="1" applyBorder="1" applyAlignment="1">
      <alignment horizontal="center" vertical="center" wrapText="1"/>
    </xf>
    <xf numFmtId="0" fontId="23" fillId="0" borderId="31" xfId="0" applyFont="1" applyBorder="1" applyAlignment="1">
      <alignment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0" fontId="26" fillId="0" borderId="0" xfId="11" applyFont="1"/>
    <xf numFmtId="0" fontId="26" fillId="0" borderId="0" xfId="11" applyFont="1" applyAlignment="1">
      <alignment horizontal="center"/>
    </xf>
    <xf numFmtId="0" fontId="31" fillId="0" borderId="0" xfId="11" applyFont="1" applyAlignment="1">
      <alignment horizontal="right" vertical="center"/>
    </xf>
    <xf numFmtId="0" fontId="34" fillId="2" borderId="23" xfId="11" applyFont="1" applyFill="1" applyBorder="1" applyAlignment="1">
      <alignment horizontal="center" vertical="center"/>
    </xf>
    <xf numFmtId="0" fontId="34" fillId="2" borderId="23" xfId="11" applyFont="1" applyFill="1" applyBorder="1" applyAlignment="1">
      <alignment vertical="center"/>
    </xf>
    <xf numFmtId="0" fontId="34" fillId="2" borderId="23" xfId="12" applyFont="1" applyFill="1" applyBorder="1" applyAlignment="1">
      <alignment horizontal="center" vertical="center" wrapText="1"/>
    </xf>
    <xf numFmtId="0" fontId="52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31" fillId="32" borderId="12" xfId="11" applyFont="1" applyFill="1" applyBorder="1"/>
    <xf numFmtId="0" fontId="34" fillId="2" borderId="12" xfId="11" applyFont="1" applyFill="1" applyBorder="1" applyAlignment="1">
      <alignment vertical="center"/>
    </xf>
    <xf numFmtId="4" fontId="34" fillId="2" borderId="12" xfId="11" applyNumberFormat="1" applyFont="1" applyFill="1" applyBorder="1" applyAlignment="1">
      <alignment horizontal="right" vertical="center"/>
    </xf>
    <xf numFmtId="0" fontId="31" fillId="0" borderId="0" xfId="11" applyFont="1" applyAlignment="1">
      <alignment horizontal="center"/>
    </xf>
    <xf numFmtId="0" fontId="31" fillId="0" borderId="0" xfId="11" applyFont="1"/>
    <xf numFmtId="0" fontId="31" fillId="0" borderId="11" xfId="11" applyFont="1" applyBorder="1" applyAlignment="1">
      <alignment horizontal="center"/>
    </xf>
    <xf numFmtId="0" fontId="23" fillId="10" borderId="11" xfId="0" applyFont="1" applyFill="1" applyBorder="1" applyAlignment="1">
      <alignment horizontal="left"/>
    </xf>
    <xf numFmtId="4" fontId="23" fillId="10" borderId="11" xfId="0" applyNumberFormat="1" applyFont="1" applyFill="1" applyBorder="1"/>
    <xf numFmtId="0" fontId="26" fillId="0" borderId="0" xfId="11" applyFont="1" applyAlignment="1">
      <alignment vertical="center"/>
    </xf>
    <xf numFmtId="3" fontId="26" fillId="0" borderId="0" xfId="11" applyNumberFormat="1" applyFont="1" applyAlignment="1">
      <alignment vertical="center"/>
    </xf>
    <xf numFmtId="0" fontId="39" fillId="0" borderId="0" xfId="11" applyFont="1" applyAlignment="1">
      <alignment horizontal="center" vertical="center"/>
    </xf>
    <xf numFmtId="3" fontId="39" fillId="0" borderId="0" xfId="11" applyNumberFormat="1" applyFont="1" applyAlignment="1">
      <alignment horizontal="center" vertical="center"/>
    </xf>
    <xf numFmtId="0" fontId="46" fillId="4" borderId="0" xfId="11" applyFont="1" applyFill="1" applyAlignment="1">
      <alignment horizontal="left" vertical="center"/>
    </xf>
    <xf numFmtId="0" fontId="34" fillId="2" borderId="10" xfId="11" applyFont="1" applyFill="1" applyBorder="1" applyAlignment="1">
      <alignment horizontal="center" vertical="center"/>
    </xf>
    <xf numFmtId="0" fontId="34" fillId="2" borderId="10" xfId="11" applyFont="1" applyFill="1" applyBorder="1" applyAlignment="1">
      <alignment vertical="center"/>
    </xf>
    <xf numFmtId="0" fontId="34" fillId="2" borderId="10" xfId="12" applyFont="1" applyFill="1" applyBorder="1" applyAlignment="1">
      <alignment horizontal="center" vertical="center" wrapText="1"/>
    </xf>
    <xf numFmtId="0" fontId="34" fillId="2" borderId="12" xfId="11" applyFont="1" applyFill="1" applyBorder="1" applyAlignment="1">
      <alignment horizontal="left" vertical="center"/>
    </xf>
    <xf numFmtId="0" fontId="42" fillId="2" borderId="12" xfId="11" applyFont="1" applyFill="1" applyBorder="1" applyAlignment="1">
      <alignment vertical="center"/>
    </xf>
    <xf numFmtId="3" fontId="26" fillId="0" borderId="0" xfId="0" applyNumberFormat="1" applyFont="1" applyAlignment="1">
      <alignment vertical="center"/>
    </xf>
    <xf numFmtId="4" fontId="26" fillId="0" borderId="0" xfId="11" applyNumberFormat="1" applyFont="1" applyAlignment="1">
      <alignment vertical="center"/>
    </xf>
    <xf numFmtId="0" fontId="54" fillId="4" borderId="0" xfId="11" applyFont="1" applyFill="1" applyAlignment="1">
      <alignment horizontal="left" vertical="center"/>
    </xf>
    <xf numFmtId="4" fontId="34" fillId="2" borderId="23" xfId="12" applyNumberFormat="1" applyFont="1" applyFill="1" applyBorder="1" applyAlignment="1">
      <alignment horizontal="center" vertical="center" wrapText="1"/>
    </xf>
    <xf numFmtId="0" fontId="26" fillId="10" borderId="0" xfId="0" applyFont="1" applyFill="1" applyAlignment="1">
      <alignment vertical="center"/>
    </xf>
    <xf numFmtId="0" fontId="23" fillId="10" borderId="11" xfId="11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left"/>
    </xf>
    <xf numFmtId="0" fontId="23" fillId="10" borderId="14" xfId="11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left"/>
    </xf>
    <xf numFmtId="0" fontId="23" fillId="10" borderId="11" xfId="11" applyFont="1" applyFill="1" applyBorder="1" applyAlignment="1">
      <alignment horizontal="center" vertical="center" wrapText="1"/>
    </xf>
    <xf numFmtId="3" fontId="23" fillId="10" borderId="24" xfId="0" applyNumberFormat="1" applyFont="1" applyFill="1" applyBorder="1"/>
    <xf numFmtId="3" fontId="23" fillId="10" borderId="11" xfId="0" applyNumberFormat="1" applyFont="1" applyFill="1" applyBorder="1"/>
    <xf numFmtId="3" fontId="34" fillId="2" borderId="12" xfId="11" applyNumberFormat="1" applyFont="1" applyFill="1" applyBorder="1" applyAlignment="1">
      <alignment horizontal="right" vertical="center"/>
    </xf>
    <xf numFmtId="3" fontId="23" fillId="10" borderId="14" xfId="0" applyNumberFormat="1" applyFont="1" applyFill="1" applyBorder="1"/>
    <xf numFmtId="0" fontId="40" fillId="0" borderId="0" xfId="28" applyFont="1"/>
    <xf numFmtId="4" fontId="40" fillId="0" borderId="0" xfId="28" applyNumberFormat="1" applyFont="1"/>
    <xf numFmtId="0" fontId="26" fillId="0" borderId="0" xfId="0" applyFont="1" applyAlignment="1">
      <alignment shrinkToFit="1"/>
    </xf>
    <xf numFmtId="172" fontId="26" fillId="0" borderId="0" xfId="0" applyNumberFormat="1" applyFont="1"/>
    <xf numFmtId="3" fontId="23" fillId="10" borderId="0" xfId="39" applyNumberFormat="1" applyFont="1" applyFill="1" applyAlignment="1">
      <alignment vertical="center"/>
    </xf>
    <xf numFmtId="165" fontId="31" fillId="0" borderId="0" xfId="0" applyNumberFormat="1" applyFont="1" applyAlignment="1">
      <alignment horizontal="left"/>
    </xf>
    <xf numFmtId="164" fontId="34" fillId="7" borderId="23" xfId="28" applyNumberFormat="1" applyFont="1" applyFill="1" applyBorder="1" applyAlignment="1">
      <alignment horizontal="center" vertical="center"/>
    </xf>
    <xf numFmtId="0" fontId="34" fillId="7" borderId="23" xfId="28" applyFont="1" applyFill="1" applyBorder="1" applyAlignment="1">
      <alignment horizontal="center" vertical="center"/>
    </xf>
    <xf numFmtId="4" fontId="34" fillId="16" borderId="23" xfId="12" applyNumberFormat="1" applyFont="1" applyFill="1" applyBorder="1" applyAlignment="1">
      <alignment horizontal="center" vertical="center" wrapText="1"/>
    </xf>
    <xf numFmtId="0" fontId="23" fillId="10" borderId="14" xfId="28" applyFont="1" applyFill="1" applyBorder="1" applyAlignment="1">
      <alignment horizontal="center" vertical="center"/>
    </xf>
    <xf numFmtId="0" fontId="23" fillId="10" borderId="11" xfId="28" applyFont="1" applyFill="1" applyBorder="1" applyAlignment="1">
      <alignment horizontal="center" vertical="center"/>
    </xf>
    <xf numFmtId="0" fontId="34" fillId="7" borderId="12" xfId="28" applyFont="1" applyFill="1" applyBorder="1" applyAlignment="1">
      <alignment horizontal="left" vertical="center" wrapText="1"/>
    </xf>
    <xf numFmtId="3" fontId="34" fillId="7" borderId="12" xfId="28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4" fontId="29" fillId="0" borderId="0" xfId="0" applyNumberFormat="1" applyFont="1" applyAlignment="1">
      <alignment horizontal="right"/>
    </xf>
    <xf numFmtId="0" fontId="23" fillId="10" borderId="25" xfId="28" applyFont="1" applyFill="1" applyBorder="1" applyAlignment="1">
      <alignment horizontal="center" vertical="center"/>
    </xf>
    <xf numFmtId="0" fontId="23" fillId="10" borderId="25" xfId="0" applyFont="1" applyFill="1" applyBorder="1" applyAlignment="1">
      <alignment horizontal="left"/>
    </xf>
    <xf numFmtId="0" fontId="23" fillId="10" borderId="27" xfId="28" applyFont="1" applyFill="1" applyBorder="1" applyAlignment="1">
      <alignment horizontal="center" vertical="center"/>
    </xf>
    <xf numFmtId="0" fontId="23" fillId="10" borderId="27" xfId="0" applyFont="1" applyFill="1" applyBorder="1" applyAlignment="1">
      <alignment horizontal="left"/>
    </xf>
    <xf numFmtId="0" fontId="23" fillId="10" borderId="27" xfId="0" applyFont="1" applyFill="1" applyBorder="1" applyAlignment="1">
      <alignment horizontal="left" wrapText="1"/>
    </xf>
    <xf numFmtId="0" fontId="34" fillId="7" borderId="26" xfId="28" applyFont="1" applyFill="1" applyBorder="1" applyAlignment="1">
      <alignment horizontal="left" vertical="center" wrapText="1"/>
    </xf>
    <xf numFmtId="3" fontId="34" fillId="7" borderId="26" xfId="28" applyNumberFormat="1" applyFont="1" applyFill="1" applyBorder="1" applyAlignment="1">
      <alignment vertical="center"/>
    </xf>
    <xf numFmtId="3" fontId="23" fillId="10" borderId="25" xfId="0" applyNumberFormat="1" applyFont="1" applyFill="1" applyBorder="1"/>
    <xf numFmtId="3" fontId="23" fillId="10" borderId="27" xfId="0" applyNumberFormat="1" applyFont="1" applyFill="1" applyBorder="1"/>
    <xf numFmtId="0" fontId="26" fillId="0" borderId="0" xfId="12" applyFont="1"/>
    <xf numFmtId="4" fontId="26" fillId="0" borderId="0" xfId="12" applyNumberFormat="1" applyFont="1" applyAlignment="1">
      <alignment horizontal="right"/>
    </xf>
    <xf numFmtId="4" fontId="31" fillId="0" borderId="0" xfId="12" applyNumberFormat="1" applyFont="1" applyAlignment="1">
      <alignment horizontal="right"/>
    </xf>
    <xf numFmtId="0" fontId="26" fillId="0" borderId="0" xfId="12" applyFont="1" applyAlignment="1">
      <alignment horizontal="center"/>
    </xf>
    <xf numFmtId="4" fontId="29" fillId="0" borderId="0" xfId="12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34" fillId="2" borderId="10" xfId="12" applyFont="1" applyFill="1" applyBorder="1" applyAlignment="1">
      <alignment horizontal="center" vertical="center"/>
    </xf>
    <xf numFmtId="0" fontId="34" fillId="2" borderId="10" xfId="12" applyFont="1" applyFill="1" applyBorder="1" applyAlignment="1">
      <alignment vertical="center"/>
    </xf>
    <xf numFmtId="4" fontId="34" fillId="2" borderId="10" xfId="12" applyNumberFormat="1" applyFont="1" applyFill="1" applyBorder="1" applyAlignment="1">
      <alignment horizontal="center" vertical="center" wrapText="1"/>
    </xf>
    <xf numFmtId="0" fontId="31" fillId="10" borderId="11" xfId="12" applyFont="1" applyFill="1" applyBorder="1" applyAlignment="1">
      <alignment horizontal="center" vertical="center" wrapText="1"/>
    </xf>
    <xf numFmtId="0" fontId="23" fillId="10" borderId="11" xfId="0" applyFont="1" applyFill="1" applyBorder="1" applyAlignment="1">
      <alignment horizontal="left" wrapText="1"/>
    </xf>
    <xf numFmtId="0" fontId="34" fillId="2" borderId="12" xfId="12" applyFont="1" applyFill="1" applyBorder="1" applyAlignment="1">
      <alignment horizontal="left" vertical="center"/>
    </xf>
    <xf numFmtId="3" fontId="56" fillId="10" borderId="24" xfId="0" applyNumberFormat="1" applyFont="1" applyFill="1" applyBorder="1"/>
    <xf numFmtId="3" fontId="56" fillId="10" borderId="11" xfId="0" applyNumberFormat="1" applyFont="1" applyFill="1" applyBorder="1"/>
    <xf numFmtId="3" fontId="34" fillId="2" borderId="12" xfId="12" applyNumberFormat="1" applyFont="1" applyFill="1" applyBorder="1" applyAlignment="1">
      <alignment horizontal="right" vertical="center"/>
    </xf>
    <xf numFmtId="0" fontId="26" fillId="0" borderId="0" xfId="31" applyFont="1"/>
    <xf numFmtId="4" fontId="26" fillId="0" borderId="0" xfId="31" applyNumberFormat="1" applyFont="1" applyAlignment="1">
      <alignment horizontal="right"/>
    </xf>
    <xf numFmtId="0" fontId="40" fillId="0" borderId="0" xfId="12" applyFont="1"/>
    <xf numFmtId="4" fontId="40" fillId="0" borderId="0" xfId="12" applyNumberFormat="1" applyFont="1"/>
    <xf numFmtId="0" fontId="26" fillId="0" borderId="0" xfId="33" applyFont="1"/>
    <xf numFmtId="4" fontId="26" fillId="0" borderId="0" xfId="33" applyNumberFormat="1" applyFont="1" applyAlignment="1">
      <alignment horizontal="right"/>
    </xf>
    <xf numFmtId="0" fontId="40" fillId="0" borderId="0" xfId="31" applyFont="1"/>
    <xf numFmtId="4" fontId="40" fillId="0" borderId="0" xfId="31" applyNumberFormat="1" applyFont="1"/>
    <xf numFmtId="0" fontId="31" fillId="10" borderId="11" xfId="12" applyFont="1" applyFill="1" applyBorder="1" applyAlignment="1">
      <alignment horizontal="center" vertical="center"/>
    </xf>
    <xf numFmtId="49" fontId="23" fillId="10" borderId="24" xfId="0" applyNumberFormat="1" applyFont="1" applyFill="1" applyBorder="1" applyAlignment="1">
      <alignment horizontal="left"/>
    </xf>
    <xf numFmtId="49" fontId="23" fillId="10" borderId="11" xfId="0" applyNumberFormat="1" applyFont="1" applyFill="1" applyBorder="1" applyAlignment="1">
      <alignment horizontal="left"/>
    </xf>
    <xf numFmtId="4" fontId="31" fillId="0" borderId="0" xfId="0" applyNumberFormat="1" applyFont="1" applyAlignment="1">
      <alignment vertical="center"/>
    </xf>
    <xf numFmtId="49" fontId="34" fillId="2" borderId="10" xfId="0" applyNumberFormat="1" applyFont="1" applyFill="1" applyBorder="1" applyAlignment="1">
      <alignment horizontal="center"/>
    </xf>
    <xf numFmtId="49" fontId="34" fillId="2" borderId="11" xfId="0" applyNumberFormat="1" applyFont="1" applyFill="1" applyBorder="1" applyAlignment="1">
      <alignment horizontal="center"/>
    </xf>
    <xf numFmtId="0" fontId="32" fillId="3" borderId="11" xfId="0" applyFont="1" applyFill="1" applyBorder="1" applyAlignment="1">
      <alignment horizontal="justify" vertical="top" wrapText="1"/>
    </xf>
    <xf numFmtId="3" fontId="31" fillId="0" borderId="11" xfId="0" applyNumberFormat="1" applyFont="1" applyBorder="1" applyAlignment="1">
      <alignment horizontal="right" vertical="top" wrapText="1"/>
    </xf>
    <xf numFmtId="0" fontId="32" fillId="3" borderId="11" xfId="0" applyFont="1" applyFill="1" applyBorder="1" applyAlignment="1">
      <alignment horizontal="justify" vertical="center" wrapText="1"/>
    </xf>
    <xf numFmtId="0" fontId="34" fillId="2" borderId="12" xfId="0" applyFont="1" applyFill="1" applyBorder="1" applyAlignment="1">
      <alignment horizontal="justify" vertical="center" wrapText="1"/>
    </xf>
    <xf numFmtId="3" fontId="34" fillId="2" borderId="12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wrapText="1"/>
    </xf>
    <xf numFmtId="0" fontId="57" fillId="37" borderId="10" xfId="0" applyFont="1" applyFill="1" applyBorder="1" applyAlignment="1">
      <alignment horizontal="center" vertical="center"/>
    </xf>
    <xf numFmtId="4" fontId="57" fillId="37" borderId="10" xfId="0" applyNumberFormat="1" applyFont="1" applyFill="1" applyBorder="1" applyAlignment="1">
      <alignment horizontal="center" vertical="center" wrapText="1"/>
    </xf>
    <xf numFmtId="0" fontId="57" fillId="37" borderId="13" xfId="0" applyFont="1" applyFill="1" applyBorder="1" applyAlignment="1">
      <alignment horizontal="center" vertical="center"/>
    </xf>
    <xf numFmtId="4" fontId="57" fillId="37" borderId="13" xfId="0" applyNumberFormat="1" applyFont="1" applyFill="1" applyBorder="1" applyAlignment="1">
      <alignment horizontal="center" vertical="center"/>
    </xf>
    <xf numFmtId="4" fontId="57" fillId="37" borderId="13" xfId="0" applyNumberFormat="1" applyFont="1" applyFill="1" applyBorder="1" applyAlignment="1">
      <alignment horizontal="center" vertical="center" wrapText="1"/>
    </xf>
    <xf numFmtId="0" fontId="47" fillId="0" borderId="21" xfId="0" applyFont="1" applyBorder="1" applyAlignment="1">
      <alignment horizontal="center"/>
    </xf>
    <xf numFmtId="14" fontId="47" fillId="0" borderId="21" xfId="0" applyNumberFormat="1" applyFont="1" applyBorder="1" applyAlignment="1">
      <alignment horizontal="center"/>
    </xf>
    <xf numFmtId="4" fontId="47" fillId="0" borderId="21" xfId="0" applyNumberFormat="1" applyFont="1" applyBorder="1" applyAlignment="1">
      <alignment horizontal="center"/>
    </xf>
    <xf numFmtId="49" fontId="47" fillId="0" borderId="21" xfId="0" applyNumberFormat="1" applyFont="1" applyBorder="1" applyAlignment="1">
      <alignment horizontal="center" vertical="center"/>
    </xf>
    <xf numFmtId="14" fontId="47" fillId="0" borderId="11" xfId="0" applyNumberFormat="1" applyFont="1" applyBorder="1" applyAlignment="1">
      <alignment horizontal="center"/>
    </xf>
    <xf numFmtId="168" fontId="47" fillId="0" borderId="11" xfId="0" applyNumberFormat="1" applyFont="1" applyBorder="1" applyAlignment="1">
      <alignment horizontal="center"/>
    </xf>
    <xf numFmtId="169" fontId="47" fillId="0" borderId="11" xfId="0" applyNumberFormat="1" applyFont="1" applyBorder="1" applyAlignment="1">
      <alignment horizontal="center"/>
    </xf>
    <xf numFmtId="170" fontId="47" fillId="0" borderId="11" xfId="0" applyNumberFormat="1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49" fontId="47" fillId="0" borderId="11" xfId="0" applyNumberFormat="1" applyFont="1" applyBorder="1" applyAlignment="1">
      <alignment horizontal="center"/>
    </xf>
    <xf numFmtId="4" fontId="47" fillId="0" borderId="11" xfId="0" applyNumberFormat="1" applyFont="1" applyBorder="1" applyAlignment="1">
      <alignment horizontal="center"/>
    </xf>
    <xf numFmtId="171" fontId="47" fillId="0" borderId="11" xfId="0" applyNumberFormat="1" applyFont="1" applyBorder="1" applyAlignment="1">
      <alignment horizontal="center"/>
    </xf>
    <xf numFmtId="14" fontId="47" fillId="0" borderId="22" xfId="0" applyNumberFormat="1" applyFont="1" applyBorder="1" applyAlignment="1">
      <alignment horizontal="center"/>
    </xf>
    <xf numFmtId="169" fontId="47" fillId="0" borderId="22" xfId="0" applyNumberFormat="1" applyFont="1" applyBorder="1" applyAlignment="1">
      <alignment horizontal="center"/>
    </xf>
    <xf numFmtId="170" fontId="47" fillId="0" borderId="22" xfId="0" applyNumberFormat="1" applyFont="1" applyBorder="1" applyAlignment="1">
      <alignment horizontal="center"/>
    </xf>
    <xf numFmtId="14" fontId="47" fillId="0" borderId="14" xfId="0" applyNumberFormat="1" applyFont="1" applyBorder="1" applyAlignment="1">
      <alignment horizontal="center"/>
    </xf>
    <xf numFmtId="49" fontId="47" fillId="0" borderId="14" xfId="0" applyNumberFormat="1" applyFont="1" applyBorder="1" applyAlignment="1">
      <alignment horizontal="center"/>
    </xf>
    <xf numFmtId="4" fontId="57" fillId="0" borderId="14" xfId="0" applyNumberFormat="1" applyFont="1" applyBorder="1" applyAlignment="1">
      <alignment horizontal="center"/>
    </xf>
    <xf numFmtId="14" fontId="47" fillId="0" borderId="14" xfId="0" applyNumberFormat="1" applyFont="1" applyBorder="1" applyAlignment="1">
      <alignment horizontal="center" vertical="center"/>
    </xf>
    <xf numFmtId="14" fontId="47" fillId="0" borderId="11" xfId="0" applyNumberFormat="1" applyFont="1" applyBorder="1" applyAlignment="1">
      <alignment horizontal="center" vertical="center"/>
    </xf>
    <xf numFmtId="14" fontId="47" fillId="0" borderId="13" xfId="0" applyNumberFormat="1" applyFont="1" applyBorder="1" applyAlignment="1">
      <alignment horizontal="center"/>
    </xf>
    <xf numFmtId="170" fontId="47" fillId="0" borderId="13" xfId="0" applyNumberFormat="1" applyFont="1" applyBorder="1" applyAlignment="1">
      <alignment horizontal="center"/>
    </xf>
    <xf numFmtId="4" fontId="47" fillId="0" borderId="13" xfId="0" applyNumberFormat="1" applyFont="1" applyBorder="1" applyAlignment="1">
      <alignment horizontal="center"/>
    </xf>
    <xf numFmtId="14" fontId="47" fillId="0" borderId="13" xfId="0" applyNumberFormat="1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center"/>
    </xf>
    <xf numFmtId="4" fontId="57" fillId="0" borderId="21" xfId="0" applyNumberFormat="1" applyFont="1" applyBorder="1" applyAlignment="1">
      <alignment horizontal="center"/>
    </xf>
    <xf numFmtId="14" fontId="47" fillId="0" borderId="21" xfId="0" applyNumberFormat="1" applyFont="1" applyBorder="1" applyAlignment="1">
      <alignment horizontal="center" vertical="center"/>
    </xf>
    <xf numFmtId="4" fontId="47" fillId="0" borderId="22" xfId="0" applyNumberFormat="1" applyFont="1" applyBorder="1" applyAlignment="1">
      <alignment horizontal="center"/>
    </xf>
    <xf numFmtId="14" fontId="47" fillId="0" borderId="22" xfId="0" applyNumberFormat="1" applyFont="1" applyBorder="1" applyAlignment="1">
      <alignment horizontal="center" vertical="center"/>
    </xf>
    <xf numFmtId="170" fontId="47" fillId="0" borderId="11" xfId="0" applyNumberFormat="1" applyFont="1" applyBorder="1" applyAlignment="1">
      <alignment horizontal="center" vertical="center"/>
    </xf>
    <xf numFmtId="170" fontId="47" fillId="0" borderId="13" xfId="0" applyNumberFormat="1" applyFont="1" applyBorder="1" applyAlignment="1">
      <alignment horizontal="center" vertical="center"/>
    </xf>
    <xf numFmtId="4" fontId="57" fillId="0" borderId="21" xfId="0" applyNumberFormat="1" applyFont="1" applyBorder="1" applyAlignment="1">
      <alignment horizontal="center" vertical="center"/>
    </xf>
    <xf numFmtId="170" fontId="47" fillId="0" borderId="22" xfId="0" applyNumberFormat="1" applyFont="1" applyBorder="1" applyAlignment="1">
      <alignment horizontal="center" vertical="center"/>
    </xf>
    <xf numFmtId="4" fontId="47" fillId="0" borderId="22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4" fontId="57" fillId="0" borderId="14" xfId="0" applyNumberFormat="1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/>
    </xf>
    <xf numFmtId="170" fontId="47" fillId="0" borderId="21" xfId="0" applyNumberFormat="1" applyFont="1" applyBorder="1" applyAlignment="1">
      <alignment horizontal="center" vertical="center"/>
    </xf>
    <xf numFmtId="0" fontId="58" fillId="0" borderId="0" xfId="0" applyFont="1" applyAlignment="1">
      <alignment horizontal="right" vertical="top"/>
    </xf>
    <xf numFmtId="0" fontId="31" fillId="0" borderId="0" xfId="0" applyFont="1" applyAlignment="1">
      <alignment horizontal="right" vertical="top"/>
    </xf>
    <xf numFmtId="0" fontId="31" fillId="0" borderId="0" xfId="0" applyFont="1" applyAlignment="1">
      <alignment vertical="top"/>
    </xf>
    <xf numFmtId="0" fontId="59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60" fillId="0" borderId="0" xfId="0" applyFont="1"/>
    <xf numFmtId="10" fontId="26" fillId="0" borderId="0" xfId="0" applyNumberFormat="1" applyFont="1" applyAlignment="1">
      <alignment horizontal="right"/>
    </xf>
    <xf numFmtId="0" fontId="51" fillId="0" borderId="0" xfId="0" applyFont="1" applyAlignment="1">
      <alignment wrapText="1"/>
    </xf>
    <xf numFmtId="0" fontId="51" fillId="0" borderId="0" xfId="0" applyFont="1"/>
    <xf numFmtId="0" fontId="51" fillId="0" borderId="0" xfId="0" applyFont="1" applyAlignment="1">
      <alignment vertical="center" wrapText="1"/>
    </xf>
    <xf numFmtId="0" fontId="62" fillId="0" borderId="0" xfId="0" applyFont="1"/>
    <xf numFmtId="0" fontId="23" fillId="35" borderId="10" xfId="0" applyFont="1" applyFill="1" applyBorder="1"/>
    <xf numFmtId="0" fontId="38" fillId="35" borderId="10" xfId="0" applyFont="1" applyFill="1" applyBorder="1" applyAlignment="1">
      <alignment horizontal="center"/>
    </xf>
    <xf numFmtId="0" fontId="32" fillId="0" borderId="11" xfId="0" applyFont="1" applyBorder="1"/>
    <xf numFmtId="3" fontId="31" fillId="4" borderId="11" xfId="0" applyNumberFormat="1" applyFont="1" applyFill="1" applyBorder="1" applyAlignment="1">
      <alignment horizontal="right"/>
    </xf>
    <xf numFmtId="3" fontId="31" fillId="12" borderId="11" xfId="0" applyNumberFormat="1" applyFont="1" applyFill="1" applyBorder="1" applyAlignment="1">
      <alignment horizontal="right"/>
    </xf>
    <xf numFmtId="3" fontId="31" fillId="36" borderId="11" xfId="0" applyNumberFormat="1" applyFont="1" applyFill="1" applyBorder="1" applyAlignment="1">
      <alignment horizontal="right"/>
    </xf>
    <xf numFmtId="3" fontId="32" fillId="4" borderId="11" xfId="0" applyNumberFormat="1" applyFont="1" applyFill="1" applyBorder="1" applyAlignment="1">
      <alignment horizontal="right"/>
    </xf>
    <xf numFmtId="3" fontId="32" fillId="12" borderId="11" xfId="0" applyNumberFormat="1" applyFont="1" applyFill="1" applyBorder="1" applyAlignment="1">
      <alignment horizontal="right"/>
    </xf>
    <xf numFmtId="3" fontId="32" fillId="0" borderId="11" xfId="0" applyNumberFormat="1" applyFont="1" applyBorder="1" applyAlignment="1">
      <alignment horizontal="right"/>
    </xf>
    <xf numFmtId="3" fontId="32" fillId="36" borderId="11" xfId="0" applyNumberFormat="1" applyFont="1" applyFill="1" applyBorder="1" applyAlignment="1">
      <alignment horizontal="right"/>
    </xf>
    <xf numFmtId="0" fontId="32" fillId="0" borderId="11" xfId="0" applyFont="1" applyBorder="1" applyAlignment="1">
      <alignment wrapText="1"/>
    </xf>
    <xf numFmtId="10" fontId="32" fillId="4" borderId="11" xfId="0" applyNumberFormat="1" applyFont="1" applyFill="1" applyBorder="1" applyAlignment="1">
      <alignment horizontal="right" vertical="center"/>
    </xf>
    <xf numFmtId="10" fontId="32" fillId="12" borderId="11" xfId="0" applyNumberFormat="1" applyFont="1" applyFill="1" applyBorder="1" applyAlignment="1">
      <alignment horizontal="right" vertical="center"/>
    </xf>
    <xf numFmtId="10" fontId="32" fillId="0" borderId="11" xfId="0" applyNumberFormat="1" applyFont="1" applyBorder="1" applyAlignment="1">
      <alignment horizontal="right" vertical="center"/>
    </xf>
    <xf numFmtId="10" fontId="32" fillId="36" borderId="11" xfId="0" applyNumberFormat="1" applyFont="1" applyFill="1" applyBorder="1" applyAlignment="1">
      <alignment horizontal="right" vertical="center"/>
    </xf>
    <xf numFmtId="3" fontId="32" fillId="4" borderId="11" xfId="0" applyNumberFormat="1" applyFont="1" applyFill="1" applyBorder="1" applyAlignment="1">
      <alignment horizontal="right" vertical="center"/>
    </xf>
    <xf numFmtId="3" fontId="32" fillId="12" borderId="11" xfId="0" applyNumberFormat="1" applyFont="1" applyFill="1" applyBorder="1" applyAlignment="1">
      <alignment horizontal="right" vertical="center"/>
    </xf>
    <xf numFmtId="3" fontId="32" fillId="0" borderId="11" xfId="0" applyNumberFormat="1" applyFont="1" applyBorder="1" applyAlignment="1">
      <alignment horizontal="right" vertical="center"/>
    </xf>
    <xf numFmtId="3" fontId="32" fillId="36" borderId="11" xfId="0" applyNumberFormat="1" applyFont="1" applyFill="1" applyBorder="1" applyAlignment="1">
      <alignment horizontal="right" vertical="center"/>
    </xf>
    <xf numFmtId="0" fontId="32" fillId="0" borderId="12" xfId="0" applyFont="1" applyBorder="1" applyAlignment="1">
      <alignment vertical="center" wrapText="1"/>
    </xf>
    <xf numFmtId="10" fontId="32" fillId="0" borderId="12" xfId="0" applyNumberFormat="1" applyFont="1" applyBorder="1" applyAlignment="1">
      <alignment horizontal="right" vertical="center"/>
    </xf>
    <xf numFmtId="10" fontId="32" fillId="12" borderId="12" xfId="0" applyNumberFormat="1" applyFont="1" applyFill="1" applyBorder="1" applyAlignment="1">
      <alignment horizontal="right" vertical="center"/>
    </xf>
    <xf numFmtId="10" fontId="32" fillId="36" borderId="12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8" fillId="35" borderId="10" xfId="0" applyFont="1" applyFill="1" applyBorder="1" applyAlignment="1">
      <alignment horizontal="center" vertical="center" wrapText="1"/>
    </xf>
    <xf numFmtId="3" fontId="63" fillId="35" borderId="11" xfId="0" applyNumberFormat="1" applyFont="1" applyFill="1" applyBorder="1" applyAlignment="1">
      <alignment vertical="center"/>
    </xf>
    <xf numFmtId="49" fontId="38" fillId="25" borderId="11" xfId="0" applyNumberFormat="1" applyFont="1" applyFill="1" applyBorder="1" applyAlignment="1">
      <alignment vertical="center" wrapText="1"/>
    </xf>
    <xf numFmtId="3" fontId="38" fillId="25" borderId="11" xfId="0" applyNumberFormat="1" applyFont="1" applyFill="1" applyBorder="1" applyAlignment="1">
      <alignment vertical="center"/>
    </xf>
    <xf numFmtId="49" fontId="23" fillId="0" borderId="11" xfId="0" applyNumberFormat="1" applyFont="1" applyBorder="1" applyAlignment="1">
      <alignment vertical="center" wrapText="1"/>
    </xf>
    <xf numFmtId="0" fontId="23" fillId="0" borderId="11" xfId="0" applyFont="1" applyBorder="1" applyAlignment="1">
      <alignment horizontal="left" vertical="center" wrapText="1"/>
    </xf>
    <xf numFmtId="3" fontId="23" fillId="0" borderId="11" xfId="0" applyNumberFormat="1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49" fontId="23" fillId="0" borderId="11" xfId="0" applyNumberFormat="1" applyFont="1" applyBorder="1" applyAlignment="1">
      <alignment horizontal="left" vertical="center" wrapText="1"/>
    </xf>
    <xf numFmtId="3" fontId="23" fillId="0" borderId="11" xfId="0" applyNumberFormat="1" applyFont="1" applyBorder="1" applyAlignment="1">
      <alignment horizontal="right" vertical="center"/>
    </xf>
    <xf numFmtId="49" fontId="38" fillId="4" borderId="11" xfId="0" applyNumberFormat="1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vertical="center" wrapText="1"/>
    </xf>
    <xf numFmtId="0" fontId="23" fillId="0" borderId="12" xfId="0" applyFont="1" applyBorder="1" applyAlignment="1">
      <alignment horizontal="left" vertical="center" wrapText="1"/>
    </xf>
    <xf numFmtId="3" fontId="23" fillId="0" borderId="12" xfId="0" applyNumberFormat="1" applyFont="1" applyBorder="1" applyAlignment="1">
      <alignment vertical="center"/>
    </xf>
    <xf numFmtId="0" fontId="31" fillId="0" borderId="0" xfId="0" applyFont="1" applyAlignment="1">
      <alignment horizontal="left"/>
    </xf>
    <xf numFmtId="4" fontId="32" fillId="0" borderId="0" xfId="0" applyNumberFormat="1" applyFont="1"/>
    <xf numFmtId="0" fontId="26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38" fillId="30" borderId="10" xfId="0" applyFont="1" applyFill="1" applyBorder="1" applyAlignment="1">
      <alignment horizontal="center" vertical="center" wrapText="1"/>
    </xf>
    <xf numFmtId="3" fontId="63" fillId="30" borderId="11" xfId="0" applyNumberFormat="1" applyFont="1" applyFill="1" applyBorder="1" applyAlignment="1">
      <alignment vertical="center"/>
    </xf>
    <xf numFmtId="49" fontId="38" fillId="29" borderId="11" xfId="0" applyNumberFormat="1" applyFont="1" applyFill="1" applyBorder="1" applyAlignment="1">
      <alignment vertical="top" wrapText="1"/>
    </xf>
    <xf numFmtId="0" fontId="38" fillId="29" borderId="11" xfId="0" applyFont="1" applyFill="1" applyBorder="1" applyAlignment="1">
      <alignment vertical="top" wrapText="1"/>
    </xf>
    <xf numFmtId="3" fontId="38" fillId="29" borderId="11" xfId="0" applyNumberFormat="1" applyFont="1" applyFill="1" applyBorder="1"/>
    <xf numFmtId="49" fontId="23" fillId="0" borderId="11" xfId="0" applyNumberFormat="1" applyFont="1" applyBorder="1" applyAlignment="1">
      <alignment vertical="top" wrapText="1"/>
    </xf>
    <xf numFmtId="0" fontId="23" fillId="0" borderId="11" xfId="0" applyFont="1" applyBorder="1" applyAlignment="1">
      <alignment horizontal="center" vertical="center" wrapText="1"/>
    </xf>
    <xf numFmtId="49" fontId="38" fillId="29" borderId="11" xfId="0" applyNumberFormat="1" applyFont="1" applyFill="1" applyBorder="1" applyAlignment="1">
      <alignment vertical="center" wrapText="1"/>
    </xf>
    <xf numFmtId="0" fontId="38" fillId="29" borderId="11" xfId="0" applyFont="1" applyFill="1" applyBorder="1" applyAlignment="1">
      <alignment vertical="center" wrapText="1"/>
    </xf>
    <xf numFmtId="3" fontId="38" fillId="29" borderId="11" xfId="0" applyNumberFormat="1" applyFont="1" applyFill="1" applyBorder="1" applyAlignment="1">
      <alignment vertical="center"/>
    </xf>
    <xf numFmtId="3" fontId="23" fillId="0" borderId="11" xfId="0" applyNumberFormat="1" applyFont="1" applyBorder="1"/>
    <xf numFmtId="49" fontId="23" fillId="0" borderId="11" xfId="0" applyNumberFormat="1" applyFont="1" applyBorder="1" applyAlignment="1">
      <alignment horizontal="left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vertical="top" wrapText="1"/>
    </xf>
    <xf numFmtId="49" fontId="23" fillId="0" borderId="12" xfId="0" applyNumberFormat="1" applyFont="1" applyBorder="1" applyAlignment="1">
      <alignment vertical="top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31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45" fillId="30" borderId="10" xfId="0" applyFont="1" applyFill="1" applyBorder="1" applyAlignment="1">
      <alignment horizontal="center" vertical="center" wrapText="1"/>
    </xf>
    <xf numFmtId="0" fontId="45" fillId="30" borderId="11" xfId="0" applyFont="1" applyFill="1" applyBorder="1" applyAlignment="1">
      <alignment horizontal="center" vertical="center"/>
    </xf>
    <xf numFmtId="0" fontId="45" fillId="30" borderId="11" xfId="0" applyFont="1" applyFill="1" applyBorder="1" applyAlignment="1">
      <alignment vertical="center" wrapText="1"/>
    </xf>
    <xf numFmtId="3" fontId="45" fillId="30" borderId="11" xfId="0" applyNumberFormat="1" applyFont="1" applyFill="1" applyBorder="1" applyAlignment="1">
      <alignment horizontal="right" vertical="center"/>
    </xf>
    <xf numFmtId="0" fontId="38" fillId="29" borderId="11" xfId="0" applyFont="1" applyFill="1" applyBorder="1" applyAlignment="1">
      <alignment horizontal="center" vertical="center"/>
    </xf>
    <xf numFmtId="3" fontId="38" fillId="29" borderId="11" xfId="0" applyNumberFormat="1" applyFont="1" applyFill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vertical="top" wrapText="1"/>
    </xf>
    <xf numFmtId="0" fontId="36" fillId="30" borderId="11" xfId="0" applyFont="1" applyFill="1" applyBorder="1" applyAlignment="1">
      <alignment horizontal="center" vertical="center"/>
    </xf>
    <xf numFmtId="0" fontId="32" fillId="29" borderId="11" xfId="0" applyFont="1" applyFill="1" applyBorder="1" applyAlignment="1">
      <alignment horizontal="center" vertical="center"/>
    </xf>
    <xf numFmtId="0" fontId="32" fillId="31" borderId="12" xfId="0" applyFont="1" applyFill="1" applyBorder="1" applyAlignment="1">
      <alignment horizontal="center" vertical="center"/>
    </xf>
    <xf numFmtId="0" fontId="32" fillId="31" borderId="12" xfId="0" applyFont="1" applyFill="1" applyBorder="1" applyAlignment="1">
      <alignment vertical="top" wrapText="1"/>
    </xf>
    <xf numFmtId="3" fontId="32" fillId="31" borderId="12" xfId="0" applyNumberFormat="1" applyFont="1" applyFill="1" applyBorder="1" applyAlignment="1">
      <alignment horizontal="right" vertical="center"/>
    </xf>
    <xf numFmtId="3" fontId="31" fillId="4" borderId="0" xfId="0" applyNumberFormat="1" applyFont="1" applyFill="1"/>
    <xf numFmtId="0" fontId="64" fillId="0" borderId="0" xfId="0" applyFont="1" applyAlignment="1">
      <alignment vertical="center" wrapText="1"/>
    </xf>
    <xf numFmtId="0" fontId="38" fillId="27" borderId="10" xfId="0" applyFont="1" applyFill="1" applyBorder="1" applyAlignment="1">
      <alignment horizontal="center" vertical="center" wrapText="1"/>
    </xf>
    <xf numFmtId="0" fontId="45" fillId="27" borderId="11" xfId="0" applyFont="1" applyFill="1" applyBorder="1" applyAlignment="1">
      <alignment horizontal="center" vertical="center"/>
    </xf>
    <xf numFmtId="0" fontId="45" fillId="27" borderId="11" xfId="0" applyFont="1" applyFill="1" applyBorder="1" applyAlignment="1">
      <alignment vertical="center"/>
    </xf>
    <xf numFmtId="3" fontId="45" fillId="27" borderId="11" xfId="0" applyNumberFormat="1" applyFont="1" applyFill="1" applyBorder="1" applyAlignment="1">
      <alignment horizontal="right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right" vertical="center"/>
    </xf>
    <xf numFmtId="0" fontId="26" fillId="0" borderId="0" xfId="36" applyFont="1"/>
    <xf numFmtId="0" fontId="29" fillId="0" borderId="0" xfId="36" applyFont="1"/>
    <xf numFmtId="0" fontId="38" fillId="27" borderId="11" xfId="2" applyFont="1" applyFill="1" applyBorder="1" applyAlignment="1">
      <alignment horizontal="left"/>
    </xf>
    <xf numFmtId="2" fontId="23" fillId="4" borderId="11" xfId="2" applyNumberFormat="1" applyFont="1" applyFill="1" applyBorder="1" applyAlignment="1">
      <alignment horizontal="center" vertical="center"/>
    </xf>
    <xf numFmtId="4" fontId="23" fillId="4" borderId="11" xfId="2" applyNumberFormat="1" applyFont="1" applyFill="1" applyBorder="1" applyAlignment="1">
      <alignment horizontal="center" vertical="center"/>
    </xf>
    <xf numFmtId="4" fontId="23" fillId="4" borderId="11" xfId="2" applyNumberFormat="1" applyFont="1" applyFill="1" applyBorder="1" applyAlignment="1">
      <alignment horizontal="center"/>
    </xf>
    <xf numFmtId="4" fontId="23" fillId="28" borderId="11" xfId="2" applyNumberFormat="1" applyFont="1" applyFill="1" applyBorder="1" applyAlignment="1">
      <alignment horizontal="center"/>
    </xf>
    <xf numFmtId="0" fontId="23" fillId="4" borderId="11" xfId="2" applyNumberFormat="1" applyFont="1" applyFill="1" applyBorder="1" applyAlignment="1">
      <alignment horizontal="center"/>
    </xf>
    <xf numFmtId="167" fontId="26" fillId="0" borderId="0" xfId="36" applyNumberFormat="1" applyFont="1"/>
    <xf numFmtId="0" fontId="38" fillId="27" borderId="12" xfId="2" applyFont="1" applyFill="1" applyBorder="1" applyAlignment="1">
      <alignment horizontal="center" vertical="center"/>
    </xf>
    <xf numFmtId="4" fontId="38" fillId="27" borderId="12" xfId="2" applyNumberFormat="1" applyFont="1" applyFill="1" applyBorder="1" applyAlignment="1">
      <alignment horizontal="center" vertical="center"/>
    </xf>
    <xf numFmtId="2" fontId="38" fillId="27" borderId="12" xfId="2" applyNumberFormat="1" applyFont="1" applyFill="1" applyBorder="1" applyAlignment="1">
      <alignment horizontal="center" vertical="center"/>
    </xf>
    <xf numFmtId="4" fontId="26" fillId="0" borderId="0" xfId="36" applyNumberFormat="1" applyFont="1"/>
    <xf numFmtId="0" fontId="26" fillId="0" borderId="0" xfId="37" applyFont="1"/>
    <xf numFmtId="0" fontId="26" fillId="0" borderId="0" xfId="37" applyFont="1" applyAlignment="1">
      <alignment horizontal="right"/>
    </xf>
    <xf numFmtId="0" fontId="40" fillId="0" borderId="0" xfId="37" applyFont="1"/>
    <xf numFmtId="0" fontId="37" fillId="24" borderId="10" xfId="37" applyFont="1" applyFill="1" applyBorder="1" applyAlignment="1">
      <alignment vertical="center"/>
    </xf>
    <xf numFmtId="0" fontId="57" fillId="24" borderId="10" xfId="37" applyFont="1" applyFill="1" applyBorder="1" applyAlignment="1">
      <alignment horizontal="center" vertical="center" wrapText="1"/>
    </xf>
    <xf numFmtId="0" fontId="57" fillId="24" borderId="10" xfId="37" applyFont="1" applyFill="1" applyBorder="1" applyAlignment="1">
      <alignment horizontal="center" vertical="center"/>
    </xf>
    <xf numFmtId="0" fontId="26" fillId="0" borderId="0" xfId="37" applyFont="1" applyAlignment="1">
      <alignment vertical="center"/>
    </xf>
    <xf numFmtId="0" fontId="37" fillId="24" borderId="11" xfId="37" applyFont="1" applyFill="1" applyBorder="1" applyAlignment="1">
      <alignment vertical="center"/>
    </xf>
    <xf numFmtId="3" fontId="29" fillId="0" borderId="11" xfId="37" applyNumberFormat="1" applyFont="1" applyBorder="1" applyAlignment="1">
      <alignment horizontal="center" vertical="center"/>
    </xf>
    <xf numFmtId="3" fontId="30" fillId="25" borderId="11" xfId="37" applyNumberFormat="1" applyFont="1" applyFill="1" applyBorder="1" applyAlignment="1">
      <alignment horizontal="center" vertical="center"/>
    </xf>
    <xf numFmtId="3" fontId="29" fillId="26" borderId="11" xfId="37" applyNumberFormat="1" applyFont="1" applyFill="1" applyBorder="1" applyAlignment="1">
      <alignment horizontal="center" vertical="center"/>
    </xf>
    <xf numFmtId="0" fontId="29" fillId="0" borderId="11" xfId="37" applyFont="1" applyBorder="1" applyAlignment="1">
      <alignment horizontal="center" vertical="center"/>
    </xf>
    <xf numFmtId="0" fontId="37" fillId="24" borderId="11" xfId="37" applyFont="1" applyFill="1" applyBorder="1" applyAlignment="1">
      <alignment vertical="center" wrapText="1"/>
    </xf>
    <xf numFmtId="3" fontId="29" fillId="0" borderId="11" xfId="37" applyNumberFormat="1" applyFont="1" applyBorder="1" applyAlignment="1" applyProtection="1">
      <alignment horizontal="center" vertical="center"/>
      <protection hidden="1"/>
    </xf>
    <xf numFmtId="3" fontId="67" fillId="25" borderId="11" xfId="37" applyNumberFormat="1" applyFont="1" applyFill="1" applyBorder="1" applyAlignment="1">
      <alignment horizontal="center" vertical="center"/>
    </xf>
    <xf numFmtId="0" fontId="30" fillId="25" borderId="11" xfId="37" applyFont="1" applyFill="1" applyBorder="1" applyAlignment="1">
      <alignment horizontal="center" vertical="center"/>
    </xf>
    <xf numFmtId="0" fontId="37" fillId="24" borderId="12" xfId="37" applyFont="1" applyFill="1" applyBorder="1" applyAlignment="1">
      <alignment vertical="center"/>
    </xf>
    <xf numFmtId="3" fontId="29" fillId="0" borderId="12" xfId="37" applyNumberFormat="1" applyFont="1" applyBorder="1" applyAlignment="1">
      <alignment horizontal="center" vertical="center"/>
    </xf>
    <xf numFmtId="3" fontId="30" fillId="25" borderId="12" xfId="37" applyNumberFormat="1" applyFont="1" applyFill="1" applyBorder="1" applyAlignment="1">
      <alignment horizontal="center" vertical="center"/>
    </xf>
    <xf numFmtId="3" fontId="30" fillId="0" borderId="12" xfId="37" applyNumberFormat="1" applyFont="1" applyBorder="1" applyAlignment="1">
      <alignment horizontal="center" vertical="center"/>
    </xf>
    <xf numFmtId="3" fontId="30" fillId="4" borderId="12" xfId="37" applyNumberFormat="1" applyFont="1" applyFill="1" applyBorder="1" applyAlignment="1">
      <alignment horizontal="center" vertical="center"/>
    </xf>
    <xf numFmtId="0" fontId="29" fillId="0" borderId="12" xfId="37" applyFont="1" applyBorder="1" applyAlignment="1">
      <alignment horizontal="center" vertical="center"/>
    </xf>
    <xf numFmtId="0" fontId="31" fillId="0" borderId="0" xfId="37" applyFont="1"/>
    <xf numFmtId="0" fontId="23" fillId="0" borderId="0" xfId="37" applyFont="1"/>
    <xf numFmtId="166" fontId="31" fillId="0" borderId="11" xfId="0" applyNumberFormat="1" applyFont="1" applyBorder="1" applyAlignment="1">
      <alignment horizontal="center"/>
    </xf>
    <xf numFmtId="166" fontId="26" fillId="0" borderId="0" xfId="0" applyNumberFormat="1" applyFont="1" applyAlignment="1">
      <alignment horizontal="left" indent="2"/>
    </xf>
    <xf numFmtId="0" fontId="31" fillId="0" borderId="11" xfId="0" applyFont="1" applyBorder="1" applyAlignment="1">
      <alignment horizontal="left" indent="2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left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justify" vertical="center"/>
    </xf>
    <xf numFmtId="0" fontId="38" fillId="33" borderId="10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/>
    </xf>
    <xf numFmtId="0" fontId="31" fillId="34" borderId="11" xfId="0" applyFont="1" applyFill="1" applyBorder="1" applyAlignment="1">
      <alignment horizontal="center" vertical="center"/>
    </xf>
    <xf numFmtId="0" fontId="32" fillId="34" borderId="11" xfId="0" applyFont="1" applyFill="1" applyBorder="1" applyAlignment="1">
      <alignment vertical="center"/>
    </xf>
    <xf numFmtId="3" fontId="32" fillId="34" borderId="11" xfId="0" applyNumberFormat="1" applyFont="1" applyFill="1" applyBorder="1" applyAlignment="1">
      <alignment horizontal="right" vertical="center"/>
    </xf>
    <xf numFmtId="0" fontId="31" fillId="0" borderId="11" xfId="0" applyFont="1" applyBorder="1" applyAlignment="1">
      <alignment vertical="center"/>
    </xf>
    <xf numFmtId="0" fontId="23" fillId="33" borderId="11" xfId="0" applyFont="1" applyFill="1" applyBorder="1" applyAlignment="1">
      <alignment horizontal="center" vertical="center"/>
    </xf>
    <xf numFmtId="0" fontId="38" fillId="33" borderId="11" xfId="0" applyFont="1" applyFill="1" applyBorder="1" applyAlignment="1">
      <alignment vertical="center"/>
    </xf>
    <xf numFmtId="3" fontId="38" fillId="33" borderId="11" xfId="0" applyNumberFormat="1" applyFont="1" applyFill="1" applyBorder="1" applyAlignment="1">
      <alignment horizontal="right" vertical="center"/>
    </xf>
    <xf numFmtId="0" fontId="38" fillId="33" borderId="11" xfId="0" applyFont="1" applyFill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vertical="center"/>
    </xf>
    <xf numFmtId="0" fontId="70" fillId="34" borderId="11" xfId="0" applyFont="1" applyFill="1" applyBorder="1" applyAlignment="1">
      <alignment vertical="center"/>
    </xf>
    <xf numFmtId="3" fontId="70" fillId="34" borderId="11" xfId="0" applyNumberFormat="1" applyFont="1" applyFill="1" applyBorder="1" applyAlignment="1">
      <alignment horizontal="right" vertical="center"/>
    </xf>
    <xf numFmtId="0" fontId="45" fillId="33" borderId="12" xfId="0" applyFont="1" applyFill="1" applyBorder="1" applyAlignment="1">
      <alignment horizontal="center" vertical="center"/>
    </xf>
    <xf numFmtId="3" fontId="45" fillId="33" borderId="12" xfId="0" applyNumberFormat="1" applyFont="1" applyFill="1" applyBorder="1" applyAlignment="1">
      <alignment horizontal="right" vertical="center"/>
    </xf>
    <xf numFmtId="0" fontId="28" fillId="2" borderId="2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31" fillId="0" borderId="11" xfId="0" applyFont="1" applyBorder="1"/>
    <xf numFmtId="0" fontId="35" fillId="0" borderId="0" xfId="0" applyFont="1" applyAlignment="1">
      <alignment horizontal="center"/>
    </xf>
    <xf numFmtId="0" fontId="31" fillId="0" borderId="11" xfId="0" applyFont="1" applyBorder="1" applyAlignment="1">
      <alignment horizontal="left" wrapText="1"/>
    </xf>
    <xf numFmtId="0" fontId="31" fillId="0" borderId="12" xfId="0" applyFont="1" applyBorder="1" applyAlignment="1" applyProtection="1">
      <alignment horizontal="left"/>
      <protection locked="0"/>
    </xf>
    <xf numFmtId="0" fontId="31" fillId="0" borderId="11" xfId="0" applyFont="1" applyBorder="1" applyAlignment="1">
      <alignment horizontal="left"/>
    </xf>
    <xf numFmtId="0" fontId="31" fillId="0" borderId="11" xfId="0" applyFont="1" applyBorder="1" applyAlignment="1" applyProtection="1">
      <alignment horizontal="left"/>
      <protection locked="0"/>
    </xf>
    <xf numFmtId="0" fontId="32" fillId="22" borderId="11" xfId="0" applyFont="1" applyFill="1" applyBorder="1" applyAlignment="1">
      <alignment horizontal="left"/>
    </xf>
    <xf numFmtId="3" fontId="31" fillId="0" borderId="11" xfId="0" applyNumberFormat="1" applyFont="1" applyBorder="1" applyAlignment="1">
      <alignment horizontal="left" wrapText="1"/>
    </xf>
    <xf numFmtId="0" fontId="39" fillId="0" borderId="0" xfId="0" applyFont="1" applyAlignment="1">
      <alignment horizontal="center" vertical="center"/>
    </xf>
    <xf numFmtId="0" fontId="34" fillId="2" borderId="10" xfId="0" applyFont="1" applyFill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0" fontId="39" fillId="0" borderId="0" xfId="0" applyFont="1" applyAlignment="1">
      <alignment horizontal="center"/>
    </xf>
    <xf numFmtId="0" fontId="34" fillId="2" borderId="10" xfId="0" applyFont="1" applyFill="1" applyBorder="1" applyAlignment="1">
      <alignment horizontal="left" vertical="center"/>
    </xf>
    <xf numFmtId="0" fontId="34" fillId="2" borderId="10" xfId="2" applyFont="1" applyFill="1" applyBorder="1" applyAlignment="1">
      <alignment horizontal="center" vertical="center"/>
    </xf>
    <xf numFmtId="0" fontId="43" fillId="0" borderId="0" xfId="2" applyFont="1" applyAlignment="1">
      <alignment horizontal="center"/>
    </xf>
    <xf numFmtId="0" fontId="34" fillId="2" borderId="10" xfId="2" applyFont="1" applyFill="1" applyBorder="1" applyAlignment="1">
      <alignment horizontal="center" vertical="center" wrapText="1"/>
    </xf>
    <xf numFmtId="0" fontId="34" fillId="2" borderId="11" xfId="2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/>
    </xf>
    <xf numFmtId="0" fontId="34" fillId="13" borderId="10" xfId="2" applyFont="1" applyFill="1" applyBorder="1" applyAlignment="1">
      <alignment horizontal="left" vertical="center" wrapText="1"/>
    </xf>
    <xf numFmtId="0" fontId="34" fillId="13" borderId="11" xfId="2" applyFont="1" applyFill="1" applyBorder="1" applyAlignment="1">
      <alignment horizontal="left" vertical="center" wrapText="1"/>
    </xf>
    <xf numFmtId="0" fontId="34" fillId="13" borderId="10" xfId="2" applyFont="1" applyFill="1" applyBorder="1" applyAlignment="1">
      <alignment horizontal="center" vertical="center" wrapText="1"/>
    </xf>
    <xf numFmtId="0" fontId="34" fillId="13" borderId="11" xfId="2" applyFont="1" applyFill="1" applyBorder="1" applyAlignment="1">
      <alignment horizontal="center" vertical="center" wrapText="1"/>
    </xf>
    <xf numFmtId="0" fontId="42" fillId="14" borderId="10" xfId="2" applyFont="1" applyFill="1" applyBorder="1" applyAlignment="1">
      <alignment horizontal="center"/>
    </xf>
    <xf numFmtId="0" fontId="34" fillId="13" borderId="11" xfId="2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4" fillId="2" borderId="28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2" borderId="12" xfId="0" applyFont="1" applyFill="1" applyBorder="1"/>
    <xf numFmtId="0" fontId="34" fillId="2" borderId="6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vertical="center" wrapText="1"/>
    </xf>
    <xf numFmtId="0" fontId="34" fillId="2" borderId="3" xfId="0" applyFont="1" applyFill="1" applyBorder="1" applyAlignment="1">
      <alignment vertical="center"/>
    </xf>
    <xf numFmtId="0" fontId="32" fillId="3" borderId="13" xfId="38" applyFont="1" applyFill="1" applyBorder="1" applyAlignment="1">
      <alignment horizontal="center" vertical="center"/>
    </xf>
    <xf numFmtId="0" fontId="34" fillId="2" borderId="26" xfId="38" applyFont="1" applyFill="1" applyBorder="1" applyAlignment="1">
      <alignment vertical="center"/>
    </xf>
    <xf numFmtId="0" fontId="38" fillId="17" borderId="30" xfId="0" applyFont="1" applyFill="1" applyBorder="1" applyAlignment="1">
      <alignment horizontal="center" vertical="center"/>
    </xf>
    <xf numFmtId="0" fontId="39" fillId="0" borderId="0" xfId="38" applyFont="1" applyAlignment="1">
      <alignment horizontal="center" vertical="center"/>
    </xf>
    <xf numFmtId="0" fontId="26" fillId="0" borderId="0" xfId="0" applyFont="1"/>
    <xf numFmtId="0" fontId="49" fillId="0" borderId="0" xfId="0" applyFont="1" applyAlignment="1">
      <alignment horizontal="center"/>
    </xf>
    <xf numFmtId="0" fontId="53" fillId="0" borderId="0" xfId="11" applyFont="1" applyAlignment="1">
      <alignment horizontal="center" vertical="center" wrapText="1"/>
    </xf>
    <xf numFmtId="0" fontId="39" fillId="0" borderId="0" xfId="11" applyFont="1" applyAlignment="1">
      <alignment horizontal="center" vertical="center"/>
    </xf>
    <xf numFmtId="0" fontId="46" fillId="4" borderId="0" xfId="11" applyFont="1" applyFill="1" applyAlignment="1">
      <alignment horizontal="left" vertical="center"/>
    </xf>
    <xf numFmtId="3" fontId="40" fillId="0" borderId="0" xfId="28" applyNumberFormat="1" applyFont="1" applyAlignment="1">
      <alignment horizontal="right"/>
    </xf>
    <xf numFmtId="0" fontId="40" fillId="0" borderId="0" xfId="28" applyFont="1"/>
    <xf numFmtId="0" fontId="39" fillId="0" borderId="0" xfId="28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12" applyFont="1" applyAlignment="1">
      <alignment horizontal="center" vertical="center"/>
    </xf>
    <xf numFmtId="0" fontId="34" fillId="2" borderId="12" xfId="12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center" vertical="center" wrapText="1"/>
    </xf>
    <xf numFmtId="4" fontId="34" fillId="2" borderId="10" xfId="0" applyNumberFormat="1" applyFont="1" applyFill="1" applyBorder="1" applyAlignment="1">
      <alignment horizontal="center" vertical="center"/>
    </xf>
    <xf numFmtId="4" fontId="34" fillId="2" borderId="11" xfId="0" applyNumberFormat="1" applyFont="1" applyFill="1" applyBorder="1" applyAlignment="1">
      <alignment horizontal="center" vertical="center"/>
    </xf>
    <xf numFmtId="14" fontId="47" fillId="0" borderId="21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4" fontId="57" fillId="10" borderId="21" xfId="0" applyNumberFormat="1" applyFont="1" applyFill="1" applyBorder="1" applyAlignment="1">
      <alignment horizontal="right" vertical="center"/>
    </xf>
    <xf numFmtId="4" fontId="57" fillId="10" borderId="22" xfId="0" applyNumberFormat="1" applyFont="1" applyFill="1" applyBorder="1" applyAlignment="1">
      <alignment horizontal="right" vertical="center"/>
    </xf>
    <xf numFmtId="4" fontId="47" fillId="0" borderId="14" xfId="0" applyNumberFormat="1" applyFont="1" applyBorder="1" applyAlignment="1">
      <alignment horizontal="right" vertical="center"/>
    </xf>
    <xf numFmtId="4" fontId="47" fillId="0" borderId="13" xfId="0" applyNumberFormat="1" applyFont="1" applyBorder="1" applyAlignment="1">
      <alignment horizontal="right" vertical="center"/>
    </xf>
    <xf numFmtId="4" fontId="47" fillId="0" borderId="14" xfId="0" applyNumberFormat="1" applyFont="1" applyBorder="1" applyAlignment="1">
      <alignment horizontal="right" vertical="center" wrapText="1"/>
    </xf>
    <xf numFmtId="4" fontId="47" fillId="0" borderId="13" xfId="0" applyNumberFormat="1" applyFont="1" applyBorder="1" applyAlignment="1">
      <alignment horizontal="right" vertical="center" wrapText="1"/>
    </xf>
    <xf numFmtId="14" fontId="47" fillId="0" borderId="14" xfId="0" applyNumberFormat="1" applyFont="1" applyBorder="1" applyAlignment="1">
      <alignment horizontal="center" vertical="center"/>
    </xf>
    <xf numFmtId="14" fontId="47" fillId="0" borderId="13" xfId="0" applyNumberFormat="1" applyFont="1" applyBorder="1" applyAlignment="1">
      <alignment horizontal="center" vertical="center"/>
    </xf>
    <xf numFmtId="4" fontId="57" fillId="10" borderId="14" xfId="0" applyNumberFormat="1" applyFont="1" applyFill="1" applyBorder="1" applyAlignment="1">
      <alignment horizontal="right" vertical="center"/>
    </xf>
    <xf numFmtId="4" fontId="57" fillId="10" borderId="13" xfId="0" applyNumberFormat="1" applyFont="1" applyFill="1" applyBorder="1" applyAlignment="1">
      <alignment horizontal="right" vertical="center"/>
    </xf>
    <xf numFmtId="0" fontId="57" fillId="0" borderId="2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4" fontId="57" fillId="0" borderId="21" xfId="0" applyNumberFormat="1" applyFont="1" applyBorder="1" applyAlignment="1">
      <alignment horizontal="center" vertical="center"/>
    </xf>
    <xf numFmtId="4" fontId="57" fillId="0" borderId="11" xfId="0" applyNumberFormat="1" applyFont="1" applyBorder="1" applyAlignment="1">
      <alignment horizontal="center" vertical="center"/>
    </xf>
    <xf numFmtId="4" fontId="57" fillId="0" borderId="22" xfId="0" applyNumberFormat="1" applyFont="1" applyBorder="1" applyAlignment="1">
      <alignment horizontal="center" vertical="center"/>
    </xf>
    <xf numFmtId="4" fontId="47" fillId="0" borderId="21" xfId="0" applyNumberFormat="1" applyFont="1" applyBorder="1" applyAlignment="1">
      <alignment horizontal="right" vertical="center" wrapText="1"/>
    </xf>
    <xf numFmtId="4" fontId="47" fillId="0" borderId="11" xfId="0" applyNumberFormat="1" applyFont="1" applyBorder="1" applyAlignment="1">
      <alignment horizontal="right" vertical="center" wrapText="1"/>
    </xf>
    <xf numFmtId="4" fontId="47" fillId="0" borderId="22" xfId="0" applyNumberFormat="1" applyFont="1" applyBorder="1" applyAlignment="1">
      <alignment horizontal="right" vertical="center" wrapText="1"/>
    </xf>
    <xf numFmtId="4" fontId="47" fillId="0" borderId="21" xfId="0" applyNumberFormat="1" applyFont="1" applyBorder="1" applyAlignment="1">
      <alignment horizontal="right" vertical="center"/>
    </xf>
    <xf numFmtId="4" fontId="47" fillId="0" borderId="11" xfId="0" applyNumberFormat="1" applyFont="1" applyBorder="1" applyAlignment="1">
      <alignment horizontal="right" vertical="center"/>
    </xf>
    <xf numFmtId="4" fontId="47" fillId="0" borderId="22" xfId="0" applyNumberFormat="1" applyFont="1" applyBorder="1" applyAlignment="1">
      <alignment horizontal="right" vertical="center"/>
    </xf>
    <xf numFmtId="14" fontId="47" fillId="0" borderId="11" xfId="0" applyNumberFormat="1" applyFont="1" applyBorder="1" applyAlignment="1">
      <alignment horizontal="center" vertical="center"/>
    </xf>
    <xf numFmtId="4" fontId="57" fillId="10" borderId="11" xfId="0" applyNumberFormat="1" applyFont="1" applyFill="1" applyBorder="1" applyAlignment="1">
      <alignment horizontal="right" vertical="center"/>
    </xf>
    <xf numFmtId="0" fontId="57" fillId="0" borderId="21" xfId="0" applyFont="1" applyBorder="1" applyAlignment="1">
      <alignment horizontal="left" vertical="center"/>
    </xf>
    <xf numFmtId="0" fontId="57" fillId="0" borderId="22" xfId="0" applyFont="1" applyBorder="1" applyAlignment="1">
      <alignment horizontal="left" vertical="center"/>
    </xf>
    <xf numFmtId="0" fontId="57" fillId="0" borderId="21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 wrapText="1"/>
    </xf>
    <xf numFmtId="0" fontId="57" fillId="0" borderId="22" xfId="0" applyFont="1" applyBorder="1" applyAlignment="1">
      <alignment horizontal="left" vertical="center" wrapText="1"/>
    </xf>
    <xf numFmtId="0" fontId="57" fillId="0" borderId="14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left" vertical="center" wrapText="1"/>
    </xf>
    <xf numFmtId="4" fontId="57" fillId="0" borderId="21" xfId="0" applyNumberFormat="1" applyFont="1" applyBorder="1" applyAlignment="1">
      <alignment horizontal="right" vertical="center"/>
    </xf>
    <xf numFmtId="4" fontId="57" fillId="0" borderId="11" xfId="0" applyNumberFormat="1" applyFont="1" applyBorder="1" applyAlignment="1">
      <alignment horizontal="right" vertical="center"/>
    </xf>
    <xf numFmtId="0" fontId="38" fillId="0" borderId="0" xfId="0" applyFont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center" vertical="center"/>
    </xf>
    <xf numFmtId="4" fontId="57" fillId="0" borderId="22" xfId="0" applyNumberFormat="1" applyFont="1" applyBorder="1" applyAlignment="1">
      <alignment horizontal="right" vertical="center"/>
    </xf>
    <xf numFmtId="0" fontId="23" fillId="10" borderId="0" xfId="0" applyFont="1" applyFill="1" applyAlignment="1">
      <alignment horizontal="center" vertical="center"/>
    </xf>
    <xf numFmtId="4" fontId="57" fillId="37" borderId="10" xfId="0" applyNumberFormat="1" applyFont="1" applyFill="1" applyBorder="1" applyAlignment="1">
      <alignment horizontal="center" vertical="center" wrapText="1"/>
    </xf>
    <xf numFmtId="4" fontId="57" fillId="37" borderId="13" xfId="0" applyNumberFormat="1" applyFont="1" applyFill="1" applyBorder="1" applyAlignment="1">
      <alignment horizontal="center" vertical="center" wrapText="1"/>
    </xf>
    <xf numFmtId="4" fontId="57" fillId="37" borderId="10" xfId="0" applyNumberFormat="1" applyFont="1" applyFill="1" applyBorder="1" applyAlignment="1">
      <alignment horizontal="center" vertical="center"/>
    </xf>
    <xf numFmtId="4" fontId="57" fillId="37" borderId="13" xfId="0" applyNumberFormat="1" applyFont="1" applyFill="1" applyBorder="1" applyAlignment="1">
      <alignment horizontal="center" vertical="center"/>
    </xf>
    <xf numFmtId="14" fontId="57" fillId="37" borderId="10" xfId="0" applyNumberFormat="1" applyFont="1" applyFill="1" applyBorder="1" applyAlignment="1">
      <alignment horizontal="center" vertical="center" wrapText="1"/>
    </xf>
    <xf numFmtId="14" fontId="57" fillId="37" borderId="13" xfId="0" applyNumberFormat="1" applyFont="1" applyFill="1" applyBorder="1" applyAlignment="1">
      <alignment horizontal="center" vertical="center" wrapText="1"/>
    </xf>
    <xf numFmtId="49" fontId="47" fillId="0" borderId="21" xfId="0" applyNumberFormat="1" applyFont="1" applyBorder="1" applyAlignment="1">
      <alignment horizontal="center" vertical="center"/>
    </xf>
    <xf numFmtId="4" fontId="47" fillId="0" borderId="21" xfId="0" applyNumberFormat="1" applyFont="1" applyBorder="1" applyAlignment="1">
      <alignment vertical="center"/>
    </xf>
    <xf numFmtId="4" fontId="47" fillId="0" borderId="22" xfId="0" applyNumberFormat="1" applyFont="1" applyBorder="1" applyAlignment="1">
      <alignment vertical="center"/>
    </xf>
    <xf numFmtId="0" fontId="57" fillId="0" borderId="14" xfId="0" applyFont="1" applyBorder="1" applyAlignment="1">
      <alignment horizontal="left" vertical="center"/>
    </xf>
    <xf numFmtId="0" fontId="57" fillId="0" borderId="13" xfId="0" applyFont="1" applyBorder="1" applyAlignment="1">
      <alignment horizontal="left" vertical="center"/>
    </xf>
    <xf numFmtId="0" fontId="57" fillId="37" borderId="10" xfId="0" applyFont="1" applyFill="1" applyBorder="1" applyAlignment="1">
      <alignment horizontal="center" vertical="center" wrapText="1"/>
    </xf>
    <xf numFmtId="0" fontId="57" fillId="37" borderId="1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vertical="center" wrapText="1"/>
    </xf>
    <xf numFmtId="0" fontId="38" fillId="25" borderId="11" xfId="0" applyFont="1" applyFill="1" applyBorder="1" applyAlignment="1">
      <alignment vertical="center" wrapText="1"/>
    </xf>
    <xf numFmtId="0" fontId="38" fillId="35" borderId="10" xfId="0" applyFont="1" applyFill="1" applyBorder="1" applyAlignment="1">
      <alignment horizontal="center" vertical="center" wrapText="1"/>
    </xf>
    <xf numFmtId="0" fontId="63" fillId="35" borderId="11" xfId="0" applyFont="1" applyFill="1" applyBorder="1" applyAlignment="1">
      <alignment vertical="center" wrapText="1"/>
    </xf>
    <xf numFmtId="0" fontId="38" fillId="29" borderId="11" xfId="0" applyFont="1" applyFill="1" applyBorder="1" applyAlignment="1">
      <alignment vertical="top" wrapText="1"/>
    </xf>
    <xf numFmtId="0" fontId="38" fillId="29" borderId="11" xfId="0" applyFont="1" applyFill="1" applyBorder="1" applyAlignment="1">
      <alignment vertical="center" wrapText="1"/>
    </xf>
    <xf numFmtId="0" fontId="38" fillId="30" borderId="10" xfId="0" applyFont="1" applyFill="1" applyBorder="1" applyAlignment="1">
      <alignment horizontal="center" vertical="center" wrapText="1"/>
    </xf>
    <xf numFmtId="0" fontId="63" fillId="30" borderId="11" xfId="0" applyFont="1" applyFill="1" applyBorder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65" fillId="30" borderId="10" xfId="0" applyFont="1" applyFill="1" applyBorder="1"/>
    <xf numFmtId="0" fontId="38" fillId="27" borderId="10" xfId="0" applyFont="1" applyFill="1" applyBorder="1" applyAlignment="1">
      <alignment horizontal="center" vertical="center" wrapText="1"/>
    </xf>
    <xf numFmtId="0" fontId="40" fillId="0" borderId="0" xfId="36" applyFont="1"/>
    <xf numFmtId="0" fontId="39" fillId="0" borderId="0" xfId="36" applyFont="1" applyAlignment="1">
      <alignment horizontal="center"/>
    </xf>
    <xf numFmtId="0" fontId="23" fillId="27" borderId="10" xfId="36" applyFont="1" applyFill="1" applyBorder="1"/>
    <xf numFmtId="0" fontId="23" fillId="27" borderId="11" xfId="36" applyFont="1" applyFill="1" applyBorder="1"/>
    <xf numFmtId="0" fontId="37" fillId="27" borderId="10" xfId="2" applyFont="1" applyFill="1" applyBorder="1" applyAlignment="1">
      <alignment horizontal="center" vertical="center" wrapText="1"/>
    </xf>
    <xf numFmtId="0" fontId="37" fillId="27" borderId="11" xfId="2" applyFont="1" applyFill="1" applyBorder="1" applyAlignment="1">
      <alignment horizontal="center" vertical="center" wrapText="1"/>
    </xf>
    <xf numFmtId="0" fontId="23" fillId="0" borderId="0" xfId="37" applyFont="1" applyAlignment="1">
      <alignment horizontal="left"/>
    </xf>
    <xf numFmtId="0" fontId="23" fillId="0" borderId="0" xfId="37" applyFont="1"/>
    <xf numFmtId="0" fontId="40" fillId="0" borderId="0" xfId="37" applyFont="1"/>
    <xf numFmtId="0" fontId="60" fillId="0" borderId="0" xfId="37" applyFont="1" applyAlignment="1">
      <alignment horizontal="right"/>
    </xf>
    <xf numFmtId="0" fontId="66" fillId="15" borderId="9" xfId="37" applyFont="1" applyFill="1" applyBorder="1" applyAlignment="1">
      <alignment horizontal="center"/>
    </xf>
    <xf numFmtId="0" fontId="31" fillId="0" borderId="0" xfId="37" applyFont="1" applyAlignment="1">
      <alignment wrapText="1"/>
    </xf>
    <xf numFmtId="0" fontId="69" fillId="0" borderId="10" xfId="0" applyFont="1" applyBorder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</cellXfs>
  <cellStyles count="5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1 2" xfId="31" xr:uid="{C99B6DC4-8A46-4F52-8B57-6BC77BEA40A9}"/>
    <cellStyle name="Normálna 11 2 2" xfId="49" xr:uid="{63B7CA4C-4376-4865-9F18-24C5BC316515}"/>
    <cellStyle name="Normálna 12" xfId="27" xr:uid="{00000000-0005-0000-0000-000004000000}"/>
    <cellStyle name="Normálna 12 2" xfId="33" xr:uid="{F76B0DB6-DE57-4FB6-A380-38D9C8053ADB}"/>
    <cellStyle name="Normálna 12 3" xfId="35" xr:uid="{53BDB5A8-E057-41E5-8C19-BA944CC18181}"/>
    <cellStyle name="Normálna 13" xfId="28" xr:uid="{00000000-0005-0000-0000-000005000000}"/>
    <cellStyle name="Normálna 13 2" xfId="32" xr:uid="{B7244BA8-F247-498E-ADE2-E6227A7321F5}"/>
    <cellStyle name="Normálna 14" xfId="29" xr:uid="{00000000-0005-0000-0000-000006000000}"/>
    <cellStyle name="Normálna 14 2" xfId="37" xr:uid="{CD9F5E34-AE75-429D-8E4C-EA3DF7427BD4}"/>
    <cellStyle name="Normálna 15" xfId="30" xr:uid="{615BB169-64E3-4092-AAFD-954A29086734}"/>
    <cellStyle name="Normálna 15 2" xfId="48" xr:uid="{842C2B17-0730-4B54-85B7-8845130268AF}"/>
    <cellStyle name="Normálna 16" xfId="34" xr:uid="{9B70B4CE-FF5F-4D81-8430-FB0FCE99C7AD}"/>
    <cellStyle name="Normálna 17" xfId="36" xr:uid="{2C1FE4FB-F292-4FB3-AD4C-E1E3C80D4675}"/>
    <cellStyle name="Normálna 18" xfId="38" xr:uid="{47CD9248-9CB7-4997-9E44-F50CA93712B4}"/>
    <cellStyle name="Normálna 19" xfId="39" xr:uid="{F4DC07EE-CB9E-4E25-A3A5-ED9446A66BB6}"/>
    <cellStyle name="Normálna 2" xfId="4" xr:uid="{00000000-0005-0000-0000-000007000000}"/>
    <cellStyle name="Normálna 2 2" xfId="40" xr:uid="{64231CB5-8033-4EED-838E-5733A807E390}"/>
    <cellStyle name="Normálna 20" xfId="47" xr:uid="{DEF4DD9F-BF6B-4D97-A0CA-DD9195F552DB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2 5" xfId="41" xr:uid="{87C0D2E2-9EC0-4FF4-A1D3-D34556C7302A}"/>
    <cellStyle name="Normálne 2 6" xfId="43" xr:uid="{5D7B5AEE-5122-4523-8563-D45902C8A199}"/>
    <cellStyle name="Normálne 2 7" xfId="45" xr:uid="{8B57D4F4-C6D7-405E-9DDD-CC3C8D7EBE01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  <cellStyle name="Normálne 3 4" xfId="42" xr:uid="{43BF8765-F3DE-4777-AE79-BA07702FEA76}"/>
    <cellStyle name="Normálne 3 5" xfId="44" xr:uid="{477C9CBC-EC7F-41E2-A0B7-74D504C6682B}"/>
    <cellStyle name="Normálne 3 6" xfId="46" xr:uid="{82B2E588-C5B5-47C9-8319-43128496CB6E}"/>
  </cellStyles>
  <dxfs count="0"/>
  <tableStyles count="0" defaultTableStyle="TableStyleMedium2" defaultPivotStyle="PivotStyleLight16"/>
  <colors>
    <mruColors>
      <color rgb="FF366092"/>
      <color rgb="FFC5D9F1"/>
      <color rgb="FF1F4E78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</a:t>
            </a:r>
            <a:r>
              <a:rPr lang="sk-SK"/>
              <a:t>J DLHOVEJ SLUŽBY</a:t>
            </a:r>
            <a:r>
              <a:rPr lang="sk-SK" baseline="0"/>
              <a:t> V ROKOCH 2017-2022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delete val="1"/>
          </c:dLbls>
          <c:cat>
            <c:numRef>
              <c:f>Vývoj_dlhovej_služby!$C$7:$H$7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Vývoj_dlhovej_služby!$C$10:$H$10</c:f>
              <c:numCache>
                <c:formatCode>#,##0</c:formatCode>
                <c:ptCount val="6"/>
                <c:pt idx="0">
                  <c:v>12394</c:v>
                </c:pt>
                <c:pt idx="1">
                  <c:v>13381</c:v>
                </c:pt>
                <c:pt idx="2">
                  <c:v>12837</c:v>
                </c:pt>
                <c:pt idx="3">
                  <c:v>13686</c:v>
                </c:pt>
                <c:pt idx="4">
                  <c:v>11680</c:v>
                </c:pt>
                <c:pt idx="5">
                  <c:v>12374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6FF-802B-02A512CC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9957200"/>
        <c:axId val="191789456"/>
      </c:areaChart>
      <c:catAx>
        <c:axId val="2199572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789456"/>
        <c:crosses val="autoZero"/>
        <c:auto val="1"/>
        <c:lblAlgn val="ctr"/>
        <c:lblOffset val="100"/>
        <c:noMultiLvlLbl val="0"/>
      </c:catAx>
      <c:valAx>
        <c:axId val="1917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995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23</xdr:row>
      <xdr:rowOff>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36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35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28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35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23</xdr:row>
      <xdr:rowOff>0</xdr:rowOff>
    </xdr:from>
    <xdr:ext cx="184727" cy="937625"/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AC7C81F1-C85C-4A08-86BC-593BDF5F0981}"/>
            </a:ext>
          </a:extLst>
        </xdr:cNvPr>
        <xdr:cNvSpPr/>
      </xdr:nvSpPr>
      <xdr:spPr>
        <a:xfrm>
          <a:off x="4122447" y="4762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36</xdr:row>
      <xdr:rowOff>0</xdr:rowOff>
    </xdr:from>
    <xdr:ext cx="184727" cy="937625"/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608143B9-578F-4484-93B8-F14A690818E8}"/>
            </a:ext>
          </a:extLst>
        </xdr:cNvPr>
        <xdr:cNvSpPr/>
      </xdr:nvSpPr>
      <xdr:spPr>
        <a:xfrm>
          <a:off x="4122447" y="8191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35</xdr:row>
      <xdr:rowOff>0</xdr:rowOff>
    </xdr:from>
    <xdr:ext cx="184727" cy="937625"/>
    <xdr:sp macro="" textlink="">
      <xdr:nvSpPr>
        <xdr:cNvPr id="12" name="Obdĺžnik 4">
          <a:extLst>
            <a:ext uri="{FF2B5EF4-FFF2-40B4-BE49-F238E27FC236}">
              <a16:creationId xmlns:a16="http://schemas.microsoft.com/office/drawing/2014/main" id="{02AE5365-4636-4F0B-BBC2-8F469B1DB212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28</xdr:row>
      <xdr:rowOff>2670</xdr:rowOff>
    </xdr:from>
    <xdr:ext cx="184727" cy="937625"/>
    <xdr:sp macro="" textlink="">
      <xdr:nvSpPr>
        <xdr:cNvPr id="13" name="Obdĺžnik 5">
          <a:extLst>
            <a:ext uri="{FF2B5EF4-FFF2-40B4-BE49-F238E27FC236}">
              <a16:creationId xmlns:a16="http://schemas.microsoft.com/office/drawing/2014/main" id="{54B1051C-40A5-44DB-A026-20D99D87E6B1}"/>
            </a:ext>
          </a:extLst>
        </xdr:cNvPr>
        <xdr:cNvSpPr/>
      </xdr:nvSpPr>
      <xdr:spPr>
        <a:xfrm>
          <a:off x="4122447" y="62891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35</xdr:row>
      <xdr:rowOff>0</xdr:rowOff>
    </xdr:from>
    <xdr:ext cx="184727" cy="937625"/>
    <xdr:sp macro="" textlink="">
      <xdr:nvSpPr>
        <xdr:cNvPr id="14" name="Obdĺžnik 6">
          <a:extLst>
            <a:ext uri="{FF2B5EF4-FFF2-40B4-BE49-F238E27FC236}">
              <a16:creationId xmlns:a16="http://schemas.microsoft.com/office/drawing/2014/main" id="{564DEB23-B9EF-415F-A508-90E15EAB4A6D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15" name="Obdĺžnik 7">
          <a:extLst>
            <a:ext uri="{FF2B5EF4-FFF2-40B4-BE49-F238E27FC236}">
              <a16:creationId xmlns:a16="http://schemas.microsoft.com/office/drawing/2014/main" id="{7978C585-38E1-48D3-871B-8E1618664850}"/>
            </a:ext>
          </a:extLst>
        </xdr:cNvPr>
        <xdr:cNvSpPr/>
      </xdr:nvSpPr>
      <xdr:spPr>
        <a:xfrm>
          <a:off x="4122447" y="57176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16" name="Obdĺžnik 8">
          <a:extLst>
            <a:ext uri="{FF2B5EF4-FFF2-40B4-BE49-F238E27FC236}">
              <a16:creationId xmlns:a16="http://schemas.microsoft.com/office/drawing/2014/main" id="{7F774068-E052-4194-B5A2-1DA4155A4ADC}"/>
            </a:ext>
          </a:extLst>
        </xdr:cNvPr>
        <xdr:cNvSpPr/>
      </xdr:nvSpPr>
      <xdr:spPr>
        <a:xfrm>
          <a:off x="4122447" y="7620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23</xdr:row>
      <xdr:rowOff>161926</xdr:rowOff>
    </xdr:from>
    <xdr:to>
      <xdr:col>7</xdr:col>
      <xdr:colOff>133350</xdr:colOff>
      <xdr:row>37</xdr:row>
      <xdr:rowOff>14288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E0E7799-31DB-AB61-DF92-10748FC5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Ekomonicky%20utvar\-%20Oddelenie%20%20financne\MFT602\CAPOVA\ROZPO&#268;ET%202022\Z&#225;vere&#269;n&#253;%20&#250;&#269;et%20mesta%202022\Plnenie%20rozpo&#269;tu%20k%2031.12.2022.xls" TargetMode="External"/><Relationship Id="rId1" Type="http://schemas.openxmlformats.org/officeDocument/2006/relationships/externalLinkPath" Target="Plnenie%20rozpo&#269;tu%20k%2031.1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íjmy"/>
      <sheetName val="P1"/>
      <sheetName val="P2"/>
      <sheetName val="P3"/>
      <sheetName val="P4"/>
      <sheetName val="P5"/>
      <sheetName val="P6"/>
      <sheetName val="P7"/>
      <sheetName val="Hárok1"/>
      <sheetName val="P8"/>
      <sheetName val="P9"/>
      <sheetName val="P10"/>
      <sheetName val="P11"/>
      <sheetName val="P12"/>
      <sheetName val="Sumarizácia"/>
      <sheetName val="KV"/>
      <sheetName val="Hárok2"/>
    </sheetNames>
    <sheetDataSet>
      <sheetData sheetId="0">
        <row r="7">
          <cell r="F7">
            <v>37489105</v>
          </cell>
        </row>
        <row r="21">
          <cell r="F21">
            <v>6933435</v>
          </cell>
        </row>
        <row r="270">
          <cell r="F270">
            <v>15554764</v>
          </cell>
        </row>
        <row r="356">
          <cell r="F356">
            <v>525541</v>
          </cell>
        </row>
        <row r="364">
          <cell r="F364">
            <v>1628524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E5">
            <v>59351476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3:L26"/>
  <sheetViews>
    <sheetView tabSelected="1" workbookViewId="0">
      <selection activeCell="G21" sqref="G21"/>
    </sheetView>
  </sheetViews>
  <sheetFormatPr defaultRowHeight="14.25" x14ac:dyDescent="0.2"/>
  <cols>
    <col min="1" max="1" width="1.85546875" style="1" customWidth="1"/>
    <col min="2" max="2" width="4.140625" style="1" customWidth="1"/>
    <col min="3" max="3" width="35.5703125" style="1" customWidth="1"/>
    <col min="4" max="4" width="14.140625" style="1" customWidth="1"/>
    <col min="5" max="5" width="11.5703125" style="1" customWidth="1"/>
    <col min="6" max="6" width="8.7109375" style="1" customWidth="1"/>
    <col min="7" max="7" width="10.42578125" style="1" customWidth="1"/>
    <col min="8" max="8" width="11.85546875" style="1" customWidth="1"/>
    <col min="9" max="9" width="12.28515625" style="1" customWidth="1"/>
    <col min="10" max="10" width="10.140625" style="1" customWidth="1"/>
    <col min="11" max="11" width="10.85546875" style="1" customWidth="1"/>
    <col min="12" max="12" width="12.42578125" style="1" customWidth="1"/>
    <col min="13" max="13" width="9.140625" style="1" customWidth="1"/>
    <col min="14" max="16384" width="9.140625" style="1"/>
  </cols>
  <sheetData>
    <row r="3" spans="2:12" ht="18.75" customHeight="1" x14ac:dyDescent="0.3">
      <c r="B3" s="30"/>
      <c r="C3" s="555" t="s">
        <v>615</v>
      </c>
      <c r="D3" s="555"/>
      <c r="E3" s="555"/>
      <c r="F3" s="555"/>
      <c r="G3" s="555"/>
      <c r="H3" s="555"/>
      <c r="I3" s="555"/>
      <c r="J3" s="555"/>
      <c r="K3" s="555"/>
      <c r="L3" s="30"/>
    </row>
    <row r="4" spans="2:12" ht="15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ht="38.25" x14ac:dyDescent="0.2">
      <c r="B5" s="45"/>
      <c r="C5" s="46" t="s">
        <v>0</v>
      </c>
      <c r="D5" s="47" t="s">
        <v>1</v>
      </c>
      <c r="E5" s="47" t="s">
        <v>2</v>
      </c>
      <c r="F5" s="47" t="s">
        <v>3</v>
      </c>
      <c r="G5" s="47" t="s">
        <v>4</v>
      </c>
      <c r="H5" s="47" t="s">
        <v>5</v>
      </c>
      <c r="I5" s="47" t="s">
        <v>6</v>
      </c>
      <c r="J5" s="47" t="s">
        <v>7</v>
      </c>
      <c r="K5" s="47" t="s">
        <v>8</v>
      </c>
      <c r="L5" s="48" t="s">
        <v>9</v>
      </c>
    </row>
    <row r="6" spans="2:12" x14ac:dyDescent="0.2">
      <c r="B6" s="33" t="s">
        <v>10</v>
      </c>
      <c r="C6" s="34" t="s">
        <v>11</v>
      </c>
      <c r="D6" s="35">
        <v>175176.14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6">
        <f t="shared" ref="L6:L23" si="0">D6+E6+F6+G6+H6+I6+J6+K6</f>
        <v>175176.14</v>
      </c>
    </row>
    <row r="7" spans="2:12" x14ac:dyDescent="0.2">
      <c r="B7" s="37" t="s">
        <v>12</v>
      </c>
      <c r="C7" s="38" t="s">
        <v>13</v>
      </c>
      <c r="D7" s="39">
        <v>158402040.97</v>
      </c>
      <c r="E7" s="39">
        <v>63570251.5</v>
      </c>
      <c r="F7" s="39">
        <v>619280.87</v>
      </c>
      <c r="G7" s="39">
        <v>5148129.7</v>
      </c>
      <c r="H7" s="39">
        <v>1426112.55</v>
      </c>
      <c r="I7" s="39">
        <v>8826255.9100000001</v>
      </c>
      <c r="J7" s="39">
        <v>6665.64</v>
      </c>
      <c r="K7" s="39">
        <v>365288.74</v>
      </c>
      <c r="L7" s="40">
        <f t="shared" si="0"/>
        <v>238364025.88</v>
      </c>
    </row>
    <row r="8" spans="2:12" x14ac:dyDescent="0.2">
      <c r="B8" s="37" t="s">
        <v>14</v>
      </c>
      <c r="C8" s="38" t="s">
        <v>15</v>
      </c>
      <c r="D8" s="39">
        <v>16091773.390000001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40">
        <f t="shared" si="0"/>
        <v>16091773.390000001</v>
      </c>
    </row>
    <row r="9" spans="2:12" x14ac:dyDescent="0.2">
      <c r="B9" s="37" t="s">
        <v>16</v>
      </c>
      <c r="C9" s="38" t="s">
        <v>17</v>
      </c>
      <c r="D9" s="39">
        <v>31099.62</v>
      </c>
      <c r="E9" s="39">
        <v>49085.279999999999</v>
      </c>
      <c r="F9" s="39">
        <v>6568.15</v>
      </c>
      <c r="G9" s="39">
        <v>10344.34</v>
      </c>
      <c r="H9" s="39">
        <v>0</v>
      </c>
      <c r="I9" s="39">
        <v>29713.200000000001</v>
      </c>
      <c r="J9" s="39">
        <v>0</v>
      </c>
      <c r="K9" s="39">
        <v>0</v>
      </c>
      <c r="L9" s="40">
        <f t="shared" si="0"/>
        <v>126810.58999999998</v>
      </c>
    </row>
    <row r="10" spans="2:12" x14ac:dyDescent="0.2">
      <c r="B10" s="37" t="s">
        <v>18</v>
      </c>
      <c r="C10" s="38" t="s">
        <v>19</v>
      </c>
      <c r="D10" s="39">
        <v>80062893.010000005</v>
      </c>
      <c r="E10" s="39">
        <v>0</v>
      </c>
      <c r="F10" s="39">
        <v>0</v>
      </c>
      <c r="G10" s="39">
        <v>0</v>
      </c>
      <c r="H10" s="39">
        <v>0</v>
      </c>
      <c r="I10" s="39">
        <v>821.6</v>
      </c>
      <c r="J10" s="39">
        <v>0</v>
      </c>
      <c r="K10" s="39">
        <v>0</v>
      </c>
      <c r="L10" s="40">
        <f t="shared" si="0"/>
        <v>80063714.609999999</v>
      </c>
    </row>
    <row r="11" spans="2:12" x14ac:dyDescent="0.2">
      <c r="B11" s="37" t="s">
        <v>20</v>
      </c>
      <c r="C11" s="38" t="s">
        <v>21</v>
      </c>
      <c r="D11" s="39">
        <f>432431.89+868510.92</f>
        <v>1300942.81</v>
      </c>
      <c r="E11" s="39">
        <f>515.55+50146.25</f>
        <v>50661.8</v>
      </c>
      <c r="F11" s="39">
        <v>111625.98</v>
      </c>
      <c r="G11" s="39">
        <v>544</v>
      </c>
      <c r="H11" s="39">
        <v>0</v>
      </c>
      <c r="I11" s="39">
        <v>6371.26</v>
      </c>
      <c r="J11" s="39">
        <v>0</v>
      </c>
      <c r="K11" s="39">
        <v>0</v>
      </c>
      <c r="L11" s="40">
        <f t="shared" si="0"/>
        <v>1470145.85</v>
      </c>
    </row>
    <row r="12" spans="2:12" x14ac:dyDescent="0.2">
      <c r="B12" s="37" t="s">
        <v>22</v>
      </c>
      <c r="C12" s="38" t="s">
        <v>23</v>
      </c>
      <c r="D12" s="39">
        <v>10513311.550000001</v>
      </c>
      <c r="E12" s="39">
        <v>32925.19</v>
      </c>
      <c r="F12" s="39">
        <v>6869.93</v>
      </c>
      <c r="G12" s="39">
        <v>31866.33</v>
      </c>
      <c r="H12" s="39">
        <v>5916.56</v>
      </c>
      <c r="I12" s="39">
        <v>1035143.25</v>
      </c>
      <c r="J12" s="39">
        <v>3154.02</v>
      </c>
      <c r="K12" s="39">
        <v>13660.43</v>
      </c>
      <c r="L12" s="40">
        <f t="shared" si="0"/>
        <v>11642847.26</v>
      </c>
    </row>
    <row r="13" spans="2:12" x14ac:dyDescent="0.2">
      <c r="B13" s="41" t="s">
        <v>24</v>
      </c>
      <c r="C13" s="42" t="s">
        <v>25</v>
      </c>
      <c r="D13" s="43">
        <v>54036.69</v>
      </c>
      <c r="E13" s="43">
        <v>2789.3</v>
      </c>
      <c r="F13" s="43">
        <v>9397.74</v>
      </c>
      <c r="G13" s="43">
        <v>170597.85</v>
      </c>
      <c r="H13" s="43">
        <v>10395</v>
      </c>
      <c r="I13" s="43">
        <v>276214.46999999997</v>
      </c>
      <c r="J13" s="43">
        <v>1283.58</v>
      </c>
      <c r="K13" s="43">
        <v>731.63</v>
      </c>
      <c r="L13" s="44">
        <f t="shared" si="0"/>
        <v>525446.26</v>
      </c>
    </row>
    <row r="14" spans="2:12" customFormat="1" ht="15" x14ac:dyDescent="0.25">
      <c r="B14" s="49"/>
      <c r="C14" s="50" t="s">
        <v>26</v>
      </c>
      <c r="D14" s="51">
        <f>SUM(D6:D13)</f>
        <v>266631274.18000001</v>
      </c>
      <c r="E14" s="51">
        <f t="shared" ref="E14:K14" si="1">SUM(E6:E13)</f>
        <v>63705713.069999993</v>
      </c>
      <c r="F14" s="51">
        <f t="shared" si="1"/>
        <v>753742.67</v>
      </c>
      <c r="G14" s="51">
        <f t="shared" si="1"/>
        <v>5361482.22</v>
      </c>
      <c r="H14" s="51">
        <f t="shared" si="1"/>
        <v>1442424.11</v>
      </c>
      <c r="I14" s="51">
        <f t="shared" si="1"/>
        <v>10174519.689999999</v>
      </c>
      <c r="J14" s="51">
        <f t="shared" si="1"/>
        <v>11103.24</v>
      </c>
      <c r="K14" s="51">
        <f t="shared" si="1"/>
        <v>379680.8</v>
      </c>
      <c r="L14" s="51">
        <f t="shared" si="0"/>
        <v>348459939.98000008</v>
      </c>
    </row>
    <row r="15" spans="2:12" customFormat="1" ht="15" x14ac:dyDescent="0.25">
      <c r="B15" s="33" t="s">
        <v>27</v>
      </c>
      <c r="C15" s="34" t="s">
        <v>28</v>
      </c>
      <c r="D15" s="35">
        <v>-1459420.72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6">
        <f t="shared" si="0"/>
        <v>-1459420.72</v>
      </c>
    </row>
    <row r="16" spans="2:12" customFormat="1" ht="15" x14ac:dyDescent="0.25">
      <c r="B16" s="37" t="s">
        <v>29</v>
      </c>
      <c r="C16" s="38" t="s">
        <v>30</v>
      </c>
      <c r="D16" s="39">
        <v>189559724.25</v>
      </c>
      <c r="E16" s="39">
        <v>-227953.67</v>
      </c>
      <c r="F16" s="39">
        <v>-276654.65999999997</v>
      </c>
      <c r="G16" s="39">
        <v>-401507.75</v>
      </c>
      <c r="H16" s="39">
        <v>-27914.95</v>
      </c>
      <c r="I16" s="39">
        <v>-447602.61</v>
      </c>
      <c r="J16" s="39">
        <v>-12319.36</v>
      </c>
      <c r="K16" s="39">
        <v>-79614.63</v>
      </c>
      <c r="L16" s="40">
        <f t="shared" si="0"/>
        <v>188086156.62</v>
      </c>
    </row>
    <row r="17" spans="2:12" customFormat="1" ht="15" x14ac:dyDescent="0.25">
      <c r="B17" s="37" t="s">
        <v>31</v>
      </c>
      <c r="C17" s="38" t="s">
        <v>32</v>
      </c>
      <c r="D17" s="39">
        <v>206118.16</v>
      </c>
      <c r="E17" s="39">
        <v>10930.95</v>
      </c>
      <c r="F17" s="39">
        <v>12546.89</v>
      </c>
      <c r="G17" s="39">
        <v>154897</v>
      </c>
      <c r="H17" s="39">
        <v>1331</v>
      </c>
      <c r="I17" s="39">
        <v>31466.43</v>
      </c>
      <c r="J17" s="39">
        <v>388.95</v>
      </c>
      <c r="K17" s="39">
        <v>3500</v>
      </c>
      <c r="L17" s="40">
        <f t="shared" si="0"/>
        <v>421179.38</v>
      </c>
    </row>
    <row r="18" spans="2:12" customFormat="1" ht="15" x14ac:dyDescent="0.25">
      <c r="B18" s="37" t="s">
        <v>33</v>
      </c>
      <c r="C18" s="38" t="s">
        <v>19</v>
      </c>
      <c r="D18" s="39">
        <v>380762.88</v>
      </c>
      <c r="E18" s="39">
        <v>63612853.270000003</v>
      </c>
      <c r="F18" s="39">
        <v>711691.78</v>
      </c>
      <c r="G18" s="39">
        <v>5148129.7</v>
      </c>
      <c r="H18" s="39">
        <v>1426112.55</v>
      </c>
      <c r="I18" s="39">
        <v>8792217.0700000003</v>
      </c>
      <c r="J18" s="39">
        <v>6665.64</v>
      </c>
      <c r="K18" s="39">
        <v>365288.74</v>
      </c>
      <c r="L18" s="40">
        <f t="shared" si="0"/>
        <v>80443721.629999995</v>
      </c>
    </row>
    <row r="19" spans="2:12" customFormat="1" ht="15" x14ac:dyDescent="0.25">
      <c r="B19" s="37" t="s">
        <v>34</v>
      </c>
      <c r="C19" s="38" t="s">
        <v>35</v>
      </c>
      <c r="D19" s="39">
        <v>2849286.12</v>
      </c>
      <c r="E19" s="39">
        <v>26158.22</v>
      </c>
      <c r="F19" s="39">
        <v>4300.96</v>
      </c>
      <c r="G19" s="39">
        <v>15957.43</v>
      </c>
      <c r="H19" s="39">
        <v>3368.56</v>
      </c>
      <c r="I19" s="39">
        <v>75487.02</v>
      </c>
      <c r="J19" s="39">
        <v>2591.2199999999998</v>
      </c>
      <c r="K19" s="39">
        <v>5300.43</v>
      </c>
      <c r="L19" s="40">
        <f t="shared" si="0"/>
        <v>2982449.9600000009</v>
      </c>
    </row>
    <row r="20" spans="2:12" customFormat="1" ht="15" x14ac:dyDescent="0.25">
      <c r="B20" s="37" t="s">
        <v>36</v>
      </c>
      <c r="C20" s="38" t="s">
        <v>37</v>
      </c>
      <c r="D20" s="39">
        <v>1749371.54</v>
      </c>
      <c r="E20" s="39">
        <v>283203.76</v>
      </c>
      <c r="F20" s="39">
        <v>273247.37</v>
      </c>
      <c r="G20" s="39">
        <v>423092.23</v>
      </c>
      <c r="H20" s="39">
        <v>37131.949999999997</v>
      </c>
      <c r="I20" s="39">
        <v>1630470.42</v>
      </c>
      <c r="J20" s="39">
        <v>13776.79</v>
      </c>
      <c r="K20" s="39">
        <v>85206.26</v>
      </c>
      <c r="L20" s="40">
        <f t="shared" si="0"/>
        <v>4495500.3199999994</v>
      </c>
    </row>
    <row r="21" spans="2:12" customFormat="1" ht="15" x14ac:dyDescent="0.25">
      <c r="B21" s="37" t="s">
        <v>38</v>
      </c>
      <c r="C21" s="38" t="s">
        <v>40</v>
      </c>
      <c r="D21" s="39">
        <v>60971540.090000004</v>
      </c>
      <c r="E21" s="39">
        <v>520.54</v>
      </c>
      <c r="F21" s="39">
        <v>28610.33</v>
      </c>
      <c r="G21" s="39">
        <v>20913.61</v>
      </c>
      <c r="H21" s="39">
        <v>2395</v>
      </c>
      <c r="I21" s="39">
        <v>92481.36</v>
      </c>
      <c r="J21" s="39">
        <v>0</v>
      </c>
      <c r="K21" s="39">
        <v>0</v>
      </c>
      <c r="L21" s="40">
        <f t="shared" si="0"/>
        <v>61116460.93</v>
      </c>
    </row>
    <row r="22" spans="2:12" customFormat="1" ht="15" x14ac:dyDescent="0.25">
      <c r="B22" s="41" t="s">
        <v>39</v>
      </c>
      <c r="C22" s="42" t="s">
        <v>41</v>
      </c>
      <c r="D22" s="43">
        <v>12373891.859999999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4">
        <f t="shared" si="0"/>
        <v>12373891.859999999</v>
      </c>
    </row>
    <row r="23" spans="2:12" customFormat="1" ht="15" x14ac:dyDescent="0.25">
      <c r="B23" s="49"/>
      <c r="C23" s="50" t="s">
        <v>42</v>
      </c>
      <c r="D23" s="51">
        <f>SUM(D15:D22)</f>
        <v>266631274.18000001</v>
      </c>
      <c r="E23" s="51">
        <f t="shared" ref="E23:K23" si="2">SUM(E15:E22)</f>
        <v>63705713.07</v>
      </c>
      <c r="F23" s="51">
        <f t="shared" si="2"/>
        <v>753742.67</v>
      </c>
      <c r="G23" s="51">
        <f t="shared" si="2"/>
        <v>5361482.22</v>
      </c>
      <c r="H23" s="51">
        <f t="shared" si="2"/>
        <v>1442424.11</v>
      </c>
      <c r="I23" s="51">
        <f t="shared" si="2"/>
        <v>10174519.689999999</v>
      </c>
      <c r="J23" s="51">
        <f t="shared" si="2"/>
        <v>11103.240000000002</v>
      </c>
      <c r="K23" s="51">
        <f t="shared" si="2"/>
        <v>379680.8</v>
      </c>
      <c r="L23" s="51">
        <f t="shared" si="0"/>
        <v>348459939.98000008</v>
      </c>
    </row>
    <row r="24" spans="2:12" ht="15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6" spans="2:12" x14ac:dyDescent="0.2">
      <c r="D26" s="4"/>
    </row>
  </sheetData>
  <mergeCells count="1">
    <mergeCell ref="C3:K3"/>
  </mergeCells>
  <pageMargins left="0.59055118110236227" right="0.11811023622047245" top="0.74803149606299213" bottom="0.74803149606299213" header="0.31496062992125984" footer="0.31496062992125984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I81"/>
  <sheetViews>
    <sheetView workbookViewId="0">
      <selection activeCell="E92" sqref="E92"/>
    </sheetView>
  </sheetViews>
  <sheetFormatPr defaultColWidth="9.140625" defaultRowHeight="15" x14ac:dyDescent="0.25"/>
  <cols>
    <col min="1" max="1" width="9.140625" style="58"/>
    <col min="2" max="2" width="6.85546875" style="58" customWidth="1"/>
    <col min="3" max="3" width="38.28515625" style="58" customWidth="1"/>
    <col min="4" max="4" width="44" style="58" customWidth="1"/>
    <col min="5" max="5" width="12.140625" style="280" customWidth="1"/>
    <col min="6" max="6" width="4.42578125" style="58" customWidth="1"/>
    <col min="7" max="7" width="10.140625" style="58" customWidth="1"/>
    <col min="8" max="8" width="35.28515625" style="58" customWidth="1"/>
    <col min="9" max="9" width="49.7109375" style="58" customWidth="1"/>
    <col min="10" max="16384" width="9.140625" style="58"/>
  </cols>
  <sheetData>
    <row r="1" spans="2:9" x14ac:dyDescent="0.25">
      <c r="B1" s="270"/>
      <c r="C1" s="270"/>
      <c r="D1" s="270"/>
      <c r="E1" s="271"/>
      <c r="F1" s="270"/>
      <c r="G1" s="270"/>
      <c r="H1" s="270"/>
      <c r="I1" s="270"/>
    </row>
    <row r="2" spans="2:9" x14ac:dyDescent="0.25">
      <c r="B2" s="270"/>
      <c r="C2" s="270"/>
      <c r="D2" s="270"/>
      <c r="E2" s="271"/>
      <c r="F2" s="270"/>
      <c r="G2" s="270"/>
      <c r="H2" s="270"/>
      <c r="I2" s="270"/>
    </row>
    <row r="3" spans="2:9" ht="18.75" x14ac:dyDescent="0.25">
      <c r="B3" s="599" t="s">
        <v>641</v>
      </c>
      <c r="C3" s="599"/>
      <c r="D3" s="599"/>
      <c r="E3" s="599"/>
      <c r="F3" s="270"/>
      <c r="G3" s="270"/>
      <c r="H3" s="270"/>
      <c r="I3" s="270"/>
    </row>
    <row r="4" spans="2:9" ht="11.25" customHeight="1" x14ac:dyDescent="0.25">
      <c r="B4" s="272"/>
      <c r="C4" s="272"/>
      <c r="D4" s="272"/>
      <c r="E4" s="273"/>
      <c r="F4" s="270"/>
      <c r="G4" s="270"/>
      <c r="H4" s="270"/>
      <c r="I4" s="270"/>
    </row>
    <row r="5" spans="2:9" ht="18.75" x14ac:dyDescent="0.25">
      <c r="B5" s="600" t="s">
        <v>163</v>
      </c>
      <c r="C5" s="600"/>
      <c r="D5" s="272"/>
      <c r="E5" s="273"/>
      <c r="F5" s="270"/>
      <c r="G5" s="270"/>
    </row>
    <row r="6" spans="2:9" ht="6" customHeight="1" x14ac:dyDescent="0.25">
      <c r="B6" s="270"/>
      <c r="C6" s="270"/>
      <c r="D6" s="270"/>
      <c r="E6" s="271"/>
      <c r="F6" s="270"/>
      <c r="G6" s="270"/>
    </row>
    <row r="7" spans="2:9" ht="25.5" x14ac:dyDescent="0.25">
      <c r="B7" s="275" t="s">
        <v>154</v>
      </c>
      <c r="C7" s="276" t="s">
        <v>165</v>
      </c>
      <c r="D7" s="276" t="s">
        <v>166</v>
      </c>
      <c r="E7" s="277" t="s">
        <v>468</v>
      </c>
      <c r="F7" s="270"/>
      <c r="G7" s="270"/>
    </row>
    <row r="8" spans="2:9" x14ac:dyDescent="0.2">
      <c r="B8" s="285">
        <v>1</v>
      </c>
      <c r="C8" s="286" t="s">
        <v>521</v>
      </c>
      <c r="D8" s="286" t="s">
        <v>649</v>
      </c>
      <c r="E8" s="290">
        <v>400</v>
      </c>
      <c r="F8" s="270"/>
      <c r="G8" s="270"/>
    </row>
    <row r="9" spans="2:9" x14ac:dyDescent="0.2">
      <c r="B9" s="285">
        <v>2</v>
      </c>
      <c r="C9" s="268" t="s">
        <v>642</v>
      </c>
      <c r="D9" s="268" t="s">
        <v>650</v>
      </c>
      <c r="E9" s="291">
        <v>1600</v>
      </c>
      <c r="F9" s="270"/>
      <c r="G9" s="270"/>
    </row>
    <row r="10" spans="2:9" x14ac:dyDescent="0.2">
      <c r="B10" s="285">
        <v>3</v>
      </c>
      <c r="C10" s="268" t="s">
        <v>611</v>
      </c>
      <c r="D10" s="268" t="s">
        <v>651</v>
      </c>
      <c r="E10" s="291">
        <v>1200</v>
      </c>
      <c r="F10" s="270"/>
      <c r="G10" s="270"/>
    </row>
    <row r="11" spans="2:9" x14ac:dyDescent="0.2">
      <c r="B11" s="285">
        <v>4</v>
      </c>
      <c r="C11" s="268" t="s">
        <v>507</v>
      </c>
      <c r="D11" s="268" t="s">
        <v>652</v>
      </c>
      <c r="E11" s="291">
        <v>500</v>
      </c>
      <c r="F11" s="270"/>
      <c r="G11" s="270"/>
    </row>
    <row r="12" spans="2:9" x14ac:dyDescent="0.2">
      <c r="B12" s="285">
        <v>5</v>
      </c>
      <c r="C12" s="268" t="s">
        <v>643</v>
      </c>
      <c r="D12" s="268" t="s">
        <v>493</v>
      </c>
      <c r="E12" s="291">
        <v>1000</v>
      </c>
      <c r="F12" s="270"/>
      <c r="G12" s="270"/>
    </row>
    <row r="13" spans="2:9" x14ac:dyDescent="0.2">
      <c r="B13" s="285">
        <v>6</v>
      </c>
      <c r="C13" s="268" t="s">
        <v>644</v>
      </c>
      <c r="D13" s="268" t="s">
        <v>653</v>
      </c>
      <c r="E13" s="291">
        <v>2000</v>
      </c>
      <c r="F13" s="270"/>
      <c r="G13" s="270"/>
    </row>
    <row r="14" spans="2:9" x14ac:dyDescent="0.2">
      <c r="B14" s="285">
        <v>7</v>
      </c>
      <c r="C14" s="268" t="s">
        <v>645</v>
      </c>
      <c r="D14" s="268" t="s">
        <v>654</v>
      </c>
      <c r="E14" s="291">
        <v>3450</v>
      </c>
      <c r="F14" s="270"/>
      <c r="G14" s="270"/>
    </row>
    <row r="15" spans="2:9" x14ac:dyDescent="0.2">
      <c r="B15" s="285">
        <v>8</v>
      </c>
      <c r="C15" s="268" t="s">
        <v>646</v>
      </c>
      <c r="D15" s="268" t="s">
        <v>655</v>
      </c>
      <c r="E15" s="291">
        <v>815</v>
      </c>
      <c r="F15" s="270"/>
      <c r="G15" s="270"/>
    </row>
    <row r="16" spans="2:9" x14ac:dyDescent="0.2">
      <c r="B16" s="285">
        <v>9</v>
      </c>
      <c r="C16" s="268" t="s">
        <v>647</v>
      </c>
      <c r="D16" s="268" t="s">
        <v>656</v>
      </c>
      <c r="E16" s="291">
        <v>1600</v>
      </c>
      <c r="F16" s="270"/>
      <c r="G16" s="270"/>
    </row>
    <row r="17" spans="2:9" x14ac:dyDescent="0.2">
      <c r="B17" s="285">
        <v>10</v>
      </c>
      <c r="C17" s="268" t="s">
        <v>648</v>
      </c>
      <c r="D17" s="268" t="s">
        <v>657</v>
      </c>
      <c r="E17" s="291">
        <v>1012</v>
      </c>
      <c r="F17" s="270"/>
      <c r="G17" s="270"/>
    </row>
    <row r="18" spans="2:9" ht="16.5" customHeight="1" x14ac:dyDescent="0.25">
      <c r="B18" s="278"/>
      <c r="C18" s="279" t="s">
        <v>9</v>
      </c>
      <c r="D18" s="278"/>
      <c r="E18" s="292">
        <f>SUM(E8:E17)</f>
        <v>13577</v>
      </c>
      <c r="F18" s="270"/>
      <c r="G18" s="271"/>
      <c r="H18" s="280"/>
    </row>
    <row r="19" spans="2:9" x14ac:dyDescent="0.25">
      <c r="B19" s="270"/>
      <c r="C19" s="270"/>
      <c r="D19" s="270"/>
      <c r="E19" s="281"/>
      <c r="F19" s="270"/>
      <c r="G19" s="271"/>
    </row>
    <row r="20" spans="2:9" ht="19.5" customHeight="1" x14ac:dyDescent="0.25">
      <c r="B20" s="274" t="s">
        <v>164</v>
      </c>
      <c r="C20" s="282"/>
      <c r="D20" s="270"/>
      <c r="E20" s="224"/>
      <c r="F20" s="270"/>
      <c r="G20" s="270"/>
    </row>
    <row r="21" spans="2:9" ht="6.75" customHeight="1" x14ac:dyDescent="0.25">
      <c r="B21" s="270"/>
      <c r="C21" s="270"/>
      <c r="D21" s="270"/>
      <c r="E21" s="224"/>
      <c r="F21" s="270"/>
      <c r="G21" s="270"/>
    </row>
    <row r="22" spans="2:9" ht="33" customHeight="1" x14ac:dyDescent="0.25">
      <c r="B22" s="256" t="s">
        <v>154</v>
      </c>
      <c r="C22" s="257" t="s">
        <v>165</v>
      </c>
      <c r="D22" s="257" t="s">
        <v>166</v>
      </c>
      <c r="E22" s="283" t="s">
        <v>468</v>
      </c>
      <c r="F22" s="270"/>
      <c r="G22" s="270"/>
    </row>
    <row r="23" spans="2:9" ht="24.75" customHeight="1" x14ac:dyDescent="0.2">
      <c r="B23" s="287">
        <v>1</v>
      </c>
      <c r="C23" s="288" t="s">
        <v>658</v>
      </c>
      <c r="D23" s="288" t="s">
        <v>691</v>
      </c>
      <c r="E23" s="293">
        <v>600</v>
      </c>
      <c r="F23" s="270"/>
      <c r="G23" s="270"/>
    </row>
    <row r="24" spans="2:9" x14ac:dyDescent="0.2">
      <c r="B24" s="289">
        <v>2</v>
      </c>
      <c r="C24" s="268" t="s">
        <v>659</v>
      </c>
      <c r="D24" s="268" t="s">
        <v>692</v>
      </c>
      <c r="E24" s="291">
        <v>1200</v>
      </c>
      <c r="F24" s="270"/>
      <c r="G24" s="270"/>
    </row>
    <row r="25" spans="2:9" x14ac:dyDescent="0.2">
      <c r="B25" s="289">
        <f t="shared" ref="B25:B73" si="0">B24+1</f>
        <v>3</v>
      </c>
      <c r="C25" s="268" t="s">
        <v>659</v>
      </c>
      <c r="D25" s="268" t="s">
        <v>497</v>
      </c>
      <c r="E25" s="291">
        <v>1000</v>
      </c>
      <c r="F25" s="270"/>
      <c r="G25" s="270"/>
    </row>
    <row r="26" spans="2:9" x14ac:dyDescent="0.2">
      <c r="B26" s="289">
        <v>3</v>
      </c>
      <c r="C26" s="268" t="s">
        <v>499</v>
      </c>
      <c r="D26" s="268" t="s">
        <v>506</v>
      </c>
      <c r="E26" s="291">
        <v>500</v>
      </c>
      <c r="F26" s="270"/>
      <c r="G26" s="270"/>
    </row>
    <row r="27" spans="2:9" x14ac:dyDescent="0.2">
      <c r="B27" s="289">
        <v>4</v>
      </c>
      <c r="C27" s="268" t="s">
        <v>499</v>
      </c>
      <c r="D27" s="268" t="s">
        <v>500</v>
      </c>
      <c r="E27" s="291">
        <v>500</v>
      </c>
      <c r="F27" s="270"/>
      <c r="G27" s="270"/>
    </row>
    <row r="28" spans="2:9" x14ac:dyDescent="0.2">
      <c r="B28" s="289">
        <f t="shared" si="0"/>
        <v>5</v>
      </c>
      <c r="C28" s="268" t="s">
        <v>499</v>
      </c>
      <c r="D28" s="268" t="s">
        <v>693</v>
      </c>
      <c r="E28" s="291">
        <v>250</v>
      </c>
      <c r="F28" s="270"/>
      <c r="G28" s="270"/>
    </row>
    <row r="29" spans="2:9" x14ac:dyDescent="0.2">
      <c r="B29" s="289">
        <v>5</v>
      </c>
      <c r="C29" s="268" t="s">
        <v>660</v>
      </c>
      <c r="D29" s="268" t="s">
        <v>694</v>
      </c>
      <c r="E29" s="291">
        <v>1000</v>
      </c>
      <c r="F29" s="270"/>
      <c r="G29" s="270"/>
    </row>
    <row r="30" spans="2:9" x14ac:dyDescent="0.2">
      <c r="B30" s="289">
        <v>6</v>
      </c>
      <c r="C30" s="268" t="s">
        <v>661</v>
      </c>
      <c r="D30" s="268" t="s">
        <v>695</v>
      </c>
      <c r="E30" s="291">
        <v>550</v>
      </c>
      <c r="F30" s="270"/>
      <c r="G30" s="270"/>
    </row>
    <row r="31" spans="2:9" x14ac:dyDescent="0.2">
      <c r="B31" s="289">
        <f t="shared" si="0"/>
        <v>7</v>
      </c>
      <c r="C31" s="268" t="s">
        <v>661</v>
      </c>
      <c r="D31" s="268" t="s">
        <v>696</v>
      </c>
      <c r="E31" s="291">
        <v>550</v>
      </c>
      <c r="F31" s="270"/>
      <c r="G31" s="270"/>
      <c r="H31" s="270"/>
      <c r="I31" s="270"/>
    </row>
    <row r="32" spans="2:9" x14ac:dyDescent="0.2">
      <c r="B32" s="289">
        <v>7</v>
      </c>
      <c r="C32" s="268" t="s">
        <v>492</v>
      </c>
      <c r="D32" s="268" t="s">
        <v>697</v>
      </c>
      <c r="E32" s="291">
        <v>800</v>
      </c>
      <c r="F32" s="270"/>
      <c r="G32" s="270"/>
      <c r="H32" s="270"/>
      <c r="I32" s="270"/>
    </row>
    <row r="33" spans="2:9" x14ac:dyDescent="0.2">
      <c r="B33" s="289">
        <v>8</v>
      </c>
      <c r="C33" s="268" t="s">
        <v>662</v>
      </c>
      <c r="D33" s="268" t="s">
        <v>503</v>
      </c>
      <c r="E33" s="291">
        <v>300</v>
      </c>
      <c r="F33" s="270"/>
      <c r="G33" s="270"/>
      <c r="H33" s="270"/>
      <c r="I33" s="270"/>
    </row>
    <row r="34" spans="2:9" x14ac:dyDescent="0.2">
      <c r="B34" s="289">
        <f t="shared" si="0"/>
        <v>9</v>
      </c>
      <c r="C34" s="268" t="s">
        <v>662</v>
      </c>
      <c r="D34" s="268" t="s">
        <v>698</v>
      </c>
      <c r="E34" s="291">
        <v>700</v>
      </c>
    </row>
    <row r="35" spans="2:9" x14ac:dyDescent="0.2">
      <c r="B35" s="289">
        <v>9</v>
      </c>
      <c r="C35" s="268" t="s">
        <v>662</v>
      </c>
      <c r="D35" s="268" t="s">
        <v>699</v>
      </c>
      <c r="E35" s="291">
        <v>1400</v>
      </c>
    </row>
    <row r="36" spans="2:9" x14ac:dyDescent="0.2">
      <c r="B36" s="289">
        <v>10</v>
      </c>
      <c r="C36" s="268" t="s">
        <v>663</v>
      </c>
      <c r="D36" s="268" t="s">
        <v>700</v>
      </c>
      <c r="E36" s="291">
        <v>1200</v>
      </c>
    </row>
    <row r="37" spans="2:9" x14ac:dyDescent="0.2">
      <c r="B37" s="289">
        <f t="shared" si="0"/>
        <v>11</v>
      </c>
      <c r="C37" s="268" t="s">
        <v>664</v>
      </c>
      <c r="D37" s="268" t="s">
        <v>701</v>
      </c>
      <c r="E37" s="291">
        <v>300</v>
      </c>
      <c r="F37" s="284"/>
    </row>
    <row r="38" spans="2:9" x14ac:dyDescent="0.2">
      <c r="B38" s="289">
        <v>11</v>
      </c>
      <c r="C38" s="268" t="s">
        <v>490</v>
      </c>
      <c r="D38" s="268" t="s">
        <v>702</v>
      </c>
      <c r="E38" s="291">
        <v>500</v>
      </c>
    </row>
    <row r="39" spans="2:9" x14ac:dyDescent="0.2">
      <c r="B39" s="289">
        <v>12</v>
      </c>
      <c r="C39" s="268" t="s">
        <v>512</v>
      </c>
      <c r="D39" s="268" t="s">
        <v>703</v>
      </c>
      <c r="E39" s="291">
        <v>500</v>
      </c>
    </row>
    <row r="40" spans="2:9" x14ac:dyDescent="0.2">
      <c r="B40" s="289">
        <f t="shared" si="0"/>
        <v>13</v>
      </c>
      <c r="C40" s="268" t="s">
        <v>512</v>
      </c>
      <c r="D40" s="268" t="s">
        <v>704</v>
      </c>
      <c r="E40" s="291">
        <v>500</v>
      </c>
    </row>
    <row r="41" spans="2:9" x14ac:dyDescent="0.2">
      <c r="B41" s="289">
        <v>13</v>
      </c>
      <c r="C41" s="268" t="s">
        <v>665</v>
      </c>
      <c r="D41" s="268" t="s">
        <v>705</v>
      </c>
      <c r="E41" s="291">
        <v>700</v>
      </c>
    </row>
    <row r="42" spans="2:9" x14ac:dyDescent="0.2">
      <c r="B42" s="289">
        <v>14</v>
      </c>
      <c r="C42" s="268" t="s">
        <v>666</v>
      </c>
      <c r="D42" s="268" t="s">
        <v>706</v>
      </c>
      <c r="E42" s="291">
        <v>100</v>
      </c>
    </row>
    <row r="43" spans="2:9" x14ac:dyDescent="0.2">
      <c r="B43" s="289">
        <f t="shared" si="0"/>
        <v>15</v>
      </c>
      <c r="C43" s="268" t="s">
        <v>666</v>
      </c>
      <c r="D43" s="268" t="s">
        <v>707</v>
      </c>
      <c r="E43" s="291">
        <v>200</v>
      </c>
    </row>
    <row r="44" spans="2:9" x14ac:dyDescent="0.2">
      <c r="B44" s="289">
        <v>15</v>
      </c>
      <c r="C44" s="268" t="s">
        <v>667</v>
      </c>
      <c r="D44" s="268" t="s">
        <v>708</v>
      </c>
      <c r="E44" s="291">
        <v>1100</v>
      </c>
    </row>
    <row r="45" spans="2:9" x14ac:dyDescent="0.2">
      <c r="B45" s="289">
        <v>16</v>
      </c>
      <c r="C45" s="268" t="s">
        <v>668</v>
      </c>
      <c r="D45" s="268" t="s">
        <v>709</v>
      </c>
      <c r="E45" s="291">
        <v>300</v>
      </c>
    </row>
    <row r="46" spans="2:9" x14ac:dyDescent="0.2">
      <c r="B46" s="289">
        <f t="shared" si="0"/>
        <v>17</v>
      </c>
      <c r="C46" s="268" t="s">
        <v>669</v>
      </c>
      <c r="D46" s="268" t="s">
        <v>710</v>
      </c>
      <c r="E46" s="291">
        <v>300</v>
      </c>
    </row>
    <row r="47" spans="2:9" x14ac:dyDescent="0.2">
      <c r="B47" s="289">
        <v>17</v>
      </c>
      <c r="C47" s="268" t="s">
        <v>669</v>
      </c>
      <c r="D47" s="268" t="s">
        <v>501</v>
      </c>
      <c r="E47" s="291">
        <v>300</v>
      </c>
    </row>
    <row r="48" spans="2:9" x14ac:dyDescent="0.2">
      <c r="B48" s="289">
        <v>18</v>
      </c>
      <c r="C48" s="268" t="s">
        <v>670</v>
      </c>
      <c r="D48" s="268" t="s">
        <v>711</v>
      </c>
      <c r="E48" s="291">
        <v>400</v>
      </c>
    </row>
    <row r="49" spans="2:7" x14ac:dyDescent="0.2">
      <c r="B49" s="289">
        <f t="shared" si="0"/>
        <v>19</v>
      </c>
      <c r="C49" s="268" t="s">
        <v>671</v>
      </c>
      <c r="D49" s="268" t="s">
        <v>712</v>
      </c>
      <c r="E49" s="291">
        <v>700</v>
      </c>
    </row>
    <row r="50" spans="2:7" x14ac:dyDescent="0.2">
      <c r="B50" s="289">
        <v>19</v>
      </c>
      <c r="C50" s="268" t="s">
        <v>671</v>
      </c>
      <c r="D50" s="268" t="s">
        <v>713</v>
      </c>
      <c r="E50" s="291">
        <v>700</v>
      </c>
    </row>
    <row r="51" spans="2:7" x14ac:dyDescent="0.2">
      <c r="B51" s="289">
        <v>20</v>
      </c>
      <c r="C51" s="268" t="s">
        <v>672</v>
      </c>
      <c r="D51" s="268" t="s">
        <v>714</v>
      </c>
      <c r="E51" s="291">
        <v>1400</v>
      </c>
    </row>
    <row r="52" spans="2:7" x14ac:dyDescent="0.2">
      <c r="B52" s="289">
        <f t="shared" si="0"/>
        <v>21</v>
      </c>
      <c r="C52" s="268" t="s">
        <v>673</v>
      </c>
      <c r="D52" s="268" t="s">
        <v>715</v>
      </c>
      <c r="E52" s="291">
        <v>400</v>
      </c>
    </row>
    <row r="53" spans="2:7" x14ac:dyDescent="0.2">
      <c r="B53" s="289">
        <v>21</v>
      </c>
      <c r="C53" s="268" t="s">
        <v>674</v>
      </c>
      <c r="D53" s="268" t="s">
        <v>674</v>
      </c>
      <c r="E53" s="291">
        <v>400</v>
      </c>
    </row>
    <row r="54" spans="2:7" x14ac:dyDescent="0.2">
      <c r="B54" s="289">
        <v>22</v>
      </c>
      <c r="C54" s="268" t="s">
        <v>675</v>
      </c>
      <c r="D54" s="268" t="s">
        <v>716</v>
      </c>
      <c r="E54" s="291">
        <v>500</v>
      </c>
    </row>
    <row r="55" spans="2:7" ht="15.75" customHeight="1" x14ac:dyDescent="0.2">
      <c r="B55" s="289">
        <f t="shared" si="0"/>
        <v>23</v>
      </c>
      <c r="C55" s="268" t="s">
        <v>676</v>
      </c>
      <c r="D55" s="268" t="s">
        <v>717</v>
      </c>
      <c r="E55" s="291">
        <v>300</v>
      </c>
    </row>
    <row r="56" spans="2:7" x14ac:dyDescent="0.2">
      <c r="B56" s="289">
        <v>23</v>
      </c>
      <c r="C56" s="268" t="s">
        <v>676</v>
      </c>
      <c r="D56" s="268" t="s">
        <v>718</v>
      </c>
      <c r="E56" s="291">
        <v>500</v>
      </c>
    </row>
    <row r="57" spans="2:7" x14ac:dyDescent="0.2">
      <c r="B57" s="289">
        <v>24</v>
      </c>
      <c r="C57" s="268" t="s">
        <v>495</v>
      </c>
      <c r="D57" s="268" t="s">
        <v>719</v>
      </c>
      <c r="E57" s="291">
        <v>400</v>
      </c>
    </row>
    <row r="58" spans="2:7" x14ac:dyDescent="0.2">
      <c r="B58" s="289">
        <f t="shared" si="0"/>
        <v>25</v>
      </c>
      <c r="C58" s="268" t="s">
        <v>489</v>
      </c>
      <c r="D58" s="268" t="s">
        <v>720</v>
      </c>
      <c r="E58" s="291">
        <v>1000</v>
      </c>
    </row>
    <row r="59" spans="2:7" x14ac:dyDescent="0.2">
      <c r="B59" s="289">
        <v>25</v>
      </c>
      <c r="C59" s="268" t="s">
        <v>489</v>
      </c>
      <c r="D59" s="268" t="s">
        <v>721</v>
      </c>
      <c r="E59" s="291">
        <v>1000</v>
      </c>
    </row>
    <row r="60" spans="2:7" x14ac:dyDescent="0.2">
      <c r="B60" s="289">
        <v>26</v>
      </c>
      <c r="C60" s="268" t="s">
        <v>677</v>
      </c>
      <c r="D60" s="268" t="s">
        <v>722</v>
      </c>
      <c r="E60" s="291">
        <v>300</v>
      </c>
    </row>
    <row r="61" spans="2:7" x14ac:dyDescent="0.2">
      <c r="B61" s="289">
        <f t="shared" si="0"/>
        <v>27</v>
      </c>
      <c r="C61" s="268" t="s">
        <v>678</v>
      </c>
      <c r="D61" s="268" t="s">
        <v>678</v>
      </c>
      <c r="E61" s="291">
        <v>1000</v>
      </c>
    </row>
    <row r="62" spans="2:7" x14ac:dyDescent="0.2">
      <c r="B62" s="289">
        <v>27</v>
      </c>
      <c r="C62" s="268" t="s">
        <v>679</v>
      </c>
      <c r="D62" s="268" t="s">
        <v>723</v>
      </c>
      <c r="E62" s="291">
        <v>875</v>
      </c>
    </row>
    <row r="63" spans="2:7" x14ac:dyDescent="0.2">
      <c r="B63" s="289">
        <v>28</v>
      </c>
      <c r="C63" s="268" t="s">
        <v>680</v>
      </c>
      <c r="D63" s="268" t="s">
        <v>724</v>
      </c>
      <c r="E63" s="291">
        <v>1000</v>
      </c>
    </row>
    <row r="64" spans="2:7" x14ac:dyDescent="0.2">
      <c r="B64" s="289">
        <f t="shared" si="0"/>
        <v>29</v>
      </c>
      <c r="C64" s="268" t="s">
        <v>681</v>
      </c>
      <c r="D64" s="268" t="s">
        <v>725</v>
      </c>
      <c r="E64" s="291">
        <v>450</v>
      </c>
      <c r="G64" s="280"/>
    </row>
    <row r="65" spans="2:5" x14ac:dyDescent="0.2">
      <c r="B65" s="289">
        <v>29</v>
      </c>
      <c r="C65" s="268" t="s">
        <v>682</v>
      </c>
      <c r="D65" s="268" t="s">
        <v>726</v>
      </c>
      <c r="E65" s="291">
        <v>400</v>
      </c>
    </row>
    <row r="66" spans="2:5" x14ac:dyDescent="0.2">
      <c r="B66" s="289">
        <v>30</v>
      </c>
      <c r="C66" s="268" t="s">
        <v>682</v>
      </c>
      <c r="D66" s="268" t="s">
        <v>727</v>
      </c>
      <c r="E66" s="291">
        <v>400</v>
      </c>
    </row>
    <row r="67" spans="2:5" x14ac:dyDescent="0.2">
      <c r="B67" s="289">
        <f t="shared" si="0"/>
        <v>31</v>
      </c>
      <c r="C67" s="268" t="s">
        <v>682</v>
      </c>
      <c r="D67" s="268" t="s">
        <v>728</v>
      </c>
      <c r="E67" s="291">
        <v>800</v>
      </c>
    </row>
    <row r="68" spans="2:5" x14ac:dyDescent="0.2">
      <c r="B68" s="289">
        <v>31</v>
      </c>
      <c r="C68" s="268" t="s">
        <v>496</v>
      </c>
      <c r="D68" s="268" t="s">
        <v>729</v>
      </c>
      <c r="E68" s="291">
        <v>450</v>
      </c>
    </row>
    <row r="69" spans="2:5" x14ac:dyDescent="0.2">
      <c r="B69" s="289">
        <v>32</v>
      </c>
      <c r="C69" s="268" t="s">
        <v>683</v>
      </c>
      <c r="D69" s="268" t="s">
        <v>683</v>
      </c>
      <c r="E69" s="291">
        <v>700</v>
      </c>
    </row>
    <row r="70" spans="2:5" x14ac:dyDescent="0.2">
      <c r="B70" s="289">
        <f t="shared" si="0"/>
        <v>33</v>
      </c>
      <c r="C70" s="268" t="s">
        <v>684</v>
      </c>
      <c r="D70" s="268" t="s">
        <v>730</v>
      </c>
      <c r="E70" s="291">
        <v>500</v>
      </c>
    </row>
    <row r="71" spans="2:5" x14ac:dyDescent="0.2">
      <c r="B71" s="289">
        <v>33</v>
      </c>
      <c r="C71" s="268" t="s">
        <v>638</v>
      </c>
      <c r="D71" s="268" t="s">
        <v>731</v>
      </c>
      <c r="E71" s="291">
        <v>1000</v>
      </c>
    </row>
    <row r="72" spans="2:5" x14ac:dyDescent="0.2">
      <c r="B72" s="289">
        <v>34</v>
      </c>
      <c r="C72" s="268" t="s">
        <v>685</v>
      </c>
      <c r="D72" s="268" t="s">
        <v>732</v>
      </c>
      <c r="E72" s="291">
        <v>400</v>
      </c>
    </row>
    <row r="73" spans="2:5" x14ac:dyDescent="0.2">
      <c r="B73" s="289">
        <f t="shared" si="0"/>
        <v>35</v>
      </c>
      <c r="C73" s="268" t="s">
        <v>502</v>
      </c>
      <c r="D73" s="268" t="s">
        <v>733</v>
      </c>
      <c r="E73" s="291">
        <v>500</v>
      </c>
    </row>
    <row r="74" spans="2:5" x14ac:dyDescent="0.2">
      <c r="B74" s="289">
        <v>35</v>
      </c>
      <c r="C74" s="268" t="s">
        <v>686</v>
      </c>
      <c r="D74" s="268" t="s">
        <v>734</v>
      </c>
      <c r="E74" s="291">
        <v>1500</v>
      </c>
    </row>
    <row r="75" spans="2:5" x14ac:dyDescent="0.2">
      <c r="B75" s="289">
        <v>36</v>
      </c>
      <c r="C75" s="268" t="s">
        <v>687</v>
      </c>
      <c r="D75" s="268" t="s">
        <v>735</v>
      </c>
      <c r="E75" s="291">
        <v>300</v>
      </c>
    </row>
    <row r="76" spans="2:5" x14ac:dyDescent="0.2">
      <c r="B76" s="289">
        <v>37</v>
      </c>
      <c r="C76" s="268" t="s">
        <v>640</v>
      </c>
      <c r="D76" s="268" t="s">
        <v>736</v>
      </c>
      <c r="E76" s="291">
        <v>400</v>
      </c>
    </row>
    <row r="77" spans="2:5" x14ac:dyDescent="0.2">
      <c r="B77" s="289">
        <v>38</v>
      </c>
      <c r="C77" s="268" t="s">
        <v>688</v>
      </c>
      <c r="D77" s="268" t="s">
        <v>494</v>
      </c>
      <c r="E77" s="291">
        <v>850</v>
      </c>
    </row>
    <row r="78" spans="2:5" x14ac:dyDescent="0.2">
      <c r="B78" s="289">
        <v>39</v>
      </c>
      <c r="C78" s="268" t="s">
        <v>491</v>
      </c>
      <c r="D78" s="268" t="s">
        <v>498</v>
      </c>
      <c r="E78" s="291">
        <v>400</v>
      </c>
    </row>
    <row r="79" spans="2:5" x14ac:dyDescent="0.2">
      <c r="B79" s="289">
        <v>40</v>
      </c>
      <c r="C79" s="268" t="s">
        <v>689</v>
      </c>
      <c r="D79" s="268" t="s">
        <v>737</v>
      </c>
      <c r="E79" s="291">
        <v>700</v>
      </c>
    </row>
    <row r="80" spans="2:5" x14ac:dyDescent="0.2">
      <c r="B80" s="289">
        <v>41</v>
      </c>
      <c r="C80" s="268" t="s">
        <v>690</v>
      </c>
      <c r="D80" s="268" t="s">
        <v>738</v>
      </c>
      <c r="E80" s="291">
        <v>1000</v>
      </c>
    </row>
    <row r="81" spans="2:7" x14ac:dyDescent="0.25">
      <c r="B81" s="278"/>
      <c r="C81" s="279" t="s">
        <v>9</v>
      </c>
      <c r="D81" s="278"/>
      <c r="E81" s="292">
        <f>SUM(E23:E80)</f>
        <v>36975</v>
      </c>
      <c r="G81" s="224"/>
    </row>
  </sheetData>
  <mergeCells count="2">
    <mergeCell ref="B3:E3"/>
    <mergeCell ref="B5:C5"/>
  </mergeCells>
  <pageMargins left="0.70866141732283472" right="0.62992125984251968" top="0.19685039370078741" bottom="0.19685039370078741" header="0.51181102362204722" footer="0.51181102362204722"/>
  <pageSetup paperSize="9" scale="80" fitToWidth="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K68"/>
  <sheetViews>
    <sheetView workbookViewId="0">
      <selection activeCell="G23" sqref="G23"/>
    </sheetView>
  </sheetViews>
  <sheetFormatPr defaultRowHeight="15" x14ac:dyDescent="0.25"/>
  <cols>
    <col min="1" max="1" width="9.140625" style="30"/>
    <col min="2" max="2" width="6.5703125" style="30" customWidth="1"/>
    <col min="3" max="3" width="40.28515625" style="30" customWidth="1"/>
    <col min="4" max="4" width="50.7109375" style="30" customWidth="1"/>
    <col min="5" max="5" width="12.7109375" style="249" customWidth="1"/>
    <col min="6" max="8" width="9.140625" style="30"/>
    <col min="9" max="9" width="10.42578125" style="30" bestFit="1" customWidth="1"/>
    <col min="10" max="16384" width="9.140625" style="30"/>
  </cols>
  <sheetData>
    <row r="1" spans="2:11" x14ac:dyDescent="0.25">
      <c r="B1" s="294"/>
      <c r="C1" s="294"/>
      <c r="D1" s="601" t="s">
        <v>167</v>
      </c>
      <c r="E1" s="602"/>
    </row>
    <row r="2" spans="2:11" ht="18.75" x14ac:dyDescent="0.3">
      <c r="B2" s="603" t="s">
        <v>827</v>
      </c>
      <c r="C2" s="603"/>
      <c r="D2" s="603"/>
      <c r="E2" s="602"/>
    </row>
    <row r="3" spans="2:11" x14ac:dyDescent="0.25">
      <c r="B3" s="294"/>
      <c r="C3" s="294"/>
      <c r="D3" s="294"/>
      <c r="E3" s="295"/>
    </row>
    <row r="4" spans="2:11" ht="27" customHeight="1" x14ac:dyDescent="0.25">
      <c r="B4" s="300" t="s">
        <v>154</v>
      </c>
      <c r="C4" s="301" t="s">
        <v>168</v>
      </c>
      <c r="D4" s="301" t="s">
        <v>166</v>
      </c>
      <c r="E4" s="302" t="s">
        <v>468</v>
      </c>
      <c r="F4" s="296"/>
      <c r="G4" s="596"/>
      <c r="H4" s="596"/>
      <c r="I4" s="596"/>
      <c r="J4" s="596"/>
      <c r="K4" s="596"/>
    </row>
    <row r="5" spans="2:11" ht="17.25" customHeight="1" x14ac:dyDescent="0.25">
      <c r="B5" s="303">
        <v>1</v>
      </c>
      <c r="C5" s="288" t="s">
        <v>533</v>
      </c>
      <c r="D5" s="288" t="s">
        <v>525</v>
      </c>
      <c r="E5" s="293">
        <v>1000</v>
      </c>
      <c r="F5" s="296"/>
    </row>
    <row r="6" spans="2:11" x14ac:dyDescent="0.25">
      <c r="B6" s="304">
        <v>2</v>
      </c>
      <c r="C6" s="268" t="s">
        <v>739</v>
      </c>
      <c r="D6" s="268" t="s">
        <v>776</v>
      </c>
      <c r="E6" s="291">
        <v>200</v>
      </c>
    </row>
    <row r="7" spans="2:11" x14ac:dyDescent="0.25">
      <c r="B7" s="304">
        <v>3</v>
      </c>
      <c r="C7" s="268" t="s">
        <v>740</v>
      </c>
      <c r="D7" s="268" t="s">
        <v>777</v>
      </c>
      <c r="E7" s="291">
        <v>300</v>
      </c>
    </row>
    <row r="8" spans="2:11" x14ac:dyDescent="0.25">
      <c r="B8" s="304">
        <v>4</v>
      </c>
      <c r="C8" s="268" t="s">
        <v>741</v>
      </c>
      <c r="D8" s="268" t="s">
        <v>778</v>
      </c>
      <c r="E8" s="291">
        <v>400</v>
      </c>
    </row>
    <row r="9" spans="2:11" ht="15" customHeight="1" x14ac:dyDescent="0.25">
      <c r="B9" s="304">
        <v>5</v>
      </c>
      <c r="C9" s="268" t="s">
        <v>741</v>
      </c>
      <c r="D9" s="268" t="s">
        <v>532</v>
      </c>
      <c r="E9" s="291">
        <v>400</v>
      </c>
    </row>
    <row r="10" spans="2:11" x14ac:dyDescent="0.25">
      <c r="B10" s="304">
        <v>6</v>
      </c>
      <c r="C10" s="268" t="s">
        <v>742</v>
      </c>
      <c r="D10" s="268" t="s">
        <v>522</v>
      </c>
      <c r="E10" s="291">
        <v>1800</v>
      </c>
    </row>
    <row r="11" spans="2:11" x14ac:dyDescent="0.25">
      <c r="B11" s="304">
        <v>7</v>
      </c>
      <c r="C11" s="268" t="s">
        <v>742</v>
      </c>
      <c r="D11" s="268" t="s">
        <v>779</v>
      </c>
      <c r="E11" s="291">
        <v>1800</v>
      </c>
    </row>
    <row r="12" spans="2:11" x14ac:dyDescent="0.25">
      <c r="B12" s="304">
        <v>8</v>
      </c>
      <c r="C12" s="268" t="s">
        <v>743</v>
      </c>
      <c r="D12" s="268" t="s">
        <v>780</v>
      </c>
      <c r="E12" s="291">
        <v>300</v>
      </c>
    </row>
    <row r="13" spans="2:11" x14ac:dyDescent="0.25">
      <c r="B13" s="304">
        <v>9</v>
      </c>
      <c r="C13" s="268" t="s">
        <v>744</v>
      </c>
      <c r="D13" s="268" t="s">
        <v>781</v>
      </c>
      <c r="E13" s="291">
        <v>500</v>
      </c>
    </row>
    <row r="14" spans="2:11" x14ac:dyDescent="0.25">
      <c r="B14" s="304">
        <v>10</v>
      </c>
      <c r="C14" s="268" t="s">
        <v>537</v>
      </c>
      <c r="D14" s="268" t="s">
        <v>530</v>
      </c>
      <c r="E14" s="291">
        <v>1800</v>
      </c>
    </row>
    <row r="15" spans="2:11" x14ac:dyDescent="0.25">
      <c r="B15" s="304">
        <v>11</v>
      </c>
      <c r="C15" s="268" t="s">
        <v>745</v>
      </c>
      <c r="D15" s="268" t="s">
        <v>782</v>
      </c>
      <c r="E15" s="291">
        <v>1000</v>
      </c>
    </row>
    <row r="16" spans="2:11" x14ac:dyDescent="0.25">
      <c r="B16" s="304">
        <v>12</v>
      </c>
      <c r="C16" s="268" t="s">
        <v>746</v>
      </c>
      <c r="D16" s="268" t="s">
        <v>783</v>
      </c>
      <c r="E16" s="291">
        <v>1800</v>
      </c>
    </row>
    <row r="17" spans="2:5" x14ac:dyDescent="0.25">
      <c r="B17" s="304">
        <v>13</v>
      </c>
      <c r="C17" s="268" t="s">
        <v>747</v>
      </c>
      <c r="D17" s="268" t="s">
        <v>784</v>
      </c>
      <c r="E17" s="291">
        <v>300</v>
      </c>
    </row>
    <row r="18" spans="2:5" ht="15" customHeight="1" x14ac:dyDescent="0.25">
      <c r="B18" s="304">
        <v>14</v>
      </c>
      <c r="C18" s="268" t="s">
        <v>748</v>
      </c>
      <c r="D18" s="268" t="s">
        <v>785</v>
      </c>
      <c r="E18" s="291">
        <v>1800</v>
      </c>
    </row>
    <row r="19" spans="2:5" x14ac:dyDescent="0.25">
      <c r="B19" s="304">
        <v>15</v>
      </c>
      <c r="C19" s="268" t="s">
        <v>749</v>
      </c>
      <c r="D19" s="268" t="s">
        <v>786</v>
      </c>
      <c r="E19" s="291">
        <v>2000</v>
      </c>
    </row>
    <row r="20" spans="2:5" x14ac:dyDescent="0.25">
      <c r="B20" s="304">
        <v>16</v>
      </c>
      <c r="C20" s="268" t="s">
        <v>750</v>
      </c>
      <c r="D20" s="268" t="s">
        <v>787</v>
      </c>
      <c r="E20" s="291">
        <v>1000</v>
      </c>
    </row>
    <row r="21" spans="2:5" ht="13.5" customHeight="1" x14ac:dyDescent="0.25">
      <c r="B21" s="304">
        <v>17</v>
      </c>
      <c r="C21" s="268" t="s">
        <v>751</v>
      </c>
      <c r="D21" s="268" t="s">
        <v>788</v>
      </c>
      <c r="E21" s="291">
        <v>500</v>
      </c>
    </row>
    <row r="22" spans="2:5" x14ac:dyDescent="0.25">
      <c r="B22" s="304">
        <v>18</v>
      </c>
      <c r="C22" s="268" t="s">
        <v>752</v>
      </c>
      <c r="D22" s="268" t="s">
        <v>789</v>
      </c>
      <c r="E22" s="291">
        <v>500</v>
      </c>
    </row>
    <row r="23" spans="2:5" ht="13.5" customHeight="1" x14ac:dyDescent="0.25">
      <c r="B23" s="304">
        <v>19</v>
      </c>
      <c r="C23" s="268" t="s">
        <v>753</v>
      </c>
      <c r="D23" s="268" t="s">
        <v>790</v>
      </c>
      <c r="E23" s="291">
        <v>400</v>
      </c>
    </row>
    <row r="24" spans="2:5" x14ac:dyDescent="0.25">
      <c r="B24" s="304">
        <v>20</v>
      </c>
      <c r="C24" s="268" t="s">
        <v>754</v>
      </c>
      <c r="D24" s="268" t="s">
        <v>791</v>
      </c>
      <c r="E24" s="291">
        <v>2000</v>
      </c>
    </row>
    <row r="25" spans="2:5" x14ac:dyDescent="0.25">
      <c r="B25" s="304">
        <v>21</v>
      </c>
      <c r="C25" s="268" t="s">
        <v>755</v>
      </c>
      <c r="D25" s="268" t="s">
        <v>792</v>
      </c>
      <c r="E25" s="291">
        <v>500</v>
      </c>
    </row>
    <row r="26" spans="2:5" x14ac:dyDescent="0.25">
      <c r="B26" s="304">
        <v>22</v>
      </c>
      <c r="C26" s="268" t="s">
        <v>536</v>
      </c>
      <c r="D26" s="268" t="s">
        <v>793</v>
      </c>
      <c r="E26" s="291">
        <v>1000</v>
      </c>
    </row>
    <row r="27" spans="2:5" x14ac:dyDescent="0.25">
      <c r="B27" s="304">
        <v>23</v>
      </c>
      <c r="C27" s="268" t="s">
        <v>756</v>
      </c>
      <c r="D27" s="268" t="s">
        <v>794</v>
      </c>
      <c r="E27" s="291">
        <v>200</v>
      </c>
    </row>
    <row r="28" spans="2:5" ht="15" customHeight="1" x14ac:dyDescent="0.25">
      <c r="B28" s="304">
        <v>24</v>
      </c>
      <c r="C28" s="268" t="s">
        <v>757</v>
      </c>
      <c r="D28" s="268" t="s">
        <v>795</v>
      </c>
      <c r="E28" s="291">
        <v>1800</v>
      </c>
    </row>
    <row r="29" spans="2:5" x14ac:dyDescent="0.25">
      <c r="B29" s="304">
        <v>25</v>
      </c>
      <c r="C29" s="268" t="s">
        <v>758</v>
      </c>
      <c r="D29" s="268" t="s">
        <v>796</v>
      </c>
      <c r="E29" s="291">
        <v>500</v>
      </c>
    </row>
    <row r="30" spans="2:5" ht="15" customHeight="1" x14ac:dyDescent="0.25">
      <c r="B30" s="304">
        <v>26</v>
      </c>
      <c r="C30" s="268" t="s">
        <v>759</v>
      </c>
      <c r="D30" s="268" t="s">
        <v>797</v>
      </c>
      <c r="E30" s="291">
        <v>1000</v>
      </c>
    </row>
    <row r="31" spans="2:5" ht="15.75" customHeight="1" x14ac:dyDescent="0.25">
      <c r="B31" s="304">
        <v>27</v>
      </c>
      <c r="C31" s="268" t="s">
        <v>760</v>
      </c>
      <c r="D31" s="268" t="s">
        <v>798</v>
      </c>
      <c r="E31" s="291">
        <v>400</v>
      </c>
    </row>
    <row r="32" spans="2:5" x14ac:dyDescent="0.25">
      <c r="B32" s="304">
        <v>28</v>
      </c>
      <c r="C32" s="268" t="s">
        <v>756</v>
      </c>
      <c r="D32" s="268" t="s">
        <v>799</v>
      </c>
      <c r="E32" s="291">
        <v>500</v>
      </c>
    </row>
    <row r="33" spans="2:9" x14ac:dyDescent="0.25">
      <c r="B33" s="304">
        <v>29</v>
      </c>
      <c r="C33" s="268" t="s">
        <v>756</v>
      </c>
      <c r="D33" s="268" t="s">
        <v>800</v>
      </c>
      <c r="E33" s="291">
        <v>200</v>
      </c>
    </row>
    <row r="34" spans="2:9" x14ac:dyDescent="0.25">
      <c r="B34" s="304">
        <v>30</v>
      </c>
      <c r="C34" s="268" t="s">
        <v>761</v>
      </c>
      <c r="D34" s="268" t="s">
        <v>801</v>
      </c>
      <c r="E34" s="291">
        <v>400</v>
      </c>
    </row>
    <row r="35" spans="2:9" x14ac:dyDescent="0.25">
      <c r="B35" s="304">
        <v>31</v>
      </c>
      <c r="C35" s="268" t="s">
        <v>762</v>
      </c>
      <c r="D35" s="268" t="s">
        <v>802</v>
      </c>
      <c r="E35" s="291">
        <v>700</v>
      </c>
    </row>
    <row r="36" spans="2:9" x14ac:dyDescent="0.25">
      <c r="B36" s="304">
        <v>32</v>
      </c>
      <c r="C36" s="268" t="s">
        <v>763</v>
      </c>
      <c r="D36" s="268" t="s">
        <v>803</v>
      </c>
      <c r="E36" s="291">
        <v>400</v>
      </c>
    </row>
    <row r="37" spans="2:9" x14ac:dyDescent="0.25">
      <c r="B37" s="304">
        <v>33</v>
      </c>
      <c r="C37" s="268" t="s">
        <v>764</v>
      </c>
      <c r="D37" s="268" t="s">
        <v>804</v>
      </c>
      <c r="E37" s="291">
        <v>400</v>
      </c>
    </row>
    <row r="38" spans="2:9" x14ac:dyDescent="0.25">
      <c r="B38" s="304">
        <v>34</v>
      </c>
      <c r="C38" s="268" t="s">
        <v>529</v>
      </c>
      <c r="D38" s="268" t="s">
        <v>805</v>
      </c>
      <c r="E38" s="291">
        <v>500</v>
      </c>
      <c r="I38" s="297"/>
    </row>
    <row r="39" spans="2:9" x14ac:dyDescent="0.25">
      <c r="B39" s="304">
        <v>35</v>
      </c>
      <c r="C39" s="268" t="s">
        <v>529</v>
      </c>
      <c r="D39" s="268" t="s">
        <v>806</v>
      </c>
      <c r="E39" s="291">
        <v>800</v>
      </c>
    </row>
    <row r="40" spans="2:9" x14ac:dyDescent="0.25">
      <c r="B40" s="304">
        <v>36</v>
      </c>
      <c r="C40" s="268" t="s">
        <v>765</v>
      </c>
      <c r="D40" s="268" t="s">
        <v>538</v>
      </c>
      <c r="E40" s="291">
        <v>200</v>
      </c>
    </row>
    <row r="41" spans="2:9" x14ac:dyDescent="0.25">
      <c r="B41" s="304">
        <v>37</v>
      </c>
      <c r="C41" s="268" t="s">
        <v>766</v>
      </c>
      <c r="D41" s="268" t="s">
        <v>531</v>
      </c>
      <c r="E41" s="291">
        <v>300</v>
      </c>
    </row>
    <row r="42" spans="2:9" x14ac:dyDescent="0.25">
      <c r="B42" s="304">
        <v>38</v>
      </c>
      <c r="C42" s="268" t="s">
        <v>612</v>
      </c>
      <c r="D42" s="268" t="s">
        <v>807</v>
      </c>
      <c r="E42" s="291">
        <v>1000</v>
      </c>
    </row>
    <row r="43" spans="2:9" x14ac:dyDescent="0.25">
      <c r="B43" s="304">
        <v>39</v>
      </c>
      <c r="C43" s="268" t="s">
        <v>612</v>
      </c>
      <c r="D43" s="268" t="s">
        <v>526</v>
      </c>
      <c r="E43" s="291">
        <v>1800</v>
      </c>
      <c r="F43" s="298"/>
    </row>
    <row r="44" spans="2:9" x14ac:dyDescent="0.25">
      <c r="B44" s="304">
        <v>40</v>
      </c>
      <c r="C44" s="268" t="s">
        <v>767</v>
      </c>
      <c r="D44" s="268" t="s">
        <v>808</v>
      </c>
      <c r="E44" s="291">
        <v>700</v>
      </c>
      <c r="F44" s="298"/>
    </row>
    <row r="45" spans="2:9" x14ac:dyDescent="0.25">
      <c r="B45" s="304">
        <v>41</v>
      </c>
      <c r="C45" s="268" t="s">
        <v>825</v>
      </c>
      <c r="D45" s="268" t="s">
        <v>826</v>
      </c>
      <c r="E45" s="291">
        <v>1000</v>
      </c>
      <c r="F45" s="298"/>
    </row>
    <row r="46" spans="2:9" x14ac:dyDescent="0.25">
      <c r="B46" s="304">
        <v>42</v>
      </c>
      <c r="C46" s="268" t="s">
        <v>524</v>
      </c>
      <c r="D46" s="268" t="s">
        <v>809</v>
      </c>
      <c r="E46" s="291">
        <v>500</v>
      </c>
      <c r="F46" s="298"/>
    </row>
    <row r="47" spans="2:9" x14ac:dyDescent="0.25">
      <c r="B47" s="304">
        <v>43</v>
      </c>
      <c r="C47" s="268" t="s">
        <v>768</v>
      </c>
      <c r="D47" s="268" t="s">
        <v>810</v>
      </c>
      <c r="E47" s="291">
        <v>1800</v>
      </c>
      <c r="F47" s="298"/>
    </row>
    <row r="48" spans="2:9" x14ac:dyDescent="0.25">
      <c r="B48" s="304">
        <v>44</v>
      </c>
      <c r="C48" s="268" t="s">
        <v>768</v>
      </c>
      <c r="D48" s="268" t="s">
        <v>811</v>
      </c>
      <c r="E48" s="291">
        <v>200</v>
      </c>
    </row>
    <row r="49" spans="2:5" x14ac:dyDescent="0.25">
      <c r="B49" s="304">
        <v>45</v>
      </c>
      <c r="C49" s="268" t="s">
        <v>768</v>
      </c>
      <c r="D49" s="268" t="s">
        <v>812</v>
      </c>
      <c r="E49" s="291">
        <v>200</v>
      </c>
    </row>
    <row r="50" spans="2:5" x14ac:dyDescent="0.25">
      <c r="B50" s="304">
        <v>46</v>
      </c>
      <c r="C50" s="268" t="s">
        <v>769</v>
      </c>
      <c r="D50" s="268" t="s">
        <v>813</v>
      </c>
      <c r="E50" s="291">
        <v>2000</v>
      </c>
    </row>
    <row r="51" spans="2:5" x14ac:dyDescent="0.25">
      <c r="B51" s="304">
        <v>47</v>
      </c>
      <c r="C51" s="268" t="s">
        <v>770</v>
      </c>
      <c r="D51" s="268" t="s">
        <v>814</v>
      </c>
      <c r="E51" s="291">
        <v>200</v>
      </c>
    </row>
    <row r="52" spans="2:5" x14ac:dyDescent="0.25">
      <c r="B52" s="304">
        <v>48</v>
      </c>
      <c r="C52" s="268" t="s">
        <v>768</v>
      </c>
      <c r="D52" s="268" t="s">
        <v>815</v>
      </c>
      <c r="E52" s="291">
        <v>700</v>
      </c>
    </row>
    <row r="53" spans="2:5" x14ac:dyDescent="0.25">
      <c r="B53" s="304">
        <v>49</v>
      </c>
      <c r="C53" s="268" t="s">
        <v>743</v>
      </c>
      <c r="D53" s="268" t="s">
        <v>816</v>
      </c>
      <c r="E53" s="291">
        <v>250</v>
      </c>
    </row>
    <row r="54" spans="2:5" x14ac:dyDescent="0.25">
      <c r="B54" s="304">
        <v>50</v>
      </c>
      <c r="C54" s="268" t="s">
        <v>528</v>
      </c>
      <c r="D54" s="268" t="s">
        <v>817</v>
      </c>
      <c r="E54" s="291">
        <v>2900</v>
      </c>
    </row>
    <row r="55" spans="2:5" x14ac:dyDescent="0.25">
      <c r="B55" s="304">
        <v>51</v>
      </c>
      <c r="C55" s="268" t="s">
        <v>740</v>
      </c>
      <c r="D55" s="268" t="s">
        <v>818</v>
      </c>
      <c r="E55" s="291">
        <v>400</v>
      </c>
    </row>
    <row r="56" spans="2:5" x14ac:dyDescent="0.25">
      <c r="B56" s="304">
        <v>52</v>
      </c>
      <c r="C56" s="268" t="s">
        <v>771</v>
      </c>
      <c r="D56" s="268" t="s">
        <v>819</v>
      </c>
      <c r="E56" s="291">
        <v>800</v>
      </c>
    </row>
    <row r="57" spans="2:5" x14ac:dyDescent="0.25">
      <c r="B57" s="304">
        <v>53</v>
      </c>
      <c r="C57" s="268" t="s">
        <v>527</v>
      </c>
      <c r="D57" s="268" t="s">
        <v>820</v>
      </c>
      <c r="E57" s="291">
        <v>800</v>
      </c>
    </row>
    <row r="58" spans="2:5" x14ac:dyDescent="0.25">
      <c r="B58" s="304">
        <v>54</v>
      </c>
      <c r="C58" s="268" t="s">
        <v>772</v>
      </c>
      <c r="D58" s="268" t="s">
        <v>806</v>
      </c>
      <c r="E58" s="291">
        <v>700</v>
      </c>
    </row>
    <row r="59" spans="2:5" x14ac:dyDescent="0.25">
      <c r="B59" s="304">
        <v>55</v>
      </c>
      <c r="C59" s="268" t="s">
        <v>748</v>
      </c>
      <c r="D59" s="268" t="s">
        <v>821</v>
      </c>
      <c r="E59" s="291">
        <v>1900</v>
      </c>
    </row>
    <row r="60" spans="2:5" x14ac:dyDescent="0.25">
      <c r="B60" s="304">
        <v>56</v>
      </c>
      <c r="C60" s="268" t="s">
        <v>773</v>
      </c>
      <c r="D60" s="268" t="s">
        <v>822</v>
      </c>
      <c r="E60" s="291">
        <v>1800</v>
      </c>
    </row>
    <row r="61" spans="2:5" x14ac:dyDescent="0.25">
      <c r="B61" s="304">
        <v>57</v>
      </c>
      <c r="C61" s="268" t="s">
        <v>774</v>
      </c>
      <c r="D61" s="268" t="s">
        <v>806</v>
      </c>
      <c r="E61" s="291">
        <v>900</v>
      </c>
    </row>
    <row r="62" spans="2:5" x14ac:dyDescent="0.25">
      <c r="B62" s="304">
        <v>58</v>
      </c>
      <c r="C62" s="268" t="s">
        <v>774</v>
      </c>
      <c r="D62" s="268" t="s">
        <v>823</v>
      </c>
      <c r="E62" s="291">
        <v>750</v>
      </c>
    </row>
    <row r="63" spans="2:5" x14ac:dyDescent="0.25">
      <c r="B63" s="304">
        <v>59</v>
      </c>
      <c r="C63" s="268" t="s">
        <v>534</v>
      </c>
      <c r="D63" s="268" t="s">
        <v>539</v>
      </c>
      <c r="E63" s="291">
        <v>800</v>
      </c>
    </row>
    <row r="64" spans="2:5" x14ac:dyDescent="0.25">
      <c r="B64" s="304">
        <v>60</v>
      </c>
      <c r="C64" s="268" t="s">
        <v>535</v>
      </c>
      <c r="D64" s="268" t="s">
        <v>811</v>
      </c>
      <c r="E64" s="291">
        <v>900</v>
      </c>
    </row>
    <row r="65" spans="2:8" x14ac:dyDescent="0.25">
      <c r="B65" s="304">
        <v>61</v>
      </c>
      <c r="C65" s="268" t="s">
        <v>775</v>
      </c>
      <c r="D65" s="268" t="s">
        <v>824</v>
      </c>
      <c r="E65" s="291">
        <v>500</v>
      </c>
    </row>
    <row r="66" spans="2:8" s="58" customFormat="1" ht="28.5" customHeight="1" x14ac:dyDescent="0.25">
      <c r="B66" s="305"/>
      <c r="C66" s="305" t="s">
        <v>9</v>
      </c>
      <c r="D66" s="306"/>
      <c r="E66" s="306">
        <f>SUM(E5:E65)</f>
        <v>53100</v>
      </c>
      <c r="G66" s="224"/>
      <c r="H66" s="280"/>
    </row>
    <row r="67" spans="2:8" x14ac:dyDescent="0.25">
      <c r="C67" s="299"/>
    </row>
    <row r="68" spans="2:8" x14ac:dyDescent="0.25">
      <c r="C68" s="299"/>
    </row>
  </sheetData>
  <mergeCells count="3">
    <mergeCell ref="G4:K4"/>
    <mergeCell ref="D1:E1"/>
    <mergeCell ref="B2:E2"/>
  </mergeCells>
  <pageMargins left="0.51181102362204722" right="0.19685039370078741" top="0.6692913385826772" bottom="0.6692913385826772" header="0.15748031496062992" footer="0.31496062992125984"/>
  <pageSetup paperSize="9" scale="80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2:G37"/>
  <sheetViews>
    <sheetView workbookViewId="0">
      <selection activeCell="B2" sqref="B2:E38"/>
    </sheetView>
  </sheetViews>
  <sheetFormatPr defaultRowHeight="15" x14ac:dyDescent="0.25"/>
  <cols>
    <col min="1" max="1" width="9.140625" style="30" customWidth="1"/>
    <col min="2" max="2" width="6.28515625" style="30" customWidth="1"/>
    <col min="3" max="3" width="38.7109375" style="30" customWidth="1"/>
    <col min="4" max="4" width="42.140625" style="30" customWidth="1"/>
    <col min="5" max="5" width="12.42578125" style="249" customWidth="1"/>
    <col min="6" max="16384" width="9.140625" style="30"/>
  </cols>
  <sheetData>
    <row r="2" spans="2:5" x14ac:dyDescent="0.25">
      <c r="E2" s="186" t="s">
        <v>169</v>
      </c>
    </row>
    <row r="3" spans="2:5" x14ac:dyDescent="0.25">
      <c r="B3" s="307"/>
    </row>
    <row r="4" spans="2:5" ht="19.5" x14ac:dyDescent="0.3">
      <c r="B4" s="604" t="s">
        <v>828</v>
      </c>
      <c r="C4" s="604"/>
      <c r="D4" s="604"/>
      <c r="E4" s="604"/>
    </row>
    <row r="5" spans="2:5" x14ac:dyDescent="0.25">
      <c r="E5" s="308"/>
    </row>
    <row r="6" spans="2:5" ht="25.5" x14ac:dyDescent="0.25">
      <c r="B6" s="300" t="s">
        <v>154</v>
      </c>
      <c r="C6" s="301" t="s">
        <v>168</v>
      </c>
      <c r="D6" s="301" t="s">
        <v>166</v>
      </c>
      <c r="E6" s="302" t="s">
        <v>468</v>
      </c>
    </row>
    <row r="7" spans="2:5" x14ac:dyDescent="0.25">
      <c r="B7" s="309">
        <v>1</v>
      </c>
      <c r="C7" s="310" t="s">
        <v>643</v>
      </c>
      <c r="D7" s="310" t="s">
        <v>851</v>
      </c>
      <c r="E7" s="316">
        <v>500</v>
      </c>
    </row>
    <row r="8" spans="2:5" x14ac:dyDescent="0.25">
      <c r="B8" s="311">
        <v>2</v>
      </c>
      <c r="C8" s="312" t="s">
        <v>541</v>
      </c>
      <c r="D8" s="312" t="s">
        <v>545</v>
      </c>
      <c r="E8" s="317">
        <v>1100</v>
      </c>
    </row>
    <row r="9" spans="2:5" x14ac:dyDescent="0.25">
      <c r="B9" s="311">
        <v>3</v>
      </c>
      <c r="C9" s="312" t="s">
        <v>829</v>
      </c>
      <c r="D9" s="312" t="s">
        <v>852</v>
      </c>
      <c r="E9" s="317">
        <v>400</v>
      </c>
    </row>
    <row r="10" spans="2:5" x14ac:dyDescent="0.25">
      <c r="B10" s="311">
        <v>4</v>
      </c>
      <c r="C10" s="312" t="s">
        <v>544</v>
      </c>
      <c r="D10" s="312" t="s">
        <v>853</v>
      </c>
      <c r="E10" s="317">
        <v>900</v>
      </c>
    </row>
    <row r="11" spans="2:5" x14ac:dyDescent="0.25">
      <c r="B11" s="311">
        <v>5</v>
      </c>
      <c r="C11" s="312" t="s">
        <v>830</v>
      </c>
      <c r="D11" s="312" t="s">
        <v>854</v>
      </c>
      <c r="E11" s="317">
        <v>1100</v>
      </c>
    </row>
    <row r="12" spans="2:5" x14ac:dyDescent="0.25">
      <c r="B12" s="311">
        <v>6</v>
      </c>
      <c r="C12" s="312" t="s">
        <v>831</v>
      </c>
      <c r="D12" s="312" t="s">
        <v>855</v>
      </c>
      <c r="E12" s="317">
        <v>1674</v>
      </c>
    </row>
    <row r="13" spans="2:5" ht="26.25" x14ac:dyDescent="0.25">
      <c r="B13" s="311">
        <v>7</v>
      </c>
      <c r="C13" s="313" t="s">
        <v>832</v>
      </c>
      <c r="D13" s="312" t="s">
        <v>856</v>
      </c>
      <c r="E13" s="317">
        <v>900</v>
      </c>
    </row>
    <row r="14" spans="2:5" ht="26.25" x14ac:dyDescent="0.25">
      <c r="B14" s="311">
        <v>8</v>
      </c>
      <c r="C14" s="313" t="s">
        <v>833</v>
      </c>
      <c r="D14" s="312" t="s">
        <v>857</v>
      </c>
      <c r="E14" s="317">
        <v>630</v>
      </c>
    </row>
    <row r="15" spans="2:5" ht="26.25" x14ac:dyDescent="0.25">
      <c r="B15" s="311">
        <v>9</v>
      </c>
      <c r="C15" s="313" t="s">
        <v>834</v>
      </c>
      <c r="D15" s="312" t="s">
        <v>858</v>
      </c>
      <c r="E15" s="317">
        <v>1200</v>
      </c>
    </row>
    <row r="16" spans="2:5" x14ac:dyDescent="0.25">
      <c r="B16" s="311">
        <v>10</v>
      </c>
      <c r="C16" s="312" t="s">
        <v>504</v>
      </c>
      <c r="D16" s="312" t="s">
        <v>505</v>
      </c>
      <c r="E16" s="317">
        <f>730-160.57</f>
        <v>569.43000000000006</v>
      </c>
    </row>
    <row r="17" spans="2:5" x14ac:dyDescent="0.25">
      <c r="B17" s="311">
        <v>11</v>
      </c>
      <c r="C17" s="312" t="s">
        <v>835</v>
      </c>
      <c r="D17" s="312" t="s">
        <v>859</v>
      </c>
      <c r="E17" s="317">
        <v>1701</v>
      </c>
    </row>
    <row r="18" spans="2:5" ht="26.25" x14ac:dyDescent="0.25">
      <c r="B18" s="311">
        <v>12</v>
      </c>
      <c r="C18" s="313" t="s">
        <v>836</v>
      </c>
      <c r="D18" s="312" t="s">
        <v>860</v>
      </c>
      <c r="E18" s="317">
        <v>1000</v>
      </c>
    </row>
    <row r="19" spans="2:5" ht="26.25" x14ac:dyDescent="0.25">
      <c r="B19" s="311">
        <v>13</v>
      </c>
      <c r="C19" s="313" t="s">
        <v>837</v>
      </c>
      <c r="D19" s="312" t="s">
        <v>861</v>
      </c>
      <c r="E19" s="317">
        <v>1200</v>
      </c>
    </row>
    <row r="20" spans="2:5" x14ac:dyDescent="0.25">
      <c r="B20" s="311">
        <v>14</v>
      </c>
      <c r="C20" s="312" t="s">
        <v>838</v>
      </c>
      <c r="D20" s="312" t="s">
        <v>862</v>
      </c>
      <c r="E20" s="317">
        <v>981</v>
      </c>
    </row>
    <row r="21" spans="2:5" x14ac:dyDescent="0.25">
      <c r="B21" s="311">
        <v>15</v>
      </c>
      <c r="C21" s="312" t="s">
        <v>543</v>
      </c>
      <c r="D21" s="312" t="s">
        <v>863</v>
      </c>
      <c r="E21" s="317">
        <v>1100</v>
      </c>
    </row>
    <row r="22" spans="2:5" x14ac:dyDescent="0.25">
      <c r="B22" s="311">
        <v>16</v>
      </c>
      <c r="C22" s="312" t="s">
        <v>839</v>
      </c>
      <c r="D22" s="312" t="s">
        <v>864</v>
      </c>
      <c r="E22" s="317">
        <v>2585</v>
      </c>
    </row>
    <row r="23" spans="2:5" ht="26.25" x14ac:dyDescent="0.25">
      <c r="B23" s="311">
        <v>17</v>
      </c>
      <c r="C23" s="313" t="s">
        <v>613</v>
      </c>
      <c r="D23" s="312" t="s">
        <v>865</v>
      </c>
      <c r="E23" s="317">
        <v>1100</v>
      </c>
    </row>
    <row r="24" spans="2:5" ht="26.25" x14ac:dyDescent="0.25">
      <c r="B24" s="311">
        <v>18</v>
      </c>
      <c r="C24" s="313" t="s">
        <v>840</v>
      </c>
      <c r="D24" s="312" t="s">
        <v>866</v>
      </c>
      <c r="E24" s="317">
        <v>1500</v>
      </c>
    </row>
    <row r="25" spans="2:5" x14ac:dyDescent="0.25">
      <c r="B25" s="311">
        <v>19</v>
      </c>
      <c r="C25" s="312" t="s">
        <v>841</v>
      </c>
      <c r="D25" s="312" t="s">
        <v>867</v>
      </c>
      <c r="E25" s="317">
        <v>2000</v>
      </c>
    </row>
    <row r="26" spans="2:5" ht="26.25" x14ac:dyDescent="0.25">
      <c r="B26" s="311">
        <v>20</v>
      </c>
      <c r="C26" s="313" t="s">
        <v>842</v>
      </c>
      <c r="D26" s="312" t="s">
        <v>868</v>
      </c>
      <c r="E26" s="317">
        <v>2286</v>
      </c>
    </row>
    <row r="27" spans="2:5" ht="26.25" x14ac:dyDescent="0.25">
      <c r="B27" s="311">
        <v>21</v>
      </c>
      <c r="C27" s="313" t="s">
        <v>614</v>
      </c>
      <c r="D27" s="312" t="s">
        <v>869</v>
      </c>
      <c r="E27" s="317">
        <v>570</v>
      </c>
    </row>
    <row r="28" spans="2:5" x14ac:dyDescent="0.25">
      <c r="B28" s="311">
        <v>22</v>
      </c>
      <c r="C28" s="312" t="s">
        <v>843</v>
      </c>
      <c r="D28" s="312" t="s">
        <v>870</v>
      </c>
      <c r="E28" s="317">
        <v>621</v>
      </c>
    </row>
    <row r="29" spans="2:5" x14ac:dyDescent="0.25">
      <c r="B29" s="311">
        <v>23</v>
      </c>
      <c r="C29" s="312" t="s">
        <v>844</v>
      </c>
      <c r="D29" s="312" t="s">
        <v>871</v>
      </c>
      <c r="E29" s="317">
        <v>1000</v>
      </c>
    </row>
    <row r="30" spans="2:5" x14ac:dyDescent="0.25">
      <c r="B30" s="311">
        <v>24</v>
      </c>
      <c r="C30" s="312" t="s">
        <v>845</v>
      </c>
      <c r="D30" s="312" t="s">
        <v>872</v>
      </c>
      <c r="E30" s="317">
        <v>234</v>
      </c>
    </row>
    <row r="31" spans="2:5" x14ac:dyDescent="0.25">
      <c r="B31" s="311">
        <v>25</v>
      </c>
      <c r="C31" s="312" t="s">
        <v>846</v>
      </c>
      <c r="D31" s="312" t="s">
        <v>873</v>
      </c>
      <c r="E31" s="317">
        <v>900</v>
      </c>
    </row>
    <row r="32" spans="2:5" x14ac:dyDescent="0.25">
      <c r="B32" s="311">
        <v>26</v>
      </c>
      <c r="C32" s="312" t="s">
        <v>847</v>
      </c>
      <c r="D32" s="312" t="s">
        <v>874</v>
      </c>
      <c r="E32" s="317">
        <v>378</v>
      </c>
    </row>
    <row r="33" spans="2:7" x14ac:dyDescent="0.25">
      <c r="B33" s="311">
        <v>27</v>
      </c>
      <c r="C33" s="312" t="s">
        <v>523</v>
      </c>
      <c r="D33" s="312" t="s">
        <v>875</v>
      </c>
      <c r="E33" s="317">
        <v>1900</v>
      </c>
    </row>
    <row r="34" spans="2:7" x14ac:dyDescent="0.25">
      <c r="B34" s="311">
        <v>28</v>
      </c>
      <c r="C34" s="312" t="s">
        <v>848</v>
      </c>
      <c r="D34" s="312" t="s">
        <v>876</v>
      </c>
      <c r="E34" s="317">
        <v>1700</v>
      </c>
    </row>
    <row r="35" spans="2:7" ht="26.25" x14ac:dyDescent="0.25">
      <c r="B35" s="311">
        <v>29</v>
      </c>
      <c r="C35" s="313" t="s">
        <v>849</v>
      </c>
      <c r="D35" s="312" t="s">
        <v>877</v>
      </c>
      <c r="E35" s="317">
        <v>1000</v>
      </c>
    </row>
    <row r="36" spans="2:7" x14ac:dyDescent="0.25">
      <c r="B36" s="311">
        <v>30</v>
      </c>
      <c r="C36" s="312" t="s">
        <v>850</v>
      </c>
      <c r="D36" s="312" t="s">
        <v>878</v>
      </c>
      <c r="E36" s="317">
        <v>1323</v>
      </c>
    </row>
    <row r="37" spans="2:7" x14ac:dyDescent="0.25">
      <c r="B37" s="314"/>
      <c r="C37" s="314" t="s">
        <v>9</v>
      </c>
      <c r="D37" s="315"/>
      <c r="E37" s="315">
        <f>SUM(E7:E36)</f>
        <v>34052.43</v>
      </c>
      <c r="G37" s="249"/>
    </row>
  </sheetData>
  <mergeCells count="1">
    <mergeCell ref="B4:E4"/>
  </mergeCells>
  <pageMargins left="0.59055118110236227" right="0.35433070866141736" top="1.0236220472440944" bottom="0.98425196850393704" header="0.27559055118110237" footer="0.51181102362204722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E22"/>
  <sheetViews>
    <sheetView workbookViewId="0">
      <selection activeCell="C20" sqref="C20"/>
    </sheetView>
  </sheetViews>
  <sheetFormatPr defaultColWidth="9.140625" defaultRowHeight="15" x14ac:dyDescent="0.25"/>
  <cols>
    <col min="1" max="1" width="9.140625" style="30"/>
    <col min="2" max="2" width="6" style="30" customWidth="1"/>
    <col min="3" max="3" width="38.7109375" style="30" customWidth="1"/>
    <col min="4" max="4" width="37.85546875" style="30" customWidth="1"/>
    <col min="5" max="5" width="13" style="323" customWidth="1"/>
    <col min="6" max="16384" width="9.140625" style="30"/>
  </cols>
  <sheetData>
    <row r="1" spans="2:5" x14ac:dyDescent="0.25">
      <c r="B1" s="318"/>
      <c r="C1" s="318"/>
      <c r="D1" s="318"/>
      <c r="E1" s="319"/>
    </row>
    <row r="2" spans="2:5" x14ac:dyDescent="0.25">
      <c r="B2" s="318"/>
      <c r="C2" s="318"/>
      <c r="D2" s="318"/>
      <c r="E2" s="319"/>
    </row>
    <row r="3" spans="2:5" x14ac:dyDescent="0.25">
      <c r="B3" s="318"/>
      <c r="C3" s="318"/>
      <c r="D3" s="318"/>
      <c r="E3" s="320" t="s">
        <v>170</v>
      </c>
    </row>
    <row r="4" spans="2:5" x14ac:dyDescent="0.25">
      <c r="B4" s="318"/>
      <c r="C4" s="318"/>
      <c r="D4" s="318"/>
      <c r="E4" s="319"/>
    </row>
    <row r="5" spans="2:5" ht="19.5" x14ac:dyDescent="0.25">
      <c r="B5" s="605" t="s">
        <v>879</v>
      </c>
      <c r="C5" s="605"/>
      <c r="D5" s="605"/>
      <c r="E5" s="605"/>
    </row>
    <row r="6" spans="2:5" x14ac:dyDescent="0.25">
      <c r="B6" s="321"/>
      <c r="C6" s="318"/>
      <c r="D6" s="318"/>
      <c r="E6" s="322"/>
    </row>
    <row r="7" spans="2:5" ht="25.5" x14ac:dyDescent="0.25">
      <c r="B7" s="324" t="s">
        <v>154</v>
      </c>
      <c r="C7" s="325" t="s">
        <v>165</v>
      </c>
      <c r="D7" s="325" t="s">
        <v>166</v>
      </c>
      <c r="E7" s="326" t="s">
        <v>468</v>
      </c>
    </row>
    <row r="8" spans="2:5" s="58" customFormat="1" x14ac:dyDescent="0.2">
      <c r="B8" s="327">
        <v>1</v>
      </c>
      <c r="C8" s="286" t="s">
        <v>507</v>
      </c>
      <c r="D8" s="286" t="s">
        <v>891</v>
      </c>
      <c r="E8" s="330">
        <v>1176</v>
      </c>
    </row>
    <row r="9" spans="2:5" s="58" customFormat="1" x14ac:dyDescent="0.2">
      <c r="B9" s="327">
        <v>2</v>
      </c>
      <c r="C9" s="268" t="s">
        <v>880</v>
      </c>
      <c r="D9" s="268" t="s">
        <v>892</v>
      </c>
      <c r="E9" s="331">
        <v>300</v>
      </c>
    </row>
    <row r="10" spans="2:5" s="58" customFormat="1" ht="19.5" customHeight="1" x14ac:dyDescent="0.2">
      <c r="B10" s="327">
        <v>3</v>
      </c>
      <c r="C10" s="268" t="s">
        <v>881</v>
      </c>
      <c r="D10" s="268" t="s">
        <v>893</v>
      </c>
      <c r="E10" s="331">
        <v>1400</v>
      </c>
    </row>
    <row r="11" spans="2:5" s="58" customFormat="1" x14ac:dyDescent="0.2">
      <c r="B11" s="327">
        <v>4</v>
      </c>
      <c r="C11" s="268" t="s">
        <v>644</v>
      </c>
      <c r="D11" s="268" t="s">
        <v>894</v>
      </c>
      <c r="E11" s="331">
        <v>2000</v>
      </c>
    </row>
    <row r="12" spans="2:5" s="58" customFormat="1" ht="21" customHeight="1" x14ac:dyDescent="0.2">
      <c r="B12" s="327">
        <v>5</v>
      </c>
      <c r="C12" s="268" t="s">
        <v>882</v>
      </c>
      <c r="D12" s="268" t="s">
        <v>895</v>
      </c>
      <c r="E12" s="331">
        <v>1573</v>
      </c>
    </row>
    <row r="13" spans="2:5" s="58" customFormat="1" x14ac:dyDescent="0.2">
      <c r="B13" s="327">
        <v>6</v>
      </c>
      <c r="C13" s="268" t="s">
        <v>766</v>
      </c>
      <c r="D13" s="268" t="s">
        <v>896</v>
      </c>
      <c r="E13" s="331">
        <v>615</v>
      </c>
    </row>
    <row r="14" spans="2:5" s="58" customFormat="1" x14ac:dyDescent="0.2">
      <c r="B14" s="327">
        <v>7</v>
      </c>
      <c r="C14" s="268" t="s">
        <v>883</v>
      </c>
      <c r="D14" s="268" t="s">
        <v>897</v>
      </c>
      <c r="E14" s="331">
        <v>630</v>
      </c>
    </row>
    <row r="15" spans="2:5" s="58" customFormat="1" x14ac:dyDescent="0.2">
      <c r="B15" s="327">
        <v>8</v>
      </c>
      <c r="C15" s="268" t="s">
        <v>884</v>
      </c>
      <c r="D15" s="268" t="s">
        <v>898</v>
      </c>
      <c r="E15" s="331">
        <v>900</v>
      </c>
    </row>
    <row r="16" spans="2:5" s="58" customFormat="1" x14ac:dyDescent="0.2">
      <c r="B16" s="327">
        <v>9</v>
      </c>
      <c r="C16" s="268" t="s">
        <v>885</v>
      </c>
      <c r="D16" s="268" t="s">
        <v>899</v>
      </c>
      <c r="E16" s="331">
        <v>637</v>
      </c>
    </row>
    <row r="17" spans="2:5" s="58" customFormat="1" ht="14.25" customHeight="1" x14ac:dyDescent="0.2">
      <c r="B17" s="327">
        <v>10</v>
      </c>
      <c r="C17" s="268" t="s">
        <v>886</v>
      </c>
      <c r="D17" s="268" t="s">
        <v>900</v>
      </c>
      <c r="E17" s="331">
        <v>1000</v>
      </c>
    </row>
    <row r="18" spans="2:5" s="58" customFormat="1" ht="29.25" customHeight="1" x14ac:dyDescent="0.2">
      <c r="B18" s="327">
        <v>11</v>
      </c>
      <c r="C18" s="328" t="s">
        <v>887</v>
      </c>
      <c r="D18" s="268" t="s">
        <v>508</v>
      </c>
      <c r="E18" s="331">
        <v>1372</v>
      </c>
    </row>
    <row r="19" spans="2:5" s="58" customFormat="1" ht="18" customHeight="1" x14ac:dyDescent="0.2">
      <c r="B19" s="327">
        <v>12</v>
      </c>
      <c r="C19" s="268" t="s">
        <v>888</v>
      </c>
      <c r="D19" s="268" t="s">
        <v>901</v>
      </c>
      <c r="E19" s="331">
        <v>700</v>
      </c>
    </row>
    <row r="20" spans="2:5" s="58" customFormat="1" ht="24.75" customHeight="1" x14ac:dyDescent="0.2">
      <c r="B20" s="327">
        <v>13</v>
      </c>
      <c r="C20" s="328" t="s">
        <v>889</v>
      </c>
      <c r="D20" s="268" t="s">
        <v>902</v>
      </c>
      <c r="E20" s="331">
        <v>1053</v>
      </c>
    </row>
    <row r="21" spans="2:5" s="58" customFormat="1" x14ac:dyDescent="0.2">
      <c r="B21" s="327">
        <v>14</v>
      </c>
      <c r="C21" s="268" t="s">
        <v>890</v>
      </c>
      <c r="D21" s="268" t="s">
        <v>903</v>
      </c>
      <c r="E21" s="331">
        <v>1160</v>
      </c>
    </row>
    <row r="22" spans="2:5" ht="27" customHeight="1" x14ac:dyDescent="0.25">
      <c r="B22" s="329"/>
      <c r="C22" s="606" t="s">
        <v>9</v>
      </c>
      <c r="D22" s="606"/>
      <c r="E22" s="332">
        <f>SUM(E8:E21)</f>
        <v>14516</v>
      </c>
    </row>
  </sheetData>
  <mergeCells count="2">
    <mergeCell ref="B5:E5"/>
    <mergeCell ref="C22:D22"/>
  </mergeCells>
  <phoneticPr fontId="22" type="noConversion"/>
  <pageMargins left="0.78740157480314965" right="0.31496062992125984" top="0.74803149606299213" bottom="0.74803149606299213" header="0.31496062992125984" footer="0.31496062992125984"/>
  <pageSetup paperSize="9" scale="95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G28"/>
  <sheetViews>
    <sheetView workbookViewId="0">
      <selection activeCell="F22" sqref="F22"/>
    </sheetView>
  </sheetViews>
  <sheetFormatPr defaultRowHeight="15" x14ac:dyDescent="0.25"/>
  <cols>
    <col min="1" max="1" width="9.140625" style="30" customWidth="1"/>
    <col min="2" max="2" width="6" style="30" customWidth="1"/>
    <col min="3" max="3" width="33.7109375" style="30" customWidth="1"/>
    <col min="4" max="4" width="41.28515625" style="30" customWidth="1"/>
    <col min="5" max="5" width="11.7109375" style="323" customWidth="1"/>
    <col min="6" max="16384" width="9.140625" style="30"/>
  </cols>
  <sheetData>
    <row r="1" spans="2:7" x14ac:dyDescent="0.25">
      <c r="B1" s="318"/>
      <c r="C1" s="318"/>
      <c r="D1" s="318"/>
      <c r="E1" s="319"/>
    </row>
    <row r="2" spans="2:7" x14ac:dyDescent="0.25">
      <c r="B2" s="318"/>
      <c r="C2" s="318"/>
      <c r="D2" s="318"/>
      <c r="E2" s="319"/>
    </row>
    <row r="3" spans="2:7" x14ac:dyDescent="0.25">
      <c r="B3" s="318"/>
      <c r="C3" s="318"/>
      <c r="D3" s="318"/>
      <c r="E3" s="320" t="s">
        <v>172</v>
      </c>
    </row>
    <row r="4" spans="2:7" x14ac:dyDescent="0.25">
      <c r="B4" s="318"/>
      <c r="C4" s="318"/>
      <c r="D4" s="318"/>
      <c r="E4" s="319"/>
    </row>
    <row r="5" spans="2:7" ht="19.5" x14ac:dyDescent="0.25">
      <c r="B5" s="605" t="s">
        <v>914</v>
      </c>
      <c r="C5" s="605"/>
      <c r="D5" s="605"/>
      <c r="E5" s="605"/>
    </row>
    <row r="6" spans="2:7" x14ac:dyDescent="0.25">
      <c r="B6" s="321"/>
      <c r="C6" s="318"/>
      <c r="D6" s="318"/>
      <c r="E6" s="322"/>
    </row>
    <row r="7" spans="2:7" ht="25.5" x14ac:dyDescent="0.25">
      <c r="B7" s="324" t="s">
        <v>154</v>
      </c>
      <c r="C7" s="325" t="s">
        <v>171</v>
      </c>
      <c r="D7" s="325" t="s">
        <v>166</v>
      </c>
      <c r="E7" s="326" t="s">
        <v>468</v>
      </c>
    </row>
    <row r="8" spans="2:7" x14ac:dyDescent="0.25">
      <c r="B8" s="341">
        <v>1</v>
      </c>
      <c r="C8" s="286" t="s">
        <v>540</v>
      </c>
      <c r="D8" s="342" t="s">
        <v>908</v>
      </c>
      <c r="E8" s="290">
        <v>955</v>
      </c>
    </row>
    <row r="9" spans="2:7" s="58" customFormat="1" x14ac:dyDescent="0.2">
      <c r="B9" s="341">
        <v>2</v>
      </c>
      <c r="C9" s="268" t="s">
        <v>904</v>
      </c>
      <c r="D9" s="343" t="s">
        <v>909</v>
      </c>
      <c r="E9" s="291">
        <v>650</v>
      </c>
    </row>
    <row r="10" spans="2:7" s="58" customFormat="1" x14ac:dyDescent="0.2">
      <c r="B10" s="341">
        <v>3</v>
      </c>
      <c r="C10" s="268" t="s">
        <v>905</v>
      </c>
      <c r="D10" s="343" t="s">
        <v>910</v>
      </c>
      <c r="E10" s="291">
        <v>924</v>
      </c>
    </row>
    <row r="11" spans="2:7" s="58" customFormat="1" x14ac:dyDescent="0.2">
      <c r="B11" s="341">
        <v>4</v>
      </c>
      <c r="C11" s="268" t="s">
        <v>542</v>
      </c>
      <c r="D11" s="343" t="s">
        <v>911</v>
      </c>
      <c r="E11" s="291">
        <v>840</v>
      </c>
    </row>
    <row r="12" spans="2:7" ht="18.75" customHeight="1" x14ac:dyDescent="0.25">
      <c r="B12" s="341">
        <v>5</v>
      </c>
      <c r="C12" s="268" t="s">
        <v>906</v>
      </c>
      <c r="D12" s="343" t="s">
        <v>912</v>
      </c>
      <c r="E12" s="291">
        <v>1404</v>
      </c>
    </row>
    <row r="13" spans="2:7" ht="18.75" customHeight="1" x14ac:dyDescent="0.25">
      <c r="B13" s="341">
        <v>6</v>
      </c>
      <c r="C13" s="268" t="s">
        <v>907</v>
      </c>
      <c r="D13" s="343" t="s">
        <v>913</v>
      </c>
      <c r="E13" s="291">
        <v>2500</v>
      </c>
    </row>
    <row r="14" spans="2:7" x14ac:dyDescent="0.25">
      <c r="B14" s="329"/>
      <c r="C14" s="606" t="s">
        <v>9</v>
      </c>
      <c r="D14" s="606"/>
      <c r="E14" s="332">
        <f>SUM(E8:E13)</f>
        <v>7273</v>
      </c>
      <c r="G14" s="134"/>
    </row>
    <row r="15" spans="2:7" x14ac:dyDescent="0.25">
      <c r="B15" s="333"/>
      <c r="C15" s="333"/>
      <c r="D15" s="333"/>
      <c r="E15" s="334"/>
    </row>
    <row r="16" spans="2:7" x14ac:dyDescent="0.25">
      <c r="B16" s="318"/>
      <c r="C16" s="335"/>
      <c r="D16" s="335"/>
      <c r="E16" s="336"/>
    </row>
    <row r="17" spans="2:5" x14ac:dyDescent="0.25">
      <c r="B17" s="337"/>
      <c r="C17" s="337"/>
      <c r="D17" s="337"/>
      <c r="E17" s="338"/>
    </row>
    <row r="18" spans="2:5" x14ac:dyDescent="0.25">
      <c r="B18" s="318"/>
      <c r="C18" s="337"/>
      <c r="D18" s="337"/>
      <c r="E18" s="338"/>
    </row>
    <row r="19" spans="2:5" x14ac:dyDescent="0.25">
      <c r="B19" s="339"/>
      <c r="C19" s="339"/>
      <c r="D19" s="339"/>
      <c r="E19" s="340"/>
    </row>
    <row r="20" spans="2:5" x14ac:dyDescent="0.25">
      <c r="B20" s="339"/>
      <c r="C20" s="339"/>
      <c r="D20" s="339"/>
      <c r="E20" s="340"/>
    </row>
    <row r="21" spans="2:5" x14ac:dyDescent="0.25">
      <c r="B21" s="339"/>
      <c r="C21" s="339"/>
      <c r="D21" s="339"/>
      <c r="E21" s="340"/>
    </row>
    <row r="22" spans="2:5" x14ac:dyDescent="0.25">
      <c r="B22" s="339"/>
      <c r="C22" s="339"/>
      <c r="D22" s="339"/>
      <c r="E22" s="340"/>
    </row>
    <row r="23" spans="2:5" x14ac:dyDescent="0.25">
      <c r="B23" s="339"/>
      <c r="C23" s="339"/>
      <c r="D23" s="339"/>
      <c r="E23" s="340"/>
    </row>
    <row r="24" spans="2:5" x14ac:dyDescent="0.25">
      <c r="B24" s="339"/>
      <c r="C24" s="339"/>
      <c r="D24" s="339"/>
      <c r="E24" s="340"/>
    </row>
    <row r="25" spans="2:5" x14ac:dyDescent="0.25">
      <c r="B25" s="339"/>
      <c r="C25" s="339"/>
      <c r="D25" s="339"/>
      <c r="E25" s="340"/>
    </row>
    <row r="26" spans="2:5" x14ac:dyDescent="0.25">
      <c r="B26" s="339"/>
      <c r="C26" s="339"/>
      <c r="D26" s="339"/>
      <c r="E26" s="340"/>
    </row>
    <row r="27" spans="2:5" x14ac:dyDescent="0.25">
      <c r="B27" s="339"/>
      <c r="C27" s="339"/>
      <c r="D27" s="339"/>
      <c r="E27" s="340"/>
    </row>
    <row r="28" spans="2:5" x14ac:dyDescent="0.25">
      <c r="B28" s="339"/>
      <c r="C28" s="339"/>
      <c r="D28" s="339"/>
      <c r="E28" s="340"/>
    </row>
  </sheetData>
  <mergeCells count="2">
    <mergeCell ref="B5:E5"/>
    <mergeCell ref="C14:D14"/>
  </mergeCells>
  <pageMargins left="0.39370078740157483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O25"/>
  <sheetViews>
    <sheetView workbookViewId="0">
      <selection activeCell="C37" sqref="C36:C37"/>
    </sheetView>
  </sheetViews>
  <sheetFormatPr defaultRowHeight="15" x14ac:dyDescent="0.25"/>
  <cols>
    <col min="1" max="1" width="3.5703125" style="30" customWidth="1"/>
    <col min="2" max="2" width="42.85546875" style="30" customWidth="1"/>
    <col min="3" max="3" width="14.5703125" style="30" customWidth="1"/>
    <col min="4" max="4" width="13.28515625" style="30" customWidth="1"/>
    <col min="5" max="5" width="13.140625" style="30" customWidth="1"/>
    <col min="6" max="6" width="9.140625" style="30" customWidth="1"/>
    <col min="7" max="16384" width="9.140625" style="30"/>
  </cols>
  <sheetData>
    <row r="1" spans="2:15" x14ac:dyDescent="0.25">
      <c r="E1" s="186" t="s">
        <v>173</v>
      </c>
    </row>
    <row r="2" spans="2:15" x14ac:dyDescent="0.25">
      <c r="B2" s="52"/>
      <c r="C2" s="175"/>
      <c r="D2" s="175"/>
      <c r="F2" s="175"/>
      <c r="G2" s="175"/>
    </row>
    <row r="3" spans="2:15" ht="18.75" x14ac:dyDescent="0.3">
      <c r="B3" s="567" t="s">
        <v>620</v>
      </c>
      <c r="C3" s="567"/>
      <c r="D3" s="567"/>
      <c r="E3" s="567"/>
      <c r="F3" s="175"/>
      <c r="G3" s="175"/>
    </row>
    <row r="4" spans="2:15" x14ac:dyDescent="0.25">
      <c r="B4" s="52"/>
      <c r="C4" s="175"/>
      <c r="D4" s="175"/>
      <c r="E4" s="175"/>
      <c r="F4" s="175"/>
      <c r="G4" s="175"/>
    </row>
    <row r="5" spans="2:15" x14ac:dyDescent="0.25">
      <c r="B5" s="584" t="s">
        <v>21</v>
      </c>
      <c r="C5" s="608" t="s">
        <v>619</v>
      </c>
      <c r="D5" s="608" t="s">
        <v>514</v>
      </c>
      <c r="E5" s="345" t="s">
        <v>174</v>
      </c>
      <c r="F5" s="175"/>
      <c r="G5" s="52"/>
    </row>
    <row r="6" spans="2:15" x14ac:dyDescent="0.25">
      <c r="B6" s="607"/>
      <c r="C6" s="609"/>
      <c r="D6" s="609"/>
      <c r="E6" s="346" t="s">
        <v>175</v>
      </c>
      <c r="F6" s="175"/>
      <c r="G6" s="52"/>
    </row>
    <row r="7" spans="2:15" ht="13.5" customHeight="1" x14ac:dyDescent="0.25">
      <c r="B7" s="347" t="s">
        <v>176</v>
      </c>
      <c r="C7" s="348">
        <v>1187382.71</v>
      </c>
      <c r="D7" s="348">
        <v>1210449.8400000001</v>
      </c>
      <c r="E7" s="39">
        <f t="shared" ref="E7:E22" si="0">C7-D7</f>
        <v>-23067.130000000121</v>
      </c>
      <c r="F7" s="175"/>
      <c r="G7" s="52"/>
    </row>
    <row r="8" spans="2:15" ht="14.25" customHeight="1" x14ac:dyDescent="0.25">
      <c r="B8" s="347" t="s">
        <v>177</v>
      </c>
      <c r="C8" s="348">
        <v>22836.2</v>
      </c>
      <c r="D8" s="348">
        <v>30663.200000000001</v>
      </c>
      <c r="E8" s="39">
        <f t="shared" si="0"/>
        <v>-7827</v>
      </c>
      <c r="F8" s="175"/>
      <c r="G8" s="52"/>
    </row>
    <row r="9" spans="2:15" ht="17.25" customHeight="1" x14ac:dyDescent="0.25">
      <c r="B9" s="349" t="s">
        <v>178</v>
      </c>
      <c r="C9" s="191">
        <v>39.51</v>
      </c>
      <c r="D9" s="191">
        <v>39.51</v>
      </c>
      <c r="E9" s="118">
        <f t="shared" si="0"/>
        <v>0</v>
      </c>
      <c r="F9" s="175"/>
      <c r="G9" s="52"/>
    </row>
    <row r="10" spans="2:15" ht="12.75" customHeight="1" x14ac:dyDescent="0.25">
      <c r="B10" s="347" t="s">
        <v>179</v>
      </c>
      <c r="C10" s="348"/>
      <c r="D10" s="348">
        <v>242.31</v>
      </c>
      <c r="E10" s="39">
        <f t="shared" si="0"/>
        <v>-242.31</v>
      </c>
      <c r="F10" s="175"/>
      <c r="G10" s="52"/>
      <c r="O10" s="52"/>
    </row>
    <row r="11" spans="2:15" x14ac:dyDescent="0.25">
      <c r="B11" s="347" t="s">
        <v>180</v>
      </c>
      <c r="C11" s="348">
        <v>4438.08</v>
      </c>
      <c r="D11" s="348">
        <v>8019.66</v>
      </c>
      <c r="E11" s="39">
        <f t="shared" si="0"/>
        <v>-3581.58</v>
      </c>
      <c r="F11" s="175"/>
      <c r="G11" s="52"/>
    </row>
    <row r="12" spans="2:15" x14ac:dyDescent="0.25">
      <c r="B12" s="347" t="s">
        <v>181</v>
      </c>
      <c r="C12" s="348">
        <v>23512.1</v>
      </c>
      <c r="D12" s="348">
        <v>24922.6</v>
      </c>
      <c r="E12" s="39">
        <f t="shared" si="0"/>
        <v>-1410.5</v>
      </c>
      <c r="F12" s="175"/>
      <c r="G12" s="52"/>
    </row>
    <row r="13" spans="2:15" ht="15" customHeight="1" x14ac:dyDescent="0.25">
      <c r="B13" s="347" t="s">
        <v>182</v>
      </c>
      <c r="C13" s="348">
        <v>1790660.86</v>
      </c>
      <c r="D13" s="348">
        <v>1812061.12</v>
      </c>
      <c r="E13" s="39">
        <f t="shared" si="0"/>
        <v>-21400.260000000009</v>
      </c>
      <c r="F13" s="175"/>
      <c r="G13" s="52"/>
    </row>
    <row r="14" spans="2:15" ht="14.25" customHeight="1" x14ac:dyDescent="0.25">
      <c r="B14" s="347" t="s">
        <v>183</v>
      </c>
      <c r="C14" s="348">
        <v>548021.81999999995</v>
      </c>
      <c r="D14" s="348">
        <v>565927.78</v>
      </c>
      <c r="E14" s="39">
        <f t="shared" si="0"/>
        <v>-17905.960000000079</v>
      </c>
      <c r="F14" s="175"/>
      <c r="G14" s="52"/>
    </row>
    <row r="15" spans="2:15" x14ac:dyDescent="0.25">
      <c r="B15" s="349" t="s">
        <v>184</v>
      </c>
      <c r="C15" s="191">
        <v>44685.21</v>
      </c>
      <c r="D15" s="191">
        <v>53482.46</v>
      </c>
      <c r="E15" s="118">
        <f t="shared" si="0"/>
        <v>-8797.25</v>
      </c>
      <c r="F15" s="175"/>
      <c r="G15" s="52"/>
    </row>
    <row r="16" spans="2:15" ht="13.5" customHeight="1" x14ac:dyDescent="0.25">
      <c r="B16" s="347" t="s">
        <v>185</v>
      </c>
      <c r="C16" s="348">
        <v>50798.68</v>
      </c>
      <c r="D16" s="348">
        <v>55802.8</v>
      </c>
      <c r="E16" s="39">
        <f t="shared" si="0"/>
        <v>-5004.1200000000026</v>
      </c>
      <c r="F16" s="175"/>
      <c r="G16" s="52"/>
    </row>
    <row r="17" spans="2:7" ht="15" customHeight="1" x14ac:dyDescent="0.25">
      <c r="B17" s="347" t="s">
        <v>186</v>
      </c>
      <c r="C17" s="348">
        <v>325.79000000000002</v>
      </c>
      <c r="D17" s="348">
        <v>395.79</v>
      </c>
      <c r="E17" s="39">
        <f t="shared" si="0"/>
        <v>-70</v>
      </c>
      <c r="F17" s="175"/>
      <c r="G17" s="52"/>
    </row>
    <row r="18" spans="2:7" ht="14.25" customHeight="1" x14ac:dyDescent="0.25">
      <c r="B18" s="347" t="s">
        <v>187</v>
      </c>
      <c r="C18" s="348">
        <v>22810.37</v>
      </c>
      <c r="D18" s="348">
        <v>42938.48</v>
      </c>
      <c r="E18" s="39">
        <f t="shared" si="0"/>
        <v>-20128.110000000004</v>
      </c>
      <c r="F18" s="175"/>
      <c r="G18" s="52"/>
    </row>
    <row r="19" spans="2:7" ht="14.25" customHeight="1" x14ac:dyDescent="0.25">
      <c r="B19" s="347" t="s">
        <v>188</v>
      </c>
      <c r="C19" s="348">
        <v>7609.14</v>
      </c>
      <c r="D19" s="348">
        <v>6138.63</v>
      </c>
      <c r="E19" s="39">
        <f t="shared" si="0"/>
        <v>1470.5100000000002</v>
      </c>
      <c r="F19" s="175"/>
      <c r="G19" s="52"/>
    </row>
    <row r="20" spans="2:7" ht="14.25" customHeight="1" x14ac:dyDescent="0.25">
      <c r="B20" s="347" t="s">
        <v>189</v>
      </c>
      <c r="C20" s="348">
        <v>0</v>
      </c>
      <c r="D20" s="348">
        <v>0</v>
      </c>
      <c r="E20" s="39">
        <f t="shared" si="0"/>
        <v>0</v>
      </c>
      <c r="F20" s="175"/>
      <c r="G20" s="52"/>
    </row>
    <row r="21" spans="2:7" ht="15" customHeight="1" x14ac:dyDescent="0.25">
      <c r="B21" s="347" t="s">
        <v>190</v>
      </c>
      <c r="C21" s="348">
        <v>469192.38</v>
      </c>
      <c r="D21" s="348">
        <v>192168.69</v>
      </c>
      <c r="E21" s="39">
        <f t="shared" si="0"/>
        <v>277023.69</v>
      </c>
      <c r="F21" s="175"/>
      <c r="G21" s="52"/>
    </row>
    <row r="22" spans="2:7" s="58" customFormat="1" ht="27.75" customHeight="1" x14ac:dyDescent="0.25">
      <c r="B22" s="350" t="s">
        <v>97</v>
      </c>
      <c r="C22" s="351">
        <f>SUM(C7:C21)</f>
        <v>4172312.85</v>
      </c>
      <c r="D22" s="120">
        <f>SUM(D7:D21)</f>
        <v>4003252.87</v>
      </c>
      <c r="E22" s="120">
        <f t="shared" si="0"/>
        <v>169059.97999999998</v>
      </c>
      <c r="F22" s="344"/>
      <c r="G22" s="93"/>
    </row>
    <row r="24" spans="2:7" ht="33" customHeight="1" x14ac:dyDescent="0.25">
      <c r="B24" s="596"/>
      <c r="C24" s="596"/>
      <c r="D24" s="596"/>
      <c r="E24" s="596"/>
      <c r="F24" s="175"/>
      <c r="G24" s="175"/>
    </row>
    <row r="25" spans="2:7" x14ac:dyDescent="0.25">
      <c r="B25" s="52"/>
      <c r="C25" s="175"/>
      <c r="D25" s="175"/>
      <c r="E25" s="175"/>
      <c r="F25" s="175"/>
      <c r="G25" s="52"/>
    </row>
  </sheetData>
  <mergeCells count="5">
    <mergeCell ref="B3:E3"/>
    <mergeCell ref="B5:B6"/>
    <mergeCell ref="C5:C6"/>
    <mergeCell ref="D5:D6"/>
    <mergeCell ref="B24:E2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W51"/>
  <sheetViews>
    <sheetView workbookViewId="0">
      <selection activeCell="J1" sqref="J1"/>
    </sheetView>
  </sheetViews>
  <sheetFormatPr defaultRowHeight="12.75" x14ac:dyDescent="0.2"/>
  <cols>
    <col min="1" max="1" width="6.140625" style="17" customWidth="1"/>
    <col min="2" max="2" width="21.7109375" style="16" customWidth="1"/>
    <col min="3" max="3" width="15.5703125" style="16" customWidth="1"/>
    <col min="4" max="4" width="13.7109375" style="17" customWidth="1"/>
    <col min="5" max="5" width="14.140625" style="17" customWidth="1"/>
    <col min="6" max="6" width="22.85546875" style="18" customWidth="1"/>
    <col min="7" max="7" width="13" style="18" customWidth="1"/>
    <col min="8" max="8" width="15.140625" style="18" customWidth="1"/>
    <col min="9" max="9" width="10.28515625" style="18" customWidth="1"/>
    <col min="10" max="10" width="13.85546875" style="18" customWidth="1"/>
    <col min="11" max="11" width="11.5703125" style="26" customWidth="1"/>
    <col min="12" max="12" width="18.140625" style="16" customWidth="1"/>
    <col min="13" max="13" width="5" style="16" customWidth="1"/>
    <col min="14" max="18" width="14.28515625" style="18" customWidth="1"/>
    <col min="19" max="19" width="35.140625" style="16" customWidth="1"/>
    <col min="20" max="20" width="20.7109375" style="18" customWidth="1"/>
    <col min="21" max="22" width="9.140625" style="18"/>
    <col min="23" max="23" width="51.7109375" style="18" customWidth="1"/>
    <col min="24" max="24" width="9.42578125" style="16" customWidth="1"/>
    <col min="25" max="252" width="9.140625" style="16"/>
    <col min="253" max="253" width="11.7109375" style="16" customWidth="1"/>
    <col min="254" max="254" width="16.7109375" style="16" customWidth="1"/>
    <col min="255" max="255" width="14.42578125" style="16" customWidth="1"/>
    <col min="256" max="256" width="13.140625" style="16" customWidth="1"/>
    <col min="257" max="257" width="13.28515625" style="16" customWidth="1"/>
    <col min="258" max="258" width="11.85546875" style="16" customWidth="1"/>
    <col min="259" max="259" width="16" style="16" customWidth="1"/>
    <col min="260" max="260" width="12" style="16" customWidth="1"/>
    <col min="261" max="261" width="11.5703125" style="16" customWidth="1"/>
    <col min="262" max="262" width="11.7109375" style="16" customWidth="1"/>
    <col min="263" max="263" width="17.5703125" style="16" customWidth="1"/>
    <col min="264" max="264" width="6.42578125" style="16" customWidth="1"/>
    <col min="265" max="265" width="29.28515625" style="16" customWidth="1"/>
    <col min="266" max="266" width="18.85546875" style="16" customWidth="1"/>
    <col min="267" max="508" width="9.140625" style="16"/>
    <col min="509" max="509" width="11.7109375" style="16" customWidth="1"/>
    <col min="510" max="510" width="16.7109375" style="16" customWidth="1"/>
    <col min="511" max="511" width="14.42578125" style="16" customWidth="1"/>
    <col min="512" max="512" width="13.140625" style="16" customWidth="1"/>
    <col min="513" max="513" width="13.28515625" style="16" customWidth="1"/>
    <col min="514" max="514" width="11.85546875" style="16" customWidth="1"/>
    <col min="515" max="515" width="16" style="16" customWidth="1"/>
    <col min="516" max="516" width="12" style="16" customWidth="1"/>
    <col min="517" max="517" width="11.5703125" style="16" customWidth="1"/>
    <col min="518" max="518" width="11.7109375" style="16" customWidth="1"/>
    <col min="519" max="519" width="17.5703125" style="16" customWidth="1"/>
    <col min="520" max="520" width="6.42578125" style="16" customWidth="1"/>
    <col min="521" max="521" width="29.28515625" style="16" customWidth="1"/>
    <col min="522" max="522" width="18.85546875" style="16" customWidth="1"/>
    <col min="523" max="764" width="9.140625" style="16"/>
    <col min="765" max="765" width="11.7109375" style="16" customWidth="1"/>
    <col min="766" max="766" width="16.7109375" style="16" customWidth="1"/>
    <col min="767" max="767" width="14.42578125" style="16" customWidth="1"/>
    <col min="768" max="768" width="13.140625" style="16" customWidth="1"/>
    <col min="769" max="769" width="13.28515625" style="16" customWidth="1"/>
    <col min="770" max="770" width="11.85546875" style="16" customWidth="1"/>
    <col min="771" max="771" width="16" style="16" customWidth="1"/>
    <col min="772" max="772" width="12" style="16" customWidth="1"/>
    <col min="773" max="773" width="11.5703125" style="16" customWidth="1"/>
    <col min="774" max="774" width="11.7109375" style="16" customWidth="1"/>
    <col min="775" max="775" width="17.5703125" style="16" customWidth="1"/>
    <col min="776" max="776" width="6.42578125" style="16" customWidth="1"/>
    <col min="777" max="777" width="29.28515625" style="16" customWidth="1"/>
    <col min="778" max="778" width="18.85546875" style="16" customWidth="1"/>
    <col min="779" max="1020" width="9.140625" style="16"/>
    <col min="1021" max="1021" width="11.7109375" style="16" customWidth="1"/>
    <col min="1022" max="1022" width="16.7109375" style="16" customWidth="1"/>
    <col min="1023" max="1023" width="14.42578125" style="16" customWidth="1"/>
    <col min="1024" max="1024" width="13.140625" style="16" customWidth="1"/>
    <col min="1025" max="1025" width="13.28515625" style="16" customWidth="1"/>
    <col min="1026" max="1026" width="11.85546875" style="16" customWidth="1"/>
    <col min="1027" max="1027" width="16" style="16" customWidth="1"/>
    <col min="1028" max="1028" width="12" style="16" customWidth="1"/>
    <col min="1029" max="1029" width="11.5703125" style="16" customWidth="1"/>
    <col min="1030" max="1030" width="11.7109375" style="16" customWidth="1"/>
    <col min="1031" max="1031" width="17.5703125" style="16" customWidth="1"/>
    <col min="1032" max="1032" width="6.42578125" style="16" customWidth="1"/>
    <col min="1033" max="1033" width="29.28515625" style="16" customWidth="1"/>
    <col min="1034" max="1034" width="18.85546875" style="16" customWidth="1"/>
    <col min="1035" max="1276" width="9.140625" style="16"/>
    <col min="1277" max="1277" width="11.7109375" style="16" customWidth="1"/>
    <col min="1278" max="1278" width="16.7109375" style="16" customWidth="1"/>
    <col min="1279" max="1279" width="14.42578125" style="16" customWidth="1"/>
    <col min="1280" max="1280" width="13.140625" style="16" customWidth="1"/>
    <col min="1281" max="1281" width="13.28515625" style="16" customWidth="1"/>
    <col min="1282" max="1282" width="11.85546875" style="16" customWidth="1"/>
    <col min="1283" max="1283" width="16" style="16" customWidth="1"/>
    <col min="1284" max="1284" width="12" style="16" customWidth="1"/>
    <col min="1285" max="1285" width="11.5703125" style="16" customWidth="1"/>
    <col min="1286" max="1286" width="11.7109375" style="16" customWidth="1"/>
    <col min="1287" max="1287" width="17.5703125" style="16" customWidth="1"/>
    <col min="1288" max="1288" width="6.42578125" style="16" customWidth="1"/>
    <col min="1289" max="1289" width="29.28515625" style="16" customWidth="1"/>
    <col min="1290" max="1290" width="18.85546875" style="16" customWidth="1"/>
    <col min="1291" max="1532" width="9.140625" style="16"/>
    <col min="1533" max="1533" width="11.7109375" style="16" customWidth="1"/>
    <col min="1534" max="1534" width="16.7109375" style="16" customWidth="1"/>
    <col min="1535" max="1535" width="14.42578125" style="16" customWidth="1"/>
    <col min="1536" max="1536" width="13.140625" style="16" customWidth="1"/>
    <col min="1537" max="1537" width="13.28515625" style="16" customWidth="1"/>
    <col min="1538" max="1538" width="11.85546875" style="16" customWidth="1"/>
    <col min="1539" max="1539" width="16" style="16" customWidth="1"/>
    <col min="1540" max="1540" width="12" style="16" customWidth="1"/>
    <col min="1541" max="1541" width="11.5703125" style="16" customWidth="1"/>
    <col min="1542" max="1542" width="11.7109375" style="16" customWidth="1"/>
    <col min="1543" max="1543" width="17.5703125" style="16" customWidth="1"/>
    <col min="1544" max="1544" width="6.42578125" style="16" customWidth="1"/>
    <col min="1545" max="1545" width="29.28515625" style="16" customWidth="1"/>
    <col min="1546" max="1546" width="18.85546875" style="16" customWidth="1"/>
    <col min="1547" max="1788" width="9.140625" style="16"/>
    <col min="1789" max="1789" width="11.7109375" style="16" customWidth="1"/>
    <col min="1790" max="1790" width="16.7109375" style="16" customWidth="1"/>
    <col min="1791" max="1791" width="14.42578125" style="16" customWidth="1"/>
    <col min="1792" max="1792" width="13.140625" style="16" customWidth="1"/>
    <col min="1793" max="1793" width="13.28515625" style="16" customWidth="1"/>
    <col min="1794" max="1794" width="11.85546875" style="16" customWidth="1"/>
    <col min="1795" max="1795" width="16" style="16" customWidth="1"/>
    <col min="1796" max="1796" width="12" style="16" customWidth="1"/>
    <col min="1797" max="1797" width="11.5703125" style="16" customWidth="1"/>
    <col min="1798" max="1798" width="11.7109375" style="16" customWidth="1"/>
    <col min="1799" max="1799" width="17.5703125" style="16" customWidth="1"/>
    <col min="1800" max="1800" width="6.42578125" style="16" customWidth="1"/>
    <col min="1801" max="1801" width="29.28515625" style="16" customWidth="1"/>
    <col min="1802" max="1802" width="18.85546875" style="16" customWidth="1"/>
    <col min="1803" max="2044" width="9.140625" style="16"/>
    <col min="2045" max="2045" width="11.7109375" style="16" customWidth="1"/>
    <col min="2046" max="2046" width="16.7109375" style="16" customWidth="1"/>
    <col min="2047" max="2047" width="14.42578125" style="16" customWidth="1"/>
    <col min="2048" max="2048" width="13.140625" style="16" customWidth="1"/>
    <col min="2049" max="2049" width="13.28515625" style="16" customWidth="1"/>
    <col min="2050" max="2050" width="11.85546875" style="16" customWidth="1"/>
    <col min="2051" max="2051" width="16" style="16" customWidth="1"/>
    <col min="2052" max="2052" width="12" style="16" customWidth="1"/>
    <col min="2053" max="2053" width="11.5703125" style="16" customWidth="1"/>
    <col min="2054" max="2054" width="11.7109375" style="16" customWidth="1"/>
    <col min="2055" max="2055" width="17.5703125" style="16" customWidth="1"/>
    <col min="2056" max="2056" width="6.42578125" style="16" customWidth="1"/>
    <col min="2057" max="2057" width="29.28515625" style="16" customWidth="1"/>
    <col min="2058" max="2058" width="18.85546875" style="16" customWidth="1"/>
    <col min="2059" max="2300" width="9.140625" style="16"/>
    <col min="2301" max="2301" width="11.7109375" style="16" customWidth="1"/>
    <col min="2302" max="2302" width="16.7109375" style="16" customWidth="1"/>
    <col min="2303" max="2303" width="14.42578125" style="16" customWidth="1"/>
    <col min="2304" max="2304" width="13.140625" style="16" customWidth="1"/>
    <col min="2305" max="2305" width="13.28515625" style="16" customWidth="1"/>
    <col min="2306" max="2306" width="11.85546875" style="16" customWidth="1"/>
    <col min="2307" max="2307" width="16" style="16" customWidth="1"/>
    <col min="2308" max="2308" width="12" style="16" customWidth="1"/>
    <col min="2309" max="2309" width="11.5703125" style="16" customWidth="1"/>
    <col min="2310" max="2310" width="11.7109375" style="16" customWidth="1"/>
    <col min="2311" max="2311" width="17.5703125" style="16" customWidth="1"/>
    <col min="2312" max="2312" width="6.42578125" style="16" customWidth="1"/>
    <col min="2313" max="2313" width="29.28515625" style="16" customWidth="1"/>
    <col min="2314" max="2314" width="18.85546875" style="16" customWidth="1"/>
    <col min="2315" max="2556" width="9.140625" style="16"/>
    <col min="2557" max="2557" width="11.7109375" style="16" customWidth="1"/>
    <col min="2558" max="2558" width="16.7109375" style="16" customWidth="1"/>
    <col min="2559" max="2559" width="14.42578125" style="16" customWidth="1"/>
    <col min="2560" max="2560" width="13.140625" style="16" customWidth="1"/>
    <col min="2561" max="2561" width="13.28515625" style="16" customWidth="1"/>
    <col min="2562" max="2562" width="11.85546875" style="16" customWidth="1"/>
    <col min="2563" max="2563" width="16" style="16" customWidth="1"/>
    <col min="2564" max="2564" width="12" style="16" customWidth="1"/>
    <col min="2565" max="2565" width="11.5703125" style="16" customWidth="1"/>
    <col min="2566" max="2566" width="11.7109375" style="16" customWidth="1"/>
    <col min="2567" max="2567" width="17.5703125" style="16" customWidth="1"/>
    <col min="2568" max="2568" width="6.42578125" style="16" customWidth="1"/>
    <col min="2569" max="2569" width="29.28515625" style="16" customWidth="1"/>
    <col min="2570" max="2570" width="18.85546875" style="16" customWidth="1"/>
    <col min="2571" max="2812" width="9.140625" style="16"/>
    <col min="2813" max="2813" width="11.7109375" style="16" customWidth="1"/>
    <col min="2814" max="2814" width="16.7109375" style="16" customWidth="1"/>
    <col min="2815" max="2815" width="14.42578125" style="16" customWidth="1"/>
    <col min="2816" max="2816" width="13.140625" style="16" customWidth="1"/>
    <col min="2817" max="2817" width="13.28515625" style="16" customWidth="1"/>
    <col min="2818" max="2818" width="11.85546875" style="16" customWidth="1"/>
    <col min="2819" max="2819" width="16" style="16" customWidth="1"/>
    <col min="2820" max="2820" width="12" style="16" customWidth="1"/>
    <col min="2821" max="2821" width="11.5703125" style="16" customWidth="1"/>
    <col min="2822" max="2822" width="11.7109375" style="16" customWidth="1"/>
    <col min="2823" max="2823" width="17.5703125" style="16" customWidth="1"/>
    <col min="2824" max="2824" width="6.42578125" style="16" customWidth="1"/>
    <col min="2825" max="2825" width="29.28515625" style="16" customWidth="1"/>
    <col min="2826" max="2826" width="18.85546875" style="16" customWidth="1"/>
    <col min="2827" max="3068" width="9.140625" style="16"/>
    <col min="3069" max="3069" width="11.7109375" style="16" customWidth="1"/>
    <col min="3070" max="3070" width="16.7109375" style="16" customWidth="1"/>
    <col min="3071" max="3071" width="14.42578125" style="16" customWidth="1"/>
    <col min="3072" max="3072" width="13.140625" style="16" customWidth="1"/>
    <col min="3073" max="3073" width="13.28515625" style="16" customWidth="1"/>
    <col min="3074" max="3074" width="11.85546875" style="16" customWidth="1"/>
    <col min="3075" max="3075" width="16" style="16" customWidth="1"/>
    <col min="3076" max="3076" width="12" style="16" customWidth="1"/>
    <col min="3077" max="3077" width="11.5703125" style="16" customWidth="1"/>
    <col min="3078" max="3078" width="11.7109375" style="16" customWidth="1"/>
    <col min="3079" max="3079" width="17.5703125" style="16" customWidth="1"/>
    <col min="3080" max="3080" width="6.42578125" style="16" customWidth="1"/>
    <col min="3081" max="3081" width="29.28515625" style="16" customWidth="1"/>
    <col min="3082" max="3082" width="18.85546875" style="16" customWidth="1"/>
    <col min="3083" max="3324" width="9.140625" style="16"/>
    <col min="3325" max="3325" width="11.7109375" style="16" customWidth="1"/>
    <col min="3326" max="3326" width="16.7109375" style="16" customWidth="1"/>
    <col min="3327" max="3327" width="14.42578125" style="16" customWidth="1"/>
    <col min="3328" max="3328" width="13.140625" style="16" customWidth="1"/>
    <col min="3329" max="3329" width="13.28515625" style="16" customWidth="1"/>
    <col min="3330" max="3330" width="11.85546875" style="16" customWidth="1"/>
    <col min="3331" max="3331" width="16" style="16" customWidth="1"/>
    <col min="3332" max="3332" width="12" style="16" customWidth="1"/>
    <col min="3333" max="3333" width="11.5703125" style="16" customWidth="1"/>
    <col min="3334" max="3334" width="11.7109375" style="16" customWidth="1"/>
    <col min="3335" max="3335" width="17.5703125" style="16" customWidth="1"/>
    <col min="3336" max="3336" width="6.42578125" style="16" customWidth="1"/>
    <col min="3337" max="3337" width="29.28515625" style="16" customWidth="1"/>
    <col min="3338" max="3338" width="18.85546875" style="16" customWidth="1"/>
    <col min="3339" max="3580" width="9.140625" style="16"/>
    <col min="3581" max="3581" width="11.7109375" style="16" customWidth="1"/>
    <col min="3582" max="3582" width="16.7109375" style="16" customWidth="1"/>
    <col min="3583" max="3583" width="14.42578125" style="16" customWidth="1"/>
    <col min="3584" max="3584" width="13.140625" style="16" customWidth="1"/>
    <col min="3585" max="3585" width="13.28515625" style="16" customWidth="1"/>
    <col min="3586" max="3586" width="11.85546875" style="16" customWidth="1"/>
    <col min="3587" max="3587" width="16" style="16" customWidth="1"/>
    <col min="3588" max="3588" width="12" style="16" customWidth="1"/>
    <col min="3589" max="3589" width="11.5703125" style="16" customWidth="1"/>
    <col min="3590" max="3590" width="11.7109375" style="16" customWidth="1"/>
    <col min="3591" max="3591" width="17.5703125" style="16" customWidth="1"/>
    <col min="3592" max="3592" width="6.42578125" style="16" customWidth="1"/>
    <col min="3593" max="3593" width="29.28515625" style="16" customWidth="1"/>
    <col min="3594" max="3594" width="18.85546875" style="16" customWidth="1"/>
    <col min="3595" max="3836" width="9.140625" style="16"/>
    <col min="3837" max="3837" width="11.7109375" style="16" customWidth="1"/>
    <col min="3838" max="3838" width="16.7109375" style="16" customWidth="1"/>
    <col min="3839" max="3839" width="14.42578125" style="16" customWidth="1"/>
    <col min="3840" max="3840" width="13.140625" style="16" customWidth="1"/>
    <col min="3841" max="3841" width="13.28515625" style="16" customWidth="1"/>
    <col min="3842" max="3842" width="11.85546875" style="16" customWidth="1"/>
    <col min="3843" max="3843" width="16" style="16" customWidth="1"/>
    <col min="3844" max="3844" width="12" style="16" customWidth="1"/>
    <col min="3845" max="3845" width="11.5703125" style="16" customWidth="1"/>
    <col min="3846" max="3846" width="11.7109375" style="16" customWidth="1"/>
    <col min="3847" max="3847" width="17.5703125" style="16" customWidth="1"/>
    <col min="3848" max="3848" width="6.42578125" style="16" customWidth="1"/>
    <col min="3849" max="3849" width="29.28515625" style="16" customWidth="1"/>
    <col min="3850" max="3850" width="18.85546875" style="16" customWidth="1"/>
    <col min="3851" max="4092" width="9.140625" style="16"/>
    <col min="4093" max="4093" width="11.7109375" style="16" customWidth="1"/>
    <col min="4094" max="4094" width="16.7109375" style="16" customWidth="1"/>
    <col min="4095" max="4095" width="14.42578125" style="16" customWidth="1"/>
    <col min="4096" max="4096" width="13.140625" style="16" customWidth="1"/>
    <col min="4097" max="4097" width="13.28515625" style="16" customWidth="1"/>
    <col min="4098" max="4098" width="11.85546875" style="16" customWidth="1"/>
    <col min="4099" max="4099" width="16" style="16" customWidth="1"/>
    <col min="4100" max="4100" width="12" style="16" customWidth="1"/>
    <col min="4101" max="4101" width="11.5703125" style="16" customWidth="1"/>
    <col min="4102" max="4102" width="11.7109375" style="16" customWidth="1"/>
    <col min="4103" max="4103" width="17.5703125" style="16" customWidth="1"/>
    <col min="4104" max="4104" width="6.42578125" style="16" customWidth="1"/>
    <col min="4105" max="4105" width="29.28515625" style="16" customWidth="1"/>
    <col min="4106" max="4106" width="18.85546875" style="16" customWidth="1"/>
    <col min="4107" max="4348" width="9.140625" style="16"/>
    <col min="4349" max="4349" width="11.7109375" style="16" customWidth="1"/>
    <col min="4350" max="4350" width="16.7109375" style="16" customWidth="1"/>
    <col min="4351" max="4351" width="14.42578125" style="16" customWidth="1"/>
    <col min="4352" max="4352" width="13.140625" style="16" customWidth="1"/>
    <col min="4353" max="4353" width="13.28515625" style="16" customWidth="1"/>
    <col min="4354" max="4354" width="11.85546875" style="16" customWidth="1"/>
    <col min="4355" max="4355" width="16" style="16" customWidth="1"/>
    <col min="4356" max="4356" width="12" style="16" customWidth="1"/>
    <col min="4357" max="4357" width="11.5703125" style="16" customWidth="1"/>
    <col min="4358" max="4358" width="11.7109375" style="16" customWidth="1"/>
    <col min="4359" max="4359" width="17.5703125" style="16" customWidth="1"/>
    <col min="4360" max="4360" width="6.42578125" style="16" customWidth="1"/>
    <col min="4361" max="4361" width="29.28515625" style="16" customWidth="1"/>
    <col min="4362" max="4362" width="18.85546875" style="16" customWidth="1"/>
    <col min="4363" max="4604" width="9.140625" style="16"/>
    <col min="4605" max="4605" width="11.7109375" style="16" customWidth="1"/>
    <col min="4606" max="4606" width="16.7109375" style="16" customWidth="1"/>
    <col min="4607" max="4607" width="14.42578125" style="16" customWidth="1"/>
    <col min="4608" max="4608" width="13.140625" style="16" customWidth="1"/>
    <col min="4609" max="4609" width="13.28515625" style="16" customWidth="1"/>
    <col min="4610" max="4610" width="11.85546875" style="16" customWidth="1"/>
    <col min="4611" max="4611" width="16" style="16" customWidth="1"/>
    <col min="4612" max="4612" width="12" style="16" customWidth="1"/>
    <col min="4613" max="4613" width="11.5703125" style="16" customWidth="1"/>
    <col min="4614" max="4614" width="11.7109375" style="16" customWidth="1"/>
    <col min="4615" max="4615" width="17.5703125" style="16" customWidth="1"/>
    <col min="4616" max="4616" width="6.42578125" style="16" customWidth="1"/>
    <col min="4617" max="4617" width="29.28515625" style="16" customWidth="1"/>
    <col min="4618" max="4618" width="18.85546875" style="16" customWidth="1"/>
    <col min="4619" max="4860" width="9.140625" style="16"/>
    <col min="4861" max="4861" width="11.7109375" style="16" customWidth="1"/>
    <col min="4862" max="4862" width="16.7109375" style="16" customWidth="1"/>
    <col min="4863" max="4863" width="14.42578125" style="16" customWidth="1"/>
    <col min="4864" max="4864" width="13.140625" style="16" customWidth="1"/>
    <col min="4865" max="4865" width="13.28515625" style="16" customWidth="1"/>
    <col min="4866" max="4866" width="11.85546875" style="16" customWidth="1"/>
    <col min="4867" max="4867" width="16" style="16" customWidth="1"/>
    <col min="4868" max="4868" width="12" style="16" customWidth="1"/>
    <col min="4869" max="4869" width="11.5703125" style="16" customWidth="1"/>
    <col min="4870" max="4870" width="11.7109375" style="16" customWidth="1"/>
    <col min="4871" max="4871" width="17.5703125" style="16" customWidth="1"/>
    <col min="4872" max="4872" width="6.42578125" style="16" customWidth="1"/>
    <col min="4873" max="4873" width="29.28515625" style="16" customWidth="1"/>
    <col min="4874" max="4874" width="18.85546875" style="16" customWidth="1"/>
    <col min="4875" max="5116" width="9.140625" style="16"/>
    <col min="5117" max="5117" width="11.7109375" style="16" customWidth="1"/>
    <col min="5118" max="5118" width="16.7109375" style="16" customWidth="1"/>
    <col min="5119" max="5119" width="14.42578125" style="16" customWidth="1"/>
    <col min="5120" max="5120" width="13.140625" style="16" customWidth="1"/>
    <col min="5121" max="5121" width="13.28515625" style="16" customWidth="1"/>
    <col min="5122" max="5122" width="11.85546875" style="16" customWidth="1"/>
    <col min="5123" max="5123" width="16" style="16" customWidth="1"/>
    <col min="5124" max="5124" width="12" style="16" customWidth="1"/>
    <col min="5125" max="5125" width="11.5703125" style="16" customWidth="1"/>
    <col min="5126" max="5126" width="11.7109375" style="16" customWidth="1"/>
    <col min="5127" max="5127" width="17.5703125" style="16" customWidth="1"/>
    <col min="5128" max="5128" width="6.42578125" style="16" customWidth="1"/>
    <col min="5129" max="5129" width="29.28515625" style="16" customWidth="1"/>
    <col min="5130" max="5130" width="18.85546875" style="16" customWidth="1"/>
    <col min="5131" max="5372" width="9.140625" style="16"/>
    <col min="5373" max="5373" width="11.7109375" style="16" customWidth="1"/>
    <col min="5374" max="5374" width="16.7109375" style="16" customWidth="1"/>
    <col min="5375" max="5375" width="14.42578125" style="16" customWidth="1"/>
    <col min="5376" max="5376" width="13.140625" style="16" customWidth="1"/>
    <col min="5377" max="5377" width="13.28515625" style="16" customWidth="1"/>
    <col min="5378" max="5378" width="11.85546875" style="16" customWidth="1"/>
    <col min="5379" max="5379" width="16" style="16" customWidth="1"/>
    <col min="5380" max="5380" width="12" style="16" customWidth="1"/>
    <col min="5381" max="5381" width="11.5703125" style="16" customWidth="1"/>
    <col min="5382" max="5382" width="11.7109375" style="16" customWidth="1"/>
    <col min="5383" max="5383" width="17.5703125" style="16" customWidth="1"/>
    <col min="5384" max="5384" width="6.42578125" style="16" customWidth="1"/>
    <col min="5385" max="5385" width="29.28515625" style="16" customWidth="1"/>
    <col min="5386" max="5386" width="18.85546875" style="16" customWidth="1"/>
    <col min="5387" max="5628" width="9.140625" style="16"/>
    <col min="5629" max="5629" width="11.7109375" style="16" customWidth="1"/>
    <col min="5630" max="5630" width="16.7109375" style="16" customWidth="1"/>
    <col min="5631" max="5631" width="14.42578125" style="16" customWidth="1"/>
    <col min="5632" max="5632" width="13.140625" style="16" customWidth="1"/>
    <col min="5633" max="5633" width="13.28515625" style="16" customWidth="1"/>
    <col min="5634" max="5634" width="11.85546875" style="16" customWidth="1"/>
    <col min="5635" max="5635" width="16" style="16" customWidth="1"/>
    <col min="5636" max="5636" width="12" style="16" customWidth="1"/>
    <col min="5637" max="5637" width="11.5703125" style="16" customWidth="1"/>
    <col min="5638" max="5638" width="11.7109375" style="16" customWidth="1"/>
    <col min="5639" max="5639" width="17.5703125" style="16" customWidth="1"/>
    <col min="5640" max="5640" width="6.42578125" style="16" customWidth="1"/>
    <col min="5641" max="5641" width="29.28515625" style="16" customWidth="1"/>
    <col min="5642" max="5642" width="18.85546875" style="16" customWidth="1"/>
    <col min="5643" max="5884" width="9.140625" style="16"/>
    <col min="5885" max="5885" width="11.7109375" style="16" customWidth="1"/>
    <col min="5886" max="5886" width="16.7109375" style="16" customWidth="1"/>
    <col min="5887" max="5887" width="14.42578125" style="16" customWidth="1"/>
    <col min="5888" max="5888" width="13.140625" style="16" customWidth="1"/>
    <col min="5889" max="5889" width="13.28515625" style="16" customWidth="1"/>
    <col min="5890" max="5890" width="11.85546875" style="16" customWidth="1"/>
    <col min="5891" max="5891" width="16" style="16" customWidth="1"/>
    <col min="5892" max="5892" width="12" style="16" customWidth="1"/>
    <col min="5893" max="5893" width="11.5703125" style="16" customWidth="1"/>
    <col min="5894" max="5894" width="11.7109375" style="16" customWidth="1"/>
    <col min="5895" max="5895" width="17.5703125" style="16" customWidth="1"/>
    <col min="5896" max="5896" width="6.42578125" style="16" customWidth="1"/>
    <col min="5897" max="5897" width="29.28515625" style="16" customWidth="1"/>
    <col min="5898" max="5898" width="18.85546875" style="16" customWidth="1"/>
    <col min="5899" max="6140" width="9.140625" style="16"/>
    <col min="6141" max="6141" width="11.7109375" style="16" customWidth="1"/>
    <col min="6142" max="6142" width="16.7109375" style="16" customWidth="1"/>
    <col min="6143" max="6143" width="14.42578125" style="16" customWidth="1"/>
    <col min="6144" max="6144" width="13.140625" style="16" customWidth="1"/>
    <col min="6145" max="6145" width="13.28515625" style="16" customWidth="1"/>
    <col min="6146" max="6146" width="11.85546875" style="16" customWidth="1"/>
    <col min="6147" max="6147" width="16" style="16" customWidth="1"/>
    <col min="6148" max="6148" width="12" style="16" customWidth="1"/>
    <col min="6149" max="6149" width="11.5703125" style="16" customWidth="1"/>
    <col min="6150" max="6150" width="11.7109375" style="16" customWidth="1"/>
    <col min="6151" max="6151" width="17.5703125" style="16" customWidth="1"/>
    <col min="6152" max="6152" width="6.42578125" style="16" customWidth="1"/>
    <col min="6153" max="6153" width="29.28515625" style="16" customWidth="1"/>
    <col min="6154" max="6154" width="18.85546875" style="16" customWidth="1"/>
    <col min="6155" max="6396" width="9.140625" style="16"/>
    <col min="6397" max="6397" width="11.7109375" style="16" customWidth="1"/>
    <col min="6398" max="6398" width="16.7109375" style="16" customWidth="1"/>
    <col min="6399" max="6399" width="14.42578125" style="16" customWidth="1"/>
    <col min="6400" max="6400" width="13.140625" style="16" customWidth="1"/>
    <col min="6401" max="6401" width="13.28515625" style="16" customWidth="1"/>
    <col min="6402" max="6402" width="11.85546875" style="16" customWidth="1"/>
    <col min="6403" max="6403" width="16" style="16" customWidth="1"/>
    <col min="6404" max="6404" width="12" style="16" customWidth="1"/>
    <col min="6405" max="6405" width="11.5703125" style="16" customWidth="1"/>
    <col min="6406" max="6406" width="11.7109375" style="16" customWidth="1"/>
    <col min="6407" max="6407" width="17.5703125" style="16" customWidth="1"/>
    <col min="6408" max="6408" width="6.42578125" style="16" customWidth="1"/>
    <col min="6409" max="6409" width="29.28515625" style="16" customWidth="1"/>
    <col min="6410" max="6410" width="18.85546875" style="16" customWidth="1"/>
    <col min="6411" max="6652" width="9.140625" style="16"/>
    <col min="6653" max="6653" width="11.7109375" style="16" customWidth="1"/>
    <col min="6654" max="6654" width="16.7109375" style="16" customWidth="1"/>
    <col min="6655" max="6655" width="14.42578125" style="16" customWidth="1"/>
    <col min="6656" max="6656" width="13.140625" style="16" customWidth="1"/>
    <col min="6657" max="6657" width="13.28515625" style="16" customWidth="1"/>
    <col min="6658" max="6658" width="11.85546875" style="16" customWidth="1"/>
    <col min="6659" max="6659" width="16" style="16" customWidth="1"/>
    <col min="6660" max="6660" width="12" style="16" customWidth="1"/>
    <col min="6661" max="6661" width="11.5703125" style="16" customWidth="1"/>
    <col min="6662" max="6662" width="11.7109375" style="16" customWidth="1"/>
    <col min="6663" max="6663" width="17.5703125" style="16" customWidth="1"/>
    <col min="6664" max="6664" width="6.42578125" style="16" customWidth="1"/>
    <col min="6665" max="6665" width="29.28515625" style="16" customWidth="1"/>
    <col min="6666" max="6666" width="18.85546875" style="16" customWidth="1"/>
    <col min="6667" max="6908" width="9.140625" style="16"/>
    <col min="6909" max="6909" width="11.7109375" style="16" customWidth="1"/>
    <col min="6910" max="6910" width="16.7109375" style="16" customWidth="1"/>
    <col min="6911" max="6911" width="14.42578125" style="16" customWidth="1"/>
    <col min="6912" max="6912" width="13.140625" style="16" customWidth="1"/>
    <col min="6913" max="6913" width="13.28515625" style="16" customWidth="1"/>
    <col min="6914" max="6914" width="11.85546875" style="16" customWidth="1"/>
    <col min="6915" max="6915" width="16" style="16" customWidth="1"/>
    <col min="6916" max="6916" width="12" style="16" customWidth="1"/>
    <col min="6917" max="6917" width="11.5703125" style="16" customWidth="1"/>
    <col min="6918" max="6918" width="11.7109375" style="16" customWidth="1"/>
    <col min="6919" max="6919" width="17.5703125" style="16" customWidth="1"/>
    <col min="6920" max="6920" width="6.42578125" style="16" customWidth="1"/>
    <col min="6921" max="6921" width="29.28515625" style="16" customWidth="1"/>
    <col min="6922" max="6922" width="18.85546875" style="16" customWidth="1"/>
    <col min="6923" max="7164" width="9.140625" style="16"/>
    <col min="7165" max="7165" width="11.7109375" style="16" customWidth="1"/>
    <col min="7166" max="7166" width="16.7109375" style="16" customWidth="1"/>
    <col min="7167" max="7167" width="14.42578125" style="16" customWidth="1"/>
    <col min="7168" max="7168" width="13.140625" style="16" customWidth="1"/>
    <col min="7169" max="7169" width="13.28515625" style="16" customWidth="1"/>
    <col min="7170" max="7170" width="11.85546875" style="16" customWidth="1"/>
    <col min="7171" max="7171" width="16" style="16" customWidth="1"/>
    <col min="7172" max="7172" width="12" style="16" customWidth="1"/>
    <col min="7173" max="7173" width="11.5703125" style="16" customWidth="1"/>
    <col min="7174" max="7174" width="11.7109375" style="16" customWidth="1"/>
    <col min="7175" max="7175" width="17.5703125" style="16" customWidth="1"/>
    <col min="7176" max="7176" width="6.42578125" style="16" customWidth="1"/>
    <col min="7177" max="7177" width="29.28515625" style="16" customWidth="1"/>
    <col min="7178" max="7178" width="18.85546875" style="16" customWidth="1"/>
    <col min="7179" max="7420" width="9.140625" style="16"/>
    <col min="7421" max="7421" width="11.7109375" style="16" customWidth="1"/>
    <col min="7422" max="7422" width="16.7109375" style="16" customWidth="1"/>
    <col min="7423" max="7423" width="14.42578125" style="16" customWidth="1"/>
    <col min="7424" max="7424" width="13.140625" style="16" customWidth="1"/>
    <col min="7425" max="7425" width="13.28515625" style="16" customWidth="1"/>
    <col min="7426" max="7426" width="11.85546875" style="16" customWidth="1"/>
    <col min="7427" max="7427" width="16" style="16" customWidth="1"/>
    <col min="7428" max="7428" width="12" style="16" customWidth="1"/>
    <col min="7429" max="7429" width="11.5703125" style="16" customWidth="1"/>
    <col min="7430" max="7430" width="11.7109375" style="16" customWidth="1"/>
    <col min="7431" max="7431" width="17.5703125" style="16" customWidth="1"/>
    <col min="7432" max="7432" width="6.42578125" style="16" customWidth="1"/>
    <col min="7433" max="7433" width="29.28515625" style="16" customWidth="1"/>
    <col min="7434" max="7434" width="18.85546875" style="16" customWidth="1"/>
    <col min="7435" max="7676" width="9.140625" style="16"/>
    <col min="7677" max="7677" width="11.7109375" style="16" customWidth="1"/>
    <col min="7678" max="7678" width="16.7109375" style="16" customWidth="1"/>
    <col min="7679" max="7679" width="14.42578125" style="16" customWidth="1"/>
    <col min="7680" max="7680" width="13.140625" style="16" customWidth="1"/>
    <col min="7681" max="7681" width="13.28515625" style="16" customWidth="1"/>
    <col min="7682" max="7682" width="11.85546875" style="16" customWidth="1"/>
    <col min="7683" max="7683" width="16" style="16" customWidth="1"/>
    <col min="7684" max="7684" width="12" style="16" customWidth="1"/>
    <col min="7685" max="7685" width="11.5703125" style="16" customWidth="1"/>
    <col min="7686" max="7686" width="11.7109375" style="16" customWidth="1"/>
    <col min="7687" max="7687" width="17.5703125" style="16" customWidth="1"/>
    <col min="7688" max="7688" width="6.42578125" style="16" customWidth="1"/>
    <col min="7689" max="7689" width="29.28515625" style="16" customWidth="1"/>
    <col min="7690" max="7690" width="18.85546875" style="16" customWidth="1"/>
    <col min="7691" max="7932" width="9.140625" style="16"/>
    <col min="7933" max="7933" width="11.7109375" style="16" customWidth="1"/>
    <col min="7934" max="7934" width="16.7109375" style="16" customWidth="1"/>
    <col min="7935" max="7935" width="14.42578125" style="16" customWidth="1"/>
    <col min="7936" max="7936" width="13.140625" style="16" customWidth="1"/>
    <col min="7937" max="7937" width="13.28515625" style="16" customWidth="1"/>
    <col min="7938" max="7938" width="11.85546875" style="16" customWidth="1"/>
    <col min="7939" max="7939" width="16" style="16" customWidth="1"/>
    <col min="7940" max="7940" width="12" style="16" customWidth="1"/>
    <col min="7941" max="7941" width="11.5703125" style="16" customWidth="1"/>
    <col min="7942" max="7942" width="11.7109375" style="16" customWidth="1"/>
    <col min="7943" max="7943" width="17.5703125" style="16" customWidth="1"/>
    <col min="7944" max="7944" width="6.42578125" style="16" customWidth="1"/>
    <col min="7945" max="7945" width="29.28515625" style="16" customWidth="1"/>
    <col min="7946" max="7946" width="18.85546875" style="16" customWidth="1"/>
    <col min="7947" max="8188" width="9.140625" style="16"/>
    <col min="8189" max="8189" width="11.7109375" style="16" customWidth="1"/>
    <col min="8190" max="8190" width="16.7109375" style="16" customWidth="1"/>
    <col min="8191" max="8191" width="14.42578125" style="16" customWidth="1"/>
    <col min="8192" max="8192" width="13.140625" style="16" customWidth="1"/>
    <col min="8193" max="8193" width="13.28515625" style="16" customWidth="1"/>
    <col min="8194" max="8194" width="11.85546875" style="16" customWidth="1"/>
    <col min="8195" max="8195" width="16" style="16" customWidth="1"/>
    <col min="8196" max="8196" width="12" style="16" customWidth="1"/>
    <col min="8197" max="8197" width="11.5703125" style="16" customWidth="1"/>
    <col min="8198" max="8198" width="11.7109375" style="16" customWidth="1"/>
    <col min="8199" max="8199" width="17.5703125" style="16" customWidth="1"/>
    <col min="8200" max="8200" width="6.42578125" style="16" customWidth="1"/>
    <col min="8201" max="8201" width="29.28515625" style="16" customWidth="1"/>
    <col min="8202" max="8202" width="18.85546875" style="16" customWidth="1"/>
    <col min="8203" max="8444" width="9.140625" style="16"/>
    <col min="8445" max="8445" width="11.7109375" style="16" customWidth="1"/>
    <col min="8446" max="8446" width="16.7109375" style="16" customWidth="1"/>
    <col min="8447" max="8447" width="14.42578125" style="16" customWidth="1"/>
    <col min="8448" max="8448" width="13.140625" style="16" customWidth="1"/>
    <col min="8449" max="8449" width="13.28515625" style="16" customWidth="1"/>
    <col min="8450" max="8450" width="11.85546875" style="16" customWidth="1"/>
    <col min="8451" max="8451" width="16" style="16" customWidth="1"/>
    <col min="8452" max="8452" width="12" style="16" customWidth="1"/>
    <col min="8453" max="8453" width="11.5703125" style="16" customWidth="1"/>
    <col min="8454" max="8454" width="11.7109375" style="16" customWidth="1"/>
    <col min="8455" max="8455" width="17.5703125" style="16" customWidth="1"/>
    <col min="8456" max="8456" width="6.42578125" style="16" customWidth="1"/>
    <col min="8457" max="8457" width="29.28515625" style="16" customWidth="1"/>
    <col min="8458" max="8458" width="18.85546875" style="16" customWidth="1"/>
    <col min="8459" max="8700" width="9.140625" style="16"/>
    <col min="8701" max="8701" width="11.7109375" style="16" customWidth="1"/>
    <col min="8702" max="8702" width="16.7109375" style="16" customWidth="1"/>
    <col min="8703" max="8703" width="14.42578125" style="16" customWidth="1"/>
    <col min="8704" max="8704" width="13.140625" style="16" customWidth="1"/>
    <col min="8705" max="8705" width="13.28515625" style="16" customWidth="1"/>
    <col min="8706" max="8706" width="11.85546875" style="16" customWidth="1"/>
    <col min="8707" max="8707" width="16" style="16" customWidth="1"/>
    <col min="8708" max="8708" width="12" style="16" customWidth="1"/>
    <col min="8709" max="8709" width="11.5703125" style="16" customWidth="1"/>
    <col min="8710" max="8710" width="11.7109375" style="16" customWidth="1"/>
    <col min="8711" max="8711" width="17.5703125" style="16" customWidth="1"/>
    <col min="8712" max="8712" width="6.42578125" style="16" customWidth="1"/>
    <col min="8713" max="8713" width="29.28515625" style="16" customWidth="1"/>
    <col min="8714" max="8714" width="18.85546875" style="16" customWidth="1"/>
    <col min="8715" max="8956" width="9.140625" style="16"/>
    <col min="8957" max="8957" width="11.7109375" style="16" customWidth="1"/>
    <col min="8958" max="8958" width="16.7109375" style="16" customWidth="1"/>
    <col min="8959" max="8959" width="14.42578125" style="16" customWidth="1"/>
    <col min="8960" max="8960" width="13.140625" style="16" customWidth="1"/>
    <col min="8961" max="8961" width="13.28515625" style="16" customWidth="1"/>
    <col min="8962" max="8962" width="11.85546875" style="16" customWidth="1"/>
    <col min="8963" max="8963" width="16" style="16" customWidth="1"/>
    <col min="8964" max="8964" width="12" style="16" customWidth="1"/>
    <col min="8965" max="8965" width="11.5703125" style="16" customWidth="1"/>
    <col min="8966" max="8966" width="11.7109375" style="16" customWidth="1"/>
    <col min="8967" max="8967" width="17.5703125" style="16" customWidth="1"/>
    <col min="8968" max="8968" width="6.42578125" style="16" customWidth="1"/>
    <col min="8969" max="8969" width="29.28515625" style="16" customWidth="1"/>
    <col min="8970" max="8970" width="18.85546875" style="16" customWidth="1"/>
    <col min="8971" max="9212" width="9.140625" style="16"/>
    <col min="9213" max="9213" width="11.7109375" style="16" customWidth="1"/>
    <col min="9214" max="9214" width="16.7109375" style="16" customWidth="1"/>
    <col min="9215" max="9215" width="14.42578125" style="16" customWidth="1"/>
    <col min="9216" max="9216" width="13.140625" style="16" customWidth="1"/>
    <col min="9217" max="9217" width="13.28515625" style="16" customWidth="1"/>
    <col min="9218" max="9218" width="11.85546875" style="16" customWidth="1"/>
    <col min="9219" max="9219" width="16" style="16" customWidth="1"/>
    <col min="9220" max="9220" width="12" style="16" customWidth="1"/>
    <col min="9221" max="9221" width="11.5703125" style="16" customWidth="1"/>
    <col min="9222" max="9222" width="11.7109375" style="16" customWidth="1"/>
    <col min="9223" max="9223" width="17.5703125" style="16" customWidth="1"/>
    <col min="9224" max="9224" width="6.42578125" style="16" customWidth="1"/>
    <col min="9225" max="9225" width="29.28515625" style="16" customWidth="1"/>
    <col min="9226" max="9226" width="18.85546875" style="16" customWidth="1"/>
    <col min="9227" max="9468" width="9.140625" style="16"/>
    <col min="9469" max="9469" width="11.7109375" style="16" customWidth="1"/>
    <col min="9470" max="9470" width="16.7109375" style="16" customWidth="1"/>
    <col min="9471" max="9471" width="14.42578125" style="16" customWidth="1"/>
    <col min="9472" max="9472" width="13.140625" style="16" customWidth="1"/>
    <col min="9473" max="9473" width="13.28515625" style="16" customWidth="1"/>
    <col min="9474" max="9474" width="11.85546875" style="16" customWidth="1"/>
    <col min="9475" max="9475" width="16" style="16" customWidth="1"/>
    <col min="9476" max="9476" width="12" style="16" customWidth="1"/>
    <col min="9477" max="9477" width="11.5703125" style="16" customWidth="1"/>
    <col min="9478" max="9478" width="11.7109375" style="16" customWidth="1"/>
    <col min="9479" max="9479" width="17.5703125" style="16" customWidth="1"/>
    <col min="9480" max="9480" width="6.42578125" style="16" customWidth="1"/>
    <col min="9481" max="9481" width="29.28515625" style="16" customWidth="1"/>
    <col min="9482" max="9482" width="18.85546875" style="16" customWidth="1"/>
    <col min="9483" max="9724" width="9.140625" style="16"/>
    <col min="9725" max="9725" width="11.7109375" style="16" customWidth="1"/>
    <col min="9726" max="9726" width="16.7109375" style="16" customWidth="1"/>
    <col min="9727" max="9727" width="14.42578125" style="16" customWidth="1"/>
    <col min="9728" max="9728" width="13.140625" style="16" customWidth="1"/>
    <col min="9729" max="9729" width="13.28515625" style="16" customWidth="1"/>
    <col min="9730" max="9730" width="11.85546875" style="16" customWidth="1"/>
    <col min="9731" max="9731" width="16" style="16" customWidth="1"/>
    <col min="9732" max="9732" width="12" style="16" customWidth="1"/>
    <col min="9733" max="9733" width="11.5703125" style="16" customWidth="1"/>
    <col min="9734" max="9734" width="11.7109375" style="16" customWidth="1"/>
    <col min="9735" max="9735" width="17.5703125" style="16" customWidth="1"/>
    <col min="9736" max="9736" width="6.42578125" style="16" customWidth="1"/>
    <col min="9737" max="9737" width="29.28515625" style="16" customWidth="1"/>
    <col min="9738" max="9738" width="18.85546875" style="16" customWidth="1"/>
    <col min="9739" max="9980" width="9.140625" style="16"/>
    <col min="9981" max="9981" width="11.7109375" style="16" customWidth="1"/>
    <col min="9982" max="9982" width="16.7109375" style="16" customWidth="1"/>
    <col min="9983" max="9983" width="14.42578125" style="16" customWidth="1"/>
    <col min="9984" max="9984" width="13.140625" style="16" customWidth="1"/>
    <col min="9985" max="9985" width="13.28515625" style="16" customWidth="1"/>
    <col min="9986" max="9986" width="11.85546875" style="16" customWidth="1"/>
    <col min="9987" max="9987" width="16" style="16" customWidth="1"/>
    <col min="9988" max="9988" width="12" style="16" customWidth="1"/>
    <col min="9989" max="9989" width="11.5703125" style="16" customWidth="1"/>
    <col min="9990" max="9990" width="11.7109375" style="16" customWidth="1"/>
    <col min="9991" max="9991" width="17.5703125" style="16" customWidth="1"/>
    <col min="9992" max="9992" width="6.42578125" style="16" customWidth="1"/>
    <col min="9993" max="9993" width="29.28515625" style="16" customWidth="1"/>
    <col min="9994" max="9994" width="18.85546875" style="16" customWidth="1"/>
    <col min="9995" max="10236" width="9.140625" style="16"/>
    <col min="10237" max="10237" width="11.7109375" style="16" customWidth="1"/>
    <col min="10238" max="10238" width="16.7109375" style="16" customWidth="1"/>
    <col min="10239" max="10239" width="14.42578125" style="16" customWidth="1"/>
    <col min="10240" max="10240" width="13.140625" style="16" customWidth="1"/>
    <col min="10241" max="10241" width="13.28515625" style="16" customWidth="1"/>
    <col min="10242" max="10242" width="11.85546875" style="16" customWidth="1"/>
    <col min="10243" max="10243" width="16" style="16" customWidth="1"/>
    <col min="10244" max="10244" width="12" style="16" customWidth="1"/>
    <col min="10245" max="10245" width="11.5703125" style="16" customWidth="1"/>
    <col min="10246" max="10246" width="11.7109375" style="16" customWidth="1"/>
    <col min="10247" max="10247" width="17.5703125" style="16" customWidth="1"/>
    <col min="10248" max="10248" width="6.42578125" style="16" customWidth="1"/>
    <col min="10249" max="10249" width="29.28515625" style="16" customWidth="1"/>
    <col min="10250" max="10250" width="18.85546875" style="16" customWidth="1"/>
    <col min="10251" max="10492" width="9.140625" style="16"/>
    <col min="10493" max="10493" width="11.7109375" style="16" customWidth="1"/>
    <col min="10494" max="10494" width="16.7109375" style="16" customWidth="1"/>
    <col min="10495" max="10495" width="14.42578125" style="16" customWidth="1"/>
    <col min="10496" max="10496" width="13.140625" style="16" customWidth="1"/>
    <col min="10497" max="10497" width="13.28515625" style="16" customWidth="1"/>
    <col min="10498" max="10498" width="11.85546875" style="16" customWidth="1"/>
    <col min="10499" max="10499" width="16" style="16" customWidth="1"/>
    <col min="10500" max="10500" width="12" style="16" customWidth="1"/>
    <col min="10501" max="10501" width="11.5703125" style="16" customWidth="1"/>
    <col min="10502" max="10502" width="11.7109375" style="16" customWidth="1"/>
    <col min="10503" max="10503" width="17.5703125" style="16" customWidth="1"/>
    <col min="10504" max="10504" width="6.42578125" style="16" customWidth="1"/>
    <col min="10505" max="10505" width="29.28515625" style="16" customWidth="1"/>
    <col min="10506" max="10506" width="18.85546875" style="16" customWidth="1"/>
    <col min="10507" max="10748" width="9.140625" style="16"/>
    <col min="10749" max="10749" width="11.7109375" style="16" customWidth="1"/>
    <col min="10750" max="10750" width="16.7109375" style="16" customWidth="1"/>
    <col min="10751" max="10751" width="14.42578125" style="16" customWidth="1"/>
    <col min="10752" max="10752" width="13.140625" style="16" customWidth="1"/>
    <col min="10753" max="10753" width="13.28515625" style="16" customWidth="1"/>
    <col min="10754" max="10754" width="11.85546875" style="16" customWidth="1"/>
    <col min="10755" max="10755" width="16" style="16" customWidth="1"/>
    <col min="10756" max="10756" width="12" style="16" customWidth="1"/>
    <col min="10757" max="10757" width="11.5703125" style="16" customWidth="1"/>
    <col min="10758" max="10758" width="11.7109375" style="16" customWidth="1"/>
    <col min="10759" max="10759" width="17.5703125" style="16" customWidth="1"/>
    <col min="10760" max="10760" width="6.42578125" style="16" customWidth="1"/>
    <col min="10761" max="10761" width="29.28515625" style="16" customWidth="1"/>
    <col min="10762" max="10762" width="18.85546875" style="16" customWidth="1"/>
    <col min="10763" max="11004" width="9.140625" style="16"/>
    <col min="11005" max="11005" width="11.7109375" style="16" customWidth="1"/>
    <col min="11006" max="11006" width="16.7109375" style="16" customWidth="1"/>
    <col min="11007" max="11007" width="14.42578125" style="16" customWidth="1"/>
    <col min="11008" max="11008" width="13.140625" style="16" customWidth="1"/>
    <col min="11009" max="11009" width="13.28515625" style="16" customWidth="1"/>
    <col min="11010" max="11010" width="11.85546875" style="16" customWidth="1"/>
    <col min="11011" max="11011" width="16" style="16" customWidth="1"/>
    <col min="11012" max="11012" width="12" style="16" customWidth="1"/>
    <col min="11013" max="11013" width="11.5703125" style="16" customWidth="1"/>
    <col min="11014" max="11014" width="11.7109375" style="16" customWidth="1"/>
    <col min="11015" max="11015" width="17.5703125" style="16" customWidth="1"/>
    <col min="11016" max="11016" width="6.42578125" style="16" customWidth="1"/>
    <col min="11017" max="11017" width="29.28515625" style="16" customWidth="1"/>
    <col min="11018" max="11018" width="18.85546875" style="16" customWidth="1"/>
    <col min="11019" max="11260" width="9.140625" style="16"/>
    <col min="11261" max="11261" width="11.7109375" style="16" customWidth="1"/>
    <col min="11262" max="11262" width="16.7109375" style="16" customWidth="1"/>
    <col min="11263" max="11263" width="14.42578125" style="16" customWidth="1"/>
    <col min="11264" max="11264" width="13.140625" style="16" customWidth="1"/>
    <col min="11265" max="11265" width="13.28515625" style="16" customWidth="1"/>
    <col min="11266" max="11266" width="11.85546875" style="16" customWidth="1"/>
    <col min="11267" max="11267" width="16" style="16" customWidth="1"/>
    <col min="11268" max="11268" width="12" style="16" customWidth="1"/>
    <col min="11269" max="11269" width="11.5703125" style="16" customWidth="1"/>
    <col min="11270" max="11270" width="11.7109375" style="16" customWidth="1"/>
    <col min="11271" max="11271" width="17.5703125" style="16" customWidth="1"/>
    <col min="11272" max="11272" width="6.42578125" style="16" customWidth="1"/>
    <col min="11273" max="11273" width="29.28515625" style="16" customWidth="1"/>
    <col min="11274" max="11274" width="18.85546875" style="16" customWidth="1"/>
    <col min="11275" max="11516" width="9.140625" style="16"/>
    <col min="11517" max="11517" width="11.7109375" style="16" customWidth="1"/>
    <col min="11518" max="11518" width="16.7109375" style="16" customWidth="1"/>
    <col min="11519" max="11519" width="14.42578125" style="16" customWidth="1"/>
    <col min="11520" max="11520" width="13.140625" style="16" customWidth="1"/>
    <col min="11521" max="11521" width="13.28515625" style="16" customWidth="1"/>
    <col min="11522" max="11522" width="11.85546875" style="16" customWidth="1"/>
    <col min="11523" max="11523" width="16" style="16" customWidth="1"/>
    <col min="11524" max="11524" width="12" style="16" customWidth="1"/>
    <col min="11525" max="11525" width="11.5703125" style="16" customWidth="1"/>
    <col min="11526" max="11526" width="11.7109375" style="16" customWidth="1"/>
    <col min="11527" max="11527" width="17.5703125" style="16" customWidth="1"/>
    <col min="11528" max="11528" width="6.42578125" style="16" customWidth="1"/>
    <col min="11529" max="11529" width="29.28515625" style="16" customWidth="1"/>
    <col min="11530" max="11530" width="18.85546875" style="16" customWidth="1"/>
    <col min="11531" max="11772" width="9.140625" style="16"/>
    <col min="11773" max="11773" width="11.7109375" style="16" customWidth="1"/>
    <col min="11774" max="11774" width="16.7109375" style="16" customWidth="1"/>
    <col min="11775" max="11775" width="14.42578125" style="16" customWidth="1"/>
    <col min="11776" max="11776" width="13.140625" style="16" customWidth="1"/>
    <col min="11777" max="11777" width="13.28515625" style="16" customWidth="1"/>
    <col min="11778" max="11778" width="11.85546875" style="16" customWidth="1"/>
    <col min="11779" max="11779" width="16" style="16" customWidth="1"/>
    <col min="11780" max="11780" width="12" style="16" customWidth="1"/>
    <col min="11781" max="11781" width="11.5703125" style="16" customWidth="1"/>
    <col min="11782" max="11782" width="11.7109375" style="16" customWidth="1"/>
    <col min="11783" max="11783" width="17.5703125" style="16" customWidth="1"/>
    <col min="11784" max="11784" width="6.42578125" style="16" customWidth="1"/>
    <col min="11785" max="11785" width="29.28515625" style="16" customWidth="1"/>
    <col min="11786" max="11786" width="18.85546875" style="16" customWidth="1"/>
    <col min="11787" max="12028" width="9.140625" style="16"/>
    <col min="12029" max="12029" width="11.7109375" style="16" customWidth="1"/>
    <col min="12030" max="12030" width="16.7109375" style="16" customWidth="1"/>
    <col min="12031" max="12031" width="14.42578125" style="16" customWidth="1"/>
    <col min="12032" max="12032" width="13.140625" style="16" customWidth="1"/>
    <col min="12033" max="12033" width="13.28515625" style="16" customWidth="1"/>
    <col min="12034" max="12034" width="11.85546875" style="16" customWidth="1"/>
    <col min="12035" max="12035" width="16" style="16" customWidth="1"/>
    <col min="12036" max="12036" width="12" style="16" customWidth="1"/>
    <col min="12037" max="12037" width="11.5703125" style="16" customWidth="1"/>
    <col min="12038" max="12038" width="11.7109375" style="16" customWidth="1"/>
    <col min="12039" max="12039" width="17.5703125" style="16" customWidth="1"/>
    <col min="12040" max="12040" width="6.42578125" style="16" customWidth="1"/>
    <col min="12041" max="12041" width="29.28515625" style="16" customWidth="1"/>
    <col min="12042" max="12042" width="18.85546875" style="16" customWidth="1"/>
    <col min="12043" max="12284" width="9.140625" style="16"/>
    <col min="12285" max="12285" width="11.7109375" style="16" customWidth="1"/>
    <col min="12286" max="12286" width="16.7109375" style="16" customWidth="1"/>
    <col min="12287" max="12287" width="14.42578125" style="16" customWidth="1"/>
    <col min="12288" max="12288" width="13.140625" style="16" customWidth="1"/>
    <col min="12289" max="12289" width="13.28515625" style="16" customWidth="1"/>
    <col min="12290" max="12290" width="11.85546875" style="16" customWidth="1"/>
    <col min="12291" max="12291" width="16" style="16" customWidth="1"/>
    <col min="12292" max="12292" width="12" style="16" customWidth="1"/>
    <col min="12293" max="12293" width="11.5703125" style="16" customWidth="1"/>
    <col min="12294" max="12294" width="11.7109375" style="16" customWidth="1"/>
    <col min="12295" max="12295" width="17.5703125" style="16" customWidth="1"/>
    <col min="12296" max="12296" width="6.42578125" style="16" customWidth="1"/>
    <col min="12297" max="12297" width="29.28515625" style="16" customWidth="1"/>
    <col min="12298" max="12298" width="18.85546875" style="16" customWidth="1"/>
    <col min="12299" max="12540" width="9.140625" style="16"/>
    <col min="12541" max="12541" width="11.7109375" style="16" customWidth="1"/>
    <col min="12542" max="12542" width="16.7109375" style="16" customWidth="1"/>
    <col min="12543" max="12543" width="14.42578125" style="16" customWidth="1"/>
    <col min="12544" max="12544" width="13.140625" style="16" customWidth="1"/>
    <col min="12545" max="12545" width="13.28515625" style="16" customWidth="1"/>
    <col min="12546" max="12546" width="11.85546875" style="16" customWidth="1"/>
    <col min="12547" max="12547" width="16" style="16" customWidth="1"/>
    <col min="12548" max="12548" width="12" style="16" customWidth="1"/>
    <col min="12549" max="12549" width="11.5703125" style="16" customWidth="1"/>
    <col min="12550" max="12550" width="11.7109375" style="16" customWidth="1"/>
    <col min="12551" max="12551" width="17.5703125" style="16" customWidth="1"/>
    <col min="12552" max="12552" width="6.42578125" style="16" customWidth="1"/>
    <col min="12553" max="12553" width="29.28515625" style="16" customWidth="1"/>
    <col min="12554" max="12554" width="18.85546875" style="16" customWidth="1"/>
    <col min="12555" max="12796" width="9.140625" style="16"/>
    <col min="12797" max="12797" width="11.7109375" style="16" customWidth="1"/>
    <col min="12798" max="12798" width="16.7109375" style="16" customWidth="1"/>
    <col min="12799" max="12799" width="14.42578125" style="16" customWidth="1"/>
    <col min="12800" max="12800" width="13.140625" style="16" customWidth="1"/>
    <col min="12801" max="12801" width="13.28515625" style="16" customWidth="1"/>
    <col min="12802" max="12802" width="11.85546875" style="16" customWidth="1"/>
    <col min="12803" max="12803" width="16" style="16" customWidth="1"/>
    <col min="12804" max="12804" width="12" style="16" customWidth="1"/>
    <col min="12805" max="12805" width="11.5703125" style="16" customWidth="1"/>
    <col min="12806" max="12806" width="11.7109375" style="16" customWidth="1"/>
    <col min="12807" max="12807" width="17.5703125" style="16" customWidth="1"/>
    <col min="12808" max="12808" width="6.42578125" style="16" customWidth="1"/>
    <col min="12809" max="12809" width="29.28515625" style="16" customWidth="1"/>
    <col min="12810" max="12810" width="18.85546875" style="16" customWidth="1"/>
    <col min="12811" max="13052" width="9.140625" style="16"/>
    <col min="13053" max="13053" width="11.7109375" style="16" customWidth="1"/>
    <col min="13054" max="13054" width="16.7109375" style="16" customWidth="1"/>
    <col min="13055" max="13055" width="14.42578125" style="16" customWidth="1"/>
    <col min="13056" max="13056" width="13.140625" style="16" customWidth="1"/>
    <col min="13057" max="13057" width="13.28515625" style="16" customWidth="1"/>
    <col min="13058" max="13058" width="11.85546875" style="16" customWidth="1"/>
    <col min="13059" max="13059" width="16" style="16" customWidth="1"/>
    <col min="13060" max="13060" width="12" style="16" customWidth="1"/>
    <col min="13061" max="13061" width="11.5703125" style="16" customWidth="1"/>
    <col min="13062" max="13062" width="11.7109375" style="16" customWidth="1"/>
    <col min="13063" max="13063" width="17.5703125" style="16" customWidth="1"/>
    <col min="13064" max="13064" width="6.42578125" style="16" customWidth="1"/>
    <col min="13065" max="13065" width="29.28515625" style="16" customWidth="1"/>
    <col min="13066" max="13066" width="18.85546875" style="16" customWidth="1"/>
    <col min="13067" max="13308" width="9.140625" style="16"/>
    <col min="13309" max="13309" width="11.7109375" style="16" customWidth="1"/>
    <col min="13310" max="13310" width="16.7109375" style="16" customWidth="1"/>
    <col min="13311" max="13311" width="14.42578125" style="16" customWidth="1"/>
    <col min="13312" max="13312" width="13.140625" style="16" customWidth="1"/>
    <col min="13313" max="13313" width="13.28515625" style="16" customWidth="1"/>
    <col min="13314" max="13314" width="11.85546875" style="16" customWidth="1"/>
    <col min="13315" max="13315" width="16" style="16" customWidth="1"/>
    <col min="13316" max="13316" width="12" style="16" customWidth="1"/>
    <col min="13317" max="13317" width="11.5703125" style="16" customWidth="1"/>
    <col min="13318" max="13318" width="11.7109375" style="16" customWidth="1"/>
    <col min="13319" max="13319" width="17.5703125" style="16" customWidth="1"/>
    <col min="13320" max="13320" width="6.42578125" style="16" customWidth="1"/>
    <col min="13321" max="13321" width="29.28515625" style="16" customWidth="1"/>
    <col min="13322" max="13322" width="18.85546875" style="16" customWidth="1"/>
    <col min="13323" max="13564" width="9.140625" style="16"/>
    <col min="13565" max="13565" width="11.7109375" style="16" customWidth="1"/>
    <col min="13566" max="13566" width="16.7109375" style="16" customWidth="1"/>
    <col min="13567" max="13567" width="14.42578125" style="16" customWidth="1"/>
    <col min="13568" max="13568" width="13.140625" style="16" customWidth="1"/>
    <col min="13569" max="13569" width="13.28515625" style="16" customWidth="1"/>
    <col min="13570" max="13570" width="11.85546875" style="16" customWidth="1"/>
    <col min="13571" max="13571" width="16" style="16" customWidth="1"/>
    <col min="13572" max="13572" width="12" style="16" customWidth="1"/>
    <col min="13573" max="13573" width="11.5703125" style="16" customWidth="1"/>
    <col min="13574" max="13574" width="11.7109375" style="16" customWidth="1"/>
    <col min="13575" max="13575" width="17.5703125" style="16" customWidth="1"/>
    <col min="13576" max="13576" width="6.42578125" style="16" customWidth="1"/>
    <col min="13577" max="13577" width="29.28515625" style="16" customWidth="1"/>
    <col min="13578" max="13578" width="18.85546875" style="16" customWidth="1"/>
    <col min="13579" max="13820" width="9.140625" style="16"/>
    <col min="13821" max="13821" width="11.7109375" style="16" customWidth="1"/>
    <col min="13822" max="13822" width="16.7109375" style="16" customWidth="1"/>
    <col min="13823" max="13823" width="14.42578125" style="16" customWidth="1"/>
    <col min="13824" max="13824" width="13.140625" style="16" customWidth="1"/>
    <col min="13825" max="13825" width="13.28515625" style="16" customWidth="1"/>
    <col min="13826" max="13826" width="11.85546875" style="16" customWidth="1"/>
    <col min="13827" max="13827" width="16" style="16" customWidth="1"/>
    <col min="13828" max="13828" width="12" style="16" customWidth="1"/>
    <col min="13829" max="13829" width="11.5703125" style="16" customWidth="1"/>
    <col min="13830" max="13830" width="11.7109375" style="16" customWidth="1"/>
    <col min="13831" max="13831" width="17.5703125" style="16" customWidth="1"/>
    <col min="13832" max="13832" width="6.42578125" style="16" customWidth="1"/>
    <col min="13833" max="13833" width="29.28515625" style="16" customWidth="1"/>
    <col min="13834" max="13834" width="18.85546875" style="16" customWidth="1"/>
    <col min="13835" max="14076" width="9.140625" style="16"/>
    <col min="14077" max="14077" width="11.7109375" style="16" customWidth="1"/>
    <col min="14078" max="14078" width="16.7109375" style="16" customWidth="1"/>
    <col min="14079" max="14079" width="14.42578125" style="16" customWidth="1"/>
    <col min="14080" max="14080" width="13.140625" style="16" customWidth="1"/>
    <col min="14081" max="14081" width="13.28515625" style="16" customWidth="1"/>
    <col min="14082" max="14082" width="11.85546875" style="16" customWidth="1"/>
    <col min="14083" max="14083" width="16" style="16" customWidth="1"/>
    <col min="14084" max="14084" width="12" style="16" customWidth="1"/>
    <col min="14085" max="14085" width="11.5703125" style="16" customWidth="1"/>
    <col min="14086" max="14086" width="11.7109375" style="16" customWidth="1"/>
    <col min="14087" max="14087" width="17.5703125" style="16" customWidth="1"/>
    <col min="14088" max="14088" width="6.42578125" style="16" customWidth="1"/>
    <col min="14089" max="14089" width="29.28515625" style="16" customWidth="1"/>
    <col min="14090" max="14090" width="18.85546875" style="16" customWidth="1"/>
    <col min="14091" max="14332" width="9.140625" style="16"/>
    <col min="14333" max="14333" width="11.7109375" style="16" customWidth="1"/>
    <col min="14334" max="14334" width="16.7109375" style="16" customWidth="1"/>
    <col min="14335" max="14335" width="14.42578125" style="16" customWidth="1"/>
    <col min="14336" max="14336" width="13.140625" style="16" customWidth="1"/>
    <col min="14337" max="14337" width="13.28515625" style="16" customWidth="1"/>
    <col min="14338" max="14338" width="11.85546875" style="16" customWidth="1"/>
    <col min="14339" max="14339" width="16" style="16" customWidth="1"/>
    <col min="14340" max="14340" width="12" style="16" customWidth="1"/>
    <col min="14341" max="14341" width="11.5703125" style="16" customWidth="1"/>
    <col min="14342" max="14342" width="11.7109375" style="16" customWidth="1"/>
    <col min="14343" max="14343" width="17.5703125" style="16" customWidth="1"/>
    <col min="14344" max="14344" width="6.42578125" style="16" customWidth="1"/>
    <col min="14345" max="14345" width="29.28515625" style="16" customWidth="1"/>
    <col min="14346" max="14346" width="18.85546875" style="16" customWidth="1"/>
    <col min="14347" max="14588" width="9.140625" style="16"/>
    <col min="14589" max="14589" width="11.7109375" style="16" customWidth="1"/>
    <col min="14590" max="14590" width="16.7109375" style="16" customWidth="1"/>
    <col min="14591" max="14591" width="14.42578125" style="16" customWidth="1"/>
    <col min="14592" max="14592" width="13.140625" style="16" customWidth="1"/>
    <col min="14593" max="14593" width="13.28515625" style="16" customWidth="1"/>
    <col min="14594" max="14594" width="11.85546875" style="16" customWidth="1"/>
    <col min="14595" max="14595" width="16" style="16" customWidth="1"/>
    <col min="14596" max="14596" width="12" style="16" customWidth="1"/>
    <col min="14597" max="14597" width="11.5703125" style="16" customWidth="1"/>
    <col min="14598" max="14598" width="11.7109375" style="16" customWidth="1"/>
    <col min="14599" max="14599" width="17.5703125" style="16" customWidth="1"/>
    <col min="14600" max="14600" width="6.42578125" style="16" customWidth="1"/>
    <col min="14601" max="14601" width="29.28515625" style="16" customWidth="1"/>
    <col min="14602" max="14602" width="18.85546875" style="16" customWidth="1"/>
    <col min="14603" max="14844" width="9.140625" style="16"/>
    <col min="14845" max="14845" width="11.7109375" style="16" customWidth="1"/>
    <col min="14846" max="14846" width="16.7109375" style="16" customWidth="1"/>
    <col min="14847" max="14847" width="14.42578125" style="16" customWidth="1"/>
    <col min="14848" max="14848" width="13.140625" style="16" customWidth="1"/>
    <col min="14849" max="14849" width="13.28515625" style="16" customWidth="1"/>
    <col min="14850" max="14850" width="11.85546875" style="16" customWidth="1"/>
    <col min="14851" max="14851" width="16" style="16" customWidth="1"/>
    <col min="14852" max="14852" width="12" style="16" customWidth="1"/>
    <col min="14853" max="14853" width="11.5703125" style="16" customWidth="1"/>
    <col min="14854" max="14854" width="11.7109375" style="16" customWidth="1"/>
    <col min="14855" max="14855" width="17.5703125" style="16" customWidth="1"/>
    <col min="14856" max="14856" width="6.42578125" style="16" customWidth="1"/>
    <col min="14857" max="14857" width="29.28515625" style="16" customWidth="1"/>
    <col min="14858" max="14858" width="18.85546875" style="16" customWidth="1"/>
    <col min="14859" max="15100" width="9.140625" style="16"/>
    <col min="15101" max="15101" width="11.7109375" style="16" customWidth="1"/>
    <col min="15102" max="15102" width="16.7109375" style="16" customWidth="1"/>
    <col min="15103" max="15103" width="14.42578125" style="16" customWidth="1"/>
    <col min="15104" max="15104" width="13.140625" style="16" customWidth="1"/>
    <col min="15105" max="15105" width="13.28515625" style="16" customWidth="1"/>
    <col min="15106" max="15106" width="11.85546875" style="16" customWidth="1"/>
    <col min="15107" max="15107" width="16" style="16" customWidth="1"/>
    <col min="15108" max="15108" width="12" style="16" customWidth="1"/>
    <col min="15109" max="15109" width="11.5703125" style="16" customWidth="1"/>
    <col min="15110" max="15110" width="11.7109375" style="16" customWidth="1"/>
    <col min="15111" max="15111" width="17.5703125" style="16" customWidth="1"/>
    <col min="15112" max="15112" width="6.42578125" style="16" customWidth="1"/>
    <col min="15113" max="15113" width="29.28515625" style="16" customWidth="1"/>
    <col min="15114" max="15114" width="18.85546875" style="16" customWidth="1"/>
    <col min="15115" max="15356" width="9.140625" style="16"/>
    <col min="15357" max="15357" width="11.7109375" style="16" customWidth="1"/>
    <col min="15358" max="15358" width="16.7109375" style="16" customWidth="1"/>
    <col min="15359" max="15359" width="14.42578125" style="16" customWidth="1"/>
    <col min="15360" max="15360" width="13.140625" style="16" customWidth="1"/>
    <col min="15361" max="15361" width="13.28515625" style="16" customWidth="1"/>
    <col min="15362" max="15362" width="11.85546875" style="16" customWidth="1"/>
    <col min="15363" max="15363" width="16" style="16" customWidth="1"/>
    <col min="15364" max="15364" width="12" style="16" customWidth="1"/>
    <col min="15365" max="15365" width="11.5703125" style="16" customWidth="1"/>
    <col min="15366" max="15366" width="11.7109375" style="16" customWidth="1"/>
    <col min="15367" max="15367" width="17.5703125" style="16" customWidth="1"/>
    <col min="15368" max="15368" width="6.42578125" style="16" customWidth="1"/>
    <col min="15369" max="15369" width="29.28515625" style="16" customWidth="1"/>
    <col min="15370" max="15370" width="18.85546875" style="16" customWidth="1"/>
    <col min="15371" max="15612" width="9.140625" style="16"/>
    <col min="15613" max="15613" width="11.7109375" style="16" customWidth="1"/>
    <col min="15614" max="15614" width="16.7109375" style="16" customWidth="1"/>
    <col min="15615" max="15615" width="14.42578125" style="16" customWidth="1"/>
    <col min="15616" max="15616" width="13.140625" style="16" customWidth="1"/>
    <col min="15617" max="15617" width="13.28515625" style="16" customWidth="1"/>
    <col min="15618" max="15618" width="11.85546875" style="16" customWidth="1"/>
    <col min="15619" max="15619" width="16" style="16" customWidth="1"/>
    <col min="15620" max="15620" width="12" style="16" customWidth="1"/>
    <col min="15621" max="15621" width="11.5703125" style="16" customWidth="1"/>
    <col min="15622" max="15622" width="11.7109375" style="16" customWidth="1"/>
    <col min="15623" max="15623" width="17.5703125" style="16" customWidth="1"/>
    <col min="15624" max="15624" width="6.42578125" style="16" customWidth="1"/>
    <col min="15625" max="15625" width="29.28515625" style="16" customWidth="1"/>
    <col min="15626" max="15626" width="18.85546875" style="16" customWidth="1"/>
    <col min="15627" max="15868" width="9.140625" style="16"/>
    <col min="15869" max="15869" width="11.7109375" style="16" customWidth="1"/>
    <col min="15870" max="15870" width="16.7109375" style="16" customWidth="1"/>
    <col min="15871" max="15871" width="14.42578125" style="16" customWidth="1"/>
    <col min="15872" max="15872" width="13.140625" style="16" customWidth="1"/>
    <col min="15873" max="15873" width="13.28515625" style="16" customWidth="1"/>
    <col min="15874" max="15874" width="11.85546875" style="16" customWidth="1"/>
    <col min="15875" max="15875" width="16" style="16" customWidth="1"/>
    <col min="15876" max="15876" width="12" style="16" customWidth="1"/>
    <col min="15877" max="15877" width="11.5703125" style="16" customWidth="1"/>
    <col min="15878" max="15878" width="11.7109375" style="16" customWidth="1"/>
    <col min="15879" max="15879" width="17.5703125" style="16" customWidth="1"/>
    <col min="15880" max="15880" width="6.42578125" style="16" customWidth="1"/>
    <col min="15881" max="15881" width="29.28515625" style="16" customWidth="1"/>
    <col min="15882" max="15882" width="18.85546875" style="16" customWidth="1"/>
    <col min="15883" max="16124" width="9.140625" style="16"/>
    <col min="16125" max="16125" width="11.7109375" style="16" customWidth="1"/>
    <col min="16126" max="16126" width="16.7109375" style="16" customWidth="1"/>
    <col min="16127" max="16127" width="14.42578125" style="16" customWidth="1"/>
    <col min="16128" max="16128" width="13.140625" style="16" customWidth="1"/>
    <col min="16129" max="16129" width="13.28515625" style="16" customWidth="1"/>
    <col min="16130" max="16130" width="11.85546875" style="16" customWidth="1"/>
    <col min="16131" max="16131" width="16" style="16" customWidth="1"/>
    <col min="16132" max="16132" width="12" style="16" customWidth="1"/>
    <col min="16133" max="16133" width="11.5703125" style="16" customWidth="1"/>
    <col min="16134" max="16134" width="11.7109375" style="16" customWidth="1"/>
    <col min="16135" max="16135" width="17.5703125" style="16" customWidth="1"/>
    <col min="16136" max="16136" width="6.42578125" style="16" customWidth="1"/>
    <col min="16137" max="16137" width="29.28515625" style="16" customWidth="1"/>
    <col min="16138" max="16138" width="18.85546875" style="16" customWidth="1"/>
    <col min="16139" max="16384" width="9.140625" style="16"/>
  </cols>
  <sheetData>
    <row r="1" spans="1:23" x14ac:dyDescent="0.2">
      <c r="J1" s="18" t="s">
        <v>1001</v>
      </c>
    </row>
    <row r="2" spans="1:23" ht="33.75" customHeight="1" x14ac:dyDescent="0.2">
      <c r="B2" s="645" t="s">
        <v>926</v>
      </c>
      <c r="C2" s="645"/>
      <c r="D2" s="645"/>
      <c r="E2" s="645"/>
      <c r="F2" s="645"/>
      <c r="G2" s="645"/>
      <c r="H2" s="645"/>
      <c r="I2" s="645"/>
      <c r="J2" s="645"/>
      <c r="K2" s="352"/>
      <c r="L2" s="352"/>
      <c r="T2" s="19"/>
    </row>
    <row r="3" spans="1:23" s="20" customFormat="1" ht="45" customHeight="1" x14ac:dyDescent="0.25">
      <c r="A3" s="21"/>
      <c r="B3" s="661" t="s">
        <v>607</v>
      </c>
      <c r="C3" s="353" t="s">
        <v>191</v>
      </c>
      <c r="D3" s="354" t="s">
        <v>192</v>
      </c>
      <c r="E3" s="650" t="s">
        <v>193</v>
      </c>
      <c r="F3" s="652" t="s">
        <v>194</v>
      </c>
      <c r="G3" s="354" t="s">
        <v>924</v>
      </c>
      <c r="H3" s="354" t="s">
        <v>195</v>
      </c>
      <c r="I3" s="654" t="s">
        <v>196</v>
      </c>
      <c r="J3" s="354" t="s">
        <v>197</v>
      </c>
      <c r="K3" s="25"/>
      <c r="L3" s="25"/>
      <c r="M3" s="25"/>
      <c r="N3" s="22"/>
      <c r="O3" s="22"/>
      <c r="Q3" s="22"/>
      <c r="R3" s="22"/>
      <c r="S3" s="22"/>
      <c r="T3" s="22"/>
    </row>
    <row r="4" spans="1:23" s="23" customFormat="1" ht="27.75" customHeight="1" thickBot="1" x14ac:dyDescent="0.25">
      <c r="A4" s="24"/>
      <c r="B4" s="662"/>
      <c r="C4" s="355" t="s">
        <v>198</v>
      </c>
      <c r="D4" s="356" t="s">
        <v>199</v>
      </c>
      <c r="E4" s="651"/>
      <c r="F4" s="653"/>
      <c r="G4" s="356" t="s">
        <v>199</v>
      </c>
      <c r="H4" s="356" t="s">
        <v>199</v>
      </c>
      <c r="I4" s="655"/>
      <c r="J4" s="357" t="s">
        <v>925</v>
      </c>
      <c r="K4" s="18"/>
      <c r="L4" s="18"/>
      <c r="M4" s="18"/>
      <c r="N4" s="25"/>
      <c r="O4" s="25"/>
      <c r="Q4" s="25"/>
      <c r="R4" s="25"/>
      <c r="S4" s="25"/>
      <c r="T4" s="25"/>
    </row>
    <row r="5" spans="1:23" ht="13.5" thickTop="1" x14ac:dyDescent="0.2">
      <c r="A5" s="649"/>
      <c r="B5" s="622" t="s">
        <v>200</v>
      </c>
      <c r="C5" s="358" t="s">
        <v>201</v>
      </c>
      <c r="D5" s="631">
        <v>841930.56</v>
      </c>
      <c r="E5" s="359">
        <v>37391</v>
      </c>
      <c r="F5" s="360" t="s">
        <v>202</v>
      </c>
      <c r="G5" s="631">
        <v>31097.95</v>
      </c>
      <c r="H5" s="631">
        <v>440270.79</v>
      </c>
      <c r="I5" s="656">
        <v>2032</v>
      </c>
      <c r="J5" s="643">
        <f>D5-H5</f>
        <v>401659.77000000008</v>
      </c>
      <c r="K5" s="18"/>
      <c r="L5" s="18"/>
      <c r="M5" s="18"/>
      <c r="P5" s="16"/>
      <c r="S5" s="18"/>
      <c r="U5" s="16"/>
      <c r="V5" s="16"/>
      <c r="W5" s="16"/>
    </row>
    <row r="6" spans="1:23" x14ac:dyDescent="0.2">
      <c r="A6" s="649"/>
      <c r="B6" s="623"/>
      <c r="C6" s="362">
        <v>37313</v>
      </c>
      <c r="D6" s="632"/>
      <c r="E6" s="363">
        <v>119634</v>
      </c>
      <c r="F6" s="363">
        <v>119634</v>
      </c>
      <c r="G6" s="632"/>
      <c r="H6" s="632"/>
      <c r="I6" s="646"/>
      <c r="J6" s="644"/>
      <c r="K6" s="18"/>
      <c r="L6" s="18"/>
      <c r="M6" s="18"/>
      <c r="P6" s="16"/>
      <c r="S6" s="18"/>
      <c r="U6" s="16"/>
      <c r="V6" s="16"/>
      <c r="W6" s="16"/>
    </row>
    <row r="7" spans="1:23" x14ac:dyDescent="0.2">
      <c r="A7" s="649"/>
      <c r="B7" s="623"/>
      <c r="C7" s="362"/>
      <c r="D7" s="632"/>
      <c r="E7" s="364">
        <f>E6/30.126</f>
        <v>3971.1212905795655</v>
      </c>
      <c r="F7" s="365">
        <f>F6/30.126</f>
        <v>3971.1212905795655</v>
      </c>
      <c r="G7" s="632"/>
      <c r="H7" s="632"/>
      <c r="I7" s="646"/>
      <c r="J7" s="644"/>
      <c r="K7" s="18"/>
      <c r="L7" s="18"/>
      <c r="M7" s="18"/>
      <c r="P7" s="16"/>
      <c r="S7" s="18"/>
      <c r="U7" s="16"/>
      <c r="V7" s="16"/>
      <c r="W7" s="16"/>
    </row>
    <row r="8" spans="1:23" x14ac:dyDescent="0.2">
      <c r="A8" s="649"/>
      <c r="B8" s="623" t="s">
        <v>605</v>
      </c>
      <c r="C8" s="366" t="s">
        <v>203</v>
      </c>
      <c r="D8" s="632">
        <v>1529840</v>
      </c>
      <c r="E8" s="367" t="s">
        <v>204</v>
      </c>
      <c r="F8" s="368" t="s">
        <v>205</v>
      </c>
      <c r="G8" s="632">
        <v>45360.35</v>
      </c>
      <c r="H8" s="632">
        <v>204646.56</v>
      </c>
      <c r="I8" s="646" t="s">
        <v>206</v>
      </c>
      <c r="J8" s="644">
        <f>D8-H8</f>
        <v>1325193.44</v>
      </c>
      <c r="K8" s="18"/>
      <c r="L8" s="18"/>
      <c r="M8" s="18"/>
      <c r="P8" s="16"/>
      <c r="S8" s="18"/>
      <c r="U8" s="16"/>
      <c r="V8" s="16"/>
      <c r="W8" s="16"/>
    </row>
    <row r="9" spans="1:23" x14ac:dyDescent="0.2">
      <c r="A9" s="649"/>
      <c r="B9" s="623"/>
      <c r="C9" s="362">
        <v>43012</v>
      </c>
      <c r="D9" s="632"/>
      <c r="E9" s="369">
        <v>4920.57</v>
      </c>
      <c r="F9" s="363" t="s">
        <v>207</v>
      </c>
      <c r="G9" s="632"/>
      <c r="H9" s="632"/>
      <c r="I9" s="646"/>
      <c r="J9" s="644"/>
      <c r="K9" s="18"/>
      <c r="L9" s="18"/>
      <c r="M9" s="18"/>
      <c r="P9" s="16"/>
      <c r="S9" s="18"/>
      <c r="U9" s="16"/>
      <c r="V9" s="16"/>
      <c r="W9" s="16"/>
    </row>
    <row r="10" spans="1:23" x14ac:dyDescent="0.2">
      <c r="A10" s="649"/>
      <c r="B10" s="623"/>
      <c r="C10" s="362"/>
      <c r="D10" s="632"/>
      <c r="E10" s="364"/>
      <c r="F10" s="365">
        <v>4920.57</v>
      </c>
      <c r="G10" s="632"/>
      <c r="H10" s="632"/>
      <c r="I10" s="646"/>
      <c r="J10" s="644"/>
      <c r="K10" s="18"/>
      <c r="L10" s="18"/>
      <c r="M10" s="18"/>
      <c r="P10" s="16"/>
      <c r="S10" s="18"/>
      <c r="U10" s="16"/>
      <c r="V10" s="16"/>
      <c r="W10" s="16"/>
    </row>
    <row r="11" spans="1:23" ht="12.75" customHeight="1" x14ac:dyDescent="0.2">
      <c r="A11" s="649"/>
      <c r="B11" s="623" t="s">
        <v>606</v>
      </c>
      <c r="C11" s="366" t="s">
        <v>208</v>
      </c>
      <c r="D11" s="632">
        <v>770210</v>
      </c>
      <c r="E11" s="367"/>
      <c r="F11" s="368" t="s">
        <v>205</v>
      </c>
      <c r="G11" s="632">
        <v>22721.27</v>
      </c>
      <c r="H11" s="632">
        <v>91549.5</v>
      </c>
      <c r="I11" s="646" t="s">
        <v>465</v>
      </c>
      <c r="J11" s="644">
        <f>D11-H11</f>
        <v>678660.5</v>
      </c>
      <c r="K11" s="18"/>
      <c r="L11" s="18"/>
      <c r="M11" s="18"/>
      <c r="P11" s="16"/>
      <c r="S11" s="18"/>
      <c r="U11" s="16"/>
      <c r="V11" s="16"/>
      <c r="W11" s="16"/>
    </row>
    <row r="12" spans="1:23" ht="15" customHeight="1" x14ac:dyDescent="0.2">
      <c r="A12" s="649"/>
      <c r="B12" s="623"/>
      <c r="C12" s="362">
        <v>42153</v>
      </c>
      <c r="D12" s="632"/>
      <c r="E12" s="369">
        <v>2477.3000000000002</v>
      </c>
      <c r="F12" s="363" t="s">
        <v>207</v>
      </c>
      <c r="G12" s="632"/>
      <c r="H12" s="632"/>
      <c r="I12" s="646"/>
      <c r="J12" s="644"/>
      <c r="K12" s="18"/>
      <c r="L12" s="18"/>
      <c r="M12" s="18"/>
      <c r="P12" s="16"/>
      <c r="S12" s="18"/>
      <c r="U12" s="16"/>
      <c r="V12" s="16"/>
      <c r="W12" s="16"/>
    </row>
    <row r="13" spans="1:23" ht="13.5" thickBot="1" x14ac:dyDescent="0.25">
      <c r="A13" s="649"/>
      <c r="B13" s="624"/>
      <c r="C13" s="370"/>
      <c r="D13" s="633"/>
      <c r="E13" s="371"/>
      <c r="F13" s="372">
        <v>2477.3000000000002</v>
      </c>
      <c r="G13" s="633"/>
      <c r="H13" s="633"/>
      <c r="I13" s="647"/>
      <c r="J13" s="648"/>
      <c r="K13" s="18"/>
      <c r="L13" s="18"/>
      <c r="M13" s="18"/>
      <c r="S13" s="18"/>
      <c r="U13" s="16"/>
      <c r="V13" s="16"/>
      <c r="W13" s="16"/>
    </row>
    <row r="14" spans="1:23" ht="13.5" thickTop="1" x14ac:dyDescent="0.2">
      <c r="A14" s="649"/>
      <c r="B14" s="641" t="s">
        <v>209</v>
      </c>
      <c r="C14" s="373" t="s">
        <v>210</v>
      </c>
      <c r="D14" s="614">
        <f>368304.35+431752.15+120352.68+136825.05+133512.73</f>
        <v>1190746.96</v>
      </c>
      <c r="E14" s="374" t="s">
        <v>211</v>
      </c>
      <c r="F14" s="375" t="s">
        <v>212</v>
      </c>
      <c r="G14" s="614">
        <f>10530*12</f>
        <v>126360</v>
      </c>
      <c r="H14" s="614">
        <v>1137240</v>
      </c>
      <c r="I14" s="618">
        <v>45107</v>
      </c>
      <c r="J14" s="620">
        <f>D14-H14</f>
        <v>53506.959999999963</v>
      </c>
      <c r="K14" s="18"/>
      <c r="L14" s="18"/>
      <c r="M14" s="18"/>
      <c r="P14" s="16"/>
      <c r="S14" s="18"/>
      <c r="U14" s="16"/>
      <c r="V14" s="16"/>
      <c r="W14" s="16"/>
    </row>
    <row r="15" spans="1:23" x14ac:dyDescent="0.2">
      <c r="A15" s="649"/>
      <c r="B15" s="639"/>
      <c r="C15" s="362">
        <v>41470</v>
      </c>
      <c r="D15" s="632"/>
      <c r="E15" s="365">
        <v>10530</v>
      </c>
      <c r="F15" s="368"/>
      <c r="G15" s="632"/>
      <c r="H15" s="632"/>
      <c r="I15" s="634"/>
      <c r="J15" s="635"/>
      <c r="K15" s="18"/>
      <c r="L15" s="18"/>
      <c r="M15" s="18"/>
      <c r="P15" s="16"/>
      <c r="S15" s="18"/>
      <c r="U15" s="16"/>
      <c r="V15" s="16"/>
      <c r="W15" s="16"/>
    </row>
    <row r="16" spans="1:23" ht="13.5" thickBot="1" x14ac:dyDescent="0.25">
      <c r="A16" s="649"/>
      <c r="B16" s="642"/>
      <c r="C16" s="378" t="s">
        <v>213</v>
      </c>
      <c r="D16" s="615"/>
      <c r="E16" s="379"/>
      <c r="F16" s="380" t="s">
        <v>214</v>
      </c>
      <c r="G16" s="615"/>
      <c r="H16" s="615"/>
      <c r="I16" s="619"/>
      <c r="J16" s="621"/>
      <c r="K16" s="18"/>
      <c r="L16" s="18"/>
      <c r="M16" s="18"/>
      <c r="P16" s="16"/>
      <c r="S16" s="18"/>
      <c r="U16" s="16"/>
      <c r="V16" s="16"/>
      <c r="W16" s="16"/>
    </row>
    <row r="17" spans="1:23" ht="13.5" thickTop="1" x14ac:dyDescent="0.2">
      <c r="A17" s="649"/>
      <c r="B17" s="638" t="s">
        <v>209</v>
      </c>
      <c r="C17" s="359" t="s">
        <v>215</v>
      </c>
      <c r="D17" s="631">
        <v>1000000</v>
      </c>
      <c r="E17" s="382" t="s">
        <v>216</v>
      </c>
      <c r="F17" s="383" t="s">
        <v>217</v>
      </c>
      <c r="G17" s="631">
        <f>8334*12</f>
        <v>100008</v>
      </c>
      <c r="H17" s="631">
        <v>600048</v>
      </c>
      <c r="I17" s="610">
        <v>46387</v>
      </c>
      <c r="J17" s="612">
        <f>D17-H17</f>
        <v>399952</v>
      </c>
      <c r="K17" s="18"/>
      <c r="L17" s="18"/>
      <c r="M17" s="18"/>
      <c r="P17" s="16"/>
      <c r="S17" s="18"/>
      <c r="U17" s="16"/>
      <c r="V17" s="16"/>
      <c r="W17" s="16"/>
    </row>
    <row r="18" spans="1:23" x14ac:dyDescent="0.2">
      <c r="A18" s="649"/>
      <c r="B18" s="639"/>
      <c r="C18" s="362">
        <v>42655</v>
      </c>
      <c r="D18" s="632"/>
      <c r="E18" s="365">
        <v>8334</v>
      </c>
      <c r="F18" s="368"/>
      <c r="G18" s="632"/>
      <c r="H18" s="632"/>
      <c r="I18" s="634"/>
      <c r="J18" s="635"/>
      <c r="K18" s="18"/>
      <c r="L18" s="18"/>
      <c r="M18" s="18"/>
      <c r="P18" s="16"/>
      <c r="S18" s="18"/>
      <c r="U18" s="16"/>
      <c r="V18" s="16"/>
      <c r="W18" s="16"/>
    </row>
    <row r="19" spans="1:23" ht="13.5" thickBot="1" x14ac:dyDescent="0.25">
      <c r="A19" s="649"/>
      <c r="B19" s="640"/>
      <c r="C19" s="370"/>
      <c r="D19" s="633"/>
      <c r="E19" s="372"/>
      <c r="F19" s="385" t="s">
        <v>218</v>
      </c>
      <c r="G19" s="633"/>
      <c r="H19" s="633"/>
      <c r="I19" s="611"/>
      <c r="J19" s="613"/>
      <c r="K19" s="18"/>
      <c r="L19" s="18"/>
      <c r="M19" s="18"/>
      <c r="P19" s="16"/>
      <c r="S19" s="18"/>
      <c r="U19" s="16"/>
      <c r="V19" s="16"/>
      <c r="W19" s="16"/>
    </row>
    <row r="20" spans="1:23" ht="13.5" thickTop="1" x14ac:dyDescent="0.2">
      <c r="A20" s="649"/>
      <c r="B20" s="641" t="s">
        <v>209</v>
      </c>
      <c r="C20" s="373" t="s">
        <v>219</v>
      </c>
      <c r="D20" s="614">
        <v>3210000</v>
      </c>
      <c r="E20" s="374" t="s">
        <v>220</v>
      </c>
      <c r="F20" s="375" t="s">
        <v>221</v>
      </c>
      <c r="G20" s="614">
        <f>26750*12</f>
        <v>321000</v>
      </c>
      <c r="H20" s="614">
        <v>1284000</v>
      </c>
      <c r="I20" s="618">
        <v>47118</v>
      </c>
      <c r="J20" s="620">
        <f>D20-H20</f>
        <v>1926000</v>
      </c>
      <c r="K20" s="18"/>
      <c r="L20" s="18"/>
      <c r="M20" s="18"/>
      <c r="P20" s="16"/>
      <c r="S20" s="18"/>
      <c r="U20" s="16"/>
      <c r="V20" s="16"/>
      <c r="W20" s="16"/>
    </row>
    <row r="21" spans="1:23" x14ac:dyDescent="0.2">
      <c r="A21" s="649"/>
      <c r="B21" s="639"/>
      <c r="C21" s="362">
        <v>43299</v>
      </c>
      <c r="D21" s="632"/>
      <c r="E21" s="365">
        <v>26750</v>
      </c>
      <c r="F21" s="368"/>
      <c r="G21" s="632"/>
      <c r="H21" s="632"/>
      <c r="I21" s="634"/>
      <c r="J21" s="635"/>
      <c r="K21" s="18"/>
      <c r="L21" s="18"/>
      <c r="M21" s="18"/>
      <c r="S21" s="18"/>
      <c r="U21" s="16"/>
      <c r="V21" s="16"/>
      <c r="W21" s="16"/>
    </row>
    <row r="22" spans="1:23" ht="13.5" thickBot="1" x14ac:dyDescent="0.25">
      <c r="A22" s="649"/>
      <c r="B22" s="642"/>
      <c r="C22" s="378"/>
      <c r="D22" s="615"/>
      <c r="E22" s="379"/>
      <c r="F22" s="380" t="s">
        <v>222</v>
      </c>
      <c r="G22" s="615"/>
      <c r="H22" s="615"/>
      <c r="I22" s="619"/>
      <c r="J22" s="621"/>
      <c r="K22" s="18"/>
      <c r="L22" s="18"/>
      <c r="M22" s="18"/>
      <c r="P22" s="16"/>
      <c r="S22" s="18"/>
      <c r="U22" s="16"/>
      <c r="V22" s="16"/>
      <c r="W22" s="16"/>
    </row>
    <row r="23" spans="1:23" ht="15" customHeight="1" thickTop="1" x14ac:dyDescent="0.2">
      <c r="A23" s="649"/>
      <c r="B23" s="638" t="s">
        <v>209</v>
      </c>
      <c r="C23" s="359" t="s">
        <v>459</v>
      </c>
      <c r="D23" s="631">
        <v>2050000</v>
      </c>
      <c r="E23" s="382" t="s">
        <v>460</v>
      </c>
      <c r="F23" s="383" t="s">
        <v>466</v>
      </c>
      <c r="G23" s="631">
        <f>17084*12</f>
        <v>205008</v>
      </c>
      <c r="H23" s="631">
        <v>615024</v>
      </c>
      <c r="I23" s="610">
        <v>47483</v>
      </c>
      <c r="J23" s="612">
        <f>D23-H23</f>
        <v>1434976</v>
      </c>
      <c r="K23" s="18"/>
      <c r="L23" s="18"/>
      <c r="M23" s="18"/>
      <c r="P23" s="16"/>
      <c r="S23" s="18"/>
      <c r="U23" s="16"/>
      <c r="V23" s="16"/>
      <c r="W23" s="16"/>
    </row>
    <row r="24" spans="1:23" ht="15" customHeight="1" x14ac:dyDescent="0.2">
      <c r="A24" s="649"/>
      <c r="B24" s="639"/>
      <c r="C24" s="362">
        <v>43753</v>
      </c>
      <c r="D24" s="632"/>
      <c r="E24" s="365">
        <v>17084</v>
      </c>
      <c r="F24" s="368"/>
      <c r="G24" s="632"/>
      <c r="H24" s="632"/>
      <c r="I24" s="634"/>
      <c r="J24" s="635"/>
      <c r="K24" s="18"/>
      <c r="L24" s="18"/>
      <c r="M24" s="18"/>
      <c r="P24" s="16"/>
      <c r="S24" s="18"/>
      <c r="U24" s="16"/>
      <c r="V24" s="16"/>
      <c r="W24" s="16"/>
    </row>
    <row r="25" spans="1:23" ht="15.75" customHeight="1" thickBot="1" x14ac:dyDescent="0.25">
      <c r="A25" s="649"/>
      <c r="B25" s="640"/>
      <c r="C25" s="370"/>
      <c r="D25" s="633"/>
      <c r="E25" s="372"/>
      <c r="F25" s="385" t="s">
        <v>461</v>
      </c>
      <c r="G25" s="633"/>
      <c r="H25" s="633"/>
      <c r="I25" s="611"/>
      <c r="J25" s="613"/>
      <c r="K25" s="18"/>
      <c r="L25" s="18"/>
      <c r="M25" s="18"/>
      <c r="P25" s="16"/>
      <c r="S25" s="18"/>
      <c r="U25" s="16"/>
      <c r="V25" s="16"/>
      <c r="W25" s="16"/>
    </row>
    <row r="26" spans="1:23" ht="15.75" customHeight="1" thickTop="1" x14ac:dyDescent="0.2">
      <c r="A26" s="649"/>
      <c r="B26" s="641" t="s">
        <v>209</v>
      </c>
      <c r="C26" s="373" t="s">
        <v>474</v>
      </c>
      <c r="D26" s="614">
        <v>1600000</v>
      </c>
      <c r="E26" s="374" t="s">
        <v>475</v>
      </c>
      <c r="F26" s="375" t="s">
        <v>476</v>
      </c>
      <c r="G26" s="614">
        <f>13333*12</f>
        <v>159996</v>
      </c>
      <c r="H26" s="614">
        <v>319992</v>
      </c>
      <c r="I26" s="618">
        <v>47848</v>
      </c>
      <c r="J26" s="620">
        <f>D26-H26</f>
        <v>1280008</v>
      </c>
      <c r="K26" s="18"/>
      <c r="L26" s="18"/>
      <c r="M26" s="18"/>
      <c r="P26" s="16"/>
      <c r="S26" s="18"/>
      <c r="U26" s="16"/>
      <c r="V26" s="16"/>
      <c r="W26" s="16"/>
    </row>
    <row r="27" spans="1:23" ht="15.75" customHeight="1" x14ac:dyDescent="0.2">
      <c r="A27" s="649"/>
      <c r="B27" s="639"/>
      <c r="C27" s="362">
        <v>43980</v>
      </c>
      <c r="D27" s="632"/>
      <c r="E27" s="365">
        <v>13333</v>
      </c>
      <c r="F27" s="368"/>
      <c r="G27" s="632"/>
      <c r="H27" s="632"/>
      <c r="I27" s="634"/>
      <c r="J27" s="635"/>
      <c r="K27" s="18"/>
      <c r="L27" s="18"/>
      <c r="M27" s="18"/>
      <c r="P27" s="16"/>
      <c r="S27" s="18"/>
      <c r="U27" s="16"/>
      <c r="V27" s="16"/>
      <c r="W27" s="16"/>
    </row>
    <row r="28" spans="1:23" ht="15.75" customHeight="1" thickBot="1" x14ac:dyDescent="0.25">
      <c r="A28" s="649"/>
      <c r="B28" s="642"/>
      <c r="C28" s="378"/>
      <c r="D28" s="615"/>
      <c r="E28" s="379"/>
      <c r="F28" s="380" t="s">
        <v>477</v>
      </c>
      <c r="G28" s="615"/>
      <c r="H28" s="615"/>
      <c r="I28" s="619"/>
      <c r="J28" s="621"/>
      <c r="K28" s="18"/>
      <c r="L28" s="18"/>
      <c r="M28" s="18"/>
      <c r="P28" s="16"/>
      <c r="S28" s="18"/>
      <c r="U28" s="16"/>
      <c r="V28" s="16"/>
      <c r="W28" s="16"/>
    </row>
    <row r="29" spans="1:23" ht="13.5" thickTop="1" x14ac:dyDescent="0.2">
      <c r="A29" s="649"/>
      <c r="B29" s="638" t="s">
        <v>223</v>
      </c>
      <c r="C29" s="359" t="s">
        <v>224</v>
      </c>
      <c r="D29" s="631">
        <v>2401468.7999999998</v>
      </c>
      <c r="E29" s="359">
        <v>42394</v>
      </c>
      <c r="F29" s="383" t="s">
        <v>225</v>
      </c>
      <c r="G29" s="631">
        <f>20012.24*12</f>
        <v>240146.88</v>
      </c>
      <c r="H29" s="631">
        <v>1681028.16</v>
      </c>
      <c r="I29" s="610">
        <v>46014</v>
      </c>
      <c r="J29" s="612">
        <f>D29-H29</f>
        <v>720440.6399999999</v>
      </c>
      <c r="K29" s="18"/>
      <c r="L29" s="18"/>
      <c r="M29" s="18"/>
      <c r="P29" s="16"/>
      <c r="S29" s="18"/>
      <c r="U29" s="16"/>
      <c r="V29" s="16"/>
      <c r="W29" s="16"/>
    </row>
    <row r="30" spans="1:23" x14ac:dyDescent="0.2">
      <c r="A30" s="649"/>
      <c r="B30" s="639"/>
      <c r="C30" s="362">
        <v>42142</v>
      </c>
      <c r="D30" s="632"/>
      <c r="E30" s="365">
        <v>20012.240000000002</v>
      </c>
      <c r="F30" s="368" t="s">
        <v>226</v>
      </c>
      <c r="G30" s="632"/>
      <c r="H30" s="632"/>
      <c r="I30" s="634"/>
      <c r="J30" s="635"/>
      <c r="K30" s="18"/>
      <c r="L30" s="18"/>
      <c r="M30" s="18"/>
      <c r="P30" s="16"/>
      <c r="S30" s="18"/>
      <c r="U30" s="16"/>
      <c r="V30" s="16"/>
      <c r="W30" s="16"/>
    </row>
    <row r="31" spans="1:23" ht="13.5" thickBot="1" x14ac:dyDescent="0.25">
      <c r="A31" s="649"/>
      <c r="B31" s="640"/>
      <c r="C31" s="370"/>
      <c r="D31" s="633"/>
      <c r="E31" s="372"/>
      <c r="F31" s="385"/>
      <c r="G31" s="633"/>
      <c r="H31" s="633"/>
      <c r="I31" s="611"/>
      <c r="J31" s="613"/>
      <c r="K31" s="18"/>
      <c r="L31" s="18"/>
      <c r="M31" s="18"/>
      <c r="P31" s="16"/>
      <c r="S31" s="18"/>
      <c r="U31" s="16"/>
      <c r="V31" s="16"/>
      <c r="W31" s="16"/>
    </row>
    <row r="32" spans="1:23" ht="13.5" thickTop="1" x14ac:dyDescent="0.2">
      <c r="A32" s="649"/>
      <c r="B32" s="641" t="s">
        <v>223</v>
      </c>
      <c r="C32" s="376" t="s">
        <v>227</v>
      </c>
      <c r="D32" s="614">
        <v>681759.94</v>
      </c>
      <c r="E32" s="376">
        <v>42034</v>
      </c>
      <c r="F32" s="375" t="s">
        <v>228</v>
      </c>
      <c r="G32" s="616">
        <f>5681.33*12</f>
        <v>68175.959999999992</v>
      </c>
      <c r="H32" s="614">
        <v>545407.68000000005</v>
      </c>
      <c r="I32" s="618">
        <v>45657</v>
      </c>
      <c r="J32" s="620">
        <f>D32-H32</f>
        <v>136352.25999999989</v>
      </c>
      <c r="K32" s="18"/>
      <c r="L32" s="18"/>
      <c r="M32" s="18"/>
      <c r="S32" s="18"/>
      <c r="U32" s="16"/>
      <c r="V32" s="16"/>
      <c r="W32" s="16"/>
    </row>
    <row r="33" spans="1:23" x14ac:dyDescent="0.2">
      <c r="A33" s="649"/>
      <c r="B33" s="639"/>
      <c r="C33" s="377"/>
      <c r="D33" s="632"/>
      <c r="E33" s="387"/>
      <c r="F33" s="368"/>
      <c r="G33" s="629"/>
      <c r="H33" s="632"/>
      <c r="I33" s="634"/>
      <c r="J33" s="635"/>
      <c r="K33" s="18"/>
      <c r="L33" s="18"/>
      <c r="M33" s="18"/>
      <c r="S33" s="18"/>
      <c r="U33" s="16"/>
      <c r="V33" s="16"/>
      <c r="W33" s="16"/>
    </row>
    <row r="34" spans="1:23" ht="13.5" thickBot="1" x14ac:dyDescent="0.25">
      <c r="A34" s="649"/>
      <c r="B34" s="642"/>
      <c r="C34" s="381">
        <v>41890</v>
      </c>
      <c r="D34" s="615"/>
      <c r="E34" s="388">
        <v>5681.33</v>
      </c>
      <c r="F34" s="380" t="s">
        <v>229</v>
      </c>
      <c r="G34" s="617"/>
      <c r="H34" s="615"/>
      <c r="I34" s="619"/>
      <c r="J34" s="621"/>
      <c r="K34" s="18"/>
      <c r="L34" s="18"/>
      <c r="M34" s="18"/>
      <c r="S34" s="18"/>
      <c r="U34" s="16"/>
      <c r="V34" s="16"/>
      <c r="W34" s="16"/>
    </row>
    <row r="35" spans="1:23" ht="13.5" thickTop="1" x14ac:dyDescent="0.2">
      <c r="A35" s="649"/>
      <c r="B35" s="636" t="s">
        <v>230</v>
      </c>
      <c r="C35" s="384" t="s">
        <v>231</v>
      </c>
      <c r="D35" s="631">
        <v>1500000</v>
      </c>
      <c r="E35" s="361" t="s">
        <v>211</v>
      </c>
      <c r="F35" s="389" t="s">
        <v>232</v>
      </c>
      <c r="G35" s="628">
        <f>12500*12</f>
        <v>150000</v>
      </c>
      <c r="H35" s="631">
        <v>1350000</v>
      </c>
      <c r="I35" s="610">
        <v>45291</v>
      </c>
      <c r="J35" s="612">
        <f>D35-H35</f>
        <v>150000</v>
      </c>
      <c r="K35" s="18"/>
      <c r="L35" s="18"/>
      <c r="M35" s="18"/>
      <c r="P35" s="16"/>
      <c r="S35" s="18"/>
      <c r="U35" s="16"/>
      <c r="V35" s="16"/>
      <c r="W35" s="16"/>
    </row>
    <row r="36" spans="1:23" ht="13.5" thickBot="1" x14ac:dyDescent="0.25">
      <c r="A36" s="649"/>
      <c r="B36" s="637"/>
      <c r="C36" s="386">
        <v>41548</v>
      </c>
      <c r="D36" s="633"/>
      <c r="E36" s="390">
        <v>12500</v>
      </c>
      <c r="F36" s="391" t="s">
        <v>233</v>
      </c>
      <c r="G36" s="630"/>
      <c r="H36" s="633"/>
      <c r="I36" s="611"/>
      <c r="J36" s="613"/>
      <c r="K36" s="18"/>
      <c r="L36" s="18"/>
      <c r="M36" s="18"/>
      <c r="P36" s="16"/>
      <c r="S36" s="18"/>
      <c r="U36" s="16"/>
      <c r="V36" s="16"/>
      <c r="W36" s="16"/>
    </row>
    <row r="37" spans="1:23" ht="13.5" thickTop="1" x14ac:dyDescent="0.2">
      <c r="A37" s="649"/>
      <c r="B37" s="659" t="s">
        <v>230</v>
      </c>
      <c r="C37" s="376" t="s">
        <v>234</v>
      </c>
      <c r="D37" s="614">
        <v>1300000</v>
      </c>
      <c r="E37" s="392" t="s">
        <v>235</v>
      </c>
      <c r="F37" s="393" t="s">
        <v>236</v>
      </c>
      <c r="G37" s="616">
        <f>10834*12</f>
        <v>130008</v>
      </c>
      <c r="H37" s="614">
        <v>1040064</v>
      </c>
      <c r="I37" s="618">
        <v>45657</v>
      </c>
      <c r="J37" s="620">
        <f>D37-H37</f>
        <v>259936</v>
      </c>
      <c r="K37" s="18"/>
      <c r="L37" s="18"/>
      <c r="M37" s="18"/>
      <c r="P37" s="16"/>
      <c r="S37" s="18"/>
      <c r="U37" s="16"/>
      <c r="V37" s="16"/>
      <c r="W37" s="16"/>
    </row>
    <row r="38" spans="1:23" ht="13.5" thickBot="1" x14ac:dyDescent="0.25">
      <c r="A38" s="649"/>
      <c r="B38" s="660"/>
      <c r="C38" s="381">
        <v>41815</v>
      </c>
      <c r="D38" s="615"/>
      <c r="E38" s="388">
        <v>10834</v>
      </c>
      <c r="F38" s="394" t="s">
        <v>237</v>
      </c>
      <c r="G38" s="617"/>
      <c r="H38" s="615"/>
      <c r="I38" s="619"/>
      <c r="J38" s="621"/>
      <c r="K38" s="18"/>
      <c r="L38" s="18"/>
      <c r="M38" s="18"/>
      <c r="P38" s="16"/>
      <c r="S38" s="18"/>
      <c r="U38" s="16"/>
      <c r="V38" s="16"/>
      <c r="W38" s="16"/>
    </row>
    <row r="39" spans="1:23" ht="15" customHeight="1" thickTop="1" x14ac:dyDescent="0.2">
      <c r="A39" s="649"/>
      <c r="B39" s="636" t="s">
        <v>230</v>
      </c>
      <c r="C39" s="384" t="s">
        <v>238</v>
      </c>
      <c r="D39" s="657">
        <v>1800000</v>
      </c>
      <c r="E39" s="361" t="s">
        <v>239</v>
      </c>
      <c r="F39" s="389" t="s">
        <v>240</v>
      </c>
      <c r="G39" s="628">
        <f>15000*12</f>
        <v>180000</v>
      </c>
      <c r="H39" s="631">
        <v>1260000</v>
      </c>
      <c r="I39" s="610">
        <v>46022</v>
      </c>
      <c r="J39" s="612">
        <f>D39-H39</f>
        <v>540000</v>
      </c>
      <c r="K39" s="18"/>
      <c r="L39" s="18"/>
      <c r="M39" s="18"/>
      <c r="P39" s="16"/>
      <c r="S39" s="18"/>
      <c r="U39" s="16"/>
      <c r="V39" s="16"/>
      <c r="W39" s="16"/>
    </row>
    <row r="40" spans="1:23" ht="10.5" customHeight="1" thickBot="1" x14ac:dyDescent="0.25">
      <c r="A40" s="649"/>
      <c r="B40" s="637"/>
      <c r="C40" s="386">
        <v>42304</v>
      </c>
      <c r="D40" s="658"/>
      <c r="E40" s="390">
        <v>15000</v>
      </c>
      <c r="F40" s="391" t="s">
        <v>241</v>
      </c>
      <c r="G40" s="630"/>
      <c r="H40" s="633"/>
      <c r="I40" s="611"/>
      <c r="J40" s="613"/>
      <c r="K40" s="18"/>
      <c r="L40" s="18"/>
      <c r="M40" s="18"/>
      <c r="P40" s="16"/>
      <c r="S40" s="18"/>
      <c r="U40" s="16"/>
      <c r="V40" s="16"/>
      <c r="W40" s="16"/>
    </row>
    <row r="41" spans="1:23" ht="13.5" thickTop="1" x14ac:dyDescent="0.2">
      <c r="A41" s="649"/>
      <c r="B41" s="641" t="s">
        <v>242</v>
      </c>
      <c r="C41" s="376" t="s">
        <v>243</v>
      </c>
      <c r="D41" s="614">
        <v>3120000</v>
      </c>
      <c r="E41" s="392" t="s">
        <v>244</v>
      </c>
      <c r="F41" s="393" t="s">
        <v>245</v>
      </c>
      <c r="G41" s="616">
        <f>27130*12</f>
        <v>325560</v>
      </c>
      <c r="H41" s="614">
        <v>1627800</v>
      </c>
      <c r="I41" s="618">
        <v>46589</v>
      </c>
      <c r="J41" s="620">
        <f>D41-H41</f>
        <v>1492200</v>
      </c>
      <c r="K41" s="18"/>
      <c r="L41" s="18"/>
      <c r="M41" s="18"/>
      <c r="P41" s="16"/>
      <c r="S41" s="18"/>
      <c r="U41" s="16"/>
      <c r="V41" s="16"/>
      <c r="W41" s="16"/>
    </row>
    <row r="42" spans="1:23" ht="18.75" customHeight="1" thickBot="1" x14ac:dyDescent="0.25">
      <c r="A42" s="649"/>
      <c r="B42" s="642"/>
      <c r="C42" s="381">
        <v>42929</v>
      </c>
      <c r="D42" s="615"/>
      <c r="E42" s="388">
        <v>27130</v>
      </c>
      <c r="F42" s="394" t="s">
        <v>246</v>
      </c>
      <c r="G42" s="617"/>
      <c r="H42" s="615"/>
      <c r="I42" s="619"/>
      <c r="J42" s="621"/>
      <c r="K42" s="18"/>
      <c r="L42" s="18"/>
      <c r="M42" s="18"/>
      <c r="P42" s="16"/>
      <c r="S42" s="18"/>
      <c r="U42" s="16"/>
      <c r="V42" s="16"/>
      <c r="W42" s="16"/>
    </row>
    <row r="43" spans="1:23" ht="15" customHeight="1" thickTop="1" x14ac:dyDescent="0.2">
      <c r="A43" s="649"/>
      <c r="B43" s="622" t="s">
        <v>478</v>
      </c>
      <c r="C43" s="610" t="s">
        <v>479</v>
      </c>
      <c r="D43" s="631">
        <v>1280520</v>
      </c>
      <c r="E43" s="395" t="s">
        <v>480</v>
      </c>
      <c r="F43" s="625" t="s">
        <v>481</v>
      </c>
      <c r="G43" s="628">
        <v>0</v>
      </c>
      <c r="H43" s="631">
        <v>0</v>
      </c>
      <c r="I43" s="610">
        <v>46691</v>
      </c>
      <c r="J43" s="612">
        <f>D43</f>
        <v>1280520</v>
      </c>
      <c r="K43" s="18"/>
      <c r="L43" s="18"/>
      <c r="M43" s="18"/>
      <c r="P43" s="16"/>
      <c r="S43" s="18"/>
      <c r="U43" s="16"/>
      <c r="V43" s="16"/>
      <c r="W43" s="16"/>
    </row>
    <row r="44" spans="1:23" x14ac:dyDescent="0.2">
      <c r="A44" s="649"/>
      <c r="B44" s="623"/>
      <c r="C44" s="634"/>
      <c r="D44" s="632"/>
      <c r="E44" s="387" t="s">
        <v>482</v>
      </c>
      <c r="F44" s="626"/>
      <c r="G44" s="629"/>
      <c r="H44" s="632"/>
      <c r="I44" s="634"/>
      <c r="J44" s="635"/>
      <c r="K44" s="18"/>
      <c r="L44" s="18"/>
      <c r="M44" s="18"/>
      <c r="P44" s="16"/>
      <c r="S44" s="18"/>
      <c r="U44" s="16"/>
      <c r="V44" s="16"/>
      <c r="W44" s="16"/>
    </row>
    <row r="45" spans="1:23" x14ac:dyDescent="0.2">
      <c r="A45" s="649"/>
      <c r="B45" s="623"/>
      <c r="C45" s="634"/>
      <c r="D45" s="632"/>
      <c r="E45" s="387" t="s">
        <v>483</v>
      </c>
      <c r="F45" s="626"/>
      <c r="G45" s="629"/>
      <c r="H45" s="632"/>
      <c r="I45" s="634"/>
      <c r="J45" s="635"/>
      <c r="K45" s="18"/>
      <c r="L45" s="18"/>
      <c r="M45" s="18"/>
      <c r="P45" s="16"/>
      <c r="S45" s="18"/>
      <c r="U45" s="16"/>
      <c r="V45" s="16"/>
      <c r="W45" s="16"/>
    </row>
    <row r="46" spans="1:23" ht="13.5" thickBot="1" x14ac:dyDescent="0.25">
      <c r="A46" s="649"/>
      <c r="B46" s="624"/>
      <c r="C46" s="611"/>
      <c r="D46" s="633"/>
      <c r="E46" s="390" t="s">
        <v>484</v>
      </c>
      <c r="F46" s="627"/>
      <c r="G46" s="630"/>
      <c r="H46" s="633"/>
      <c r="I46" s="611"/>
      <c r="J46" s="613"/>
      <c r="K46" s="18"/>
      <c r="L46" s="18"/>
      <c r="M46" s="18"/>
      <c r="P46" s="16"/>
      <c r="S46" s="18"/>
      <c r="U46" s="16"/>
      <c r="V46" s="16"/>
      <c r="W46" s="16"/>
    </row>
    <row r="47" spans="1:23" ht="13.5" thickTop="1" x14ac:dyDescent="0.2">
      <c r="G47" s="16"/>
      <c r="K47" s="18"/>
      <c r="L47" s="18"/>
      <c r="R47" s="16"/>
      <c r="T47" s="16"/>
      <c r="U47" s="16"/>
      <c r="V47" s="16"/>
      <c r="W47" s="16"/>
    </row>
    <row r="48" spans="1:23" ht="33.75" customHeight="1" x14ac:dyDescent="0.2">
      <c r="G48" s="16"/>
      <c r="K48" s="18"/>
      <c r="L48" s="18"/>
      <c r="R48" s="16"/>
      <c r="T48" s="16"/>
      <c r="U48" s="16"/>
      <c r="V48" s="16"/>
      <c r="W48" s="16"/>
    </row>
    <row r="49" spans="7:23" x14ac:dyDescent="0.2">
      <c r="G49" s="26"/>
      <c r="H49" s="16"/>
      <c r="I49" s="16"/>
      <c r="K49" s="18"/>
      <c r="L49" s="18"/>
      <c r="M49" s="18"/>
      <c r="O49" s="16"/>
      <c r="S49" s="18"/>
      <c r="T49" s="16"/>
      <c r="U49" s="16"/>
      <c r="V49" s="16"/>
      <c r="W49" s="16"/>
    </row>
    <row r="50" spans="7:23" x14ac:dyDescent="0.2">
      <c r="G50" s="26"/>
      <c r="H50" s="16"/>
      <c r="I50" s="16"/>
      <c r="K50" s="18"/>
      <c r="L50" s="18"/>
      <c r="M50" s="18"/>
      <c r="O50" s="16"/>
      <c r="S50" s="18"/>
      <c r="T50" s="16"/>
      <c r="U50" s="16"/>
      <c r="V50" s="16"/>
      <c r="W50" s="16"/>
    </row>
    <row r="51" spans="7:23" x14ac:dyDescent="0.2">
      <c r="G51" s="26"/>
      <c r="H51" s="16"/>
      <c r="I51" s="16"/>
      <c r="K51" s="18"/>
      <c r="L51" s="18"/>
      <c r="M51" s="18"/>
      <c r="O51" s="16"/>
      <c r="S51" s="18"/>
      <c r="T51" s="16"/>
      <c r="U51" s="16"/>
      <c r="V51" s="16"/>
      <c r="W51" s="16"/>
    </row>
  </sheetData>
  <mergeCells count="112">
    <mergeCell ref="A11:A13"/>
    <mergeCell ref="D11:D13"/>
    <mergeCell ref="D26:D28"/>
    <mergeCell ref="B14:B16"/>
    <mergeCell ref="A26:A28"/>
    <mergeCell ref="A37:A38"/>
    <mergeCell ref="B3:B4"/>
    <mergeCell ref="A5:A7"/>
    <mergeCell ref="D5:D7"/>
    <mergeCell ref="D14:D16"/>
    <mergeCell ref="A17:A19"/>
    <mergeCell ref="D17:D19"/>
    <mergeCell ref="A8:A10"/>
    <mergeCell ref="D8:D10"/>
    <mergeCell ref="A14:A16"/>
    <mergeCell ref="A29:A31"/>
    <mergeCell ref="D29:D31"/>
    <mergeCell ref="A20:A22"/>
    <mergeCell ref="D20:D22"/>
    <mergeCell ref="A23:A25"/>
    <mergeCell ref="D23:D25"/>
    <mergeCell ref="B20:B22"/>
    <mergeCell ref="A39:A40"/>
    <mergeCell ref="D39:D40"/>
    <mergeCell ref="A32:A34"/>
    <mergeCell ref="D32:D34"/>
    <mergeCell ref="A35:A36"/>
    <mergeCell ref="D35:D36"/>
    <mergeCell ref="B32:B34"/>
    <mergeCell ref="B37:B38"/>
    <mergeCell ref="A41:A42"/>
    <mergeCell ref="D41:D42"/>
    <mergeCell ref="A43:A46"/>
    <mergeCell ref="C43:C46"/>
    <mergeCell ref="D43:D46"/>
    <mergeCell ref="B41:B42"/>
    <mergeCell ref="E3:E4"/>
    <mergeCell ref="F3:F4"/>
    <mergeCell ref="I3:I4"/>
    <mergeCell ref="B5:B7"/>
    <mergeCell ref="G5:G7"/>
    <mergeCell ref="H5:H7"/>
    <mergeCell ref="I5:I7"/>
    <mergeCell ref="G14:G16"/>
    <mergeCell ref="H14:H16"/>
    <mergeCell ref="I14:I16"/>
    <mergeCell ref="B23:B25"/>
    <mergeCell ref="G23:G25"/>
    <mergeCell ref="H23:H25"/>
    <mergeCell ref="I23:I25"/>
    <mergeCell ref="G32:G34"/>
    <mergeCell ref="H32:H34"/>
    <mergeCell ref="I32:I34"/>
    <mergeCell ref="B39:B40"/>
    <mergeCell ref="G39:G40"/>
    <mergeCell ref="H39:H40"/>
    <mergeCell ref="J5:J7"/>
    <mergeCell ref="B2:J2"/>
    <mergeCell ref="B8:B10"/>
    <mergeCell ref="G8:G10"/>
    <mergeCell ref="H8:H10"/>
    <mergeCell ref="I8:I10"/>
    <mergeCell ref="J8:J10"/>
    <mergeCell ref="B11:B13"/>
    <mergeCell ref="G11:G13"/>
    <mergeCell ref="H11:H13"/>
    <mergeCell ref="I11:I13"/>
    <mergeCell ref="J11:J13"/>
    <mergeCell ref="J14:J16"/>
    <mergeCell ref="B17:B19"/>
    <mergeCell ref="G17:G19"/>
    <mergeCell ref="H17:H19"/>
    <mergeCell ref="I17:I19"/>
    <mergeCell ref="J17:J19"/>
    <mergeCell ref="G20:G22"/>
    <mergeCell ref="H20:H22"/>
    <mergeCell ref="I20:I22"/>
    <mergeCell ref="J20:J22"/>
    <mergeCell ref="J23:J25"/>
    <mergeCell ref="G26:G28"/>
    <mergeCell ref="H26:H28"/>
    <mergeCell ref="I26:I28"/>
    <mergeCell ref="J26:J28"/>
    <mergeCell ref="B29:B31"/>
    <mergeCell ref="G29:G31"/>
    <mergeCell ref="H29:H31"/>
    <mergeCell ref="I29:I31"/>
    <mergeCell ref="J29:J31"/>
    <mergeCell ref="B26:B28"/>
    <mergeCell ref="J32:J34"/>
    <mergeCell ref="B35:B36"/>
    <mergeCell ref="G35:G36"/>
    <mergeCell ref="H35:H36"/>
    <mergeCell ref="I35:I36"/>
    <mergeCell ref="J35:J36"/>
    <mergeCell ref="G37:G38"/>
    <mergeCell ref="H37:H38"/>
    <mergeCell ref="I37:I38"/>
    <mergeCell ref="J37:J38"/>
    <mergeCell ref="I39:I40"/>
    <mergeCell ref="J39:J40"/>
    <mergeCell ref="D37:D38"/>
    <mergeCell ref="G41:G42"/>
    <mergeCell ref="H41:H42"/>
    <mergeCell ref="I41:I42"/>
    <mergeCell ref="J41:J42"/>
    <mergeCell ref="B43:B46"/>
    <mergeCell ref="F43:F46"/>
    <mergeCell ref="G43:G46"/>
    <mergeCell ref="H43:H46"/>
    <mergeCell ref="I43:I46"/>
    <mergeCell ref="J43:J46"/>
  </mergeCells>
  <pageMargins left="1.0236220472440944" right="0.82677165354330717" top="0.11811023622047245" bottom="0.19685039370078741" header="0.11811023622047245" footer="0.19685039370078741"/>
  <pageSetup paperSize="9" scale="80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2:P45"/>
  <sheetViews>
    <sheetView workbookViewId="0">
      <selection activeCell="B4" sqref="B4:H4"/>
    </sheetView>
  </sheetViews>
  <sheetFormatPr defaultColWidth="9.7109375" defaultRowHeight="12.75" x14ac:dyDescent="0.2"/>
  <cols>
    <col min="1" max="1" width="10.7109375" style="52" customWidth="1"/>
    <col min="2" max="2" width="33.5703125" style="52" customWidth="1"/>
    <col min="3" max="3" width="9.7109375" style="52" customWidth="1"/>
    <col min="4" max="4" width="9" style="52" customWidth="1"/>
    <col min="5" max="5" width="8.28515625" style="52" customWidth="1"/>
    <col min="6" max="6" width="8.85546875" style="52" customWidth="1"/>
    <col min="7" max="7" width="9.42578125" style="52" customWidth="1"/>
    <col min="8" max="9" width="8.5703125" style="52" customWidth="1"/>
    <col min="10" max="10" width="10.5703125" style="52" customWidth="1"/>
    <col min="11" max="15" width="9.140625" style="52" customWidth="1"/>
    <col min="16" max="16" width="19.42578125" style="52" customWidth="1"/>
    <col min="17" max="246" width="9.140625" style="52" customWidth="1"/>
    <col min="247" max="247" width="1.85546875" style="52" customWidth="1"/>
    <col min="248" max="248" width="42" style="52" customWidth="1"/>
    <col min="249" max="249" width="11.7109375" style="52" customWidth="1"/>
    <col min="250" max="250" width="10.140625" style="52" customWidth="1"/>
    <col min="251" max="251" width="10.28515625" style="52" customWidth="1"/>
    <col min="252" max="252" width="10.140625" style="52" customWidth="1"/>
    <col min="253" max="253" width="11.5703125" style="52" customWidth="1"/>
    <col min="254" max="254" width="10.28515625" style="52" customWidth="1"/>
    <col min="255" max="255" width="1.7109375" style="52" customWidth="1"/>
    <col min="256" max="256" width="16.7109375" style="52" customWidth="1"/>
    <col min="257" max="257" width="9.7109375" style="52" customWidth="1"/>
    <col min="258" max="16384" width="9.7109375" style="52"/>
  </cols>
  <sheetData>
    <row r="2" spans="2:12" ht="15" customHeight="1" x14ac:dyDescent="0.2">
      <c r="G2" s="396"/>
      <c r="H2" s="397" t="s">
        <v>247</v>
      </c>
      <c r="K2" s="398"/>
    </row>
    <row r="3" spans="2:12" ht="10.5" customHeight="1" x14ac:dyDescent="0.2">
      <c r="E3" s="396"/>
    </row>
    <row r="4" spans="2:12" ht="72.75" customHeight="1" x14ac:dyDescent="0.2">
      <c r="B4" s="663" t="s">
        <v>989</v>
      </c>
      <c r="C4" s="663"/>
      <c r="D4" s="663"/>
      <c r="E4" s="663"/>
      <c r="F4" s="663"/>
      <c r="G4" s="663"/>
      <c r="H4" s="663"/>
      <c r="I4" s="399"/>
      <c r="J4" s="399"/>
      <c r="K4" s="400"/>
    </row>
    <row r="5" spans="2:12" ht="18.75" x14ac:dyDescent="0.2">
      <c r="B5" s="400"/>
      <c r="C5" s="400"/>
      <c r="D5" s="400"/>
      <c r="E5" s="400"/>
      <c r="F5" s="400"/>
      <c r="G5" s="400"/>
      <c r="H5" s="400"/>
      <c r="I5" s="400"/>
      <c r="J5" s="400"/>
    </row>
    <row r="7" spans="2:12" x14ac:dyDescent="0.2">
      <c r="B7" s="407"/>
      <c r="C7" s="408">
        <v>2017</v>
      </c>
      <c r="D7" s="408">
        <v>2018</v>
      </c>
      <c r="E7" s="408">
        <v>2019</v>
      </c>
      <c r="F7" s="408">
        <v>2020</v>
      </c>
      <c r="G7" s="408">
        <v>2021</v>
      </c>
      <c r="H7" s="408">
        <v>2022</v>
      </c>
    </row>
    <row r="8" spans="2:12" x14ac:dyDescent="0.2">
      <c r="B8" s="409" t="s">
        <v>248</v>
      </c>
      <c r="C8" s="410">
        <v>54916</v>
      </c>
      <c r="D8" s="411">
        <v>54705</v>
      </c>
      <c r="E8" s="62">
        <v>54696</v>
      </c>
      <c r="F8" s="62">
        <v>54705</v>
      </c>
      <c r="G8" s="62">
        <v>54679</v>
      </c>
      <c r="H8" s="412">
        <v>54368</v>
      </c>
    </row>
    <row r="9" spans="2:12" ht="1.5" customHeight="1" x14ac:dyDescent="0.2">
      <c r="B9" s="409"/>
      <c r="C9" s="410"/>
      <c r="D9" s="411"/>
      <c r="E9" s="62"/>
      <c r="F9" s="62"/>
      <c r="G9" s="62"/>
      <c r="H9" s="412"/>
    </row>
    <row r="10" spans="2:12" x14ac:dyDescent="0.2">
      <c r="B10" s="409" t="s">
        <v>249</v>
      </c>
      <c r="C10" s="413">
        <v>12394</v>
      </c>
      <c r="D10" s="414">
        <v>13381</v>
      </c>
      <c r="E10" s="415">
        <v>12837</v>
      </c>
      <c r="F10" s="415">
        <v>13686</v>
      </c>
      <c r="G10" s="415">
        <v>11680</v>
      </c>
      <c r="H10" s="416">
        <v>12374</v>
      </c>
    </row>
    <row r="11" spans="2:12" s="30" customFormat="1" ht="15" customHeight="1" x14ac:dyDescent="0.25">
      <c r="B11" s="417" t="s">
        <v>250</v>
      </c>
      <c r="C11" s="410">
        <f t="shared" ref="C11:F11" si="0">C10/C8*1000</f>
        <v>225.69014494864882</v>
      </c>
      <c r="D11" s="411">
        <f t="shared" si="0"/>
        <v>244.60286993876247</v>
      </c>
      <c r="E11" s="62">
        <f t="shared" si="0"/>
        <v>234.69723562966215</v>
      </c>
      <c r="F11" s="62">
        <f t="shared" si="0"/>
        <v>250.17822868110778</v>
      </c>
      <c r="G11" s="62">
        <f>G10/G8*1000</f>
        <v>213.61034400775435</v>
      </c>
      <c r="H11" s="412">
        <f>H10/H8*1000</f>
        <v>227.59711595055916</v>
      </c>
      <c r="I11" s="52"/>
      <c r="J11" s="52"/>
      <c r="K11" s="52"/>
      <c r="L11" s="175"/>
    </row>
    <row r="12" spans="2:12" s="30" customFormat="1" ht="15" x14ac:dyDescent="0.25">
      <c r="B12" s="417" t="s">
        <v>251</v>
      </c>
      <c r="C12" s="410">
        <v>39771</v>
      </c>
      <c r="D12" s="411">
        <v>43691</v>
      </c>
      <c r="E12" s="62">
        <v>48206</v>
      </c>
      <c r="F12" s="62">
        <v>52606</v>
      </c>
      <c r="G12" s="62">
        <v>54373</v>
      </c>
      <c r="H12" s="412">
        <v>59977</v>
      </c>
      <c r="I12" s="52"/>
      <c r="J12" s="52"/>
      <c r="K12" s="52"/>
      <c r="L12" s="175"/>
    </row>
    <row r="13" spans="2:12" s="30" customFormat="1" ht="30" customHeight="1" x14ac:dyDescent="0.25">
      <c r="B13" s="417" t="s">
        <v>252</v>
      </c>
      <c r="C13" s="418">
        <v>0.33169999999999999</v>
      </c>
      <c r="D13" s="419">
        <f t="shared" ref="D13:E13" si="1">D10/C12</f>
        <v>0.33645118302280558</v>
      </c>
      <c r="E13" s="420">
        <f t="shared" si="1"/>
        <v>0.29381337117484152</v>
      </c>
      <c r="F13" s="420">
        <f>F10/E12</f>
        <v>0.28390656764718086</v>
      </c>
      <c r="G13" s="420">
        <f>G10/F12</f>
        <v>0.22202790556210319</v>
      </c>
      <c r="H13" s="421">
        <f>H10/G12</f>
        <v>0.22757618671031579</v>
      </c>
      <c r="I13" s="52"/>
      <c r="J13" s="52"/>
      <c r="K13" s="52"/>
      <c r="L13" s="52"/>
    </row>
    <row r="14" spans="2:12" s="30" customFormat="1" ht="7.5" customHeight="1" x14ac:dyDescent="0.25">
      <c r="B14" s="417"/>
      <c r="C14" s="418"/>
      <c r="D14" s="419"/>
      <c r="E14" s="420"/>
      <c r="F14" s="420"/>
      <c r="G14" s="420"/>
      <c r="H14" s="421"/>
      <c r="I14" s="52"/>
      <c r="J14" s="52"/>
      <c r="K14" s="52"/>
      <c r="L14" s="52"/>
    </row>
    <row r="15" spans="2:12" s="30" customFormat="1" ht="15" x14ac:dyDescent="0.25">
      <c r="B15" s="417" t="s">
        <v>253</v>
      </c>
      <c r="C15" s="413">
        <f>129+2804</f>
        <v>2933</v>
      </c>
      <c r="D15" s="414">
        <v>3168</v>
      </c>
      <c r="E15" s="415">
        <v>2038</v>
      </c>
      <c r="F15" s="415">
        <v>2231</v>
      </c>
      <c r="G15" s="415">
        <v>2039</v>
      </c>
      <c r="H15" s="416">
        <v>2207</v>
      </c>
      <c r="I15" s="52"/>
      <c r="J15" s="52"/>
      <c r="K15" s="52"/>
      <c r="L15" s="52"/>
    </row>
    <row r="16" spans="2:12" s="30" customFormat="1" ht="39" x14ac:dyDescent="0.25">
      <c r="B16" s="417" t="s">
        <v>254</v>
      </c>
      <c r="C16" s="422">
        <v>31427</v>
      </c>
      <c r="D16" s="423">
        <v>34803</v>
      </c>
      <c r="E16" s="424">
        <v>37690</v>
      </c>
      <c r="F16" s="424">
        <v>39005</v>
      </c>
      <c r="G16" s="424">
        <v>40697</v>
      </c>
      <c r="H16" s="425">
        <f>H12-15555</f>
        <v>44422</v>
      </c>
      <c r="I16" s="52"/>
      <c r="J16" s="52"/>
      <c r="K16" s="52"/>
      <c r="L16" s="52"/>
    </row>
    <row r="17" spans="2:16" s="93" customFormat="1" ht="39.75" customHeight="1" x14ac:dyDescent="0.25">
      <c r="B17" s="426" t="s">
        <v>255</v>
      </c>
      <c r="C17" s="427">
        <v>0.1014</v>
      </c>
      <c r="D17" s="428">
        <f>D15/C16</f>
        <v>0.1008050402520126</v>
      </c>
      <c r="E17" s="427">
        <f>E15/D16</f>
        <v>5.8558170272677644E-2</v>
      </c>
      <c r="F17" s="427">
        <f>F15/E16</f>
        <v>5.9193420005306446E-2</v>
      </c>
      <c r="G17" s="427">
        <f>G15/F16</f>
        <v>5.2275349314190492E-2</v>
      </c>
      <c r="H17" s="429">
        <f>H15/G16</f>
        <v>5.4230041526402435E-2</v>
      </c>
    </row>
    <row r="18" spans="2:16" s="30" customFormat="1" ht="15" x14ac:dyDescent="0.25">
      <c r="B18" s="401"/>
      <c r="C18" s="402"/>
      <c r="D18" s="402"/>
      <c r="E18" s="402"/>
      <c r="F18" s="52"/>
      <c r="G18" s="52"/>
      <c r="H18" s="91"/>
      <c r="I18" s="91"/>
      <c r="J18" s="52"/>
      <c r="K18" s="52"/>
      <c r="L18" s="52"/>
      <c r="M18" s="52"/>
      <c r="N18" s="52"/>
      <c r="O18" s="52"/>
      <c r="P18" s="52"/>
    </row>
    <row r="19" spans="2:16" s="30" customFormat="1" ht="44.25" customHeight="1" x14ac:dyDescent="0.25">
      <c r="B19" s="664" t="s">
        <v>463</v>
      </c>
      <c r="C19" s="664"/>
      <c r="D19" s="664"/>
      <c r="E19" s="664"/>
      <c r="F19" s="664"/>
      <c r="G19" s="664"/>
      <c r="H19" s="664"/>
      <c r="I19" s="403"/>
      <c r="J19" s="403"/>
      <c r="K19" s="52"/>
      <c r="L19" s="52"/>
      <c r="M19" s="52"/>
      <c r="N19" s="52"/>
      <c r="O19" s="52"/>
      <c r="P19" s="52"/>
    </row>
    <row r="20" spans="2:16" s="30" customFormat="1" ht="15" x14ac:dyDescent="0.25">
      <c r="B20" s="404"/>
      <c r="C20" s="404"/>
      <c r="D20" s="404"/>
      <c r="E20" s="404"/>
      <c r="F20" s="404"/>
      <c r="G20" s="404"/>
      <c r="H20" s="404"/>
      <c r="I20" s="404"/>
      <c r="J20" s="404"/>
      <c r="K20" s="52"/>
      <c r="L20" s="52"/>
      <c r="M20" s="52"/>
      <c r="N20" s="52"/>
      <c r="O20" s="52"/>
      <c r="P20" s="52"/>
    </row>
    <row r="21" spans="2:16" s="30" customFormat="1" ht="29.25" customHeight="1" x14ac:dyDescent="0.25">
      <c r="B21" s="664" t="s">
        <v>256</v>
      </c>
      <c r="C21" s="664"/>
      <c r="D21" s="664"/>
      <c r="E21" s="664"/>
      <c r="F21" s="664"/>
      <c r="G21" s="664"/>
      <c r="H21" s="664"/>
      <c r="I21" s="403"/>
      <c r="J21" s="403"/>
      <c r="K21" s="52"/>
      <c r="L21" s="52"/>
      <c r="M21" s="52"/>
      <c r="N21" s="52"/>
      <c r="O21" s="52"/>
      <c r="P21" s="52"/>
    </row>
    <row r="22" spans="2:16" s="30" customFormat="1" ht="78.75" customHeight="1" x14ac:dyDescent="0.25">
      <c r="B22" s="665" t="s">
        <v>992</v>
      </c>
      <c r="C22" s="665"/>
      <c r="D22" s="665"/>
      <c r="E22" s="665"/>
      <c r="F22" s="665"/>
      <c r="G22" s="665"/>
      <c r="H22" s="665"/>
      <c r="I22" s="405"/>
      <c r="J22" s="405"/>
      <c r="K22" s="52"/>
      <c r="L22" s="52"/>
      <c r="M22" s="52"/>
      <c r="N22" s="52"/>
      <c r="O22" s="52"/>
      <c r="P22" s="52"/>
    </row>
    <row r="23" spans="2:16" s="30" customFormat="1" ht="15" x14ac:dyDescent="0.25">
      <c r="B23" s="52"/>
      <c r="C23" s="402"/>
      <c r="D23" s="402"/>
      <c r="E23" s="40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2:16" s="30" customFormat="1" ht="15" x14ac:dyDescent="0.25">
      <c r="B24" s="401"/>
      <c r="C24" s="402"/>
      <c r="D24" s="402"/>
      <c r="E24" s="40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2:16" s="30" customFormat="1" ht="15" x14ac:dyDescent="0.25">
      <c r="B25" s="401"/>
      <c r="C25" s="402"/>
      <c r="D25" s="402"/>
      <c r="E25" s="40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2:16" s="30" customFormat="1" ht="15" x14ac:dyDescent="0.25">
      <c r="B26" s="401"/>
      <c r="C26" s="402"/>
      <c r="D26" s="402"/>
      <c r="E26" s="40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2:16" s="30" customFormat="1" ht="15" x14ac:dyDescent="0.25">
      <c r="B27" s="401"/>
      <c r="C27" s="402"/>
      <c r="D27" s="402"/>
      <c r="E27" s="40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2:16" s="30" customFormat="1" ht="15" x14ac:dyDescent="0.25">
      <c r="B28" s="401"/>
      <c r="C28" s="402"/>
      <c r="D28" s="402"/>
      <c r="E28" s="40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2:16" s="30" customFormat="1" ht="15" x14ac:dyDescent="0.25">
      <c r="B29" s="401"/>
      <c r="C29" s="402"/>
      <c r="D29" s="402"/>
      <c r="E29" s="40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2:16" s="30" customFormat="1" ht="15" x14ac:dyDescent="0.25">
      <c r="B30" s="401"/>
      <c r="C30" s="402"/>
      <c r="D30" s="402"/>
      <c r="E30" s="40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2:16" s="30" customFormat="1" ht="15" x14ac:dyDescent="0.25">
      <c r="B31" s="401"/>
      <c r="C31" s="402"/>
      <c r="D31" s="402"/>
      <c r="E31" s="40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s="30" customFormat="1" ht="15" x14ac:dyDescent="0.25">
      <c r="B32" s="401"/>
      <c r="C32" s="402"/>
      <c r="D32" s="402"/>
      <c r="E32" s="40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s="30" customFormat="1" ht="15" x14ac:dyDescent="0.25">
      <c r="B33" s="401"/>
      <c r="C33" s="402"/>
      <c r="D33" s="402"/>
      <c r="E33" s="40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s="30" customFormat="1" ht="15" x14ac:dyDescent="0.25">
      <c r="B34" s="401"/>
      <c r="C34" s="402"/>
      <c r="D34" s="402"/>
      <c r="E34" s="40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s="30" customFormat="1" ht="15" x14ac:dyDescent="0.25">
      <c r="B35" s="401"/>
      <c r="C35" s="402"/>
      <c r="D35" s="402"/>
      <c r="E35" s="40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s="30" customFormat="1" ht="15" x14ac:dyDescent="0.25">
      <c r="B36" s="401"/>
      <c r="C36" s="402"/>
      <c r="D36" s="402"/>
      <c r="E36" s="40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s="30" customFormat="1" ht="15" x14ac:dyDescent="0.25">
      <c r="B37" s="401"/>
      <c r="C37" s="402"/>
      <c r="D37" s="402"/>
      <c r="E37" s="40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s="30" customFormat="1" ht="15" x14ac:dyDescent="0.25">
      <c r="B38" s="401"/>
      <c r="C38" s="402"/>
      <c r="D38" s="402"/>
      <c r="E38" s="40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s="30" customFormat="1" ht="15" x14ac:dyDescent="0.25">
      <c r="B39" s="401"/>
      <c r="C39" s="402"/>
      <c r="D39" s="402"/>
      <c r="E39" s="40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s="30" customFormat="1" ht="15" x14ac:dyDescent="0.25">
      <c r="B40" s="401"/>
      <c r="C40" s="402"/>
      <c r="D40" s="402"/>
      <c r="E40" s="40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s="30" customFormat="1" ht="15" x14ac:dyDescent="0.25">
      <c r="B41" s="406"/>
      <c r="C41" s="402"/>
      <c r="D41" s="402"/>
      <c r="E41" s="40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2:16" s="30" customFormat="1" ht="15" x14ac:dyDescent="0.25">
      <c r="B42" s="401"/>
      <c r="C42" s="402"/>
      <c r="D42" s="402"/>
      <c r="E42" s="40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s="30" customFormat="1" ht="15" x14ac:dyDescent="0.25">
      <c r="B43" s="401"/>
      <c r="C43" s="402"/>
      <c r="D43" s="402"/>
      <c r="E43" s="40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2:16" s="30" customFormat="1" ht="15" x14ac:dyDescent="0.25">
      <c r="B44" s="401"/>
      <c r="C44" s="402"/>
      <c r="D44" s="402"/>
      <c r="E44" s="40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2:16" s="30" customFormat="1" ht="15" x14ac:dyDescent="0.25">
      <c r="B45" s="40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</sheetData>
  <mergeCells count="4">
    <mergeCell ref="B4:H4"/>
    <mergeCell ref="B19:H19"/>
    <mergeCell ref="B21:H21"/>
    <mergeCell ref="B22:H22"/>
  </mergeCells>
  <pageMargins left="0.74803149606299213" right="0.35433070866141736" top="0.35433070866141736" bottom="0.55118110236220474" header="0.31496062992125984" footer="0.31496062992125984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M62"/>
  <sheetViews>
    <sheetView workbookViewId="0">
      <selection activeCell="D12" sqref="D12"/>
    </sheetView>
  </sheetViews>
  <sheetFormatPr defaultRowHeight="12.75" x14ac:dyDescent="0.2"/>
  <cols>
    <col min="1" max="1" width="11.7109375" style="52" customWidth="1"/>
    <col min="2" max="2" width="4.85546875" style="52" customWidth="1"/>
    <col min="3" max="3" width="9.28515625" style="446" customWidth="1"/>
    <col min="4" max="4" width="32.42578125" style="52" customWidth="1"/>
    <col min="5" max="5" width="16.42578125" style="52" customWidth="1"/>
    <col min="6" max="6" width="15.85546875" style="52" customWidth="1"/>
    <col min="7" max="7" width="13.140625" style="52" customWidth="1"/>
    <col min="8" max="8" width="5.140625" style="52" customWidth="1"/>
    <col min="9" max="16384" width="9.140625" style="52"/>
  </cols>
  <sheetData>
    <row r="1" spans="2:13" s="93" customFormat="1" x14ac:dyDescent="0.25">
      <c r="C1" s="430"/>
    </row>
    <row r="2" spans="2:13" s="93" customFormat="1" x14ac:dyDescent="0.25">
      <c r="C2" s="430"/>
      <c r="E2" s="121"/>
      <c r="G2" s="431" t="s">
        <v>257</v>
      </c>
    </row>
    <row r="3" spans="2:13" s="93" customFormat="1" ht="15.75" customHeight="1" x14ac:dyDescent="0.25">
      <c r="B3" s="564" t="s">
        <v>916</v>
      </c>
      <c r="C3" s="564"/>
      <c r="D3" s="564"/>
      <c r="E3" s="564"/>
      <c r="F3" s="564"/>
      <c r="G3" s="564"/>
    </row>
    <row r="4" spans="2:13" s="93" customFormat="1" ht="10.5" customHeight="1" x14ac:dyDescent="0.25">
      <c r="C4" s="430"/>
    </row>
    <row r="5" spans="2:13" s="93" customFormat="1" ht="30" customHeight="1" x14ac:dyDescent="0.25">
      <c r="B5" s="667" t="s">
        <v>0</v>
      </c>
      <c r="C5" s="667"/>
      <c r="D5" s="667"/>
      <c r="E5" s="432" t="s">
        <v>258</v>
      </c>
      <c r="F5" s="432" t="s">
        <v>259</v>
      </c>
      <c r="G5" s="432" t="s">
        <v>260</v>
      </c>
    </row>
    <row r="6" spans="2:13" s="58" customFormat="1" ht="24" customHeight="1" x14ac:dyDescent="0.25">
      <c r="B6" s="668" t="s">
        <v>261</v>
      </c>
      <c r="C6" s="668"/>
      <c r="D6" s="668"/>
      <c r="E6" s="433">
        <f>E7+E13+E15+E18+E23+E26+E31+E36+E46</f>
        <v>54220789</v>
      </c>
      <c r="F6" s="433">
        <f>F7+F13+F15+F18+F23+F26+F31+F36+F46</f>
        <v>59351476</v>
      </c>
      <c r="G6" s="433">
        <f>G7+G13+G15+G18+G23+G26+G31+G36+G46</f>
        <v>54794474.899999999</v>
      </c>
    </row>
    <row r="7" spans="2:13" s="93" customFormat="1" x14ac:dyDescent="0.25">
      <c r="B7" s="434" t="s">
        <v>262</v>
      </c>
      <c r="C7" s="666" t="s">
        <v>263</v>
      </c>
      <c r="D7" s="666"/>
      <c r="E7" s="435">
        <f>SUM(E8:E12)</f>
        <v>6393891</v>
      </c>
      <c r="F7" s="435">
        <f>SUM(F8:F12)</f>
        <v>7103858</v>
      </c>
      <c r="G7" s="435">
        <f>SUM(G8:G12)</f>
        <v>5953084.2000000002</v>
      </c>
    </row>
    <row r="8" spans="2:13" s="93" customFormat="1" x14ac:dyDescent="0.25">
      <c r="B8" s="436"/>
      <c r="C8" s="437" t="s">
        <v>264</v>
      </c>
      <c r="D8" s="239" t="s">
        <v>265</v>
      </c>
      <c r="E8" s="438">
        <v>6095916</v>
      </c>
      <c r="F8" s="438">
        <v>6701989</v>
      </c>
      <c r="G8" s="438">
        <v>5563497.6500000004</v>
      </c>
    </row>
    <row r="9" spans="2:13" s="93" customFormat="1" x14ac:dyDescent="0.25">
      <c r="B9" s="436"/>
      <c r="C9" s="437" t="s">
        <v>266</v>
      </c>
      <c r="D9" s="239" t="s">
        <v>267</v>
      </c>
      <c r="E9" s="438">
        <v>38000</v>
      </c>
      <c r="F9" s="438">
        <v>31000</v>
      </c>
      <c r="G9" s="438">
        <v>30421.26</v>
      </c>
    </row>
    <row r="10" spans="2:13" s="93" customFormat="1" ht="25.5" x14ac:dyDescent="0.25">
      <c r="B10" s="436"/>
      <c r="C10" s="437" t="s">
        <v>917</v>
      </c>
      <c r="D10" s="239" t="s">
        <v>918</v>
      </c>
      <c r="E10" s="438">
        <v>0</v>
      </c>
      <c r="F10" s="438">
        <v>82153</v>
      </c>
      <c r="G10" s="438">
        <v>81723.350000000006</v>
      </c>
      <c r="M10" s="30"/>
    </row>
    <row r="11" spans="2:13" s="93" customFormat="1" ht="15" customHeight="1" x14ac:dyDescent="0.25">
      <c r="B11" s="436"/>
      <c r="C11" s="437" t="s">
        <v>268</v>
      </c>
      <c r="D11" s="239" t="s">
        <v>269</v>
      </c>
      <c r="E11" s="438">
        <v>130000</v>
      </c>
      <c r="F11" s="438">
        <v>100000</v>
      </c>
      <c r="G11" s="438">
        <v>101081.45</v>
      </c>
    </row>
    <row r="12" spans="2:13" s="93" customFormat="1" x14ac:dyDescent="0.25">
      <c r="B12" s="436"/>
      <c r="C12" s="437" t="s">
        <v>270</v>
      </c>
      <c r="D12" s="439" t="s">
        <v>271</v>
      </c>
      <c r="E12" s="438">
        <v>129975</v>
      </c>
      <c r="F12" s="438">
        <v>188716</v>
      </c>
      <c r="G12" s="438">
        <v>176360.49</v>
      </c>
    </row>
    <row r="13" spans="2:13" s="93" customFormat="1" x14ac:dyDescent="0.25">
      <c r="B13" s="434" t="s">
        <v>272</v>
      </c>
      <c r="C13" s="666" t="s">
        <v>273</v>
      </c>
      <c r="D13" s="666"/>
      <c r="E13" s="435">
        <f>E14</f>
        <v>36330</v>
      </c>
      <c r="F13" s="435">
        <f>F14</f>
        <v>116330</v>
      </c>
      <c r="G13" s="435">
        <f>G14</f>
        <v>109294.48</v>
      </c>
    </row>
    <row r="14" spans="2:13" s="93" customFormat="1" x14ac:dyDescent="0.25">
      <c r="B14" s="436"/>
      <c r="C14" s="437" t="s">
        <v>274</v>
      </c>
      <c r="D14" s="239" t="s">
        <v>275</v>
      </c>
      <c r="E14" s="438">
        <v>36330</v>
      </c>
      <c r="F14" s="438">
        <v>116330</v>
      </c>
      <c r="G14" s="438">
        <v>109294.48</v>
      </c>
    </row>
    <row r="15" spans="2:13" s="93" customFormat="1" x14ac:dyDescent="0.25">
      <c r="B15" s="434" t="s">
        <v>276</v>
      </c>
      <c r="C15" s="666" t="s">
        <v>277</v>
      </c>
      <c r="D15" s="666"/>
      <c r="E15" s="435">
        <f>SUM(E16:E17)</f>
        <v>1434885</v>
      </c>
      <c r="F15" s="435">
        <f>SUM(F16:F17)</f>
        <v>1494385</v>
      </c>
      <c r="G15" s="435">
        <f>SUM(G16:G17)</f>
        <v>1339635.5999999999</v>
      </c>
    </row>
    <row r="16" spans="2:13" s="93" customFormat="1" x14ac:dyDescent="0.25">
      <c r="B16" s="436"/>
      <c r="C16" s="437" t="s">
        <v>278</v>
      </c>
      <c r="D16" s="239" t="s">
        <v>279</v>
      </c>
      <c r="E16" s="438">
        <v>1390400</v>
      </c>
      <c r="F16" s="438">
        <v>1455900</v>
      </c>
      <c r="G16" s="438">
        <v>1304624.45</v>
      </c>
    </row>
    <row r="17" spans="2:7" s="93" customFormat="1" x14ac:dyDescent="0.25">
      <c r="B17" s="436"/>
      <c r="C17" s="437" t="s">
        <v>280</v>
      </c>
      <c r="D17" s="239" t="s">
        <v>281</v>
      </c>
      <c r="E17" s="438">
        <v>44485</v>
      </c>
      <c r="F17" s="438">
        <v>38485</v>
      </c>
      <c r="G17" s="438">
        <v>35011.15</v>
      </c>
    </row>
    <row r="18" spans="2:7" s="93" customFormat="1" x14ac:dyDescent="0.25">
      <c r="B18" s="434" t="s">
        <v>282</v>
      </c>
      <c r="C18" s="666" t="s">
        <v>283</v>
      </c>
      <c r="D18" s="666"/>
      <c r="E18" s="435">
        <f>SUM(E19:E22)</f>
        <v>6387345</v>
      </c>
      <c r="F18" s="435">
        <f>SUM(F19:F22)</f>
        <v>7102525</v>
      </c>
      <c r="G18" s="435">
        <f>SUM(G19:G22)</f>
        <v>6212783.2999999998</v>
      </c>
    </row>
    <row r="19" spans="2:7" s="93" customFormat="1" x14ac:dyDescent="0.25">
      <c r="B19" s="436"/>
      <c r="C19" s="437" t="s">
        <v>284</v>
      </c>
      <c r="D19" s="239" t="s">
        <v>285</v>
      </c>
      <c r="E19" s="438">
        <v>351265</v>
      </c>
      <c r="F19" s="438">
        <v>348365</v>
      </c>
      <c r="G19" s="438">
        <v>272964.61</v>
      </c>
    </row>
    <row r="20" spans="2:7" s="93" customFormat="1" x14ac:dyDescent="0.25">
      <c r="B20" s="440"/>
      <c r="C20" s="437" t="s">
        <v>286</v>
      </c>
      <c r="D20" s="437" t="s">
        <v>287</v>
      </c>
      <c r="E20" s="438">
        <v>222500</v>
      </c>
      <c r="F20" s="441">
        <v>222500</v>
      </c>
      <c r="G20" s="438">
        <v>175321.58</v>
      </c>
    </row>
    <row r="21" spans="2:7" s="93" customFormat="1" x14ac:dyDescent="0.25">
      <c r="B21" s="436"/>
      <c r="C21" s="437" t="s">
        <v>288</v>
      </c>
      <c r="D21" s="239" t="s">
        <v>289</v>
      </c>
      <c r="E21" s="438">
        <v>5771080</v>
      </c>
      <c r="F21" s="441">
        <v>6481910</v>
      </c>
      <c r="G21" s="438">
        <v>5716645.75</v>
      </c>
    </row>
    <row r="22" spans="2:7" s="93" customFormat="1" x14ac:dyDescent="0.25">
      <c r="B22" s="436"/>
      <c r="C22" s="437" t="s">
        <v>290</v>
      </c>
      <c r="D22" s="239" t="s">
        <v>291</v>
      </c>
      <c r="E22" s="438">
        <v>42500</v>
      </c>
      <c r="F22" s="441">
        <v>49750</v>
      </c>
      <c r="G22" s="438">
        <v>47851.360000000001</v>
      </c>
    </row>
    <row r="23" spans="2:7" s="93" customFormat="1" x14ac:dyDescent="0.25">
      <c r="B23" s="434" t="s">
        <v>292</v>
      </c>
      <c r="C23" s="666" t="s">
        <v>293</v>
      </c>
      <c r="D23" s="666"/>
      <c r="E23" s="435">
        <f>SUM(E24:E25)</f>
        <v>2823396</v>
      </c>
      <c r="F23" s="435">
        <f>SUM(F24:F25)</f>
        <v>2820696</v>
      </c>
      <c r="G23" s="435">
        <f>SUM(G24:G25)</f>
        <v>2810996.4400000004</v>
      </c>
    </row>
    <row r="24" spans="2:7" s="93" customFormat="1" x14ac:dyDescent="0.25">
      <c r="B24" s="436"/>
      <c r="C24" s="437" t="s">
        <v>294</v>
      </c>
      <c r="D24" s="239" t="s">
        <v>295</v>
      </c>
      <c r="E24" s="438">
        <v>2794244</v>
      </c>
      <c r="F24" s="438">
        <v>2794244</v>
      </c>
      <c r="G24" s="438">
        <v>2791003.99</v>
      </c>
    </row>
    <row r="25" spans="2:7" s="93" customFormat="1" x14ac:dyDescent="0.25">
      <c r="B25" s="436"/>
      <c r="C25" s="437" t="s">
        <v>296</v>
      </c>
      <c r="D25" s="239" t="s">
        <v>297</v>
      </c>
      <c r="E25" s="438">
        <v>29152</v>
      </c>
      <c r="F25" s="438">
        <v>26452</v>
      </c>
      <c r="G25" s="438">
        <v>19992.45</v>
      </c>
    </row>
    <row r="26" spans="2:7" s="93" customFormat="1" x14ac:dyDescent="0.25">
      <c r="B26" s="434" t="s">
        <v>298</v>
      </c>
      <c r="C26" s="666" t="s">
        <v>299</v>
      </c>
      <c r="D26" s="666"/>
      <c r="E26" s="435">
        <f>SUM(E27:E30)</f>
        <v>3124935</v>
      </c>
      <c r="F26" s="435">
        <f>SUM(F27:F30)</f>
        <v>3198935</v>
      </c>
      <c r="G26" s="435">
        <f>SUM(G27:G30)</f>
        <v>2815659.51</v>
      </c>
    </row>
    <row r="27" spans="2:7" s="93" customFormat="1" ht="14.25" customHeight="1" x14ac:dyDescent="0.25">
      <c r="B27" s="436"/>
      <c r="C27" s="437" t="s">
        <v>300</v>
      </c>
      <c r="D27" s="239" t="s">
        <v>301</v>
      </c>
      <c r="E27" s="438">
        <v>39400</v>
      </c>
      <c r="F27" s="438">
        <v>39400</v>
      </c>
      <c r="G27" s="438">
        <v>31507.33</v>
      </c>
    </row>
    <row r="28" spans="2:7" s="93" customFormat="1" x14ac:dyDescent="0.25">
      <c r="B28" s="436"/>
      <c r="C28" s="437" t="s">
        <v>302</v>
      </c>
      <c r="D28" s="239" t="s">
        <v>303</v>
      </c>
      <c r="E28" s="438">
        <v>1827395</v>
      </c>
      <c r="F28" s="438">
        <v>1741495</v>
      </c>
      <c r="G28" s="438">
        <v>1493603.15</v>
      </c>
    </row>
    <row r="29" spans="2:7" s="93" customFormat="1" x14ac:dyDescent="0.25">
      <c r="B29" s="436"/>
      <c r="C29" s="437" t="s">
        <v>304</v>
      </c>
      <c r="D29" s="239" t="s">
        <v>305</v>
      </c>
      <c r="E29" s="438">
        <v>784840</v>
      </c>
      <c r="F29" s="438">
        <v>690640</v>
      </c>
      <c r="G29" s="438">
        <v>656230.02</v>
      </c>
    </row>
    <row r="30" spans="2:7" s="93" customFormat="1" x14ac:dyDescent="0.25">
      <c r="B30" s="436"/>
      <c r="C30" s="437" t="s">
        <v>306</v>
      </c>
      <c r="D30" s="239" t="s">
        <v>299</v>
      </c>
      <c r="E30" s="438">
        <v>473300</v>
      </c>
      <c r="F30" s="438">
        <v>727400</v>
      </c>
      <c r="G30" s="438">
        <v>634319.01</v>
      </c>
    </row>
    <row r="31" spans="2:7" s="93" customFormat="1" x14ac:dyDescent="0.25">
      <c r="B31" s="434" t="s">
        <v>307</v>
      </c>
      <c r="C31" s="666" t="s">
        <v>308</v>
      </c>
      <c r="D31" s="666"/>
      <c r="E31" s="435">
        <f>SUM(E32:E35)</f>
        <v>4881150</v>
      </c>
      <c r="F31" s="435">
        <f>SUM(F32:F35)</f>
        <v>4934955</v>
      </c>
      <c r="G31" s="435">
        <f>SUM(G32:G35)</f>
        <v>4421813.7899999991</v>
      </c>
    </row>
    <row r="32" spans="2:7" s="93" customFormat="1" ht="15" customHeight="1" x14ac:dyDescent="0.25">
      <c r="B32" s="436"/>
      <c r="C32" s="437" t="s">
        <v>309</v>
      </c>
      <c r="D32" s="239" t="s">
        <v>310</v>
      </c>
      <c r="E32" s="438">
        <v>2566300</v>
      </c>
      <c r="F32" s="438">
        <v>2917200</v>
      </c>
      <c r="G32" s="438">
        <v>2630181.4500000002</v>
      </c>
    </row>
    <row r="33" spans="2:7" s="93" customFormat="1" x14ac:dyDescent="0.25">
      <c r="B33" s="436"/>
      <c r="C33" s="437" t="s">
        <v>311</v>
      </c>
      <c r="D33" s="239" t="s">
        <v>312</v>
      </c>
      <c r="E33" s="438">
        <v>2102650</v>
      </c>
      <c r="F33" s="438">
        <v>1769045</v>
      </c>
      <c r="G33" s="438">
        <v>1578878.06</v>
      </c>
    </row>
    <row r="34" spans="2:7" s="93" customFormat="1" x14ac:dyDescent="0.25">
      <c r="B34" s="436"/>
      <c r="C34" s="437" t="s">
        <v>313</v>
      </c>
      <c r="D34" s="239" t="s">
        <v>314</v>
      </c>
      <c r="E34" s="438">
        <v>32300</v>
      </c>
      <c r="F34" s="438">
        <v>32300</v>
      </c>
      <c r="G34" s="438">
        <v>22690.93</v>
      </c>
    </row>
    <row r="35" spans="2:7" s="93" customFormat="1" x14ac:dyDescent="0.25">
      <c r="B35" s="436"/>
      <c r="C35" s="437" t="s">
        <v>315</v>
      </c>
      <c r="D35" s="239" t="s">
        <v>316</v>
      </c>
      <c r="E35" s="438">
        <v>179900</v>
      </c>
      <c r="F35" s="438">
        <v>216410</v>
      </c>
      <c r="G35" s="438">
        <v>190063.35</v>
      </c>
    </row>
    <row r="36" spans="2:7" s="93" customFormat="1" x14ac:dyDescent="0.25">
      <c r="B36" s="434" t="s">
        <v>317</v>
      </c>
      <c r="C36" s="666" t="s">
        <v>318</v>
      </c>
      <c r="D36" s="666"/>
      <c r="E36" s="435">
        <f>SUM(E37:E45)-E42-E43-E44</f>
        <v>24704429</v>
      </c>
      <c r="F36" s="435">
        <f>SUM(F37:F45)-F42-F43-F44</f>
        <v>27259961</v>
      </c>
      <c r="G36" s="435">
        <f>SUM(G37:G45)-G42-G43-G44</f>
        <v>26164023.390000001</v>
      </c>
    </row>
    <row r="37" spans="2:7" s="93" customFormat="1" x14ac:dyDescent="0.25">
      <c r="B37" s="436"/>
      <c r="C37" s="437" t="s">
        <v>319</v>
      </c>
      <c r="D37" s="239" t="s">
        <v>320</v>
      </c>
      <c r="E37" s="438">
        <v>5438954</v>
      </c>
      <c r="F37" s="438">
        <v>5711489</v>
      </c>
      <c r="G37" s="438">
        <v>5598928.7800000003</v>
      </c>
    </row>
    <row r="38" spans="2:7" s="93" customFormat="1" ht="20.25" customHeight="1" x14ac:dyDescent="0.25">
      <c r="B38" s="436"/>
      <c r="C38" s="437" t="s">
        <v>321</v>
      </c>
      <c r="D38" s="239" t="s">
        <v>322</v>
      </c>
      <c r="E38" s="438">
        <v>4641492</v>
      </c>
      <c r="F38" s="438">
        <v>4645949</v>
      </c>
      <c r="G38" s="438">
        <v>4538962.9800000004</v>
      </c>
    </row>
    <row r="39" spans="2:7" s="93" customFormat="1" ht="25.5" x14ac:dyDescent="0.25">
      <c r="B39" s="436"/>
      <c r="C39" s="437" t="s">
        <v>323</v>
      </c>
      <c r="D39" s="239" t="s">
        <v>324</v>
      </c>
      <c r="E39" s="438">
        <v>6911898</v>
      </c>
      <c r="F39" s="438">
        <v>8448699</v>
      </c>
      <c r="G39" s="438">
        <v>8020398.0199999996</v>
      </c>
    </row>
    <row r="40" spans="2:7" s="93" customFormat="1" x14ac:dyDescent="0.25">
      <c r="B40" s="436"/>
      <c r="C40" s="437" t="s">
        <v>325</v>
      </c>
      <c r="D40" s="437" t="s">
        <v>326</v>
      </c>
      <c r="E40" s="438">
        <v>3867930</v>
      </c>
      <c r="F40" s="438">
        <v>4109833</v>
      </c>
      <c r="G40" s="438">
        <v>4082182.27</v>
      </c>
    </row>
    <row r="41" spans="2:7" s="93" customFormat="1" x14ac:dyDescent="0.25">
      <c r="B41" s="436"/>
      <c r="C41" s="437" t="s">
        <v>327</v>
      </c>
      <c r="D41" s="239" t="s">
        <v>328</v>
      </c>
      <c r="E41" s="438">
        <f>3746235</f>
        <v>3746235</v>
      </c>
      <c r="F41" s="438">
        <v>4248083</v>
      </c>
      <c r="G41" s="438">
        <v>3828738.34</v>
      </c>
    </row>
    <row r="42" spans="2:7" s="93" customFormat="1" ht="12.75" customHeight="1" x14ac:dyDescent="0.25">
      <c r="B42" s="436"/>
      <c r="C42" s="437" t="s">
        <v>329</v>
      </c>
      <c r="D42" s="239" t="s">
        <v>328</v>
      </c>
      <c r="E42" s="438">
        <v>1487899</v>
      </c>
      <c r="F42" s="438">
        <v>1949098</v>
      </c>
      <c r="G42" s="438">
        <v>1715767.88</v>
      </c>
    </row>
    <row r="43" spans="2:7" s="93" customFormat="1" ht="12" customHeight="1" x14ac:dyDescent="0.25">
      <c r="B43" s="436"/>
      <c r="C43" s="437" t="s">
        <v>330</v>
      </c>
      <c r="D43" s="239" t="s">
        <v>331</v>
      </c>
      <c r="E43" s="438">
        <v>910170</v>
      </c>
      <c r="F43" s="438">
        <v>939786</v>
      </c>
      <c r="G43" s="438">
        <v>866805.36</v>
      </c>
    </row>
    <row r="44" spans="2:7" s="93" customFormat="1" x14ac:dyDescent="0.25">
      <c r="B44" s="436"/>
      <c r="C44" s="437" t="s">
        <v>332</v>
      </c>
      <c r="D44" s="239" t="s">
        <v>333</v>
      </c>
      <c r="E44" s="438">
        <v>1085142</v>
      </c>
      <c r="F44" s="438">
        <v>1101795</v>
      </c>
      <c r="G44" s="438">
        <v>1041126.3</v>
      </c>
    </row>
    <row r="45" spans="2:7" s="93" customFormat="1" x14ac:dyDescent="0.25">
      <c r="B45" s="436"/>
      <c r="C45" s="437" t="s">
        <v>334</v>
      </c>
      <c r="D45" s="239" t="s">
        <v>335</v>
      </c>
      <c r="E45" s="438">
        <v>97920</v>
      </c>
      <c r="F45" s="438">
        <v>95908</v>
      </c>
      <c r="G45" s="438">
        <v>94813</v>
      </c>
    </row>
    <row r="46" spans="2:7" s="93" customFormat="1" x14ac:dyDescent="0.25">
      <c r="B46" s="434">
        <v>10</v>
      </c>
      <c r="C46" s="666" t="s">
        <v>336</v>
      </c>
      <c r="D46" s="666"/>
      <c r="E46" s="435">
        <f>SUM(E47:E51)</f>
        <v>4434428</v>
      </c>
      <c r="F46" s="435">
        <f>SUM(F47:F51)</f>
        <v>5319831</v>
      </c>
      <c r="G46" s="435">
        <f>SUM(G47:G51)</f>
        <v>4967184.1899999995</v>
      </c>
    </row>
    <row r="47" spans="2:7" s="93" customFormat="1" x14ac:dyDescent="0.25">
      <c r="B47" s="442"/>
      <c r="C47" s="437" t="s">
        <v>337</v>
      </c>
      <c r="D47" s="239" t="s">
        <v>338</v>
      </c>
      <c r="E47" s="438">
        <v>2679995</v>
      </c>
      <c r="F47" s="438">
        <v>2779286</v>
      </c>
      <c r="G47" s="438">
        <v>2578429.33</v>
      </c>
    </row>
    <row r="48" spans="2:7" s="93" customFormat="1" x14ac:dyDescent="0.25">
      <c r="B48" s="436"/>
      <c r="C48" s="437" t="s">
        <v>339</v>
      </c>
      <c r="D48" s="239" t="s">
        <v>340</v>
      </c>
      <c r="E48" s="438">
        <v>982555</v>
      </c>
      <c r="F48" s="438">
        <v>1019245</v>
      </c>
      <c r="G48" s="438">
        <v>943465.63</v>
      </c>
    </row>
    <row r="49" spans="2:8" s="93" customFormat="1" x14ac:dyDescent="0.25">
      <c r="B49" s="436"/>
      <c r="C49" s="437" t="s">
        <v>341</v>
      </c>
      <c r="D49" s="239" t="s">
        <v>342</v>
      </c>
      <c r="E49" s="438">
        <v>279455</v>
      </c>
      <c r="F49" s="438">
        <v>312004</v>
      </c>
      <c r="G49" s="438">
        <v>262838.46999999997</v>
      </c>
    </row>
    <row r="50" spans="2:8" s="93" customFormat="1" x14ac:dyDescent="0.25">
      <c r="B50" s="436"/>
      <c r="C50" s="437" t="s">
        <v>343</v>
      </c>
      <c r="D50" s="239" t="s">
        <v>344</v>
      </c>
      <c r="E50" s="438">
        <v>156875</v>
      </c>
      <c r="F50" s="438">
        <v>904248</v>
      </c>
      <c r="G50" s="438">
        <v>881114.35</v>
      </c>
    </row>
    <row r="51" spans="2:8" s="93" customFormat="1" x14ac:dyDescent="0.25">
      <c r="B51" s="443"/>
      <c r="C51" s="444" t="s">
        <v>345</v>
      </c>
      <c r="D51" s="444" t="s">
        <v>346</v>
      </c>
      <c r="E51" s="445">
        <v>335548</v>
      </c>
      <c r="F51" s="445">
        <v>305048</v>
      </c>
      <c r="G51" s="445">
        <v>301336.40999999997</v>
      </c>
    </row>
    <row r="52" spans="2:8" s="93" customFormat="1" x14ac:dyDescent="0.2">
      <c r="B52" s="52"/>
      <c r="C52" s="446"/>
      <c r="D52" s="52"/>
      <c r="E52" s="52"/>
      <c r="F52" s="52"/>
      <c r="G52" s="52"/>
    </row>
    <row r="53" spans="2:8" s="93" customFormat="1" x14ac:dyDescent="0.2">
      <c r="B53" s="52"/>
      <c r="C53" s="446"/>
      <c r="D53" s="52"/>
      <c r="E53" s="52"/>
      <c r="F53" s="98"/>
      <c r="G53" s="98"/>
    </row>
    <row r="54" spans="2:8" s="93" customFormat="1" x14ac:dyDescent="0.2">
      <c r="B54" s="52"/>
      <c r="C54" s="446"/>
      <c r="D54" s="52"/>
      <c r="E54" s="52"/>
      <c r="F54" s="52"/>
      <c r="G54" s="98"/>
    </row>
    <row r="55" spans="2:8" s="93" customFormat="1" x14ac:dyDescent="0.2">
      <c r="B55" s="52"/>
      <c r="C55" s="446"/>
      <c r="D55" s="52"/>
      <c r="E55" s="52"/>
      <c r="F55" s="52"/>
      <c r="G55" s="52"/>
    </row>
    <row r="56" spans="2:8" s="93" customFormat="1" ht="26.25" customHeight="1" x14ac:dyDescent="0.2">
      <c r="B56" s="52"/>
      <c r="C56" s="446"/>
      <c r="D56" s="52"/>
      <c r="E56" s="52"/>
      <c r="F56" s="52"/>
      <c r="G56" s="52"/>
    </row>
    <row r="57" spans="2:8" s="93" customFormat="1" x14ac:dyDescent="0.2">
      <c r="B57" s="52"/>
      <c r="C57" s="446"/>
      <c r="D57" s="52"/>
      <c r="E57" s="52"/>
      <c r="F57" s="175"/>
      <c r="G57" s="52"/>
    </row>
    <row r="58" spans="2:8" s="93" customFormat="1" x14ac:dyDescent="0.2">
      <c r="B58" s="52"/>
      <c r="C58" s="446"/>
      <c r="D58" s="52"/>
      <c r="E58" s="52"/>
      <c r="F58" s="175"/>
      <c r="G58" s="52"/>
    </row>
    <row r="59" spans="2:8" s="30" customFormat="1" ht="15" x14ac:dyDescent="0.25">
      <c r="B59" s="52"/>
      <c r="C59" s="446"/>
      <c r="D59" s="52"/>
      <c r="E59" s="52"/>
      <c r="F59" s="175"/>
      <c r="G59" s="52"/>
      <c r="H59" s="52"/>
    </row>
    <row r="60" spans="2:8" s="30" customFormat="1" ht="15" x14ac:dyDescent="0.25">
      <c r="B60" s="52"/>
      <c r="C60" s="446"/>
      <c r="D60" s="52"/>
      <c r="E60" s="52"/>
      <c r="F60" s="175"/>
      <c r="G60" s="52"/>
      <c r="H60" s="52"/>
    </row>
    <row r="61" spans="2:8" s="30" customFormat="1" ht="15" x14ac:dyDescent="0.25">
      <c r="B61" s="52"/>
      <c r="C61" s="446"/>
      <c r="D61" s="52"/>
      <c r="E61" s="52"/>
      <c r="F61" s="175"/>
      <c r="G61" s="52"/>
      <c r="H61" s="52"/>
    </row>
    <row r="62" spans="2:8" s="30" customFormat="1" ht="15" x14ac:dyDescent="0.25">
      <c r="B62" s="52"/>
      <c r="C62" s="446"/>
      <c r="D62" s="52"/>
      <c r="E62" s="52"/>
      <c r="F62" s="447"/>
      <c r="G62" s="52"/>
      <c r="H62" s="52"/>
    </row>
  </sheetData>
  <mergeCells count="12">
    <mergeCell ref="C46:D46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1:D31"/>
    <mergeCell ref="C36:D36"/>
  </mergeCells>
  <pageMargins left="0.55118110236220474" right="0.19685039370078741" top="0.51181102362204722" bottom="0.39370078740157483" header="0.27559055118110237" footer="0.31496062992125984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2:I43"/>
  <sheetViews>
    <sheetView workbookViewId="0">
      <selection activeCell="D22" sqref="D22"/>
    </sheetView>
  </sheetViews>
  <sheetFormatPr defaultRowHeight="12.75" x14ac:dyDescent="0.2"/>
  <cols>
    <col min="1" max="1" width="14.42578125" style="52" customWidth="1"/>
    <col min="2" max="2" width="3.42578125" style="52" customWidth="1"/>
    <col min="3" max="3" width="8.7109375" style="467" customWidth="1"/>
    <col min="4" max="4" width="33.140625" style="52" customWidth="1"/>
    <col min="5" max="5" width="14.42578125" style="52" customWidth="1"/>
    <col min="6" max="6" width="14.5703125" style="52" customWidth="1"/>
    <col min="7" max="7" width="16" style="52" customWidth="1"/>
    <col min="8" max="8" width="8.85546875" style="52" customWidth="1"/>
    <col min="9" max="9" width="9.140625" style="52" customWidth="1"/>
    <col min="10" max="16384" width="9.140625" style="52"/>
  </cols>
  <sheetData>
    <row r="2" spans="2:9" ht="15" x14ac:dyDescent="0.2">
      <c r="C2" s="57"/>
      <c r="D2" s="448"/>
      <c r="E2" s="280"/>
      <c r="F2" s="280"/>
      <c r="G2" s="431" t="s">
        <v>347</v>
      </c>
    </row>
    <row r="3" spans="2:9" ht="15" x14ac:dyDescent="0.2">
      <c r="C3" s="57"/>
      <c r="D3" s="448"/>
      <c r="E3" s="58"/>
      <c r="F3" s="58"/>
      <c r="G3" s="280"/>
    </row>
    <row r="4" spans="2:9" ht="18.75" x14ac:dyDescent="0.2">
      <c r="B4" s="564" t="s">
        <v>919</v>
      </c>
      <c r="C4" s="564"/>
      <c r="D4" s="564"/>
      <c r="E4" s="564"/>
      <c r="F4" s="564"/>
      <c r="G4" s="564"/>
    </row>
    <row r="5" spans="2:9" ht="20.25" x14ac:dyDescent="0.2">
      <c r="C5" s="449"/>
      <c r="D5" s="449"/>
      <c r="E5" s="449"/>
      <c r="F5" s="449"/>
      <c r="G5" s="449"/>
    </row>
    <row r="6" spans="2:9" ht="30" customHeight="1" x14ac:dyDescent="0.2">
      <c r="B6" s="671" t="s">
        <v>0</v>
      </c>
      <c r="C6" s="671"/>
      <c r="D6" s="671"/>
      <c r="E6" s="450" t="s">
        <v>258</v>
      </c>
      <c r="F6" s="450" t="s">
        <v>259</v>
      </c>
      <c r="G6" s="450" t="s">
        <v>260</v>
      </c>
    </row>
    <row r="7" spans="2:9" s="58" customFormat="1" ht="17.25" customHeight="1" x14ac:dyDescent="0.25">
      <c r="B7" s="672" t="s">
        <v>348</v>
      </c>
      <c r="C7" s="672"/>
      <c r="D7" s="672"/>
      <c r="E7" s="451">
        <f>E8+E13+E17+E20+E24+E29+E10+E37</f>
        <v>21624427</v>
      </c>
      <c r="F7" s="451">
        <f>F8+F13+F17+F20+F24+F29+F10+F37</f>
        <v>27309415</v>
      </c>
      <c r="G7" s="451">
        <f>G8+G13+G17+G20+G24+G29+G10+G37</f>
        <v>12057560.43</v>
      </c>
      <c r="I7" s="280"/>
    </row>
    <row r="8" spans="2:9" ht="14.25" customHeight="1" x14ac:dyDescent="0.2">
      <c r="B8" s="452" t="s">
        <v>262</v>
      </c>
      <c r="C8" s="669" t="s">
        <v>263</v>
      </c>
      <c r="D8" s="669"/>
      <c r="E8" s="454">
        <f>E9</f>
        <v>2210712</v>
      </c>
      <c r="F8" s="454">
        <f>F9</f>
        <v>2017459</v>
      </c>
      <c r="G8" s="454">
        <f>G9</f>
        <v>456217.69</v>
      </c>
    </row>
    <row r="9" spans="2:9" ht="15" customHeight="1" x14ac:dyDescent="0.2">
      <c r="B9" s="455"/>
      <c r="C9" s="456" t="s">
        <v>264</v>
      </c>
      <c r="D9" s="239" t="s">
        <v>265</v>
      </c>
      <c r="E9" s="438">
        <v>2210712</v>
      </c>
      <c r="F9" s="438">
        <v>2017459</v>
      </c>
      <c r="G9" s="438">
        <v>456217.69</v>
      </c>
    </row>
    <row r="10" spans="2:9" ht="12.75" customHeight="1" x14ac:dyDescent="0.2">
      <c r="B10" s="457" t="s">
        <v>276</v>
      </c>
      <c r="C10" s="670" t="s">
        <v>277</v>
      </c>
      <c r="D10" s="670"/>
      <c r="E10" s="459">
        <f>E11+E12</f>
        <v>21000</v>
      </c>
      <c r="F10" s="459">
        <f t="shared" ref="F10:G10" si="0">F11+F12</f>
        <v>30600</v>
      </c>
      <c r="G10" s="459">
        <f t="shared" si="0"/>
        <v>29988</v>
      </c>
    </row>
    <row r="11" spans="2:9" x14ac:dyDescent="0.2">
      <c r="B11" s="436"/>
      <c r="C11" s="456" t="s">
        <v>278</v>
      </c>
      <c r="D11" s="239" t="s">
        <v>279</v>
      </c>
      <c r="E11" s="460">
        <v>16000</v>
      </c>
      <c r="F11" s="460">
        <v>19200</v>
      </c>
      <c r="G11" s="460">
        <v>18588</v>
      </c>
    </row>
    <row r="12" spans="2:9" x14ac:dyDescent="0.2">
      <c r="B12" s="436"/>
      <c r="C12" s="456" t="s">
        <v>515</v>
      </c>
      <c r="D12" s="239" t="s">
        <v>281</v>
      </c>
      <c r="E12" s="460">
        <v>5000</v>
      </c>
      <c r="F12" s="460">
        <v>11400</v>
      </c>
      <c r="G12" s="460">
        <v>11400</v>
      </c>
    </row>
    <row r="13" spans="2:9" x14ac:dyDescent="0.2">
      <c r="B13" s="452" t="s">
        <v>282</v>
      </c>
      <c r="C13" s="669" t="s">
        <v>283</v>
      </c>
      <c r="D13" s="669"/>
      <c r="E13" s="454">
        <f>E14+E15+E16</f>
        <v>6001579</v>
      </c>
      <c r="F13" s="454">
        <f>F14+F15+F16</f>
        <v>7367065</v>
      </c>
      <c r="G13" s="454">
        <f t="shared" ref="G13" si="1">G14+G15+G16</f>
        <v>3882201.67</v>
      </c>
    </row>
    <row r="14" spans="2:9" s="30" customFormat="1" ht="12.75" customHeight="1" x14ac:dyDescent="0.25">
      <c r="B14" s="461"/>
      <c r="C14" s="456" t="s">
        <v>286</v>
      </c>
      <c r="D14" s="437" t="s">
        <v>287</v>
      </c>
      <c r="E14" s="441">
        <v>195000</v>
      </c>
      <c r="F14" s="441">
        <v>205200</v>
      </c>
      <c r="G14" s="441">
        <v>112344.25</v>
      </c>
    </row>
    <row r="15" spans="2:9" s="30" customFormat="1" ht="15" x14ac:dyDescent="0.25">
      <c r="B15" s="455"/>
      <c r="C15" s="462" t="s">
        <v>288</v>
      </c>
      <c r="D15" s="463" t="s">
        <v>289</v>
      </c>
      <c r="E15" s="441">
        <v>5806579</v>
      </c>
      <c r="F15" s="441">
        <v>7161865</v>
      </c>
      <c r="G15" s="441">
        <v>3769857.42</v>
      </c>
    </row>
    <row r="16" spans="2:9" s="30" customFormat="1" ht="15" x14ac:dyDescent="0.25">
      <c r="B16" s="455"/>
      <c r="C16" s="462" t="s">
        <v>290</v>
      </c>
      <c r="D16" s="463" t="s">
        <v>291</v>
      </c>
      <c r="E16" s="441">
        <v>0</v>
      </c>
      <c r="F16" s="441">
        <v>0</v>
      </c>
      <c r="G16" s="441">
        <v>0</v>
      </c>
    </row>
    <row r="17" spans="2:7" s="30" customFormat="1" ht="12.75" customHeight="1" x14ac:dyDescent="0.25">
      <c r="B17" s="452" t="s">
        <v>292</v>
      </c>
      <c r="C17" s="669" t="s">
        <v>293</v>
      </c>
      <c r="D17" s="669"/>
      <c r="E17" s="454">
        <f>E18+E19</f>
        <v>203934</v>
      </c>
      <c r="F17" s="454">
        <f>F18+F19</f>
        <v>203934</v>
      </c>
      <c r="G17" s="454">
        <f>G18+G19</f>
        <v>88376.13</v>
      </c>
    </row>
    <row r="18" spans="2:7" s="30" customFormat="1" ht="15" x14ac:dyDescent="0.25">
      <c r="B18" s="455"/>
      <c r="C18" s="462" t="s">
        <v>294</v>
      </c>
      <c r="D18" s="463" t="s">
        <v>295</v>
      </c>
      <c r="E18" s="460">
        <v>203934</v>
      </c>
      <c r="F18" s="460">
        <v>203934</v>
      </c>
      <c r="G18" s="460">
        <v>88376.13</v>
      </c>
    </row>
    <row r="19" spans="2:7" s="30" customFormat="1" ht="15" x14ac:dyDescent="0.25">
      <c r="B19" s="455"/>
      <c r="C19" s="456" t="s">
        <v>296</v>
      </c>
      <c r="D19" s="239" t="s">
        <v>297</v>
      </c>
      <c r="E19" s="438">
        <v>0</v>
      </c>
      <c r="F19" s="438">
        <v>0</v>
      </c>
      <c r="G19" s="438">
        <v>0</v>
      </c>
    </row>
    <row r="20" spans="2:7" s="30" customFormat="1" ht="15" x14ac:dyDescent="0.25">
      <c r="B20" s="452" t="s">
        <v>298</v>
      </c>
      <c r="C20" s="669" t="s">
        <v>299</v>
      </c>
      <c r="D20" s="669"/>
      <c r="E20" s="454">
        <f>SUM(E21:E23)</f>
        <v>1161895</v>
      </c>
      <c r="F20" s="454">
        <f>SUM(F21:F23)</f>
        <v>954471</v>
      </c>
      <c r="G20" s="454">
        <f t="shared" ref="G20" si="2">SUM(G21:G23)</f>
        <v>514828.85000000003</v>
      </c>
    </row>
    <row r="21" spans="2:7" s="30" customFormat="1" ht="12.75" customHeight="1" x14ac:dyDescent="0.25">
      <c r="B21" s="455"/>
      <c r="C21" s="462" t="s">
        <v>302</v>
      </c>
      <c r="D21" s="463" t="s">
        <v>303</v>
      </c>
      <c r="E21" s="460">
        <v>638995</v>
      </c>
      <c r="F21" s="460">
        <v>403995</v>
      </c>
      <c r="G21" s="460">
        <v>202051.55</v>
      </c>
    </row>
    <row r="22" spans="2:7" s="30" customFormat="1" ht="12.75" customHeight="1" x14ac:dyDescent="0.25">
      <c r="B22" s="455"/>
      <c r="C22" s="462" t="s">
        <v>304</v>
      </c>
      <c r="D22" s="463" t="s">
        <v>305</v>
      </c>
      <c r="E22" s="460">
        <v>322900</v>
      </c>
      <c r="F22" s="460">
        <v>310100</v>
      </c>
      <c r="G22" s="460">
        <v>294948.90000000002</v>
      </c>
    </row>
    <row r="23" spans="2:7" s="30" customFormat="1" ht="12.75" customHeight="1" x14ac:dyDescent="0.25">
      <c r="B23" s="455"/>
      <c r="C23" s="456" t="s">
        <v>306</v>
      </c>
      <c r="D23" s="239" t="s">
        <v>299</v>
      </c>
      <c r="E23" s="438">
        <v>200000</v>
      </c>
      <c r="F23" s="438">
        <v>240376</v>
      </c>
      <c r="G23" s="438">
        <v>17828.400000000001</v>
      </c>
    </row>
    <row r="24" spans="2:7" s="30" customFormat="1" ht="16.5" customHeight="1" x14ac:dyDescent="0.25">
      <c r="B24" s="457" t="s">
        <v>307</v>
      </c>
      <c r="C24" s="670" t="s">
        <v>308</v>
      </c>
      <c r="D24" s="670"/>
      <c r="E24" s="459">
        <f>SUM(E25:E28)</f>
        <v>10203450</v>
      </c>
      <c r="F24" s="459">
        <f>SUM(F25:F28)</f>
        <v>14273855</v>
      </c>
      <c r="G24" s="459">
        <f>SUM(G25:G28)</f>
        <v>6237857.0200000005</v>
      </c>
    </row>
    <row r="25" spans="2:7" s="30" customFormat="1" ht="15" x14ac:dyDescent="0.25">
      <c r="B25" s="455"/>
      <c r="C25" s="462" t="s">
        <v>309</v>
      </c>
      <c r="D25" s="463" t="s">
        <v>310</v>
      </c>
      <c r="E25" s="460">
        <v>5097883</v>
      </c>
      <c r="F25" s="460">
        <v>6955877</v>
      </c>
      <c r="G25" s="460">
        <v>3838047.75</v>
      </c>
    </row>
    <row r="26" spans="2:7" s="30" customFormat="1" ht="15" x14ac:dyDescent="0.25">
      <c r="B26" s="436"/>
      <c r="C26" s="456" t="s">
        <v>311</v>
      </c>
      <c r="D26" s="239" t="s">
        <v>349</v>
      </c>
      <c r="E26" s="460">
        <v>4926767</v>
      </c>
      <c r="F26" s="460">
        <v>6999978</v>
      </c>
      <c r="G26" s="460">
        <v>2302376.89</v>
      </c>
    </row>
    <row r="27" spans="2:7" s="30" customFormat="1" ht="15" x14ac:dyDescent="0.25">
      <c r="B27" s="436"/>
      <c r="C27" s="456" t="s">
        <v>313</v>
      </c>
      <c r="D27" s="239" t="s">
        <v>314</v>
      </c>
      <c r="E27" s="438">
        <v>10000</v>
      </c>
      <c r="F27" s="438">
        <v>10000</v>
      </c>
      <c r="G27" s="438">
        <v>10000</v>
      </c>
    </row>
    <row r="28" spans="2:7" s="30" customFormat="1" ht="15" x14ac:dyDescent="0.25">
      <c r="B28" s="455"/>
      <c r="C28" s="462" t="s">
        <v>315</v>
      </c>
      <c r="D28" s="463" t="s">
        <v>350</v>
      </c>
      <c r="E28" s="460">
        <v>168800</v>
      </c>
      <c r="F28" s="460">
        <v>308000</v>
      </c>
      <c r="G28" s="460">
        <v>87432.38</v>
      </c>
    </row>
    <row r="29" spans="2:7" s="30" customFormat="1" ht="21.75" customHeight="1" x14ac:dyDescent="0.25">
      <c r="B29" s="457" t="s">
        <v>317</v>
      </c>
      <c r="C29" s="670" t="s">
        <v>318</v>
      </c>
      <c r="D29" s="670"/>
      <c r="E29" s="459">
        <f>SUM(E30:E36)-E35-E36</f>
        <v>1591857</v>
      </c>
      <c r="F29" s="459">
        <f t="shared" ref="F29:G29" si="3">SUM(F30:F36)-F35-F36</f>
        <v>2443531</v>
      </c>
      <c r="G29" s="459">
        <f t="shared" si="3"/>
        <v>829939.07000000007</v>
      </c>
    </row>
    <row r="30" spans="2:7" s="30" customFormat="1" ht="15" x14ac:dyDescent="0.25">
      <c r="B30" s="455"/>
      <c r="C30" s="456" t="s">
        <v>319</v>
      </c>
      <c r="D30" s="437" t="s">
        <v>320</v>
      </c>
      <c r="E30" s="438">
        <v>886687</v>
      </c>
      <c r="F30" s="438">
        <v>1087591</v>
      </c>
      <c r="G30" s="438">
        <v>143580.17000000001</v>
      </c>
    </row>
    <row r="31" spans="2:7" s="30" customFormat="1" ht="25.5" x14ac:dyDescent="0.25">
      <c r="B31" s="455"/>
      <c r="C31" s="456" t="s">
        <v>321</v>
      </c>
      <c r="D31" s="437" t="s">
        <v>517</v>
      </c>
      <c r="E31" s="438">
        <v>0</v>
      </c>
      <c r="F31" s="438">
        <v>0</v>
      </c>
      <c r="G31" s="438">
        <v>0</v>
      </c>
    </row>
    <row r="32" spans="2:7" s="30" customFormat="1" ht="25.5" x14ac:dyDescent="0.25">
      <c r="B32" s="455"/>
      <c r="C32" s="456" t="s">
        <v>323</v>
      </c>
      <c r="D32" s="239" t="s">
        <v>324</v>
      </c>
      <c r="E32" s="438">
        <v>674170</v>
      </c>
      <c r="F32" s="438">
        <v>957788</v>
      </c>
      <c r="G32" s="438">
        <v>391429.56</v>
      </c>
    </row>
    <row r="33" spans="2:7" s="30" customFormat="1" ht="14.25" customHeight="1" x14ac:dyDescent="0.25">
      <c r="B33" s="455"/>
      <c r="C33" s="456" t="s">
        <v>325</v>
      </c>
      <c r="D33" s="239" t="s">
        <v>516</v>
      </c>
      <c r="E33" s="438">
        <v>31000</v>
      </c>
      <c r="F33" s="438">
        <v>42890</v>
      </c>
      <c r="G33" s="438">
        <v>42889.4</v>
      </c>
    </row>
    <row r="34" spans="2:7" s="30" customFormat="1" ht="14.25" customHeight="1" x14ac:dyDescent="0.25">
      <c r="B34" s="455"/>
      <c r="C34" s="456" t="s">
        <v>327</v>
      </c>
      <c r="D34" s="239" t="s">
        <v>328</v>
      </c>
      <c r="E34" s="438">
        <v>0</v>
      </c>
      <c r="F34" s="438">
        <v>355262</v>
      </c>
      <c r="G34" s="438">
        <v>252039.94</v>
      </c>
    </row>
    <row r="35" spans="2:7" s="30" customFormat="1" ht="15" x14ac:dyDescent="0.25">
      <c r="B35" s="455"/>
      <c r="C35" s="437" t="s">
        <v>329</v>
      </c>
      <c r="D35" s="239" t="s">
        <v>328</v>
      </c>
      <c r="E35" s="438">
        <v>0</v>
      </c>
      <c r="F35" s="438">
        <v>8500</v>
      </c>
      <c r="G35" s="438">
        <v>8000</v>
      </c>
    </row>
    <row r="36" spans="2:7" s="30" customFormat="1" ht="15" x14ac:dyDescent="0.25">
      <c r="B36" s="455"/>
      <c r="C36" s="456" t="s">
        <v>332</v>
      </c>
      <c r="D36" s="239" t="s">
        <v>333</v>
      </c>
      <c r="E36" s="438">
        <v>0</v>
      </c>
      <c r="F36" s="438">
        <v>323762</v>
      </c>
      <c r="G36" s="438">
        <v>223059.94</v>
      </c>
    </row>
    <row r="37" spans="2:7" s="30" customFormat="1" ht="15" x14ac:dyDescent="0.25">
      <c r="B37" s="457" t="s">
        <v>351</v>
      </c>
      <c r="C37" s="670" t="s">
        <v>336</v>
      </c>
      <c r="D37" s="670"/>
      <c r="E37" s="459">
        <f>SUM(E38:E40)</f>
        <v>230000</v>
      </c>
      <c r="F37" s="459">
        <f>SUM(F38:F40)</f>
        <v>18500</v>
      </c>
      <c r="G37" s="459">
        <f>SUM(G38:G40)</f>
        <v>18152</v>
      </c>
    </row>
    <row r="38" spans="2:7" s="30" customFormat="1" ht="15" x14ac:dyDescent="0.25">
      <c r="B38" s="455"/>
      <c r="C38" s="456" t="s">
        <v>339</v>
      </c>
      <c r="D38" s="239" t="s">
        <v>485</v>
      </c>
      <c r="E38" s="438">
        <v>0</v>
      </c>
      <c r="F38" s="438">
        <v>2400</v>
      </c>
      <c r="G38" s="438">
        <v>2350</v>
      </c>
    </row>
    <row r="39" spans="2:7" s="30" customFormat="1" ht="15" x14ac:dyDescent="0.25">
      <c r="B39" s="455"/>
      <c r="C39" s="456" t="s">
        <v>341</v>
      </c>
      <c r="D39" s="239" t="s">
        <v>342</v>
      </c>
      <c r="E39" s="438">
        <v>0</v>
      </c>
      <c r="F39" s="438">
        <v>2500</v>
      </c>
      <c r="G39" s="438">
        <v>2490</v>
      </c>
    </row>
    <row r="40" spans="2:7" s="30" customFormat="1" ht="30" customHeight="1" x14ac:dyDescent="0.25">
      <c r="B40" s="464"/>
      <c r="C40" s="465" t="s">
        <v>337</v>
      </c>
      <c r="D40" s="466" t="s">
        <v>352</v>
      </c>
      <c r="E40" s="445">
        <v>230000</v>
      </c>
      <c r="F40" s="445">
        <v>13600</v>
      </c>
      <c r="G40" s="445">
        <v>13312</v>
      </c>
    </row>
    <row r="42" spans="2:7" s="30" customFormat="1" ht="15" x14ac:dyDescent="0.25">
      <c r="B42" s="52"/>
      <c r="C42" s="467"/>
      <c r="D42" s="52"/>
      <c r="E42" s="52"/>
      <c r="F42" s="98"/>
      <c r="G42" s="52"/>
    </row>
    <row r="43" spans="2:7" s="30" customFormat="1" ht="15" x14ac:dyDescent="0.25">
      <c r="B43" s="52"/>
      <c r="C43" s="467"/>
      <c r="D43" s="52"/>
      <c r="E43" s="98"/>
      <c r="F43" s="52"/>
      <c r="G43" s="52"/>
    </row>
  </sheetData>
  <mergeCells count="11">
    <mergeCell ref="C13:D13"/>
    <mergeCell ref="B4:G4"/>
    <mergeCell ref="B6:D6"/>
    <mergeCell ref="B7:D7"/>
    <mergeCell ref="C8:D8"/>
    <mergeCell ref="C10:D10"/>
    <mergeCell ref="C17:D17"/>
    <mergeCell ref="C20:D20"/>
    <mergeCell ref="C24:D24"/>
    <mergeCell ref="C29:D29"/>
    <mergeCell ref="C37:D37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J74"/>
  <sheetViews>
    <sheetView workbookViewId="0">
      <selection activeCell="C52" sqref="C52"/>
    </sheetView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7" width="13.5703125" style="1" customWidth="1"/>
    <col min="8" max="8" width="15.4257812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9" ht="15" x14ac:dyDescent="0.25">
      <c r="B1" s="30"/>
      <c r="C1" s="30"/>
      <c r="D1" s="30"/>
      <c r="E1" s="30"/>
      <c r="F1" s="30"/>
      <c r="G1" s="30"/>
      <c r="H1" s="52" t="s">
        <v>43</v>
      </c>
    </row>
    <row r="2" spans="2:9" ht="20.25" x14ac:dyDescent="0.3">
      <c r="B2" s="557" t="s">
        <v>44</v>
      </c>
      <c r="C2" s="557"/>
      <c r="D2" s="557"/>
      <c r="E2" s="557"/>
      <c r="F2" s="557"/>
      <c r="G2" s="557"/>
      <c r="H2" s="557"/>
    </row>
    <row r="3" spans="2:9" ht="36.75" customHeight="1" x14ac:dyDescent="0.2">
      <c r="B3" s="52"/>
      <c r="C3" s="52"/>
      <c r="D3" s="52"/>
      <c r="E3" s="52"/>
      <c r="F3" s="52"/>
      <c r="G3" s="52"/>
      <c r="H3" s="52"/>
    </row>
    <row r="4" spans="2:9" x14ac:dyDescent="0.2">
      <c r="B4" s="59" t="s">
        <v>569</v>
      </c>
      <c r="C4" s="59"/>
      <c r="D4" s="59"/>
      <c r="E4" s="60">
        <f>SUM(E5:E13)</f>
        <v>843991.19000000006</v>
      </c>
      <c r="F4" s="52"/>
      <c r="G4" s="52"/>
      <c r="H4" s="52"/>
    </row>
    <row r="5" spans="2:9" x14ac:dyDescent="0.2">
      <c r="B5" s="558" t="s">
        <v>45</v>
      </c>
      <c r="C5" s="558"/>
      <c r="D5" s="558"/>
      <c r="E5" s="39">
        <v>37914.78</v>
      </c>
      <c r="F5" s="52"/>
      <c r="G5" s="52"/>
      <c r="H5" s="52"/>
    </row>
    <row r="6" spans="2:9" ht="16.5" customHeight="1" x14ac:dyDescent="0.2">
      <c r="B6" s="558" t="s">
        <v>46</v>
      </c>
      <c r="C6" s="558"/>
      <c r="D6" s="558"/>
      <c r="E6" s="39">
        <v>4314.96</v>
      </c>
      <c r="F6" s="52"/>
      <c r="G6" s="52"/>
      <c r="H6" s="52"/>
    </row>
    <row r="7" spans="2:9" ht="15" customHeight="1" x14ac:dyDescent="0.2">
      <c r="B7" s="558" t="s">
        <v>47</v>
      </c>
      <c r="C7" s="558"/>
      <c r="D7" s="558"/>
      <c r="E7" s="39">
        <v>781625.17</v>
      </c>
      <c r="F7" s="52"/>
      <c r="G7" s="52"/>
      <c r="H7" s="52"/>
    </row>
    <row r="8" spans="2:9" ht="15" customHeight="1" x14ac:dyDescent="0.2">
      <c r="B8" s="558" t="s">
        <v>48</v>
      </c>
      <c r="C8" s="558"/>
      <c r="D8" s="558"/>
      <c r="E8" s="39">
        <f>7931.22+2010.19</f>
        <v>9941.41</v>
      </c>
      <c r="F8" s="52"/>
      <c r="G8" s="52"/>
      <c r="H8" s="52"/>
    </row>
    <row r="9" spans="2:9" x14ac:dyDescent="0.2">
      <c r="B9" s="556" t="s">
        <v>49</v>
      </c>
      <c r="C9" s="556"/>
      <c r="D9" s="556"/>
      <c r="E9" s="62">
        <v>6456.72</v>
      </c>
      <c r="F9" s="52"/>
      <c r="G9" s="52"/>
      <c r="H9" s="52"/>
    </row>
    <row r="10" spans="2:9" x14ac:dyDescent="0.2">
      <c r="B10" s="38" t="s">
        <v>50</v>
      </c>
      <c r="C10" s="38"/>
      <c r="D10" s="38"/>
      <c r="E10" s="62">
        <v>1896.28</v>
      </c>
      <c r="F10" s="52"/>
      <c r="G10" s="52"/>
      <c r="H10" s="52"/>
    </row>
    <row r="11" spans="2:9" x14ac:dyDescent="0.2">
      <c r="B11" s="38" t="s">
        <v>51</v>
      </c>
      <c r="C11" s="38"/>
      <c r="D11" s="38"/>
      <c r="E11" s="62">
        <v>0</v>
      </c>
      <c r="F11" s="52"/>
      <c r="G11" s="52"/>
      <c r="H11" s="52"/>
    </row>
    <row r="12" spans="2:9" x14ac:dyDescent="0.2">
      <c r="B12" s="42" t="s">
        <v>616</v>
      </c>
      <c r="C12" s="42"/>
      <c r="D12" s="42"/>
      <c r="E12" s="63">
        <v>1077</v>
      </c>
      <c r="F12" s="52"/>
      <c r="G12" s="52"/>
      <c r="H12" s="52"/>
    </row>
    <row r="13" spans="2:9" x14ac:dyDescent="0.2">
      <c r="B13" s="64" t="s">
        <v>617</v>
      </c>
      <c r="C13" s="64"/>
      <c r="D13" s="64"/>
      <c r="E13" s="65">
        <v>764.87</v>
      </c>
      <c r="F13" s="52"/>
      <c r="G13" s="52"/>
      <c r="H13" s="52"/>
    </row>
    <row r="14" spans="2:9" ht="9.75" customHeight="1" x14ac:dyDescent="0.2">
      <c r="B14" s="66"/>
      <c r="C14" s="66"/>
      <c r="D14" s="66"/>
      <c r="E14" s="67"/>
      <c r="F14" s="52"/>
      <c r="G14" s="52"/>
      <c r="H14" s="52"/>
    </row>
    <row r="15" spans="2:9" ht="13.5" customHeight="1" x14ac:dyDescent="0.2">
      <c r="B15" s="52"/>
      <c r="C15" s="52"/>
      <c r="D15" s="52"/>
      <c r="E15" s="52"/>
      <c r="F15" s="52"/>
      <c r="G15" s="52"/>
      <c r="H15" s="52"/>
    </row>
    <row r="16" spans="2:9" s="2" customFormat="1" ht="51" x14ac:dyDescent="0.25">
      <c r="B16" s="68" t="s">
        <v>52</v>
      </c>
      <c r="C16" s="69" t="s">
        <v>570</v>
      </c>
      <c r="D16" s="69" t="s">
        <v>571</v>
      </c>
      <c r="E16" s="69" t="s">
        <v>572</v>
      </c>
      <c r="F16" s="69" t="s">
        <v>573</v>
      </c>
      <c r="G16" s="69" t="s">
        <v>574</v>
      </c>
      <c r="H16" s="70"/>
      <c r="I16" s="3"/>
    </row>
    <row r="17" spans="2:9" x14ac:dyDescent="0.2">
      <c r="B17" s="71" t="s">
        <v>53</v>
      </c>
      <c r="C17" s="72">
        <v>33317.29</v>
      </c>
      <c r="D17" s="72">
        <v>24557.599999999999</v>
      </c>
      <c r="E17" s="72">
        <v>0</v>
      </c>
      <c r="F17" s="72">
        <v>56101.81</v>
      </c>
      <c r="G17" s="72">
        <v>87998.07</v>
      </c>
      <c r="H17" s="73"/>
      <c r="I17" s="4"/>
    </row>
    <row r="18" spans="2:9" x14ac:dyDescent="0.2">
      <c r="B18" s="71" t="s">
        <v>54</v>
      </c>
      <c r="C18" s="72">
        <v>11713.57</v>
      </c>
      <c r="D18" s="72">
        <v>8630.23</v>
      </c>
      <c r="E18" s="72">
        <v>0</v>
      </c>
      <c r="F18" s="72">
        <v>22504.02</v>
      </c>
      <c r="G18" s="72">
        <v>32243.69</v>
      </c>
      <c r="H18" s="73"/>
      <c r="I18" s="4"/>
    </row>
    <row r="19" spans="2:9" x14ac:dyDescent="0.2">
      <c r="B19" s="71" t="s">
        <v>55</v>
      </c>
      <c r="C19" s="72">
        <f>C20+C21+C22+C23+C24+C25</f>
        <v>19628.21</v>
      </c>
      <c r="D19" s="72">
        <f>D20+D21+D22+D23+D24+D25</f>
        <v>28837.59</v>
      </c>
      <c r="E19" s="72">
        <f>E20+E21+E22+E23+E24+E25</f>
        <v>203.53</v>
      </c>
      <c r="F19" s="72">
        <f>F20+F21+F22+F23+F24+F25</f>
        <v>573713.63</v>
      </c>
      <c r="G19" s="72">
        <f>+G20+G21+G22+G23+G24+G25</f>
        <v>1017303.38</v>
      </c>
      <c r="H19" s="73"/>
      <c r="I19" s="4"/>
    </row>
    <row r="20" spans="2:9" x14ac:dyDescent="0.2">
      <c r="B20" s="74" t="s">
        <v>56</v>
      </c>
      <c r="C20" s="39">
        <v>5602.57</v>
      </c>
      <c r="D20" s="39">
        <v>2716.84</v>
      </c>
      <c r="E20" s="39"/>
      <c r="F20" s="39">
        <v>456767.62</v>
      </c>
      <c r="G20" s="39">
        <v>371.18</v>
      </c>
      <c r="H20" s="75"/>
      <c r="I20" s="4"/>
    </row>
    <row r="21" spans="2:9" x14ac:dyDescent="0.2">
      <c r="B21" s="74" t="s">
        <v>57</v>
      </c>
      <c r="C21" s="39">
        <v>2920.25</v>
      </c>
      <c r="D21" s="39">
        <v>11972.1</v>
      </c>
      <c r="E21" s="39"/>
      <c r="F21" s="39">
        <v>56005.13</v>
      </c>
      <c r="G21" s="39">
        <v>24319.06</v>
      </c>
      <c r="H21" s="75"/>
      <c r="I21" s="4"/>
    </row>
    <row r="22" spans="2:9" x14ac:dyDescent="0.2">
      <c r="B22" s="74" t="s">
        <v>58</v>
      </c>
      <c r="C22" s="39">
        <v>0</v>
      </c>
      <c r="D22" s="39">
        <v>0</v>
      </c>
      <c r="E22" s="39">
        <v>203.53</v>
      </c>
      <c r="F22" s="39">
        <v>5413.3</v>
      </c>
      <c r="G22" s="39">
        <v>17363.05</v>
      </c>
      <c r="H22" s="75"/>
      <c r="I22" s="4"/>
    </row>
    <row r="23" spans="2:9" x14ac:dyDescent="0.2">
      <c r="B23" s="74" t="s">
        <v>59</v>
      </c>
      <c r="C23" s="39">
        <v>9175.0499999999993</v>
      </c>
      <c r="D23" s="39">
        <v>42</v>
      </c>
      <c r="E23" s="39"/>
      <c r="F23" s="39">
        <v>18197.16</v>
      </c>
      <c r="G23" s="39">
        <v>969657.51</v>
      </c>
      <c r="H23" s="75"/>
      <c r="I23" s="4"/>
    </row>
    <row r="24" spans="2:9" x14ac:dyDescent="0.2">
      <c r="B24" s="74" t="s">
        <v>60</v>
      </c>
      <c r="C24" s="39">
        <v>0</v>
      </c>
      <c r="D24" s="39">
        <v>3795.24</v>
      </c>
      <c r="E24" s="39"/>
      <c r="F24" s="39">
        <v>0</v>
      </c>
      <c r="G24" s="39">
        <v>0</v>
      </c>
      <c r="H24" s="75"/>
      <c r="I24" s="4"/>
    </row>
    <row r="25" spans="2:9" x14ac:dyDescent="0.2">
      <c r="B25" s="74" t="s">
        <v>61</v>
      </c>
      <c r="C25" s="39">
        <v>1930.34</v>
      </c>
      <c r="D25" s="39">
        <v>10311.41</v>
      </c>
      <c r="E25" s="39"/>
      <c r="F25" s="39">
        <v>37330.42</v>
      </c>
      <c r="G25" s="39">
        <v>5592.58</v>
      </c>
      <c r="H25" s="75"/>
      <c r="I25" s="4"/>
    </row>
    <row r="26" spans="2:9" x14ac:dyDescent="0.2">
      <c r="B26" s="71" t="s">
        <v>62</v>
      </c>
      <c r="C26" s="72">
        <v>2137.64</v>
      </c>
      <c r="D26" s="72">
        <v>1422.3</v>
      </c>
      <c r="E26" s="72">
        <v>0</v>
      </c>
      <c r="F26" s="72">
        <v>3910.56</v>
      </c>
      <c r="G26" s="72">
        <v>6992.96</v>
      </c>
      <c r="H26" s="73"/>
      <c r="I26" s="4"/>
    </row>
    <row r="27" spans="2:9" s="5" customFormat="1" ht="3.75" customHeight="1" x14ac:dyDescent="0.2">
      <c r="B27" s="76"/>
      <c r="C27" s="77"/>
      <c r="D27" s="77"/>
      <c r="E27" s="77"/>
      <c r="F27" s="77"/>
      <c r="G27" s="78"/>
      <c r="H27" s="79"/>
      <c r="I27" s="6"/>
    </row>
    <row r="28" spans="2:9" ht="20.25" customHeight="1" x14ac:dyDescent="0.2">
      <c r="B28" s="80" t="s">
        <v>63</v>
      </c>
      <c r="C28" s="51">
        <f>C17+C18+C19+C26</f>
        <v>66796.710000000006</v>
      </c>
      <c r="D28" s="51">
        <f>D17+D18+D19+D26</f>
        <v>63447.72</v>
      </c>
      <c r="E28" s="51">
        <f>E17+E18+E19+E26</f>
        <v>203.53</v>
      </c>
      <c r="F28" s="51">
        <f>F17+F18+F19+F26</f>
        <v>656230.02</v>
      </c>
      <c r="G28" s="51">
        <f>G17+G18+G19+G26</f>
        <v>1144538.1000000001</v>
      </c>
      <c r="H28" s="81"/>
      <c r="I28" s="7"/>
    </row>
    <row r="29" spans="2:9" s="8" customFormat="1" x14ac:dyDescent="0.25">
      <c r="B29" s="80" t="s">
        <v>64</v>
      </c>
      <c r="C29" s="82">
        <v>0</v>
      </c>
      <c r="D29" s="82">
        <v>0</v>
      </c>
      <c r="E29" s="82">
        <v>0</v>
      </c>
      <c r="F29" s="82"/>
      <c r="G29" s="82">
        <v>11998.8</v>
      </c>
      <c r="H29" s="83"/>
    </row>
    <row r="30" spans="2:9" x14ac:dyDescent="0.2">
      <c r="B30" s="52"/>
      <c r="C30" s="52"/>
      <c r="D30" s="52"/>
      <c r="E30" s="52"/>
      <c r="F30" s="52"/>
      <c r="G30" s="52"/>
      <c r="H30" s="52"/>
    </row>
    <row r="31" spans="2:9" s="2" customFormat="1" ht="63.75" x14ac:dyDescent="0.25">
      <c r="B31" s="68" t="s">
        <v>52</v>
      </c>
      <c r="C31" s="69" t="s">
        <v>576</v>
      </c>
      <c r="D31" s="69" t="s">
        <v>575</v>
      </c>
      <c r="E31" s="69" t="s">
        <v>577</v>
      </c>
      <c r="F31" s="69" t="s">
        <v>578</v>
      </c>
      <c r="G31" s="69" t="s">
        <v>579</v>
      </c>
      <c r="H31" s="70"/>
      <c r="I31" s="9"/>
    </row>
    <row r="32" spans="2:9" x14ac:dyDescent="0.2">
      <c r="B32" s="71" t="s">
        <v>53</v>
      </c>
      <c r="C32" s="72">
        <v>78031.09</v>
      </c>
      <c r="D32" s="72">
        <v>176295.9</v>
      </c>
      <c r="E32" s="72"/>
      <c r="F32" s="72">
        <v>42029.54</v>
      </c>
      <c r="G32" s="72"/>
      <c r="H32" s="73"/>
      <c r="I32" s="10"/>
    </row>
    <row r="33" spans="2:10" x14ac:dyDescent="0.2">
      <c r="B33" s="71" t="s">
        <v>54</v>
      </c>
      <c r="C33" s="72">
        <v>28090.49</v>
      </c>
      <c r="D33" s="72">
        <f>62297.1+17161.06</f>
        <v>79458.16</v>
      </c>
      <c r="E33" s="72"/>
      <c r="F33" s="72">
        <v>14995.83</v>
      </c>
      <c r="G33" s="72"/>
      <c r="H33" s="73"/>
      <c r="I33" s="10"/>
    </row>
    <row r="34" spans="2:10" x14ac:dyDescent="0.2">
      <c r="B34" s="71" t="s">
        <v>55</v>
      </c>
      <c r="C34" s="72">
        <f>C35+C36+C37+C38+C39+C40</f>
        <v>337236.87000000005</v>
      </c>
      <c r="D34" s="72">
        <f>D35+D36+D37+D38+D39+D40</f>
        <v>587720.44999999995</v>
      </c>
      <c r="E34" s="72">
        <f>E35+E36+E37+E38+E39+E40</f>
        <v>1361.6</v>
      </c>
      <c r="F34" s="72">
        <f>F35+F36+F37+F38+F39+F40</f>
        <v>41890.229999999996</v>
      </c>
      <c r="G34" s="72">
        <f>G35+G36+G37+G38+G39+G40</f>
        <v>11158</v>
      </c>
      <c r="H34" s="73"/>
      <c r="I34" s="10"/>
    </row>
    <row r="35" spans="2:10" x14ac:dyDescent="0.2">
      <c r="B35" s="74" t="s">
        <v>56</v>
      </c>
      <c r="C35" s="39">
        <v>271543.08</v>
      </c>
      <c r="D35" s="39">
        <f>266055.08+132448.06</f>
        <v>398503.14</v>
      </c>
      <c r="E35" s="39"/>
      <c r="F35" s="39">
        <v>1281.07</v>
      </c>
      <c r="G35" s="39"/>
      <c r="H35" s="75"/>
      <c r="I35" s="11"/>
    </row>
    <row r="36" spans="2:10" x14ac:dyDescent="0.2">
      <c r="B36" s="74" t="s">
        <v>57</v>
      </c>
      <c r="C36" s="39">
        <v>17771.400000000001</v>
      </c>
      <c r="D36" s="39">
        <f>19512.28+40160.94</f>
        <v>59673.22</v>
      </c>
      <c r="E36" s="39"/>
      <c r="F36" s="39">
        <v>23094.560000000001</v>
      </c>
      <c r="G36" s="39"/>
      <c r="H36" s="75"/>
      <c r="I36" s="11"/>
    </row>
    <row r="37" spans="2:10" x14ac:dyDescent="0.2">
      <c r="B37" s="74" t="s">
        <v>58</v>
      </c>
      <c r="C37" s="39">
        <v>0</v>
      </c>
      <c r="D37" s="39">
        <v>0</v>
      </c>
      <c r="E37" s="39"/>
      <c r="F37" s="39">
        <v>2073</v>
      </c>
      <c r="G37" s="39"/>
      <c r="H37" s="75"/>
      <c r="I37" s="11"/>
    </row>
    <row r="38" spans="2:10" x14ac:dyDescent="0.2">
      <c r="B38" s="74" t="s">
        <v>59</v>
      </c>
      <c r="C38" s="39">
        <v>15629.09</v>
      </c>
      <c r="D38" s="39">
        <f>14865.47+32541.71</f>
        <v>47407.18</v>
      </c>
      <c r="E38" s="39">
        <v>705.6</v>
      </c>
      <c r="F38" s="39">
        <v>8353.15</v>
      </c>
      <c r="G38" s="39">
        <v>11158</v>
      </c>
      <c r="H38" s="75"/>
      <c r="I38" s="11"/>
    </row>
    <row r="39" spans="2:10" x14ac:dyDescent="0.2">
      <c r="B39" s="74" t="s">
        <v>60</v>
      </c>
      <c r="C39" s="39">
        <v>0</v>
      </c>
      <c r="D39" s="39">
        <v>0</v>
      </c>
      <c r="E39" s="39"/>
      <c r="F39" s="39">
        <v>776.1</v>
      </c>
      <c r="G39" s="39"/>
      <c r="H39" s="75"/>
      <c r="I39" s="11"/>
    </row>
    <row r="40" spans="2:10" x14ac:dyDescent="0.2">
      <c r="B40" s="74" t="s">
        <v>61</v>
      </c>
      <c r="C40" s="39">
        <v>32293.3</v>
      </c>
      <c r="D40" s="39">
        <f>15859.49+66277.42</f>
        <v>82136.91</v>
      </c>
      <c r="E40" s="39">
        <v>656</v>
      </c>
      <c r="F40" s="39">
        <v>6312.35</v>
      </c>
      <c r="G40" s="39"/>
      <c r="H40" s="75"/>
      <c r="I40" s="11"/>
    </row>
    <row r="41" spans="2:10" x14ac:dyDescent="0.2">
      <c r="B41" s="71" t="s">
        <v>62</v>
      </c>
      <c r="C41" s="72">
        <v>5078.62</v>
      </c>
      <c r="D41" s="72">
        <v>9158.41</v>
      </c>
      <c r="E41" s="72"/>
      <c r="F41" s="72">
        <v>1690.83</v>
      </c>
      <c r="G41" s="72"/>
      <c r="H41" s="73"/>
      <c r="I41" s="11"/>
    </row>
    <row r="42" spans="2:10" s="12" customFormat="1" ht="6.75" customHeight="1" x14ac:dyDescent="0.2">
      <c r="B42" s="84"/>
      <c r="C42" s="78"/>
      <c r="D42" s="78"/>
      <c r="E42" s="78"/>
      <c r="F42" s="78"/>
      <c r="G42" s="78"/>
      <c r="H42" s="79"/>
      <c r="I42" s="11"/>
    </row>
    <row r="43" spans="2:10" ht="18.75" customHeight="1" x14ac:dyDescent="0.25">
      <c r="B43" s="80" t="s">
        <v>63</v>
      </c>
      <c r="C43" s="51">
        <f>C32+C33+C34+C41</f>
        <v>448437.07000000007</v>
      </c>
      <c r="D43" s="51">
        <f>D32+D33+D34+D41</f>
        <v>852632.92</v>
      </c>
      <c r="E43" s="51">
        <f>E32+E33+E34+E41</f>
        <v>1361.6</v>
      </c>
      <c r="F43" s="51">
        <f>F32+F33+F34+F41</f>
        <v>100606.43000000001</v>
      </c>
      <c r="G43" s="51">
        <f>G32+G33+G34+G41</f>
        <v>11158</v>
      </c>
      <c r="H43" s="81"/>
      <c r="I43" s="13"/>
    </row>
    <row r="44" spans="2:10" x14ac:dyDescent="0.2">
      <c r="B44" s="80" t="s">
        <v>64</v>
      </c>
      <c r="C44" s="82">
        <v>0</v>
      </c>
      <c r="D44" s="82">
        <v>4085.76</v>
      </c>
      <c r="E44" s="82">
        <v>0</v>
      </c>
      <c r="F44" s="82">
        <v>5869.78</v>
      </c>
      <c r="G44" s="82">
        <v>0</v>
      </c>
      <c r="H44" s="52"/>
    </row>
    <row r="45" spans="2:10" customFormat="1" ht="15" x14ac:dyDescent="0.25">
      <c r="B45" s="52"/>
      <c r="C45" s="52"/>
      <c r="D45" s="52"/>
      <c r="E45" s="52"/>
      <c r="F45" s="52"/>
      <c r="G45" s="52"/>
      <c r="H45" s="52"/>
      <c r="I45" s="1"/>
      <c r="J45" s="1"/>
    </row>
    <row r="46" spans="2:10" customFormat="1" ht="15" x14ac:dyDescent="0.25">
      <c r="B46" s="52"/>
      <c r="C46" s="52"/>
      <c r="D46" s="52"/>
      <c r="E46" s="52"/>
      <c r="F46" s="52"/>
      <c r="G46" s="52"/>
      <c r="H46" s="52"/>
      <c r="I46" s="1"/>
      <c r="J46" s="1"/>
    </row>
    <row r="47" spans="2:10" customFormat="1" ht="15" x14ac:dyDescent="0.25">
      <c r="B47" s="52"/>
      <c r="C47" s="52"/>
      <c r="D47" s="52"/>
      <c r="E47" s="52"/>
      <c r="F47" s="52"/>
      <c r="G47" s="52"/>
      <c r="H47" s="52"/>
      <c r="I47" s="1"/>
      <c r="J47" s="1"/>
    </row>
    <row r="48" spans="2:10" customFormat="1" ht="15" x14ac:dyDescent="0.25">
      <c r="B48" s="52"/>
      <c r="C48" s="52"/>
      <c r="D48" s="52"/>
      <c r="E48" s="52"/>
      <c r="F48" s="52"/>
      <c r="G48" s="52"/>
      <c r="H48" s="52"/>
      <c r="I48" s="1"/>
      <c r="J48" s="1"/>
    </row>
    <row r="49" spans="2:10" customFormat="1" ht="15" x14ac:dyDescent="0.25">
      <c r="B49" s="52"/>
      <c r="C49" s="52"/>
      <c r="D49" s="52"/>
      <c r="E49" s="52"/>
      <c r="F49" s="52"/>
      <c r="G49" s="52"/>
      <c r="H49" s="52"/>
      <c r="I49" s="1"/>
      <c r="J49" s="1"/>
    </row>
    <row r="50" spans="2:10" customFormat="1" ht="15" x14ac:dyDescent="0.25">
      <c r="B50" s="52"/>
      <c r="C50" s="52"/>
      <c r="D50" s="52"/>
      <c r="E50" s="52"/>
      <c r="F50" s="52"/>
      <c r="G50" s="52"/>
      <c r="H50" s="52"/>
      <c r="I50" s="1"/>
      <c r="J50" s="1"/>
    </row>
    <row r="51" spans="2:10" customFormat="1" ht="15" x14ac:dyDescent="0.25">
      <c r="B51" s="52"/>
      <c r="C51" s="52"/>
      <c r="D51" s="52"/>
      <c r="E51" s="52"/>
      <c r="F51" s="52"/>
      <c r="G51" s="52"/>
      <c r="H51" s="52"/>
      <c r="I51" s="1"/>
      <c r="J51" s="1"/>
    </row>
    <row r="52" spans="2:10" customFormat="1" ht="15" x14ac:dyDescent="0.25">
      <c r="B52" s="52"/>
      <c r="C52" s="52"/>
      <c r="D52" s="52"/>
      <c r="E52" s="52"/>
      <c r="F52" s="52"/>
      <c r="G52" s="52"/>
      <c r="H52" s="52"/>
      <c r="I52" s="1"/>
      <c r="J52" s="1"/>
    </row>
    <row r="53" spans="2:10" customFormat="1" ht="15" x14ac:dyDescent="0.25">
      <c r="B53" s="52"/>
      <c r="C53" s="52"/>
      <c r="D53" s="52"/>
      <c r="E53" s="52"/>
      <c r="F53" s="52"/>
      <c r="G53" s="52"/>
      <c r="H53" s="52"/>
      <c r="I53" s="1"/>
      <c r="J53" s="1"/>
    </row>
    <row r="54" spans="2:10" customFormat="1" ht="15" x14ac:dyDescent="0.25">
      <c r="B54" s="52"/>
      <c r="C54" s="52"/>
      <c r="D54" s="52"/>
      <c r="E54" s="52"/>
      <c r="F54" s="52"/>
      <c r="G54" s="52"/>
      <c r="H54" s="52"/>
      <c r="I54" s="1"/>
      <c r="J54" s="1"/>
    </row>
    <row r="55" spans="2:10" customFormat="1" ht="15" x14ac:dyDescent="0.25">
      <c r="B55" s="52"/>
      <c r="C55" s="52"/>
      <c r="D55" s="52"/>
      <c r="E55" s="52"/>
      <c r="F55" s="52"/>
      <c r="G55" s="52"/>
      <c r="H55" s="52"/>
      <c r="I55" s="1"/>
      <c r="J55" s="1"/>
    </row>
    <row r="56" spans="2:10" customFormat="1" ht="15" x14ac:dyDescent="0.25">
      <c r="B56" s="52"/>
      <c r="C56" s="52"/>
      <c r="D56" s="52"/>
      <c r="E56" s="52"/>
      <c r="F56" s="52"/>
      <c r="G56" s="52"/>
      <c r="H56" s="52"/>
      <c r="I56" s="1"/>
      <c r="J56" s="1"/>
    </row>
    <row r="57" spans="2:10" customFormat="1" ht="15" x14ac:dyDescent="0.25">
      <c r="B57" s="52"/>
      <c r="C57" s="52"/>
      <c r="D57" s="52"/>
      <c r="E57" s="52"/>
      <c r="F57" s="52"/>
      <c r="G57" s="52"/>
      <c r="H57" s="52"/>
      <c r="I57" s="1"/>
      <c r="J57" s="1"/>
    </row>
    <row r="58" spans="2:10" s="2" customFormat="1" ht="51" x14ac:dyDescent="0.25">
      <c r="B58" s="68" t="s">
        <v>52</v>
      </c>
      <c r="C58" s="69" t="s">
        <v>580</v>
      </c>
      <c r="D58" s="69" t="s">
        <v>581</v>
      </c>
      <c r="E58" s="69" t="s">
        <v>582</v>
      </c>
      <c r="F58" s="69" t="s">
        <v>583</v>
      </c>
      <c r="G58" s="85" t="s">
        <v>67</v>
      </c>
      <c r="H58" s="86"/>
    </row>
    <row r="59" spans="2:10" customFormat="1" ht="15" x14ac:dyDescent="0.25">
      <c r="B59" s="71" t="s">
        <v>53</v>
      </c>
      <c r="C59" s="72">
        <v>178033.82</v>
      </c>
      <c r="D59" s="72">
        <f>71656.43+30238.17</f>
        <v>101894.59999999999</v>
      </c>
      <c r="E59" s="72">
        <v>0</v>
      </c>
      <c r="F59" s="72">
        <v>232441.5</v>
      </c>
      <c r="G59" s="87">
        <f>F59+E59+D59+C59+C32+D32+E32+F32+C17+D17+E17+F17+G17</f>
        <v>1010701.2200000002</v>
      </c>
      <c r="H59" s="52"/>
      <c r="I59" s="4"/>
    </row>
    <row r="60" spans="2:10" customFormat="1" ht="15" x14ac:dyDescent="0.25">
      <c r="B60" s="71" t="s">
        <v>65</v>
      </c>
      <c r="C60" s="72">
        <v>63612.41</v>
      </c>
      <c r="D60" s="72">
        <f>25418.4+10407.19</f>
        <v>35825.590000000004</v>
      </c>
      <c r="E60" s="72">
        <v>0</v>
      </c>
      <c r="F60" s="72">
        <v>82348.429999999993</v>
      </c>
      <c r="G60" s="87">
        <f>F60+E60+D60+C60+C33+D33+E33+F33+C18+D18+E18+F18+G18</f>
        <v>379422.42</v>
      </c>
      <c r="H60" s="52"/>
      <c r="I60" s="1"/>
    </row>
    <row r="61" spans="2:10" customFormat="1" ht="15" x14ac:dyDescent="0.25">
      <c r="B61" s="71" t="s">
        <v>55</v>
      </c>
      <c r="C61" s="72">
        <f>C62+C63+C64+C65+C66+C67+C68</f>
        <v>649988.55999999994</v>
      </c>
      <c r="D61" s="72">
        <f>D63+D64+D65+D66+D67+D68+D62</f>
        <v>130582.41999999998</v>
      </c>
      <c r="E61" s="72">
        <f>E63+E64+E65+E66+E67+E68+E62</f>
        <v>16390.350000000002</v>
      </c>
      <c r="F61" s="72">
        <f>F63+F64+F65+F66+F67+F68+F62</f>
        <v>78902.44</v>
      </c>
      <c r="G61" s="87">
        <f>G63+G64+G65+G66+G67+G68+G62</f>
        <v>3518011.8200000003</v>
      </c>
      <c r="H61" s="52"/>
      <c r="I61" s="1"/>
    </row>
    <row r="62" spans="2:10" customFormat="1" ht="15" x14ac:dyDescent="0.25">
      <c r="B62" s="74" t="s">
        <v>66</v>
      </c>
      <c r="C62" s="39">
        <v>0</v>
      </c>
      <c r="D62" s="39">
        <v>0</v>
      </c>
      <c r="E62" s="39">
        <v>0</v>
      </c>
      <c r="F62" s="39">
        <v>62.1</v>
      </c>
      <c r="G62" s="88">
        <f>F62+J36+I36+H36+G36+F36+E62</f>
        <v>23156.66</v>
      </c>
      <c r="H62" s="52"/>
      <c r="I62" s="1"/>
    </row>
    <row r="63" spans="2:10" customFormat="1" ht="15" x14ac:dyDescent="0.25">
      <c r="B63" s="74" t="s">
        <v>56</v>
      </c>
      <c r="C63" s="39">
        <v>0</v>
      </c>
      <c r="D63" s="39">
        <f>563.09+1427.26</f>
        <v>1990.35</v>
      </c>
      <c r="E63" s="39">
        <v>8780.86</v>
      </c>
      <c r="F63" s="39">
        <v>6655.9</v>
      </c>
      <c r="G63" s="88">
        <f t="shared" ref="G63:G68" si="0">F63+E63+D63+C63+G35+F35+E35+D35+C35+G20+F20+D20+E20+C20</f>
        <v>1154212.6100000003</v>
      </c>
      <c r="H63" s="52"/>
      <c r="I63" s="1"/>
    </row>
    <row r="64" spans="2:10" customFormat="1" ht="15" x14ac:dyDescent="0.25">
      <c r="B64" s="74" t="s">
        <v>57</v>
      </c>
      <c r="C64" s="39">
        <v>151553.06</v>
      </c>
      <c r="D64" s="39">
        <f>17366.3+4142.26</f>
        <v>21508.559999999998</v>
      </c>
      <c r="E64" s="39">
        <v>2434.54</v>
      </c>
      <c r="F64" s="39">
        <v>14689.93</v>
      </c>
      <c r="G64" s="88">
        <f t="shared" si="0"/>
        <v>385941.81</v>
      </c>
      <c r="H64" s="52"/>
      <c r="I64" s="1"/>
    </row>
    <row r="65" spans="2:10" customFormat="1" ht="15" x14ac:dyDescent="0.25">
      <c r="B65" s="74" t="s">
        <v>58</v>
      </c>
      <c r="C65" s="39">
        <v>36910.379999999997</v>
      </c>
      <c r="D65" s="39">
        <f>2048.34+2264.94</f>
        <v>4313.2800000000007</v>
      </c>
      <c r="E65" s="39">
        <v>0</v>
      </c>
      <c r="F65" s="39">
        <v>17440.22</v>
      </c>
      <c r="G65" s="88">
        <f t="shared" si="0"/>
        <v>83716.759999999995</v>
      </c>
      <c r="H65" s="52"/>
      <c r="I65" s="1"/>
    </row>
    <row r="66" spans="2:10" customFormat="1" ht="15" x14ac:dyDescent="0.25">
      <c r="B66" s="74" t="s">
        <v>59</v>
      </c>
      <c r="C66" s="39">
        <v>446449.51</v>
      </c>
      <c r="D66" s="39">
        <f>8889.4+6678.04</f>
        <v>15567.439999999999</v>
      </c>
      <c r="E66" s="39">
        <v>4053.55</v>
      </c>
      <c r="F66" s="39">
        <v>2172</v>
      </c>
      <c r="G66" s="88">
        <f t="shared" si="0"/>
        <v>1548567.24</v>
      </c>
      <c r="H66" s="52"/>
      <c r="I66" s="1"/>
    </row>
    <row r="67" spans="2:10" customFormat="1" ht="15" x14ac:dyDescent="0.25">
      <c r="B67" s="74" t="s">
        <v>60</v>
      </c>
      <c r="C67" s="39">
        <v>0</v>
      </c>
      <c r="D67" s="39">
        <f>1059.6+0</f>
        <v>1059.5999999999999</v>
      </c>
      <c r="E67" s="39">
        <v>0</v>
      </c>
      <c r="F67" s="39">
        <v>0</v>
      </c>
      <c r="G67" s="88">
        <f t="shared" si="0"/>
        <v>5630.94</v>
      </c>
      <c r="H67" s="52"/>
      <c r="I67" s="1"/>
    </row>
    <row r="68" spans="2:10" customFormat="1" ht="15" x14ac:dyDescent="0.25">
      <c r="B68" s="74" t="s">
        <v>61</v>
      </c>
      <c r="C68" s="39">
        <v>15075.61</v>
      </c>
      <c r="D68" s="39">
        <f>11630.03+74513.16</f>
        <v>86143.19</v>
      </c>
      <c r="E68" s="39">
        <v>1121.4000000000001</v>
      </c>
      <c r="F68" s="39">
        <v>37882.29</v>
      </c>
      <c r="G68" s="88">
        <f t="shared" si="0"/>
        <v>316785.8</v>
      </c>
      <c r="H68" s="52"/>
      <c r="I68" s="1"/>
    </row>
    <row r="69" spans="2:10" customFormat="1" ht="15" x14ac:dyDescent="0.25">
      <c r="B69" s="71" t="s">
        <v>62</v>
      </c>
      <c r="C69" s="72">
        <v>9498.98</v>
      </c>
      <c r="D69" s="72">
        <f>2978.07+1683.93</f>
        <v>4662</v>
      </c>
      <c r="E69" s="72">
        <v>0</v>
      </c>
      <c r="F69" s="72">
        <v>9402.4699999999993</v>
      </c>
      <c r="G69" s="87">
        <f>F69+E69+D69+C69+G41+F41+E41+D41+C41+G26+F26+E26+D26+C26</f>
        <v>53954.770000000004</v>
      </c>
      <c r="H69" s="52"/>
      <c r="I69" s="1"/>
    </row>
    <row r="70" spans="2:10" s="12" customFormat="1" ht="6.75" customHeight="1" x14ac:dyDescent="0.2">
      <c r="B70" s="84"/>
      <c r="C70" s="89"/>
      <c r="D70" s="89"/>
      <c r="E70" s="89"/>
      <c r="F70" s="89"/>
      <c r="G70" s="90"/>
      <c r="H70" s="91"/>
    </row>
    <row r="71" spans="2:10" customFormat="1" ht="15" x14ac:dyDescent="0.25">
      <c r="B71" s="80" t="s">
        <v>63</v>
      </c>
      <c r="C71" s="51">
        <f>C59+C60+C61+C69</f>
        <v>901133.7699999999</v>
      </c>
      <c r="D71" s="51">
        <f>D59+D60+D61+D69</f>
        <v>272964.61</v>
      </c>
      <c r="E71" s="51">
        <f>E59+E60+E61+E69</f>
        <v>16390.350000000002</v>
      </c>
      <c r="F71" s="51">
        <f>F59+F60+F61+F69</f>
        <v>403094.83999999997</v>
      </c>
      <c r="G71" s="92">
        <f>F71+E71+D71+C71+G43+F43+E43+D43+C43+G28+F28+E28+D28+C28</f>
        <v>4938995.67</v>
      </c>
      <c r="H71" s="52"/>
      <c r="I71" s="1"/>
    </row>
    <row r="72" spans="2:10" s="8" customFormat="1" x14ac:dyDescent="0.25">
      <c r="B72" s="80" t="s">
        <v>64</v>
      </c>
      <c r="C72" s="82">
        <v>39804</v>
      </c>
      <c r="D72" s="82">
        <v>0</v>
      </c>
      <c r="E72" s="82">
        <v>0</v>
      </c>
      <c r="F72" s="82"/>
      <c r="G72" s="92">
        <f>F72+E72+D72+C72+G29+F29+E29+D29+C29+C44+D44+E44+F44+G44</f>
        <v>61758.340000000004</v>
      </c>
      <c r="H72" s="93"/>
    </row>
    <row r="73" spans="2:10" customFormat="1" ht="15" x14ac:dyDescent="0.25">
      <c r="B73" s="30"/>
      <c r="C73" s="30"/>
      <c r="D73" s="30"/>
      <c r="E73" s="30"/>
      <c r="F73" s="30"/>
      <c r="G73" s="30"/>
      <c r="H73" s="30"/>
      <c r="I73" s="1"/>
      <c r="J73" s="1"/>
    </row>
    <row r="74" spans="2:10" customFormat="1" ht="15" x14ac:dyDescent="0.25">
      <c r="B74" s="1"/>
      <c r="C74" s="1"/>
      <c r="D74" s="1"/>
      <c r="E74" s="1"/>
      <c r="F74" s="1"/>
      <c r="G74" s="1"/>
      <c r="H74" s="1"/>
      <c r="I74" s="1"/>
      <c r="J74" s="1"/>
    </row>
  </sheetData>
  <mergeCells count="6">
    <mergeCell ref="B9:D9"/>
    <mergeCell ref="B2:H2"/>
    <mergeCell ref="B5:D5"/>
    <mergeCell ref="B6:D6"/>
    <mergeCell ref="B7:D7"/>
    <mergeCell ref="B8:D8"/>
  </mergeCells>
  <pageMargins left="0.86614173228346458" right="0.19685039370078741" top="0.55118110236220474" bottom="0.31496062992125984" header="0.51181102362204722" footer="0.27559055118110237"/>
  <pageSetup paperSize="9" scale="8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2:G50"/>
  <sheetViews>
    <sheetView workbookViewId="0">
      <selection activeCell="C13" sqref="C13"/>
    </sheetView>
  </sheetViews>
  <sheetFormatPr defaultRowHeight="12.75" x14ac:dyDescent="0.2"/>
  <cols>
    <col min="1" max="1" width="16.85546875" style="52" customWidth="1"/>
    <col min="2" max="2" width="6.42578125" style="52" customWidth="1"/>
    <col min="3" max="3" width="33.7109375" style="52" customWidth="1"/>
    <col min="4" max="4" width="16.140625" style="52" customWidth="1"/>
    <col min="5" max="5" width="14.140625" style="52" customWidth="1"/>
    <col min="6" max="6" width="13.5703125" style="52" customWidth="1"/>
    <col min="7" max="7" width="9.140625" style="52" customWidth="1"/>
    <col min="8" max="16384" width="9.140625" style="52"/>
  </cols>
  <sheetData>
    <row r="2" spans="2:7" x14ac:dyDescent="0.2">
      <c r="D2" s="98"/>
      <c r="E2" s="98"/>
      <c r="F2" s="98"/>
    </row>
    <row r="3" spans="2:7" x14ac:dyDescent="0.2">
      <c r="F3" s="112" t="s">
        <v>353</v>
      </c>
    </row>
    <row r="4" spans="2:7" ht="42" customHeight="1" x14ac:dyDescent="0.2">
      <c r="B4" s="673" t="s">
        <v>920</v>
      </c>
      <c r="C4" s="673"/>
      <c r="D4" s="673"/>
      <c r="E4" s="673"/>
      <c r="F4" s="673"/>
      <c r="G4" s="468"/>
    </row>
    <row r="5" spans="2:7" s="30" customFormat="1" ht="15" x14ac:dyDescent="0.25">
      <c r="B5" s="52"/>
      <c r="C5" s="52"/>
      <c r="D5" s="52"/>
      <c r="E5" s="52"/>
      <c r="F5" s="52"/>
      <c r="G5" s="52"/>
    </row>
    <row r="6" spans="2:7" s="30" customFormat="1" ht="30" customHeight="1" x14ac:dyDescent="0.25">
      <c r="B6" s="674"/>
      <c r="C6" s="674"/>
      <c r="D6" s="469" t="s">
        <v>258</v>
      </c>
      <c r="E6" s="469" t="s">
        <v>259</v>
      </c>
      <c r="F6" s="469" t="s">
        <v>260</v>
      </c>
      <c r="G6" s="52"/>
    </row>
    <row r="7" spans="2:7" s="93" customFormat="1" ht="20.25" customHeight="1" x14ac:dyDescent="0.25">
      <c r="B7" s="470"/>
      <c r="C7" s="471" t="s">
        <v>261</v>
      </c>
      <c r="D7" s="472">
        <f>D8+D9+D10+D18+D19</f>
        <v>54220789</v>
      </c>
      <c r="E7" s="472">
        <f>E8+E9+E10+E18+E19</f>
        <v>59351476</v>
      </c>
      <c r="F7" s="472">
        <f>F8+F9+F10+F18+F19</f>
        <v>54794474.900000006</v>
      </c>
    </row>
    <row r="8" spans="2:7" s="30" customFormat="1" ht="25.5" x14ac:dyDescent="0.25">
      <c r="B8" s="473">
        <v>610</v>
      </c>
      <c r="C8" s="453" t="s">
        <v>354</v>
      </c>
      <c r="D8" s="459">
        <v>20663132</v>
      </c>
      <c r="E8" s="459">
        <v>21285285</v>
      </c>
      <c r="F8" s="459">
        <v>20525868.73</v>
      </c>
      <c r="G8" s="52"/>
    </row>
    <row r="9" spans="2:7" s="30" customFormat="1" ht="15" x14ac:dyDescent="0.25">
      <c r="B9" s="473">
        <v>620</v>
      </c>
      <c r="C9" s="453" t="s">
        <v>355</v>
      </c>
      <c r="D9" s="459">
        <v>7675605</v>
      </c>
      <c r="E9" s="459">
        <v>7841393</v>
      </c>
      <c r="F9" s="459">
        <v>7503919.7999999998</v>
      </c>
      <c r="G9" s="52"/>
    </row>
    <row r="10" spans="2:7" s="30" customFormat="1" ht="15" x14ac:dyDescent="0.25">
      <c r="B10" s="473">
        <v>630</v>
      </c>
      <c r="C10" s="453" t="s">
        <v>356</v>
      </c>
      <c r="D10" s="474">
        <f>D11+D12+D13+D14+D15+D16+D17</f>
        <v>19106307</v>
      </c>
      <c r="E10" s="474">
        <f>E11+E12+E13+E14+E15+E16+E17</f>
        <v>20694276.059999999</v>
      </c>
      <c r="F10" s="474">
        <f>F11+F12+F13+F14+F15+F16+F17</f>
        <v>18055136.329999998</v>
      </c>
      <c r="G10" s="52"/>
    </row>
    <row r="11" spans="2:7" s="30" customFormat="1" ht="15" x14ac:dyDescent="0.25">
      <c r="B11" s="475">
        <v>631</v>
      </c>
      <c r="C11" s="463" t="s">
        <v>357</v>
      </c>
      <c r="D11" s="441">
        <v>27582</v>
      </c>
      <c r="E11" s="441">
        <v>34607</v>
      </c>
      <c r="F11" s="441">
        <v>20334.29</v>
      </c>
      <c r="G11" s="52"/>
    </row>
    <row r="12" spans="2:7" s="30" customFormat="1" ht="15" x14ac:dyDescent="0.25">
      <c r="B12" s="475">
        <v>632</v>
      </c>
      <c r="C12" s="463" t="s">
        <v>358</v>
      </c>
      <c r="D12" s="441">
        <v>3121314</v>
      </c>
      <c r="E12" s="441">
        <v>4484661.5599999996</v>
      </c>
      <c r="F12" s="441">
        <v>3974785.75</v>
      </c>
      <c r="G12" s="52"/>
    </row>
    <row r="13" spans="2:7" s="30" customFormat="1" ht="15" x14ac:dyDescent="0.25">
      <c r="B13" s="475">
        <v>633</v>
      </c>
      <c r="C13" s="463" t="s">
        <v>359</v>
      </c>
      <c r="D13" s="441">
        <v>2948549</v>
      </c>
      <c r="E13" s="441">
        <v>3458404.27</v>
      </c>
      <c r="F13" s="441">
        <v>2963343.98</v>
      </c>
      <c r="G13" s="52"/>
    </row>
    <row r="14" spans="2:7" s="30" customFormat="1" ht="15" x14ac:dyDescent="0.25">
      <c r="B14" s="475">
        <v>634</v>
      </c>
      <c r="C14" s="463" t="s">
        <v>360</v>
      </c>
      <c r="D14" s="441">
        <v>219239</v>
      </c>
      <c r="E14" s="441">
        <v>230669</v>
      </c>
      <c r="F14" s="441">
        <v>183071.05</v>
      </c>
      <c r="G14" s="52"/>
    </row>
    <row r="15" spans="2:7" s="30" customFormat="1" ht="15" x14ac:dyDescent="0.25">
      <c r="B15" s="475">
        <v>635</v>
      </c>
      <c r="C15" s="463" t="s">
        <v>361</v>
      </c>
      <c r="D15" s="441">
        <v>3669594</v>
      </c>
      <c r="E15" s="441">
        <v>3742740.41</v>
      </c>
      <c r="F15" s="441">
        <v>3267072.63</v>
      </c>
      <c r="G15" s="52"/>
    </row>
    <row r="16" spans="2:7" s="30" customFormat="1" ht="15" x14ac:dyDescent="0.25">
      <c r="B16" s="475">
        <v>636</v>
      </c>
      <c r="C16" s="463" t="s">
        <v>362</v>
      </c>
      <c r="D16" s="441">
        <v>1053738</v>
      </c>
      <c r="E16" s="441">
        <v>1080117.2</v>
      </c>
      <c r="F16" s="441">
        <v>1016619.25</v>
      </c>
      <c r="G16" s="52"/>
    </row>
    <row r="17" spans="2:7" s="30" customFormat="1" ht="15" x14ac:dyDescent="0.25">
      <c r="B17" s="475">
        <v>637</v>
      </c>
      <c r="C17" s="463" t="s">
        <v>363</v>
      </c>
      <c r="D17" s="441">
        <v>8066291</v>
      </c>
      <c r="E17" s="441">
        <v>7663076.6200000001</v>
      </c>
      <c r="F17" s="441">
        <v>6629909.3799999999</v>
      </c>
      <c r="G17" s="52"/>
    </row>
    <row r="18" spans="2:7" s="30" customFormat="1" ht="15" x14ac:dyDescent="0.25">
      <c r="B18" s="473">
        <v>640</v>
      </c>
      <c r="C18" s="453" t="s">
        <v>364</v>
      </c>
      <c r="D18" s="474">
        <v>6645745</v>
      </c>
      <c r="E18" s="474">
        <v>9430521.9399999995</v>
      </c>
      <c r="F18" s="474">
        <v>8608468.5899999999</v>
      </c>
      <c r="G18" s="52"/>
    </row>
    <row r="19" spans="2:7" s="30" customFormat="1" ht="15" x14ac:dyDescent="0.25">
      <c r="B19" s="473">
        <v>650</v>
      </c>
      <c r="C19" s="453" t="s">
        <v>365</v>
      </c>
      <c r="D19" s="474">
        <v>130000</v>
      </c>
      <c r="E19" s="474">
        <v>100000</v>
      </c>
      <c r="F19" s="474">
        <v>101081.45</v>
      </c>
      <c r="G19" s="52"/>
    </row>
    <row r="20" spans="2:7" s="30" customFormat="1" ht="9" customHeight="1" x14ac:dyDescent="0.25">
      <c r="B20" s="476"/>
      <c r="C20" s="477"/>
      <c r="D20" s="100"/>
      <c r="E20" s="100"/>
      <c r="F20" s="100"/>
      <c r="G20" s="52"/>
    </row>
    <row r="21" spans="2:7" s="93" customFormat="1" ht="24.75" customHeight="1" x14ac:dyDescent="0.25">
      <c r="B21" s="478"/>
      <c r="C21" s="471" t="s">
        <v>348</v>
      </c>
      <c r="D21" s="472">
        <f>D22+D31</f>
        <v>21624427</v>
      </c>
      <c r="E21" s="472">
        <f>E22+E31</f>
        <v>27309415</v>
      </c>
      <c r="F21" s="472">
        <f>F22+F31</f>
        <v>12057560.43</v>
      </c>
    </row>
    <row r="22" spans="2:7" s="30" customFormat="1" ht="25.5" customHeight="1" x14ac:dyDescent="0.25">
      <c r="B22" s="479">
        <v>710</v>
      </c>
      <c r="C22" s="458" t="s">
        <v>366</v>
      </c>
      <c r="D22" s="474">
        <f>SUM(D23:D30)</f>
        <v>21609427</v>
      </c>
      <c r="E22" s="474">
        <f>SUM(E23:E30)</f>
        <v>27288015</v>
      </c>
      <c r="F22" s="474">
        <f>SUM(F23:F30)</f>
        <v>12036160.43</v>
      </c>
      <c r="G22" s="52"/>
    </row>
    <row r="23" spans="2:7" s="30" customFormat="1" ht="15" x14ac:dyDescent="0.25">
      <c r="B23" s="476">
        <v>711</v>
      </c>
      <c r="C23" s="477" t="s">
        <v>367</v>
      </c>
      <c r="D23" s="100">
        <v>576389</v>
      </c>
      <c r="E23" s="100">
        <v>960078</v>
      </c>
      <c r="F23" s="100">
        <v>408778.76</v>
      </c>
      <c r="G23" s="52"/>
    </row>
    <row r="24" spans="2:7" s="30" customFormat="1" ht="15" x14ac:dyDescent="0.25">
      <c r="B24" s="476">
        <v>712</v>
      </c>
      <c r="C24" s="477" t="s">
        <v>368</v>
      </c>
      <c r="D24" s="100">
        <v>100100</v>
      </c>
      <c r="E24" s="100">
        <v>100100</v>
      </c>
      <c r="F24" s="100">
        <v>26</v>
      </c>
      <c r="G24" s="52"/>
    </row>
    <row r="25" spans="2:7" s="30" customFormat="1" ht="25.5" x14ac:dyDescent="0.25">
      <c r="B25" s="476">
        <v>713</v>
      </c>
      <c r="C25" s="477" t="s">
        <v>369</v>
      </c>
      <c r="D25" s="100">
        <v>33500</v>
      </c>
      <c r="E25" s="100">
        <v>2173258</v>
      </c>
      <c r="F25" s="100">
        <v>260746.82</v>
      </c>
      <c r="G25" s="52"/>
    </row>
    <row r="26" spans="2:7" s="30" customFormat="1" ht="15" x14ac:dyDescent="0.25">
      <c r="B26" s="476">
        <v>714</v>
      </c>
      <c r="C26" s="477" t="s">
        <v>370</v>
      </c>
      <c r="D26" s="100">
        <v>95500</v>
      </c>
      <c r="E26" s="100">
        <v>156720</v>
      </c>
      <c r="F26" s="100">
        <v>153856.46</v>
      </c>
      <c r="G26" s="52"/>
    </row>
    <row r="27" spans="2:7" s="30" customFormat="1" ht="15" x14ac:dyDescent="0.25">
      <c r="B27" s="476">
        <v>716</v>
      </c>
      <c r="C27" s="477" t="s">
        <v>371</v>
      </c>
      <c r="D27" s="100">
        <v>2540628</v>
      </c>
      <c r="E27" s="100">
        <v>3566211</v>
      </c>
      <c r="F27" s="100">
        <v>562877.81000000006</v>
      </c>
      <c r="G27" s="52"/>
    </row>
    <row r="28" spans="2:7" s="30" customFormat="1" ht="15" x14ac:dyDescent="0.25">
      <c r="B28" s="476">
        <v>717</v>
      </c>
      <c r="C28" s="477" t="s">
        <v>372</v>
      </c>
      <c r="D28" s="100">
        <v>18263310</v>
      </c>
      <c r="E28" s="100">
        <v>20217980</v>
      </c>
      <c r="F28" s="100">
        <v>10616113.800000001</v>
      </c>
      <c r="G28" s="52"/>
    </row>
    <row r="29" spans="2:7" s="30" customFormat="1" ht="15" x14ac:dyDescent="0.25">
      <c r="B29" s="476">
        <v>718</v>
      </c>
      <c r="C29" s="477" t="s">
        <v>921</v>
      </c>
      <c r="D29" s="100">
        <v>0</v>
      </c>
      <c r="E29" s="100">
        <v>22368</v>
      </c>
      <c r="F29" s="100">
        <v>22368</v>
      </c>
      <c r="G29" s="52"/>
    </row>
    <row r="30" spans="2:7" s="30" customFormat="1" ht="15" x14ac:dyDescent="0.25">
      <c r="B30" s="476">
        <v>719</v>
      </c>
      <c r="C30" s="477" t="s">
        <v>486</v>
      </c>
      <c r="D30" s="100">
        <v>0</v>
      </c>
      <c r="E30" s="100">
        <v>91300</v>
      </c>
      <c r="F30" s="100">
        <v>11392.78</v>
      </c>
      <c r="G30" s="52"/>
    </row>
    <row r="31" spans="2:7" s="30" customFormat="1" ht="15" x14ac:dyDescent="0.25">
      <c r="B31" s="480">
        <v>720</v>
      </c>
      <c r="C31" s="481" t="s">
        <v>373</v>
      </c>
      <c r="D31" s="482">
        <v>15000</v>
      </c>
      <c r="E31" s="482">
        <v>21400</v>
      </c>
      <c r="F31" s="482">
        <v>21400</v>
      </c>
    </row>
    <row r="32" spans="2:7" s="30" customFormat="1" ht="15" x14ac:dyDescent="0.25">
      <c r="B32" s="52"/>
      <c r="C32" s="52"/>
      <c r="D32" s="52"/>
      <c r="E32" s="52"/>
      <c r="F32" s="98"/>
    </row>
    <row r="33" spans="2:6" s="30" customFormat="1" ht="15" x14ac:dyDescent="0.25">
      <c r="B33" s="52"/>
      <c r="C33" s="52"/>
      <c r="D33" s="52"/>
      <c r="E33" s="52"/>
      <c r="F33" s="483"/>
    </row>
    <row r="34" spans="2:6" s="30" customFormat="1" ht="15" x14ac:dyDescent="0.25">
      <c r="B34" s="52"/>
      <c r="C34" s="52"/>
      <c r="D34" s="52"/>
      <c r="E34" s="52"/>
      <c r="F34" s="483"/>
    </row>
    <row r="35" spans="2:6" s="30" customFormat="1" ht="15" x14ac:dyDescent="0.25">
      <c r="B35" s="52"/>
      <c r="C35" s="52"/>
      <c r="D35" s="52"/>
      <c r="E35" s="52"/>
      <c r="F35" s="91"/>
    </row>
    <row r="36" spans="2:6" s="30" customFormat="1" ht="15" x14ac:dyDescent="0.25">
      <c r="B36" s="52"/>
      <c r="C36" s="52"/>
      <c r="D36" s="52"/>
      <c r="E36" s="52"/>
      <c r="F36" s="91"/>
    </row>
    <row r="37" spans="2:6" s="30" customFormat="1" ht="15" x14ac:dyDescent="0.25">
      <c r="B37" s="52"/>
      <c r="C37" s="52"/>
      <c r="D37" s="52"/>
      <c r="E37" s="52"/>
      <c r="F37" s="91"/>
    </row>
    <row r="38" spans="2:6" s="30" customFormat="1" ht="15" x14ac:dyDescent="0.25">
      <c r="B38" s="52"/>
      <c r="C38" s="52"/>
      <c r="D38" s="52"/>
      <c r="E38" s="52"/>
      <c r="F38" s="91"/>
    </row>
    <row r="39" spans="2:6" s="30" customFormat="1" ht="15" x14ac:dyDescent="0.25">
      <c r="B39" s="52"/>
      <c r="C39" s="52"/>
      <c r="D39" s="52"/>
      <c r="E39" s="52"/>
      <c r="F39" s="91"/>
    </row>
    <row r="40" spans="2:6" s="30" customFormat="1" ht="15" x14ac:dyDescent="0.25">
      <c r="B40" s="52"/>
      <c r="C40" s="52"/>
      <c r="D40" s="52"/>
      <c r="E40" s="52"/>
      <c r="F40" s="67"/>
    </row>
    <row r="50" spans="2:6" s="30" customFormat="1" ht="15" x14ac:dyDescent="0.25">
      <c r="B50" s="52"/>
      <c r="C50" s="52"/>
      <c r="D50" s="52"/>
      <c r="E50" s="52"/>
      <c r="F50" s="66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2:K23"/>
  <sheetViews>
    <sheetView workbookViewId="0">
      <selection activeCell="E36" sqref="E36:E37"/>
    </sheetView>
  </sheetViews>
  <sheetFormatPr defaultRowHeight="12.75" x14ac:dyDescent="0.2"/>
  <cols>
    <col min="1" max="1" width="9.140625" style="52" customWidth="1"/>
    <col min="2" max="2" width="9.85546875" style="52" customWidth="1"/>
    <col min="3" max="3" width="41.7109375" style="52" customWidth="1"/>
    <col min="4" max="4" width="13.5703125" style="52" customWidth="1"/>
    <col min="5" max="5" width="12.7109375" style="52" customWidth="1"/>
    <col min="6" max="6" width="13.7109375" style="52" customWidth="1"/>
    <col min="7" max="7" width="9.140625" style="52" customWidth="1"/>
    <col min="8" max="16384" width="9.140625" style="52"/>
  </cols>
  <sheetData>
    <row r="2" spans="2:11" x14ac:dyDescent="0.2">
      <c r="F2" s="112" t="s">
        <v>374</v>
      </c>
    </row>
    <row r="4" spans="2:11" ht="42.75" customHeight="1" x14ac:dyDescent="0.2">
      <c r="B4" s="673" t="s">
        <v>922</v>
      </c>
      <c r="C4" s="673"/>
      <c r="D4" s="673"/>
      <c r="E4" s="673"/>
      <c r="F4" s="673"/>
      <c r="G4" s="484"/>
      <c r="H4" s="484"/>
    </row>
    <row r="6" spans="2:11" ht="36" customHeight="1" x14ac:dyDescent="0.2">
      <c r="B6" s="675" t="s">
        <v>0</v>
      </c>
      <c r="C6" s="675"/>
      <c r="D6" s="485" t="s">
        <v>258</v>
      </c>
      <c r="E6" s="485" t="s">
        <v>259</v>
      </c>
      <c r="F6" s="485" t="s">
        <v>260</v>
      </c>
    </row>
    <row r="7" spans="2:11" ht="18" customHeight="1" x14ac:dyDescent="0.2">
      <c r="B7" s="486"/>
      <c r="C7" s="487" t="s">
        <v>375</v>
      </c>
      <c r="D7" s="488">
        <f>SUM(D8:D10)</f>
        <v>15004324</v>
      </c>
      <c r="E7" s="488">
        <f>SUM(E8:E10)</f>
        <v>18236147</v>
      </c>
      <c r="F7" s="488">
        <f>SUM(F8:F10)</f>
        <v>14436601.300000001</v>
      </c>
      <c r="J7" s="98"/>
    </row>
    <row r="8" spans="2:11" ht="18" customHeight="1" x14ac:dyDescent="0.2">
      <c r="B8" s="475">
        <v>453</v>
      </c>
      <c r="C8" s="239" t="s">
        <v>464</v>
      </c>
      <c r="D8" s="441">
        <v>9444324</v>
      </c>
      <c r="E8" s="441">
        <v>11346147</v>
      </c>
      <c r="F8" s="441">
        <v>11308746.59</v>
      </c>
      <c r="J8" s="98"/>
    </row>
    <row r="9" spans="2:11" x14ac:dyDescent="0.2">
      <c r="B9" s="489">
        <v>454</v>
      </c>
      <c r="C9" s="439" t="s">
        <v>488</v>
      </c>
      <c r="D9" s="441">
        <v>360000</v>
      </c>
      <c r="E9" s="441">
        <v>1690000</v>
      </c>
      <c r="F9" s="441">
        <v>427854.71</v>
      </c>
    </row>
    <row r="10" spans="2:11" s="30" customFormat="1" ht="15" x14ac:dyDescent="0.25">
      <c r="B10" s="489">
        <v>513</v>
      </c>
      <c r="C10" s="239" t="s">
        <v>487</v>
      </c>
      <c r="D10" s="441">
        <v>5200000</v>
      </c>
      <c r="E10" s="441">
        <v>5200000</v>
      </c>
      <c r="F10" s="441">
        <v>2700000</v>
      </c>
      <c r="G10" s="52"/>
      <c r="H10" s="52"/>
      <c r="I10" s="52"/>
      <c r="J10" s="52"/>
      <c r="K10" s="52"/>
    </row>
    <row r="11" spans="2:11" s="30" customFormat="1" ht="18" customHeight="1" x14ac:dyDescent="0.25">
      <c r="B11" s="486"/>
      <c r="C11" s="487" t="s">
        <v>376</v>
      </c>
      <c r="D11" s="488">
        <f>SUM(D12:D14)</f>
        <v>4611300</v>
      </c>
      <c r="E11" s="488">
        <f>SUM(E12:E14)</f>
        <v>4611300</v>
      </c>
      <c r="F11" s="488">
        <f>SUM(F12:F14)</f>
        <v>2105442.41</v>
      </c>
      <c r="G11" s="52"/>
      <c r="H11" s="52"/>
      <c r="I11" s="52"/>
      <c r="J11" s="52"/>
      <c r="K11" s="52"/>
    </row>
    <row r="12" spans="2:11" s="30" customFormat="1" ht="25.5" x14ac:dyDescent="0.25">
      <c r="B12" s="489">
        <v>821005</v>
      </c>
      <c r="C12" s="437" t="s">
        <v>377</v>
      </c>
      <c r="D12" s="441">
        <v>2006300</v>
      </c>
      <c r="E12" s="441">
        <v>2006300</v>
      </c>
      <c r="F12" s="441">
        <v>2006262.84</v>
      </c>
      <c r="G12" s="52"/>
      <c r="H12" s="52"/>
      <c r="I12" s="52"/>
      <c r="J12" s="52"/>
      <c r="K12" s="52"/>
    </row>
    <row r="13" spans="2:11" s="30" customFormat="1" ht="25.5" x14ac:dyDescent="0.25">
      <c r="B13" s="489">
        <v>821007</v>
      </c>
      <c r="C13" s="437" t="s">
        <v>378</v>
      </c>
      <c r="D13" s="441">
        <v>105000</v>
      </c>
      <c r="E13" s="441">
        <v>105000</v>
      </c>
      <c r="F13" s="441">
        <v>99179.57</v>
      </c>
      <c r="G13" s="52"/>
      <c r="H13" s="52"/>
      <c r="I13" s="52"/>
      <c r="J13" s="52"/>
      <c r="K13" s="52"/>
    </row>
    <row r="14" spans="2:11" s="30" customFormat="1" ht="25.5" customHeight="1" x14ac:dyDescent="0.25">
      <c r="B14" s="490">
        <v>821010</v>
      </c>
      <c r="C14" s="444" t="s">
        <v>923</v>
      </c>
      <c r="D14" s="491">
        <v>2500000</v>
      </c>
      <c r="E14" s="491">
        <v>2500000</v>
      </c>
      <c r="F14" s="491">
        <v>0</v>
      </c>
      <c r="G14" s="52"/>
      <c r="H14" s="52"/>
      <c r="I14" s="52"/>
      <c r="J14" s="52"/>
      <c r="K14" s="52"/>
    </row>
    <row r="23" spans="2:11" s="30" customFormat="1" ht="15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66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B1:L33"/>
  <sheetViews>
    <sheetView workbookViewId="0">
      <selection activeCell="E15" sqref="E15"/>
    </sheetView>
  </sheetViews>
  <sheetFormatPr defaultColWidth="9.140625" defaultRowHeight="15" x14ac:dyDescent="0.25"/>
  <cols>
    <col min="1" max="1" width="4" style="30" customWidth="1"/>
    <col min="2" max="2" width="18" style="30" customWidth="1"/>
    <col min="3" max="3" width="11.85546875" style="30" customWidth="1"/>
    <col min="4" max="4" width="11.42578125" style="30" customWidth="1"/>
    <col min="5" max="5" width="9.140625" style="30"/>
    <col min="6" max="6" width="13.28515625" style="30" customWidth="1"/>
    <col min="7" max="7" width="13.42578125" style="30" customWidth="1"/>
    <col min="8" max="8" width="11.85546875" style="30" customWidth="1"/>
    <col min="9" max="9" width="13.7109375" style="30" customWidth="1"/>
    <col min="10" max="10" width="6.85546875" style="30" customWidth="1"/>
    <col min="11" max="11" width="4.7109375" style="30" customWidth="1"/>
    <col min="12" max="16384" width="9.140625" style="30"/>
  </cols>
  <sheetData>
    <row r="1" spans="2:9" x14ac:dyDescent="0.25">
      <c r="B1" s="492"/>
      <c r="C1" s="492"/>
      <c r="D1" s="492"/>
      <c r="E1" s="492"/>
      <c r="F1" s="492"/>
      <c r="G1" s="492"/>
      <c r="H1" s="492"/>
      <c r="I1" s="492"/>
    </row>
    <row r="2" spans="2:9" x14ac:dyDescent="0.25">
      <c r="B2" s="492"/>
      <c r="C2" s="492"/>
      <c r="D2" s="492"/>
      <c r="E2" s="492"/>
      <c r="F2" s="492"/>
      <c r="G2" s="492"/>
      <c r="H2" s="492"/>
      <c r="I2" s="492" t="s">
        <v>379</v>
      </c>
    </row>
    <row r="3" spans="2:9" x14ac:dyDescent="0.25">
      <c r="B3" s="492"/>
      <c r="C3" s="492"/>
      <c r="D3" s="492"/>
      <c r="E3" s="492"/>
      <c r="F3" s="492"/>
      <c r="G3" s="492"/>
      <c r="H3" s="492"/>
      <c r="I3" s="492"/>
    </row>
    <row r="4" spans="2:9" ht="18.75" x14ac:dyDescent="0.3">
      <c r="B4" s="677" t="s">
        <v>628</v>
      </c>
      <c r="C4" s="677"/>
      <c r="D4" s="677"/>
      <c r="E4" s="677"/>
      <c r="F4" s="677"/>
      <c r="G4" s="677"/>
      <c r="H4" s="677"/>
      <c r="I4" s="677"/>
    </row>
    <row r="5" spans="2:9" x14ac:dyDescent="0.25">
      <c r="B5" s="492"/>
      <c r="C5" s="492"/>
      <c r="D5" s="492"/>
      <c r="E5" s="492"/>
      <c r="F5" s="492"/>
      <c r="G5" s="492"/>
      <c r="H5" s="492"/>
      <c r="I5" s="492"/>
    </row>
    <row r="6" spans="2:9" x14ac:dyDescent="0.25">
      <c r="B6" s="492"/>
      <c r="C6" s="492"/>
      <c r="D6" s="492"/>
      <c r="E6" s="492"/>
      <c r="F6" s="492"/>
      <c r="G6" s="492"/>
      <c r="H6" s="492"/>
      <c r="I6" s="493" t="s">
        <v>632</v>
      </c>
    </row>
    <row r="7" spans="2:9" x14ac:dyDescent="0.25">
      <c r="B7" s="678"/>
      <c r="C7" s="680" t="s">
        <v>380</v>
      </c>
      <c r="D7" s="680" t="s">
        <v>381</v>
      </c>
      <c r="E7" s="680" t="s">
        <v>382</v>
      </c>
      <c r="F7" s="680" t="s">
        <v>383</v>
      </c>
      <c r="G7" s="680" t="s">
        <v>384</v>
      </c>
      <c r="H7" s="680" t="s">
        <v>385</v>
      </c>
      <c r="I7" s="680" t="s">
        <v>386</v>
      </c>
    </row>
    <row r="8" spans="2:9" x14ac:dyDescent="0.25">
      <c r="B8" s="679"/>
      <c r="C8" s="681"/>
      <c r="D8" s="681"/>
      <c r="E8" s="681"/>
      <c r="F8" s="681"/>
      <c r="G8" s="681"/>
      <c r="H8" s="681"/>
      <c r="I8" s="681"/>
    </row>
    <row r="9" spans="2:9" x14ac:dyDescent="0.25">
      <c r="B9" s="679"/>
      <c r="C9" s="681"/>
      <c r="D9" s="681"/>
      <c r="E9" s="681"/>
      <c r="F9" s="681"/>
      <c r="G9" s="681"/>
      <c r="H9" s="681"/>
      <c r="I9" s="681"/>
    </row>
    <row r="10" spans="2:9" x14ac:dyDescent="0.25">
      <c r="B10" s="494" t="s">
        <v>387</v>
      </c>
      <c r="C10" s="495">
        <v>31</v>
      </c>
      <c r="D10" s="496">
        <v>2</v>
      </c>
      <c r="E10" s="496">
        <v>4</v>
      </c>
      <c r="F10" s="497">
        <v>7</v>
      </c>
      <c r="G10" s="497">
        <v>6</v>
      </c>
      <c r="H10" s="497">
        <v>6</v>
      </c>
      <c r="I10" s="498">
        <v>56</v>
      </c>
    </row>
    <row r="11" spans="2:9" x14ac:dyDescent="0.25">
      <c r="B11" s="494" t="s">
        <v>388</v>
      </c>
      <c r="C11" s="495">
        <v>42</v>
      </c>
      <c r="D11" s="496">
        <v>3</v>
      </c>
      <c r="E11" s="496">
        <v>3</v>
      </c>
      <c r="F11" s="497">
        <v>9</v>
      </c>
      <c r="G11" s="497">
        <v>7</v>
      </c>
      <c r="H11" s="497">
        <v>11</v>
      </c>
      <c r="I11" s="498">
        <v>75</v>
      </c>
    </row>
    <row r="12" spans="2:9" x14ac:dyDescent="0.25">
      <c r="B12" s="494" t="s">
        <v>389</v>
      </c>
      <c r="C12" s="495">
        <v>56</v>
      </c>
      <c r="D12" s="496">
        <v>2</v>
      </c>
      <c r="E12" s="496">
        <v>2</v>
      </c>
      <c r="F12" s="497">
        <v>15</v>
      </c>
      <c r="G12" s="497">
        <v>12</v>
      </c>
      <c r="H12" s="499">
        <v>0</v>
      </c>
      <c r="I12" s="498">
        <v>87</v>
      </c>
    </row>
    <row r="13" spans="2:9" x14ac:dyDescent="0.25">
      <c r="B13" s="494" t="s">
        <v>390</v>
      </c>
      <c r="C13" s="495">
        <v>41</v>
      </c>
      <c r="D13" s="496">
        <v>2</v>
      </c>
      <c r="E13" s="496">
        <v>5</v>
      </c>
      <c r="F13" s="497">
        <v>7</v>
      </c>
      <c r="G13" s="499">
        <v>8</v>
      </c>
      <c r="H13" s="499">
        <v>7</v>
      </c>
      <c r="I13" s="498">
        <v>70</v>
      </c>
    </row>
    <row r="14" spans="2:9" x14ac:dyDescent="0.25">
      <c r="B14" s="494" t="s">
        <v>391</v>
      </c>
      <c r="C14" s="495">
        <v>24</v>
      </c>
      <c r="D14" s="496">
        <v>2</v>
      </c>
      <c r="E14" s="496">
        <v>5</v>
      </c>
      <c r="F14" s="497">
        <v>6</v>
      </c>
      <c r="G14" s="499">
        <v>7</v>
      </c>
      <c r="H14" s="499">
        <v>7.5</v>
      </c>
      <c r="I14" s="498">
        <v>51.5</v>
      </c>
    </row>
    <row r="15" spans="2:9" x14ac:dyDescent="0.25">
      <c r="B15" s="494" t="s">
        <v>392</v>
      </c>
      <c r="C15" s="495">
        <v>48</v>
      </c>
      <c r="D15" s="496">
        <v>2</v>
      </c>
      <c r="E15" s="496">
        <v>5</v>
      </c>
      <c r="F15" s="497">
        <v>9</v>
      </c>
      <c r="G15" s="499">
        <v>12</v>
      </c>
      <c r="H15" s="499">
        <v>12</v>
      </c>
      <c r="I15" s="498">
        <v>88</v>
      </c>
    </row>
    <row r="16" spans="2:9" x14ac:dyDescent="0.25">
      <c r="B16" s="494" t="s">
        <v>393</v>
      </c>
      <c r="C16" s="495">
        <v>17</v>
      </c>
      <c r="D16" s="496">
        <v>2</v>
      </c>
      <c r="E16" s="496">
        <v>1</v>
      </c>
      <c r="F16" s="497">
        <v>3</v>
      </c>
      <c r="G16" s="499">
        <v>11</v>
      </c>
      <c r="H16" s="499">
        <v>5</v>
      </c>
      <c r="I16" s="498">
        <v>39</v>
      </c>
    </row>
    <row r="17" spans="2:12" x14ac:dyDescent="0.25">
      <c r="B17" s="494" t="s">
        <v>394</v>
      </c>
      <c r="C17" s="495">
        <v>50</v>
      </c>
      <c r="D17" s="496">
        <v>2</v>
      </c>
      <c r="E17" s="496">
        <v>4</v>
      </c>
      <c r="F17" s="497">
        <v>11</v>
      </c>
      <c r="G17" s="499">
        <v>12</v>
      </c>
      <c r="H17" s="499">
        <v>11</v>
      </c>
      <c r="I17" s="498">
        <v>90</v>
      </c>
    </row>
    <row r="18" spans="2:12" x14ac:dyDescent="0.25">
      <c r="B18" s="494" t="s">
        <v>395</v>
      </c>
      <c r="C18" s="495">
        <v>5</v>
      </c>
      <c r="D18" s="496">
        <v>0</v>
      </c>
      <c r="E18" s="496">
        <v>0</v>
      </c>
      <c r="F18" s="497">
        <v>1</v>
      </c>
      <c r="G18" s="499">
        <v>1</v>
      </c>
      <c r="H18" s="499">
        <v>0</v>
      </c>
      <c r="I18" s="498">
        <v>7</v>
      </c>
      <c r="J18" s="492"/>
      <c r="K18" s="492"/>
      <c r="L18" s="492"/>
    </row>
    <row r="19" spans="2:12" ht="16.5" customHeight="1" x14ac:dyDescent="0.25">
      <c r="B19" s="494" t="s">
        <v>396</v>
      </c>
      <c r="C19" s="495">
        <v>53</v>
      </c>
      <c r="D19" s="496">
        <v>0</v>
      </c>
      <c r="E19" s="496">
        <v>0</v>
      </c>
      <c r="F19" s="497">
        <v>0</v>
      </c>
      <c r="G19" s="499">
        <v>0</v>
      </c>
      <c r="H19" s="499">
        <v>0</v>
      </c>
      <c r="I19" s="498">
        <v>50</v>
      </c>
      <c r="J19" s="492"/>
      <c r="K19" s="492"/>
      <c r="L19" s="492"/>
    </row>
    <row r="20" spans="2:12" x14ac:dyDescent="0.25">
      <c r="B20" s="494" t="s">
        <v>397</v>
      </c>
      <c r="C20" s="495">
        <v>6</v>
      </c>
      <c r="D20" s="496">
        <v>0</v>
      </c>
      <c r="E20" s="496">
        <v>0</v>
      </c>
      <c r="F20" s="497">
        <v>0</v>
      </c>
      <c r="G20" s="499">
        <v>0</v>
      </c>
      <c r="H20" s="499">
        <v>0</v>
      </c>
      <c r="I20" s="498">
        <v>6</v>
      </c>
      <c r="J20" s="500"/>
      <c r="K20" s="492"/>
      <c r="L20" s="492"/>
    </row>
    <row r="21" spans="2:12" x14ac:dyDescent="0.25">
      <c r="B21" s="501" t="s">
        <v>129</v>
      </c>
      <c r="C21" s="502">
        <f t="shared" ref="C21:I21" si="0">SUM(C10:C20)</f>
        <v>373</v>
      </c>
      <c r="D21" s="502">
        <f t="shared" si="0"/>
        <v>17</v>
      </c>
      <c r="E21" s="503">
        <f t="shared" si="0"/>
        <v>29</v>
      </c>
      <c r="F21" s="502">
        <f t="shared" si="0"/>
        <v>68</v>
      </c>
      <c r="G21" s="502">
        <f t="shared" si="0"/>
        <v>76</v>
      </c>
      <c r="H21" s="502">
        <f t="shared" si="0"/>
        <v>59.5</v>
      </c>
      <c r="I21" s="502">
        <f t="shared" si="0"/>
        <v>619.5</v>
      </c>
      <c r="J21" s="492"/>
      <c r="K21" s="492"/>
      <c r="L21" s="492"/>
    </row>
    <row r="22" spans="2:12" x14ac:dyDescent="0.25">
      <c r="B22" s="492"/>
      <c r="C22" s="492"/>
      <c r="D22" s="492"/>
      <c r="E22" s="492"/>
      <c r="F22" s="492"/>
      <c r="G22" s="492"/>
      <c r="H22" s="492"/>
      <c r="I22" s="504"/>
      <c r="J22" s="492"/>
      <c r="K22" s="492"/>
      <c r="L22" s="492"/>
    </row>
    <row r="29" spans="2:12" x14ac:dyDescent="0.25"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676"/>
    </row>
    <row r="30" spans="2:12" x14ac:dyDescent="0.25"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676"/>
    </row>
    <row r="31" spans="2:12" x14ac:dyDescent="0.25"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676"/>
    </row>
    <row r="32" spans="2:12" x14ac:dyDescent="0.25"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676"/>
    </row>
    <row r="33" spans="2:12" x14ac:dyDescent="0.25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676"/>
    </row>
  </sheetData>
  <mergeCells count="10">
    <mergeCell ref="L29:L33"/>
    <mergeCell ref="B4:I4"/>
    <mergeCell ref="B7:B9"/>
    <mergeCell ref="C7:C9"/>
    <mergeCell ref="D7:D9"/>
    <mergeCell ref="E7:E9"/>
    <mergeCell ref="F7:F9"/>
    <mergeCell ref="G7:G9"/>
    <mergeCell ref="H7:H9"/>
    <mergeCell ref="I7:I9"/>
  </mergeCells>
  <pageMargins left="0.51181102362204722" right="0.11811023622047245" top="0.74803149606299213" bottom="0.74803149606299213" header="0.31496062992125984" footer="0.31496062992125984"/>
  <pageSetup paperSize="9" scale="90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B1:X25"/>
  <sheetViews>
    <sheetView workbookViewId="0">
      <selection activeCell="D7" sqref="D7"/>
    </sheetView>
  </sheetViews>
  <sheetFormatPr defaultColWidth="9.140625" defaultRowHeight="15" x14ac:dyDescent="0.25"/>
  <cols>
    <col min="1" max="1" width="9.140625" style="30"/>
    <col min="2" max="2" width="14" style="30" customWidth="1"/>
    <col min="3" max="3" width="6.140625" style="30" customWidth="1"/>
    <col min="4" max="4" width="7.85546875" style="30" customWidth="1"/>
    <col min="5" max="5" width="5.42578125" style="30" customWidth="1"/>
    <col min="6" max="6" width="5.7109375" style="30" customWidth="1"/>
    <col min="7" max="7" width="5.42578125" style="30" customWidth="1"/>
    <col min="8" max="8" width="6" style="30" customWidth="1"/>
    <col min="9" max="9" width="7.7109375" style="30" customWidth="1"/>
    <col min="10" max="11" width="5.42578125" style="30" customWidth="1"/>
    <col min="12" max="12" width="5" style="30" customWidth="1"/>
    <col min="13" max="13" width="5.7109375" style="30" customWidth="1"/>
    <col min="14" max="14" width="6.7109375" style="30" customWidth="1"/>
    <col min="15" max="16" width="8" style="30" customWidth="1"/>
    <col min="17" max="17" width="7.7109375" style="30" customWidth="1"/>
    <col min="18" max="18" width="6.42578125" style="30" customWidth="1"/>
    <col min="19" max="19" width="6.7109375" style="30" customWidth="1"/>
    <col min="20" max="20" width="7" style="30" customWidth="1"/>
    <col min="21" max="21" width="6.7109375" style="30" customWidth="1"/>
    <col min="22" max="16384" width="9.140625" style="30"/>
  </cols>
  <sheetData>
    <row r="1" spans="2:24" x14ac:dyDescent="0.25"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</row>
    <row r="2" spans="2:24" x14ac:dyDescent="0.25"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6" t="s">
        <v>398</v>
      </c>
      <c r="U2" s="505"/>
      <c r="V2" s="505"/>
      <c r="W2" s="505"/>
      <c r="X2" s="505"/>
    </row>
    <row r="3" spans="2:24" x14ac:dyDescent="0.25"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505"/>
      <c r="V3" s="505"/>
      <c r="W3" s="505"/>
      <c r="X3" s="505"/>
    </row>
    <row r="4" spans="2:24" ht="17.100000000000001" customHeight="1" x14ac:dyDescent="0.25">
      <c r="B4" s="685" t="s">
        <v>629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505"/>
      <c r="V4" s="507"/>
      <c r="W4" s="507"/>
      <c r="X4" s="507"/>
    </row>
    <row r="5" spans="2:24" ht="21.95" customHeight="1" x14ac:dyDescent="0.25">
      <c r="B5" s="686" t="s">
        <v>630</v>
      </c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  <c r="R5" s="686"/>
      <c r="S5" s="686"/>
      <c r="T5" s="686"/>
      <c r="U5" s="686"/>
      <c r="V5" s="507"/>
      <c r="W5" s="507"/>
      <c r="X5" s="507"/>
    </row>
    <row r="6" spans="2:24" ht="8.25" customHeight="1" x14ac:dyDescent="0.25">
      <c r="B6" s="684"/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507"/>
      <c r="W6" s="507"/>
      <c r="X6" s="507"/>
    </row>
    <row r="7" spans="2:24" s="58" customFormat="1" ht="80.25" customHeight="1" x14ac:dyDescent="0.25">
      <c r="B7" s="508" t="s">
        <v>399</v>
      </c>
      <c r="C7" s="509" t="s">
        <v>509</v>
      </c>
      <c r="D7" s="509" t="s">
        <v>510</v>
      </c>
      <c r="E7" s="510" t="s">
        <v>10</v>
      </c>
      <c r="F7" s="510" t="s">
        <v>12</v>
      </c>
      <c r="G7" s="510" t="s">
        <v>14</v>
      </c>
      <c r="H7" s="510" t="s">
        <v>16</v>
      </c>
      <c r="I7" s="509" t="s">
        <v>469</v>
      </c>
      <c r="J7" s="510" t="s">
        <v>18</v>
      </c>
      <c r="K7" s="510" t="s">
        <v>20</v>
      </c>
      <c r="L7" s="510" t="s">
        <v>22</v>
      </c>
      <c r="M7" s="510" t="s">
        <v>24</v>
      </c>
      <c r="N7" s="510" t="s">
        <v>27</v>
      </c>
      <c r="O7" s="510" t="s">
        <v>400</v>
      </c>
      <c r="P7" s="509" t="s">
        <v>401</v>
      </c>
      <c r="Q7" s="509" t="s">
        <v>402</v>
      </c>
      <c r="R7" s="509" t="s">
        <v>403</v>
      </c>
      <c r="S7" s="509" t="s">
        <v>404</v>
      </c>
      <c r="T7" s="509" t="s">
        <v>405</v>
      </c>
      <c r="U7" s="509" t="s">
        <v>406</v>
      </c>
      <c r="V7" s="511"/>
      <c r="W7" s="511"/>
      <c r="X7" s="511"/>
    </row>
    <row r="8" spans="2:24" x14ac:dyDescent="0.25">
      <c r="B8" s="512" t="s">
        <v>407</v>
      </c>
      <c r="C8" s="513">
        <v>0</v>
      </c>
      <c r="D8" s="513">
        <v>0</v>
      </c>
      <c r="E8" s="513">
        <v>36</v>
      </c>
      <c r="F8" s="513">
        <v>50</v>
      </c>
      <c r="G8" s="513">
        <v>63</v>
      </c>
      <c r="H8" s="513">
        <v>58</v>
      </c>
      <c r="I8" s="514">
        <v>207</v>
      </c>
      <c r="J8" s="513">
        <v>71</v>
      </c>
      <c r="K8" s="513">
        <v>46</v>
      </c>
      <c r="L8" s="513">
        <v>55</v>
      </c>
      <c r="M8" s="513">
        <v>56</v>
      </c>
      <c r="N8" s="513">
        <v>48</v>
      </c>
      <c r="O8" s="514">
        <v>276</v>
      </c>
      <c r="P8" s="514">
        <v>483</v>
      </c>
      <c r="Q8" s="515">
        <v>4</v>
      </c>
      <c r="R8" s="513">
        <v>21</v>
      </c>
      <c r="S8" s="513">
        <v>181</v>
      </c>
      <c r="T8" s="513">
        <v>12</v>
      </c>
      <c r="U8" s="516">
        <v>1</v>
      </c>
      <c r="V8" s="507"/>
      <c r="W8" s="507"/>
      <c r="X8" s="507"/>
    </row>
    <row r="9" spans="2:24" x14ac:dyDescent="0.25">
      <c r="B9" s="512" t="s">
        <v>408</v>
      </c>
      <c r="C9" s="513">
        <v>0</v>
      </c>
      <c r="D9" s="513">
        <v>0</v>
      </c>
      <c r="E9" s="513">
        <v>70</v>
      </c>
      <c r="F9" s="513">
        <v>68</v>
      </c>
      <c r="G9" s="513">
        <v>68</v>
      </c>
      <c r="H9" s="513">
        <v>67</v>
      </c>
      <c r="I9" s="514">
        <v>273</v>
      </c>
      <c r="J9" s="513">
        <v>73</v>
      </c>
      <c r="K9" s="513">
        <v>72</v>
      </c>
      <c r="L9" s="513">
        <v>67</v>
      </c>
      <c r="M9" s="513">
        <v>84</v>
      </c>
      <c r="N9" s="513">
        <v>67</v>
      </c>
      <c r="O9" s="514">
        <v>363</v>
      </c>
      <c r="P9" s="514">
        <v>636</v>
      </c>
      <c r="Q9" s="515">
        <v>25</v>
      </c>
      <c r="R9" s="513">
        <v>27</v>
      </c>
      <c r="S9" s="513">
        <v>250</v>
      </c>
      <c r="T9" s="513">
        <v>15</v>
      </c>
      <c r="U9" s="516">
        <v>0</v>
      </c>
      <c r="V9" s="507"/>
      <c r="W9" s="507"/>
      <c r="X9" s="507"/>
    </row>
    <row r="10" spans="2:24" x14ac:dyDescent="0.25">
      <c r="B10" s="512" t="s">
        <v>409</v>
      </c>
      <c r="C10" s="513">
        <v>0</v>
      </c>
      <c r="D10" s="513">
        <v>0</v>
      </c>
      <c r="E10" s="513">
        <v>92</v>
      </c>
      <c r="F10" s="513">
        <v>73</v>
      </c>
      <c r="G10" s="513">
        <v>91</v>
      </c>
      <c r="H10" s="513">
        <v>97</v>
      </c>
      <c r="I10" s="514">
        <v>480</v>
      </c>
      <c r="J10" s="513">
        <v>98</v>
      </c>
      <c r="K10" s="513">
        <v>113</v>
      </c>
      <c r="L10" s="513">
        <v>92</v>
      </c>
      <c r="M10" s="513">
        <v>107</v>
      </c>
      <c r="N10" s="513">
        <v>106</v>
      </c>
      <c r="O10" s="514">
        <v>639</v>
      </c>
      <c r="P10" s="514">
        <v>869</v>
      </c>
      <c r="Q10" s="515">
        <v>45</v>
      </c>
      <c r="R10" s="513">
        <v>38</v>
      </c>
      <c r="S10" s="513">
        <v>327</v>
      </c>
      <c r="T10" s="513">
        <v>44</v>
      </c>
      <c r="U10" s="516">
        <v>0</v>
      </c>
      <c r="V10" s="507"/>
      <c r="W10" s="507"/>
      <c r="X10" s="507"/>
    </row>
    <row r="11" spans="2:24" x14ac:dyDescent="0.25">
      <c r="B11" s="512" t="s">
        <v>410</v>
      </c>
      <c r="C11" s="513">
        <v>0</v>
      </c>
      <c r="D11" s="513">
        <v>0</v>
      </c>
      <c r="E11" s="513">
        <v>64</v>
      </c>
      <c r="F11" s="513">
        <v>51</v>
      </c>
      <c r="G11" s="513">
        <v>45</v>
      </c>
      <c r="H11" s="513">
        <v>46</v>
      </c>
      <c r="I11" s="514">
        <v>206</v>
      </c>
      <c r="J11" s="513">
        <v>62</v>
      </c>
      <c r="K11" s="513">
        <v>46</v>
      </c>
      <c r="L11" s="513">
        <v>43</v>
      </c>
      <c r="M11" s="513">
        <v>41</v>
      </c>
      <c r="N11" s="513">
        <v>43</v>
      </c>
      <c r="O11" s="514">
        <v>235</v>
      </c>
      <c r="P11" s="514">
        <v>441</v>
      </c>
      <c r="Q11" s="515">
        <v>35</v>
      </c>
      <c r="R11" s="513">
        <v>19</v>
      </c>
      <c r="S11" s="513">
        <v>219</v>
      </c>
      <c r="T11" s="513">
        <v>29</v>
      </c>
      <c r="U11" s="516">
        <v>2</v>
      </c>
      <c r="V11" s="507"/>
      <c r="W11" s="507"/>
      <c r="X11" s="507"/>
    </row>
    <row r="12" spans="2:24" ht="24" x14ac:dyDescent="0.25">
      <c r="B12" s="517" t="s">
        <v>470</v>
      </c>
      <c r="C12" s="513">
        <v>0</v>
      </c>
      <c r="D12" s="513">
        <v>0</v>
      </c>
      <c r="E12" s="513">
        <v>7</v>
      </c>
      <c r="F12" s="513">
        <v>23</v>
      </c>
      <c r="G12" s="513">
        <v>14</v>
      </c>
      <c r="H12" s="513">
        <v>12</v>
      </c>
      <c r="I12" s="514">
        <v>56</v>
      </c>
      <c r="J12" s="513">
        <v>9</v>
      </c>
      <c r="K12" s="513">
        <v>0</v>
      </c>
      <c r="L12" s="513">
        <v>12</v>
      </c>
      <c r="M12" s="513">
        <v>9</v>
      </c>
      <c r="N12" s="513">
        <v>0</v>
      </c>
      <c r="O12" s="514">
        <v>30</v>
      </c>
      <c r="P12" s="514">
        <v>86</v>
      </c>
      <c r="Q12" s="515">
        <v>10</v>
      </c>
      <c r="R12" s="513">
        <v>8</v>
      </c>
      <c r="S12" s="513">
        <v>62</v>
      </c>
      <c r="T12" s="513">
        <v>0</v>
      </c>
      <c r="U12" s="516">
        <v>0</v>
      </c>
      <c r="V12" s="507"/>
      <c r="W12" s="507"/>
      <c r="X12" s="507"/>
    </row>
    <row r="13" spans="2:24" x14ac:dyDescent="0.25">
      <c r="B13" s="512" t="s">
        <v>411</v>
      </c>
      <c r="C13" s="518">
        <v>0</v>
      </c>
      <c r="D13" s="518">
        <v>0</v>
      </c>
      <c r="E13" s="518">
        <v>45</v>
      </c>
      <c r="F13" s="518">
        <v>52</v>
      </c>
      <c r="G13" s="518">
        <v>52</v>
      </c>
      <c r="H13" s="518">
        <v>37</v>
      </c>
      <c r="I13" s="514">
        <v>186</v>
      </c>
      <c r="J13" s="513">
        <v>53</v>
      </c>
      <c r="K13" s="513">
        <v>48</v>
      </c>
      <c r="L13" s="513">
        <v>28</v>
      </c>
      <c r="M13" s="513">
        <v>40</v>
      </c>
      <c r="N13" s="513">
        <v>28</v>
      </c>
      <c r="O13" s="514">
        <v>197</v>
      </c>
      <c r="P13" s="514">
        <v>383</v>
      </c>
      <c r="Q13" s="515">
        <v>50</v>
      </c>
      <c r="R13" s="513">
        <v>17</v>
      </c>
      <c r="S13" s="513">
        <v>150</v>
      </c>
      <c r="T13" s="513">
        <v>41</v>
      </c>
      <c r="U13" s="516">
        <v>1</v>
      </c>
      <c r="V13" s="507"/>
      <c r="W13" s="507"/>
      <c r="X13" s="507"/>
    </row>
    <row r="14" spans="2:24" x14ac:dyDescent="0.25">
      <c r="B14" s="512" t="s">
        <v>412</v>
      </c>
      <c r="C14" s="513">
        <v>0</v>
      </c>
      <c r="D14" s="513">
        <v>0</v>
      </c>
      <c r="E14" s="513">
        <v>89</v>
      </c>
      <c r="F14" s="513">
        <v>81</v>
      </c>
      <c r="G14" s="513">
        <v>86</v>
      </c>
      <c r="H14" s="513">
        <v>65</v>
      </c>
      <c r="I14" s="514">
        <v>321</v>
      </c>
      <c r="J14" s="513">
        <v>99</v>
      </c>
      <c r="K14" s="513">
        <v>94</v>
      </c>
      <c r="L14" s="513">
        <v>99</v>
      </c>
      <c r="M14" s="513">
        <v>108</v>
      </c>
      <c r="N14" s="513">
        <v>70</v>
      </c>
      <c r="O14" s="514">
        <v>470</v>
      </c>
      <c r="P14" s="514">
        <v>791</v>
      </c>
      <c r="Q14" s="515">
        <v>21</v>
      </c>
      <c r="R14" s="513">
        <v>34</v>
      </c>
      <c r="S14" s="513">
        <v>254</v>
      </c>
      <c r="T14" s="513">
        <v>36</v>
      </c>
      <c r="U14" s="516">
        <v>2</v>
      </c>
      <c r="V14" s="507"/>
      <c r="W14" s="507"/>
      <c r="X14" s="507"/>
    </row>
    <row r="15" spans="2:24" x14ac:dyDescent="0.25">
      <c r="B15" s="512" t="s">
        <v>413</v>
      </c>
      <c r="C15" s="513">
        <v>0</v>
      </c>
      <c r="D15" s="513">
        <v>0</v>
      </c>
      <c r="E15" s="513">
        <v>0</v>
      </c>
      <c r="F15" s="513">
        <v>8</v>
      </c>
      <c r="G15" s="513">
        <v>4</v>
      </c>
      <c r="H15" s="513">
        <v>10</v>
      </c>
      <c r="I15" s="514">
        <v>22</v>
      </c>
      <c r="J15" s="513">
        <v>0</v>
      </c>
      <c r="K15" s="513">
        <v>0</v>
      </c>
      <c r="L15" s="513">
        <v>0</v>
      </c>
      <c r="M15" s="513">
        <v>0</v>
      </c>
      <c r="N15" s="513">
        <v>0</v>
      </c>
      <c r="O15" s="514">
        <v>0</v>
      </c>
      <c r="P15" s="514">
        <v>22</v>
      </c>
      <c r="Q15" s="515">
        <v>-5</v>
      </c>
      <c r="R15" s="513">
        <v>3</v>
      </c>
      <c r="S15" s="513">
        <v>17</v>
      </c>
      <c r="T15" s="513">
        <v>2</v>
      </c>
      <c r="U15" s="516">
        <v>0</v>
      </c>
      <c r="V15" s="507"/>
      <c r="W15" s="507"/>
      <c r="X15" s="507"/>
    </row>
    <row r="16" spans="2:24" x14ac:dyDescent="0.25">
      <c r="B16" s="512" t="s">
        <v>414</v>
      </c>
      <c r="C16" s="513">
        <v>0</v>
      </c>
      <c r="D16" s="513">
        <v>0</v>
      </c>
      <c r="E16" s="513">
        <v>85</v>
      </c>
      <c r="F16" s="513">
        <v>90</v>
      </c>
      <c r="G16" s="513">
        <v>94</v>
      </c>
      <c r="H16" s="513">
        <v>95</v>
      </c>
      <c r="I16" s="514">
        <v>364</v>
      </c>
      <c r="J16" s="513">
        <v>89</v>
      </c>
      <c r="K16" s="513">
        <v>86</v>
      </c>
      <c r="L16" s="513">
        <v>88</v>
      </c>
      <c r="M16" s="513">
        <v>74</v>
      </c>
      <c r="N16" s="513">
        <v>85</v>
      </c>
      <c r="O16" s="519">
        <v>422</v>
      </c>
      <c r="P16" s="514">
        <v>786</v>
      </c>
      <c r="Q16" s="515">
        <v>28</v>
      </c>
      <c r="R16" s="513">
        <v>31</v>
      </c>
      <c r="S16" s="513">
        <v>288</v>
      </c>
      <c r="T16" s="513">
        <v>32</v>
      </c>
      <c r="U16" s="516">
        <v>2</v>
      </c>
      <c r="V16" s="507"/>
      <c r="W16" s="507"/>
      <c r="X16" s="507"/>
    </row>
    <row r="17" spans="2:21" ht="24.75" customHeight="1" x14ac:dyDescent="0.25">
      <c r="B17" s="512" t="s">
        <v>415</v>
      </c>
      <c r="C17" s="513">
        <v>7</v>
      </c>
      <c r="D17" s="513">
        <v>8</v>
      </c>
      <c r="E17" s="513">
        <v>21</v>
      </c>
      <c r="F17" s="513">
        <v>23</v>
      </c>
      <c r="G17" s="513">
        <v>24</v>
      </c>
      <c r="H17" s="513">
        <v>24</v>
      </c>
      <c r="I17" s="514">
        <v>92</v>
      </c>
      <c r="J17" s="513">
        <v>29</v>
      </c>
      <c r="K17" s="513">
        <v>27</v>
      </c>
      <c r="L17" s="513">
        <v>27</v>
      </c>
      <c r="M17" s="513">
        <v>25</v>
      </c>
      <c r="N17" s="513">
        <v>28</v>
      </c>
      <c r="O17" s="514">
        <v>136</v>
      </c>
      <c r="P17" s="514">
        <v>228</v>
      </c>
      <c r="Q17" s="515">
        <v>15</v>
      </c>
      <c r="R17" s="513">
        <v>9</v>
      </c>
      <c r="S17" s="513">
        <v>86</v>
      </c>
      <c r="T17" s="513">
        <v>16</v>
      </c>
      <c r="U17" s="516">
        <v>0</v>
      </c>
    </row>
    <row r="18" spans="2:21" ht="24" x14ac:dyDescent="0.25">
      <c r="B18" s="517" t="s">
        <v>416</v>
      </c>
      <c r="C18" s="514">
        <f t="shared" ref="C18:P18" si="0">SUM(C8:C17)</f>
        <v>7</v>
      </c>
      <c r="D18" s="514">
        <f t="shared" si="0"/>
        <v>8</v>
      </c>
      <c r="E18" s="514">
        <f t="shared" si="0"/>
        <v>509</v>
      </c>
      <c r="F18" s="514">
        <f t="shared" si="0"/>
        <v>519</v>
      </c>
      <c r="G18" s="519">
        <f t="shared" si="0"/>
        <v>541</v>
      </c>
      <c r="H18" s="514">
        <f t="shared" si="0"/>
        <v>511</v>
      </c>
      <c r="I18" s="514">
        <v>2095</v>
      </c>
      <c r="J18" s="514">
        <f t="shared" si="0"/>
        <v>583</v>
      </c>
      <c r="K18" s="514">
        <f t="shared" si="0"/>
        <v>532</v>
      </c>
      <c r="L18" s="514">
        <f t="shared" si="0"/>
        <v>511</v>
      </c>
      <c r="M18" s="514">
        <f t="shared" si="0"/>
        <v>544</v>
      </c>
      <c r="N18" s="514">
        <f t="shared" si="0"/>
        <v>475</v>
      </c>
      <c r="O18" s="514">
        <f t="shared" si="0"/>
        <v>2768</v>
      </c>
      <c r="P18" s="514">
        <f t="shared" si="0"/>
        <v>4725</v>
      </c>
      <c r="Q18" s="514">
        <v>53</v>
      </c>
      <c r="R18" s="514">
        <f>SUM(R8:R17)</f>
        <v>207</v>
      </c>
      <c r="S18" s="514">
        <f>SUM(S8:S17)</f>
        <v>1834</v>
      </c>
      <c r="T18" s="514">
        <f>SUM(T8:T17)</f>
        <v>227</v>
      </c>
      <c r="U18" s="520">
        <f>SUM(U8:U17)</f>
        <v>8</v>
      </c>
    </row>
    <row r="19" spans="2:21" ht="26.25" customHeight="1" x14ac:dyDescent="0.25">
      <c r="B19" s="521" t="s">
        <v>417</v>
      </c>
      <c r="C19" s="522">
        <v>1</v>
      </c>
      <c r="D19" s="522">
        <v>1</v>
      </c>
      <c r="E19" s="522">
        <v>23</v>
      </c>
      <c r="F19" s="522">
        <v>24</v>
      </c>
      <c r="G19" s="522">
        <v>24</v>
      </c>
      <c r="H19" s="522">
        <v>23</v>
      </c>
      <c r="I19" s="523" t="s">
        <v>511</v>
      </c>
      <c r="J19" s="522">
        <v>22</v>
      </c>
      <c r="K19" s="522">
        <v>22</v>
      </c>
      <c r="L19" s="522">
        <v>20</v>
      </c>
      <c r="M19" s="522">
        <v>21</v>
      </c>
      <c r="N19" s="522">
        <v>20</v>
      </c>
      <c r="O19" s="523" t="s">
        <v>511</v>
      </c>
      <c r="P19" s="523" t="s">
        <v>511</v>
      </c>
      <c r="Q19" s="524" t="s">
        <v>511</v>
      </c>
      <c r="R19" s="525" t="s">
        <v>511</v>
      </c>
      <c r="S19" s="522" t="s">
        <v>511</v>
      </c>
      <c r="T19" s="522" t="s">
        <v>511</v>
      </c>
      <c r="U19" s="526" t="s">
        <v>511</v>
      </c>
    </row>
    <row r="20" spans="2:21" ht="15" customHeight="1" x14ac:dyDescent="0.25">
      <c r="B20" s="527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</row>
    <row r="21" spans="2:21" x14ac:dyDescent="0.25">
      <c r="B21" s="687" t="s">
        <v>993</v>
      </c>
      <c r="C21" s="687"/>
      <c r="D21" s="687"/>
      <c r="E21" s="687"/>
      <c r="F21" s="687"/>
      <c r="G21" s="687"/>
      <c r="H21" s="687"/>
      <c r="I21" s="687"/>
      <c r="J21" s="687"/>
      <c r="K21" s="687"/>
      <c r="L21" s="687"/>
      <c r="M21" s="687"/>
      <c r="N21" s="687"/>
      <c r="O21" s="687"/>
      <c r="P21" s="687"/>
      <c r="Q21" s="687"/>
      <c r="R21" s="687"/>
      <c r="S21" s="687"/>
      <c r="T21" s="687"/>
      <c r="U21" s="687"/>
    </row>
    <row r="22" spans="2:21" x14ac:dyDescent="0.25">
      <c r="B22" s="683" t="s">
        <v>994</v>
      </c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3"/>
      <c r="U22" s="528"/>
    </row>
    <row r="23" spans="2:21" x14ac:dyDescent="0.25">
      <c r="B23" s="683" t="s">
        <v>631</v>
      </c>
      <c r="C23" s="683"/>
      <c r="D23" s="683"/>
      <c r="E23" s="683"/>
      <c r="F23" s="683"/>
      <c r="G23" s="683"/>
      <c r="H23" s="683"/>
      <c r="I23" s="683"/>
      <c r="J23" s="683"/>
      <c r="K23" s="528"/>
      <c r="L23" s="528"/>
      <c r="M23" s="528"/>
      <c r="N23" s="528"/>
      <c r="O23" s="683"/>
      <c r="P23" s="683"/>
      <c r="Q23" s="683"/>
      <c r="R23" s="683"/>
      <c r="S23" s="683"/>
      <c r="T23" s="683"/>
      <c r="U23" s="528"/>
    </row>
    <row r="24" spans="2:21" x14ac:dyDescent="0.25">
      <c r="B24" s="682" t="s">
        <v>995</v>
      </c>
      <c r="C24" s="682"/>
      <c r="D24" s="682"/>
      <c r="E24" s="682"/>
      <c r="F24" s="682"/>
      <c r="G24" s="682"/>
      <c r="H24" s="682"/>
      <c r="I24" s="528"/>
      <c r="J24" s="528"/>
      <c r="K24" s="528"/>
      <c r="L24" s="528"/>
      <c r="M24" s="528"/>
      <c r="N24" s="528"/>
      <c r="O24" s="528"/>
      <c r="P24" s="528"/>
      <c r="Q24" s="528"/>
      <c r="R24" s="528"/>
      <c r="S24" s="528"/>
      <c r="T24" s="528"/>
      <c r="U24" s="528"/>
    </row>
    <row r="25" spans="2:21" x14ac:dyDescent="0.25">
      <c r="B25" s="683" t="s">
        <v>996</v>
      </c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  <c r="O25" s="683"/>
      <c r="P25" s="683"/>
      <c r="Q25" s="683"/>
      <c r="R25" s="683"/>
      <c r="S25" s="683"/>
      <c r="T25" s="683"/>
      <c r="U25" s="683"/>
    </row>
  </sheetData>
  <mergeCells count="11">
    <mergeCell ref="B24:H24"/>
    <mergeCell ref="B25:U25"/>
    <mergeCell ref="B3:T3"/>
    <mergeCell ref="B4:T4"/>
    <mergeCell ref="B5:U5"/>
    <mergeCell ref="B6:U6"/>
    <mergeCell ref="B21:U21"/>
    <mergeCell ref="B22:I22"/>
    <mergeCell ref="J22:T22"/>
    <mergeCell ref="B23:J23"/>
    <mergeCell ref="O23:T23"/>
  </mergeCells>
  <pageMargins left="0.51181102362204722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2:M21"/>
  <sheetViews>
    <sheetView workbookViewId="0">
      <selection activeCell="C14" sqref="C14"/>
    </sheetView>
  </sheetViews>
  <sheetFormatPr defaultRowHeight="15" x14ac:dyDescent="0.25"/>
  <cols>
    <col min="1" max="1" width="9.140625" style="30" customWidth="1"/>
    <col min="2" max="2" width="3.42578125" style="57" customWidth="1"/>
    <col min="3" max="3" width="56.7109375" style="30" customWidth="1"/>
    <col min="4" max="4" width="15.85546875" style="307" customWidth="1"/>
    <col min="5" max="5" width="9.140625" style="30" customWidth="1"/>
    <col min="6" max="6" width="13" style="30" customWidth="1"/>
    <col min="7" max="7" width="11.7109375" style="30" customWidth="1"/>
    <col min="8" max="8" width="11.85546875" style="30" customWidth="1"/>
    <col min="9" max="9" width="12.42578125" style="30" customWidth="1"/>
    <col min="10" max="10" width="9.140625" style="30" customWidth="1"/>
    <col min="11" max="16384" width="9.140625" style="30"/>
  </cols>
  <sheetData>
    <row r="2" spans="2:13" x14ac:dyDescent="0.25">
      <c r="D2" s="307" t="s">
        <v>418</v>
      </c>
    </row>
    <row r="4" spans="2:13" x14ac:dyDescent="0.25">
      <c r="B4" s="688" t="s">
        <v>419</v>
      </c>
      <c r="C4" s="688"/>
      <c r="D4" s="688"/>
    </row>
    <row r="5" spans="2:13" x14ac:dyDescent="0.25">
      <c r="B5" s="476"/>
      <c r="C5" s="38"/>
      <c r="D5" s="37" t="s">
        <v>420</v>
      </c>
      <c r="M5" s="401"/>
    </row>
    <row r="6" spans="2:13" x14ac:dyDescent="0.25">
      <c r="B6" s="476">
        <v>1</v>
      </c>
      <c r="C6" s="101" t="s">
        <v>421</v>
      </c>
      <c r="D6" s="529">
        <v>38353</v>
      </c>
    </row>
    <row r="7" spans="2:13" x14ac:dyDescent="0.25">
      <c r="B7" s="476">
        <v>2</v>
      </c>
      <c r="C7" s="101" t="s">
        <v>422</v>
      </c>
      <c r="D7" s="529">
        <v>37257</v>
      </c>
      <c r="F7" s="530"/>
    </row>
    <row r="8" spans="2:13" x14ac:dyDescent="0.25">
      <c r="B8" s="476">
        <v>3</v>
      </c>
      <c r="C8" s="101" t="s">
        <v>423</v>
      </c>
      <c r="D8" s="529">
        <v>37438</v>
      </c>
    </row>
    <row r="9" spans="2:13" x14ac:dyDescent="0.25">
      <c r="B9" s="476">
        <v>4</v>
      </c>
      <c r="C9" s="101" t="s">
        <v>424</v>
      </c>
      <c r="D9" s="529">
        <v>37438</v>
      </c>
    </row>
    <row r="10" spans="2:13" x14ac:dyDescent="0.25">
      <c r="B10" s="476">
        <v>5</v>
      </c>
      <c r="C10" s="101" t="s">
        <v>425</v>
      </c>
      <c r="D10" s="529">
        <v>37438</v>
      </c>
      <c r="F10" s="530"/>
    </row>
    <row r="11" spans="2:13" x14ac:dyDescent="0.25">
      <c r="B11" s="476">
        <v>6</v>
      </c>
      <c r="C11" s="101" t="s">
        <v>426</v>
      </c>
      <c r="D11" s="529">
        <v>37438</v>
      </c>
      <c r="F11" s="530"/>
    </row>
    <row r="12" spans="2:13" x14ac:dyDescent="0.25">
      <c r="B12" s="476">
        <v>7</v>
      </c>
      <c r="C12" s="101" t="s">
        <v>427</v>
      </c>
      <c r="D12" s="529">
        <v>37438</v>
      </c>
      <c r="H12" s="530"/>
    </row>
    <row r="13" spans="2:13" x14ac:dyDescent="0.25">
      <c r="B13" s="476">
        <v>8</v>
      </c>
      <c r="C13" s="101" t="s">
        <v>428</v>
      </c>
      <c r="D13" s="529">
        <v>37438</v>
      </c>
      <c r="H13" s="530"/>
    </row>
    <row r="14" spans="2:13" x14ac:dyDescent="0.25">
      <c r="B14" s="476">
        <v>9</v>
      </c>
      <c r="C14" s="101" t="s">
        <v>429</v>
      </c>
      <c r="D14" s="529">
        <v>37438</v>
      </c>
      <c r="H14" s="530"/>
    </row>
    <row r="15" spans="2:13" x14ac:dyDescent="0.25">
      <c r="B15" s="476">
        <v>10</v>
      </c>
      <c r="C15" s="101" t="s">
        <v>430</v>
      </c>
      <c r="D15" s="529">
        <v>37438</v>
      </c>
      <c r="F15" s="530"/>
    </row>
    <row r="16" spans="2:13" x14ac:dyDescent="0.25">
      <c r="B16" s="476">
        <v>11</v>
      </c>
      <c r="C16" s="101" t="s">
        <v>431</v>
      </c>
      <c r="D16" s="529">
        <v>37438</v>
      </c>
      <c r="H16" s="530"/>
    </row>
    <row r="17" spans="2:9" x14ac:dyDescent="0.25">
      <c r="B17" s="476">
        <v>12</v>
      </c>
      <c r="C17" s="101" t="s">
        <v>432</v>
      </c>
      <c r="D17" s="529">
        <v>37438</v>
      </c>
      <c r="G17" s="530"/>
    </row>
    <row r="18" spans="2:9" x14ac:dyDescent="0.25">
      <c r="B18" s="476">
        <v>13</v>
      </c>
      <c r="C18" s="101" t="s">
        <v>433</v>
      </c>
      <c r="D18" s="529">
        <v>37438</v>
      </c>
      <c r="I18" s="530"/>
    </row>
    <row r="19" spans="2:9" x14ac:dyDescent="0.25">
      <c r="B19" s="476">
        <v>14</v>
      </c>
      <c r="C19" s="101" t="s">
        <v>434</v>
      </c>
      <c r="D19" s="529">
        <v>41640</v>
      </c>
      <c r="H19" s="530"/>
    </row>
    <row r="20" spans="2:9" x14ac:dyDescent="0.25">
      <c r="B20" s="476"/>
      <c r="C20" s="531"/>
      <c r="D20" s="37"/>
      <c r="H20" s="530"/>
    </row>
    <row r="21" spans="2:9" x14ac:dyDescent="0.25">
      <c r="B21" s="532"/>
      <c r="C21" s="533" t="s">
        <v>621</v>
      </c>
      <c r="D21" s="534"/>
      <c r="H21" s="530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D2:F31"/>
  <sheetViews>
    <sheetView workbookViewId="0">
      <selection activeCell="E12" sqref="E12"/>
    </sheetView>
  </sheetViews>
  <sheetFormatPr defaultRowHeight="15" x14ac:dyDescent="0.25"/>
  <cols>
    <col min="1" max="2" width="9.140625" style="30" customWidth="1"/>
    <col min="3" max="4" width="9.140625" style="30"/>
    <col min="5" max="5" width="62" style="30" customWidth="1"/>
    <col min="6" max="6" width="14.28515625" style="30" customWidth="1"/>
    <col min="7" max="16384" width="9.140625" style="30"/>
  </cols>
  <sheetData>
    <row r="2" spans="4:6" x14ac:dyDescent="0.25">
      <c r="F2" s="260" t="s">
        <v>435</v>
      </c>
    </row>
    <row r="3" spans="4:6" ht="37.5" customHeight="1" x14ac:dyDescent="0.25">
      <c r="D3" s="689" t="s">
        <v>990</v>
      </c>
      <c r="E3" s="689"/>
      <c r="F3" s="689"/>
    </row>
    <row r="4" spans="4:6" x14ac:dyDescent="0.25">
      <c r="D4" s="535"/>
      <c r="F4" s="307"/>
    </row>
    <row r="5" spans="4:6" ht="25.5" x14ac:dyDescent="0.25">
      <c r="D5" s="536" t="s">
        <v>436</v>
      </c>
      <c r="E5" s="537" t="s">
        <v>437</v>
      </c>
      <c r="F5" s="537" t="s">
        <v>608</v>
      </c>
    </row>
    <row r="6" spans="4:6" x14ac:dyDescent="0.25">
      <c r="D6" s="538">
        <v>1</v>
      </c>
      <c r="E6" s="539" t="s">
        <v>438</v>
      </c>
      <c r="F6" s="540">
        <f>F7+F8+F9+F10</f>
        <v>64831369</v>
      </c>
    </row>
    <row r="7" spans="4:6" x14ac:dyDescent="0.25">
      <c r="D7" s="476">
        <v>2</v>
      </c>
      <c r="E7" s="541" t="s">
        <v>439</v>
      </c>
      <c r="F7" s="100">
        <f>[1]Príjmy!$F$7</f>
        <v>37489105</v>
      </c>
    </row>
    <row r="8" spans="4:6" x14ac:dyDescent="0.25">
      <c r="D8" s="476">
        <v>3</v>
      </c>
      <c r="E8" s="541" t="s">
        <v>440</v>
      </c>
      <c r="F8" s="100">
        <f>[1]Príjmy!$F$21+[1]Príjmy!$F$356</f>
        <v>7458976</v>
      </c>
    </row>
    <row r="9" spans="4:6" x14ac:dyDescent="0.25">
      <c r="D9" s="476">
        <v>4</v>
      </c>
      <c r="E9" s="541" t="s">
        <v>441</v>
      </c>
      <c r="F9" s="100">
        <f>[1]Príjmy!$F$364+[1]Príjmy!$F$270</f>
        <v>17183288</v>
      </c>
    </row>
    <row r="10" spans="4:6" x14ac:dyDescent="0.25">
      <c r="D10" s="476">
        <v>5</v>
      </c>
      <c r="E10" s="541" t="s">
        <v>442</v>
      </c>
      <c r="F10" s="100">
        <f>F11+F12</f>
        <v>2700000</v>
      </c>
    </row>
    <row r="11" spans="4:6" x14ac:dyDescent="0.25">
      <c r="D11" s="476">
        <v>6</v>
      </c>
      <c r="E11" s="541" t="s">
        <v>443</v>
      </c>
      <c r="F11" s="100">
        <f>[1]Sumarizácia!$K$24+[1]Sumarizácia!$K$25+[1]Sumarizácia!$K$26+[1]Sumarizácia!$K$27+[1]Sumarizácia!$K$28+[1]Sumarizácia!$K$29</f>
        <v>0</v>
      </c>
    </row>
    <row r="12" spans="4:6" x14ac:dyDescent="0.25">
      <c r="D12" s="476">
        <v>7</v>
      </c>
      <c r="E12" s="541" t="s">
        <v>444</v>
      </c>
      <c r="F12" s="100">
        <v>2700000</v>
      </c>
    </row>
    <row r="13" spans="4:6" x14ac:dyDescent="0.25">
      <c r="D13" s="538">
        <v>8</v>
      </c>
      <c r="E13" s="539" t="s">
        <v>445</v>
      </c>
      <c r="F13" s="540">
        <f>F14+F15+F16</f>
        <v>59351476</v>
      </c>
    </row>
    <row r="14" spans="4:6" x14ac:dyDescent="0.25">
      <c r="D14" s="476">
        <v>9</v>
      </c>
      <c r="E14" s="541" t="s">
        <v>446</v>
      </c>
      <c r="F14" s="100">
        <f>[1]Sumarizácia!$E$5</f>
        <v>59351476</v>
      </c>
    </row>
    <row r="15" spans="4:6" x14ac:dyDescent="0.25">
      <c r="D15" s="476">
        <v>10</v>
      </c>
      <c r="E15" s="541" t="s">
        <v>447</v>
      </c>
      <c r="F15" s="100">
        <f>[1]Sumarizácia!$H$5</f>
        <v>0</v>
      </c>
    </row>
    <row r="16" spans="4:6" x14ac:dyDescent="0.25">
      <c r="D16" s="476">
        <v>11</v>
      </c>
      <c r="E16" s="541" t="s">
        <v>448</v>
      </c>
      <c r="F16" s="100">
        <f>[1]Sumarizácia!$K$31</f>
        <v>0</v>
      </c>
    </row>
    <row r="17" spans="4:6" x14ac:dyDescent="0.25">
      <c r="D17" s="542">
        <v>12</v>
      </c>
      <c r="E17" s="543" t="s">
        <v>449</v>
      </c>
      <c r="F17" s="544">
        <f>F6-F13</f>
        <v>5479893</v>
      </c>
    </row>
    <row r="18" spans="4:6" ht="25.5" x14ac:dyDescent="0.25">
      <c r="D18" s="542">
        <v>13</v>
      </c>
      <c r="E18" s="545" t="s">
        <v>450</v>
      </c>
      <c r="F18" s="544">
        <f>F6-F10-F13+F16</f>
        <v>2779893</v>
      </c>
    </row>
    <row r="19" spans="4:6" x14ac:dyDescent="0.25">
      <c r="D19" s="476"/>
      <c r="E19" s="546"/>
      <c r="F19" s="547"/>
    </row>
    <row r="20" spans="4:6" x14ac:dyDescent="0.25">
      <c r="D20" s="538">
        <v>14</v>
      </c>
      <c r="E20" s="548" t="s">
        <v>451</v>
      </c>
      <c r="F20" s="549">
        <f>F21-F22</f>
        <v>-120574</v>
      </c>
    </row>
    <row r="21" spans="4:6" x14ac:dyDescent="0.25">
      <c r="D21" s="476">
        <v>15</v>
      </c>
      <c r="E21" s="541" t="s">
        <v>997</v>
      </c>
      <c r="F21" s="100">
        <v>1246880</v>
      </c>
    </row>
    <row r="22" spans="4:6" x14ac:dyDescent="0.25">
      <c r="D22" s="476">
        <v>16</v>
      </c>
      <c r="E22" s="541" t="s">
        <v>998</v>
      </c>
      <c r="F22" s="100">
        <v>1367454</v>
      </c>
    </row>
    <row r="23" spans="4:6" x14ac:dyDescent="0.25">
      <c r="D23" s="538">
        <v>17</v>
      </c>
      <c r="E23" s="548" t="s">
        <v>452</v>
      </c>
      <c r="F23" s="549">
        <f>F25-F24</f>
        <v>701653</v>
      </c>
    </row>
    <row r="24" spans="4:6" x14ac:dyDescent="0.25">
      <c r="D24" s="476">
        <v>18</v>
      </c>
      <c r="E24" s="541" t="s">
        <v>999</v>
      </c>
      <c r="F24" s="100">
        <v>4373569</v>
      </c>
    </row>
    <row r="25" spans="4:6" x14ac:dyDescent="0.25">
      <c r="D25" s="476">
        <v>19</v>
      </c>
      <c r="E25" s="541" t="s">
        <v>1000</v>
      </c>
      <c r="F25" s="100">
        <v>5075222</v>
      </c>
    </row>
    <row r="26" spans="4:6" x14ac:dyDescent="0.25">
      <c r="D26" s="538">
        <v>20</v>
      </c>
      <c r="E26" s="539" t="s">
        <v>453</v>
      </c>
      <c r="F26" s="540">
        <f>F20+F23</f>
        <v>581079</v>
      </c>
    </row>
    <row r="27" spans="4:6" x14ac:dyDescent="0.25">
      <c r="D27" s="550">
        <v>21</v>
      </c>
      <c r="E27" s="550" t="s">
        <v>454</v>
      </c>
      <c r="F27" s="551">
        <f>F18+F26</f>
        <v>3360972</v>
      </c>
    </row>
    <row r="29" spans="4:6" ht="48" customHeight="1" x14ac:dyDescent="0.25">
      <c r="D29" s="690" t="s">
        <v>455</v>
      </c>
      <c r="E29" s="690"/>
      <c r="F29" s="690"/>
    </row>
    <row r="30" spans="4:6" ht="107.25" customHeight="1" x14ac:dyDescent="0.25">
      <c r="D30" s="690" t="s">
        <v>456</v>
      </c>
      <c r="E30" s="690"/>
      <c r="F30" s="690"/>
    </row>
    <row r="31" spans="4:6" ht="29.25" customHeight="1" x14ac:dyDescent="0.25">
      <c r="D31" s="690" t="s">
        <v>457</v>
      </c>
      <c r="E31" s="690"/>
      <c r="F31" s="690"/>
    </row>
  </sheetData>
  <mergeCells count="4">
    <mergeCell ref="D3:F3"/>
    <mergeCell ref="D29:F29"/>
    <mergeCell ref="D30:F30"/>
    <mergeCell ref="D31:F31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L75"/>
  <sheetViews>
    <sheetView workbookViewId="0">
      <selection activeCell="C63" sqref="C63"/>
    </sheetView>
  </sheetViews>
  <sheetFormatPr defaultRowHeight="14.25" x14ac:dyDescent="0.2"/>
  <cols>
    <col min="1" max="1" width="9.140625" style="1" customWidth="1"/>
    <col min="2" max="2" width="22.7109375" style="1" customWidth="1"/>
    <col min="3" max="3" width="12.42578125" style="1" customWidth="1"/>
    <col min="4" max="4" width="13.28515625" style="1" customWidth="1"/>
    <col min="5" max="5" width="13.5703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ht="16.5" x14ac:dyDescent="0.3">
      <c r="B2" s="27"/>
      <c r="C2" s="27"/>
      <c r="D2" s="27"/>
      <c r="E2" s="27"/>
      <c r="F2" s="27"/>
      <c r="G2" s="52" t="s">
        <v>68</v>
      </c>
    </row>
    <row r="3" spans="2:11" ht="23.25" customHeight="1" x14ac:dyDescent="0.2">
      <c r="B3" s="564" t="s">
        <v>69</v>
      </c>
      <c r="C3" s="564"/>
      <c r="D3" s="564"/>
      <c r="E3" s="564"/>
      <c r="F3" s="564"/>
      <c r="G3" s="564"/>
      <c r="H3" s="14"/>
      <c r="I3" s="14"/>
      <c r="J3" s="14"/>
      <c r="K3" s="14"/>
    </row>
    <row r="4" spans="2:11" ht="21.75" customHeight="1" x14ac:dyDescent="0.3">
      <c r="B4" s="27"/>
      <c r="C4" s="27"/>
      <c r="D4" s="27"/>
      <c r="E4" s="27"/>
      <c r="F4" s="27"/>
      <c r="G4" s="27"/>
    </row>
    <row r="5" spans="2:11" s="15" customFormat="1" ht="18.75" customHeight="1" x14ac:dyDescent="0.2">
      <c r="B5" s="565" t="s">
        <v>70</v>
      </c>
      <c r="C5" s="565"/>
      <c r="D5" s="565"/>
      <c r="E5" s="97">
        <f>E6+E13+E17+E19+E24+E29+E21+E12</f>
        <v>1365985.45</v>
      </c>
      <c r="F5" s="52"/>
      <c r="G5" s="98"/>
    </row>
    <row r="6" spans="2:11" x14ac:dyDescent="0.2">
      <c r="B6" s="562" t="s">
        <v>71</v>
      </c>
      <c r="C6" s="562"/>
      <c r="D6" s="562"/>
      <c r="E6" s="99">
        <f>SUM(E7:E11)</f>
        <v>89532.15</v>
      </c>
      <c r="F6" s="52"/>
      <c r="G6" s="52"/>
    </row>
    <row r="7" spans="2:11" x14ac:dyDescent="0.2">
      <c r="B7" s="558" t="s">
        <v>472</v>
      </c>
      <c r="C7" s="558"/>
      <c r="D7" s="558"/>
      <c r="E7" s="62">
        <v>14678</v>
      </c>
      <c r="F7" s="52"/>
      <c r="G7" s="52"/>
    </row>
    <row r="8" spans="2:11" x14ac:dyDescent="0.2">
      <c r="B8" s="558" t="s">
        <v>72</v>
      </c>
      <c r="C8" s="558"/>
      <c r="D8" s="558"/>
      <c r="E8" s="62">
        <v>57617.21</v>
      </c>
      <c r="F8" s="52"/>
      <c r="G8" s="52"/>
    </row>
    <row r="9" spans="2:11" x14ac:dyDescent="0.2">
      <c r="B9" s="558" t="s">
        <v>73</v>
      </c>
      <c r="C9" s="558"/>
      <c r="D9" s="558"/>
      <c r="E9" s="62">
        <v>4971</v>
      </c>
      <c r="F9" s="52"/>
      <c r="G9" s="52"/>
    </row>
    <row r="10" spans="2:11" x14ac:dyDescent="0.2">
      <c r="B10" s="558" t="s">
        <v>74</v>
      </c>
      <c r="C10" s="558"/>
      <c r="D10" s="558"/>
      <c r="E10" s="62">
        <v>11655.14</v>
      </c>
      <c r="F10" s="52"/>
      <c r="G10" s="52"/>
    </row>
    <row r="11" spans="2:11" x14ac:dyDescent="0.2">
      <c r="B11" s="558" t="s">
        <v>75</v>
      </c>
      <c r="C11" s="558"/>
      <c r="D11" s="558"/>
      <c r="E11" s="62">
        <v>610.79999999999995</v>
      </c>
      <c r="F11" s="52"/>
      <c r="G11" s="52"/>
    </row>
    <row r="12" spans="2:11" x14ac:dyDescent="0.2">
      <c r="B12" s="562" t="s">
        <v>624</v>
      </c>
      <c r="C12" s="562"/>
      <c r="D12" s="562"/>
      <c r="E12" s="99">
        <v>2957.5</v>
      </c>
      <c r="F12" s="52"/>
      <c r="G12" s="52"/>
    </row>
    <row r="13" spans="2:11" x14ac:dyDescent="0.2">
      <c r="B13" s="562" t="s">
        <v>76</v>
      </c>
      <c r="C13" s="562"/>
      <c r="D13" s="562"/>
      <c r="E13" s="99">
        <f>SUM(E14:E16)</f>
        <v>471297.54999999993</v>
      </c>
      <c r="F13" s="52"/>
      <c r="G13" s="52"/>
    </row>
    <row r="14" spans="2:11" x14ac:dyDescent="0.2">
      <c r="B14" s="558" t="s">
        <v>77</v>
      </c>
      <c r="C14" s="558"/>
      <c r="D14" s="558"/>
      <c r="E14" s="62">
        <v>265366.42</v>
      </c>
      <c r="F14" s="52"/>
      <c r="G14" s="52"/>
    </row>
    <row r="15" spans="2:11" x14ac:dyDescent="0.2">
      <c r="B15" s="558" t="s">
        <v>78</v>
      </c>
      <c r="C15" s="558"/>
      <c r="D15" s="558"/>
      <c r="E15" s="62">
        <v>205519.53</v>
      </c>
      <c r="F15" s="52"/>
      <c r="G15" s="52"/>
    </row>
    <row r="16" spans="2:11" x14ac:dyDescent="0.2">
      <c r="B16" s="558" t="s">
        <v>79</v>
      </c>
      <c r="C16" s="558"/>
      <c r="D16" s="558"/>
      <c r="E16" s="62">
        <v>411.6</v>
      </c>
      <c r="F16" s="52"/>
      <c r="G16" s="52"/>
    </row>
    <row r="17" spans="2:12" x14ac:dyDescent="0.2">
      <c r="B17" s="562" t="s">
        <v>80</v>
      </c>
      <c r="C17" s="562"/>
      <c r="D17" s="562"/>
      <c r="E17" s="99">
        <f>E18</f>
        <v>173217.55</v>
      </c>
      <c r="F17" s="52"/>
      <c r="G17" s="52"/>
    </row>
    <row r="18" spans="2:12" ht="31.5" customHeight="1" x14ac:dyDescent="0.2">
      <c r="B18" s="558" t="s">
        <v>81</v>
      </c>
      <c r="C18" s="558"/>
      <c r="D18" s="558"/>
      <c r="E18" s="100">
        <v>173217.55</v>
      </c>
      <c r="F18" s="52"/>
      <c r="G18" s="52"/>
    </row>
    <row r="19" spans="2:12" x14ac:dyDescent="0.2">
      <c r="B19" s="562" t="s">
        <v>82</v>
      </c>
      <c r="C19" s="562"/>
      <c r="D19" s="562"/>
      <c r="E19" s="99">
        <f>E20</f>
        <v>1542.1</v>
      </c>
      <c r="F19" s="52"/>
      <c r="G19" s="52"/>
    </row>
    <row r="20" spans="2:12" x14ac:dyDescent="0.2">
      <c r="B20" s="563" t="s">
        <v>83</v>
      </c>
      <c r="C20" s="563"/>
      <c r="D20" s="563"/>
      <c r="E20" s="62">
        <v>1542.1</v>
      </c>
      <c r="F20" s="52"/>
      <c r="G20" s="52"/>
    </row>
    <row r="21" spans="2:12" x14ac:dyDescent="0.2">
      <c r="B21" s="562" t="s">
        <v>84</v>
      </c>
      <c r="C21" s="562"/>
      <c r="D21" s="562"/>
      <c r="E21" s="99">
        <f>E23+E22</f>
        <v>6450</v>
      </c>
      <c r="F21" s="52"/>
      <c r="G21" s="52"/>
    </row>
    <row r="22" spans="2:12" x14ac:dyDescent="0.2">
      <c r="B22" s="563" t="s">
        <v>85</v>
      </c>
      <c r="C22" s="563"/>
      <c r="D22" s="563"/>
      <c r="E22" s="62">
        <v>3000</v>
      </c>
      <c r="F22" s="52"/>
      <c r="G22" s="52"/>
    </row>
    <row r="23" spans="2:12" x14ac:dyDescent="0.2">
      <c r="B23" s="563" t="s">
        <v>86</v>
      </c>
      <c r="C23" s="563"/>
      <c r="D23" s="563"/>
      <c r="E23" s="62">
        <v>3450</v>
      </c>
      <c r="F23" s="52"/>
      <c r="G23" s="52"/>
    </row>
    <row r="24" spans="2:12" x14ac:dyDescent="0.2">
      <c r="B24" s="562" t="s">
        <v>87</v>
      </c>
      <c r="C24" s="562"/>
      <c r="D24" s="562"/>
      <c r="E24" s="99">
        <f>SUM(E25:E28)</f>
        <v>280347.56</v>
      </c>
      <c r="F24" s="52"/>
      <c r="G24" s="52"/>
    </row>
    <row r="25" spans="2:12" x14ac:dyDescent="0.2">
      <c r="B25" s="558" t="s">
        <v>88</v>
      </c>
      <c r="C25" s="558"/>
      <c r="D25" s="558"/>
      <c r="E25" s="62">
        <v>127864.15</v>
      </c>
      <c r="F25" s="52"/>
      <c r="G25" s="52"/>
    </row>
    <row r="26" spans="2:12" x14ac:dyDescent="0.2">
      <c r="B26" s="558" t="s">
        <v>89</v>
      </c>
      <c r="C26" s="558"/>
      <c r="D26" s="558"/>
      <c r="E26" s="62">
        <v>117307.91</v>
      </c>
      <c r="F26" s="52"/>
      <c r="G26" s="52"/>
    </row>
    <row r="27" spans="2:12" x14ac:dyDescent="0.2">
      <c r="B27" s="558" t="s">
        <v>473</v>
      </c>
      <c r="C27" s="558"/>
      <c r="D27" s="558"/>
      <c r="E27" s="62">
        <v>35116.080000000002</v>
      </c>
      <c r="F27" s="52"/>
      <c r="G27" s="52"/>
    </row>
    <row r="28" spans="2:12" x14ac:dyDescent="0.2">
      <c r="B28" s="558" t="s">
        <v>90</v>
      </c>
      <c r="C28" s="558"/>
      <c r="D28" s="558"/>
      <c r="E28" s="62">
        <v>59.42</v>
      </c>
      <c r="F28" s="52"/>
      <c r="G28" s="52"/>
    </row>
    <row r="29" spans="2:12" x14ac:dyDescent="0.2">
      <c r="B29" s="562" t="s">
        <v>91</v>
      </c>
      <c r="C29" s="562"/>
      <c r="D29" s="562"/>
      <c r="E29" s="99">
        <f>SUM(E30:E36)</f>
        <v>340641.04000000004</v>
      </c>
      <c r="F29" s="52"/>
      <c r="G29" s="52"/>
    </row>
    <row r="30" spans="2:12" customFormat="1" ht="14.25" customHeight="1" x14ac:dyDescent="0.25">
      <c r="B30" s="558" t="s">
        <v>622</v>
      </c>
      <c r="C30" s="558"/>
      <c r="D30" s="558"/>
      <c r="E30" s="62">
        <v>51.89</v>
      </c>
      <c r="F30" s="52"/>
      <c r="G30" s="52"/>
      <c r="H30" s="1"/>
      <c r="I30" s="1"/>
      <c r="J30" s="1"/>
      <c r="K30" s="1"/>
      <c r="L30" s="1"/>
    </row>
    <row r="31" spans="2:12" customFormat="1" ht="15" x14ac:dyDescent="0.25">
      <c r="B31" s="558" t="s">
        <v>623</v>
      </c>
      <c r="C31" s="558"/>
      <c r="D31" s="558"/>
      <c r="E31" s="62">
        <v>2183.7800000000002</v>
      </c>
      <c r="F31" s="52"/>
      <c r="G31" s="52"/>
      <c r="H31" s="1"/>
      <c r="I31" s="1"/>
      <c r="J31" s="1"/>
      <c r="K31" s="1"/>
      <c r="L31" s="1"/>
    </row>
    <row r="32" spans="2:12" customFormat="1" ht="15" x14ac:dyDescent="0.25">
      <c r="B32" s="560" t="s">
        <v>92</v>
      </c>
      <c r="C32" s="560"/>
      <c r="D32" s="560"/>
      <c r="E32" s="62">
        <v>6852.29</v>
      </c>
      <c r="F32" s="52"/>
      <c r="G32" s="52"/>
      <c r="H32" s="1"/>
      <c r="I32" s="1"/>
      <c r="J32" s="1"/>
      <c r="K32" s="1"/>
      <c r="L32" s="1"/>
    </row>
    <row r="33" spans="2:12" customFormat="1" ht="15" x14ac:dyDescent="0.25">
      <c r="B33" s="560" t="s">
        <v>93</v>
      </c>
      <c r="C33" s="560"/>
      <c r="D33" s="560"/>
      <c r="E33" s="62">
        <v>14484</v>
      </c>
      <c r="F33" s="52"/>
      <c r="G33" s="52"/>
      <c r="H33" s="1"/>
      <c r="I33" s="1"/>
      <c r="J33" s="1"/>
      <c r="K33" s="1"/>
    </row>
    <row r="34" spans="2:12" customFormat="1" ht="15" x14ac:dyDescent="0.25">
      <c r="B34" s="561" t="s">
        <v>458</v>
      </c>
      <c r="C34" s="561"/>
      <c r="D34" s="561"/>
      <c r="E34" s="102">
        <f>20655+236153.01+4347.97+54894.1</f>
        <v>316050.08</v>
      </c>
      <c r="F34" s="52"/>
      <c r="G34" s="52"/>
      <c r="H34" s="1"/>
      <c r="I34" s="1"/>
      <c r="J34" s="1"/>
      <c r="K34" s="1"/>
    </row>
    <row r="35" spans="2:12" customFormat="1" ht="15" x14ac:dyDescent="0.25">
      <c r="B35" s="561" t="s">
        <v>94</v>
      </c>
      <c r="C35" s="561"/>
      <c r="D35" s="561"/>
      <c r="E35" s="102">
        <v>1019</v>
      </c>
      <c r="F35" s="52"/>
      <c r="G35" s="52"/>
      <c r="H35" s="1"/>
      <c r="I35" s="1"/>
      <c r="J35" s="1"/>
      <c r="K35" s="1"/>
    </row>
    <row r="36" spans="2:12" customFormat="1" ht="15" x14ac:dyDescent="0.25">
      <c r="B36" s="559"/>
      <c r="C36" s="559"/>
      <c r="D36" s="559"/>
      <c r="E36" s="103"/>
      <c r="F36" s="52"/>
      <c r="G36" s="52"/>
      <c r="H36" s="1"/>
      <c r="I36" s="1"/>
      <c r="J36" s="1"/>
      <c r="K36" s="1"/>
    </row>
    <row r="37" spans="2:12" customFormat="1" ht="15" x14ac:dyDescent="0.25">
      <c r="B37" s="52"/>
      <c r="C37" s="52"/>
      <c r="D37" s="52"/>
      <c r="E37" s="52"/>
      <c r="F37" s="52"/>
      <c r="G37" s="52"/>
      <c r="H37" s="1"/>
      <c r="I37" s="1"/>
      <c r="J37" s="1"/>
      <c r="K37" s="1"/>
      <c r="L37" s="1"/>
    </row>
    <row r="38" spans="2:12" customFormat="1" ht="15" x14ac:dyDescent="0.25">
      <c r="B38" s="52"/>
      <c r="C38" s="52"/>
      <c r="D38" s="52"/>
      <c r="E38" s="52"/>
      <c r="F38" s="52"/>
      <c r="G38" s="52"/>
      <c r="H38" s="1"/>
      <c r="I38" s="1"/>
      <c r="J38" s="1"/>
      <c r="K38" s="1"/>
      <c r="L38" s="1"/>
    </row>
    <row r="39" spans="2:12" s="2" customFormat="1" ht="63.75" x14ac:dyDescent="0.25">
      <c r="B39" s="68" t="s">
        <v>52</v>
      </c>
      <c r="C39" s="69" t="s">
        <v>626</v>
      </c>
      <c r="D39" s="69" t="s">
        <v>584</v>
      </c>
      <c r="E39" s="69" t="s">
        <v>585</v>
      </c>
      <c r="F39" s="69" t="s">
        <v>586</v>
      </c>
      <c r="G39" s="69" t="s">
        <v>625</v>
      </c>
    </row>
    <row r="40" spans="2:12" customFormat="1" ht="15" x14ac:dyDescent="0.25">
      <c r="B40" s="104" t="s">
        <v>53</v>
      </c>
      <c r="C40" s="105">
        <v>105913.34</v>
      </c>
      <c r="D40" s="105">
        <v>36998.94</v>
      </c>
      <c r="E40" s="105">
        <v>51998.67</v>
      </c>
      <c r="F40" s="105">
        <v>416772.63</v>
      </c>
      <c r="G40" s="105">
        <v>11883.87</v>
      </c>
      <c r="H40" s="1"/>
      <c r="I40" s="1"/>
      <c r="J40" s="1"/>
      <c r="K40" s="1"/>
      <c r="L40" s="1"/>
    </row>
    <row r="41" spans="2:12" customFormat="1" ht="15" x14ac:dyDescent="0.25">
      <c r="B41" s="104" t="s">
        <v>54</v>
      </c>
      <c r="C41" s="105">
        <v>38010.57</v>
      </c>
      <c r="D41" s="105">
        <v>11582.3</v>
      </c>
      <c r="E41" s="105">
        <v>19362.59</v>
      </c>
      <c r="F41" s="105">
        <v>144602.51999999999</v>
      </c>
      <c r="G41" s="105">
        <v>4549.76</v>
      </c>
      <c r="H41" s="1"/>
      <c r="I41" s="1"/>
      <c r="J41" s="1"/>
      <c r="K41" s="1"/>
      <c r="L41" s="1"/>
    </row>
    <row r="42" spans="2:12" customFormat="1" ht="15" x14ac:dyDescent="0.25">
      <c r="B42" s="104" t="s">
        <v>55</v>
      </c>
      <c r="C42" s="105">
        <f>SUM(C43:C49)</f>
        <v>66272.88</v>
      </c>
      <c r="D42" s="105">
        <f>SUM(D43:D49)</f>
        <v>14943.89</v>
      </c>
      <c r="E42" s="105">
        <f>SUM(E43:E49)</f>
        <v>8624.06</v>
      </c>
      <c r="F42" s="105">
        <f>SUM(F43:F49)</f>
        <v>282032.53000000003</v>
      </c>
      <c r="G42" s="105">
        <f>SUM(G43:G49)</f>
        <v>175.36</v>
      </c>
      <c r="H42" s="1"/>
      <c r="I42" s="1"/>
      <c r="J42" s="1"/>
      <c r="K42" s="1"/>
      <c r="L42" s="1"/>
    </row>
    <row r="43" spans="2:12" customFormat="1" ht="15" x14ac:dyDescent="0.25">
      <c r="B43" s="74" t="s">
        <v>95</v>
      </c>
      <c r="C43" s="39">
        <v>0</v>
      </c>
      <c r="D43" s="39">
        <v>0</v>
      </c>
      <c r="E43" s="39">
        <v>135.57</v>
      </c>
      <c r="F43" s="39">
        <v>0</v>
      </c>
      <c r="G43" s="39">
        <v>0</v>
      </c>
      <c r="H43" s="1"/>
      <c r="I43" s="1"/>
      <c r="J43" s="1"/>
      <c r="K43" s="1"/>
      <c r="L43" s="1"/>
    </row>
    <row r="44" spans="2:12" customFormat="1" ht="15" x14ac:dyDescent="0.25">
      <c r="B44" s="74" t="s">
        <v>56</v>
      </c>
      <c r="C44" s="39">
        <v>21761.24</v>
      </c>
      <c r="D44" s="39">
        <v>7923.7</v>
      </c>
      <c r="E44" s="39">
        <v>5958.29</v>
      </c>
      <c r="F44" s="39">
        <v>77287.75</v>
      </c>
      <c r="G44" s="39">
        <v>0</v>
      </c>
      <c r="H44" s="1"/>
      <c r="I44" s="1"/>
      <c r="J44" s="1"/>
      <c r="K44" s="1"/>
      <c r="L44" s="1"/>
    </row>
    <row r="45" spans="2:12" customFormat="1" ht="15" x14ac:dyDescent="0.25">
      <c r="B45" s="74" t="s">
        <v>57</v>
      </c>
      <c r="C45" s="39">
        <v>20958.060000000001</v>
      </c>
      <c r="D45" s="39">
        <v>2306.63</v>
      </c>
      <c r="E45" s="39">
        <v>934.47</v>
      </c>
      <c r="F45" s="39">
        <v>26079.62</v>
      </c>
      <c r="G45" s="39">
        <v>43.08</v>
      </c>
      <c r="H45" s="1"/>
      <c r="I45" s="1"/>
      <c r="J45" s="1"/>
      <c r="K45" s="1"/>
      <c r="L45" s="1"/>
    </row>
    <row r="46" spans="2:12" customFormat="1" ht="15" x14ac:dyDescent="0.25">
      <c r="B46" s="74" t="s">
        <v>58</v>
      </c>
      <c r="C46" s="39">
        <v>0</v>
      </c>
      <c r="D46" s="39">
        <v>1043.24</v>
      </c>
      <c r="E46" s="39">
        <v>0</v>
      </c>
      <c r="F46" s="39">
        <v>1269.49</v>
      </c>
      <c r="G46" s="39">
        <v>0</v>
      </c>
      <c r="H46" s="1"/>
      <c r="I46" s="1"/>
      <c r="J46" s="1"/>
      <c r="K46" s="1"/>
      <c r="L46" s="4"/>
    </row>
    <row r="47" spans="2:12" customFormat="1" ht="15.75" customHeight="1" x14ac:dyDescent="0.25">
      <c r="B47" s="74" t="s">
        <v>59</v>
      </c>
      <c r="C47" s="39">
        <v>17113.46</v>
      </c>
      <c r="D47" s="39">
        <v>0</v>
      </c>
      <c r="E47" s="39">
        <v>0</v>
      </c>
      <c r="F47" s="39">
        <v>16478.88</v>
      </c>
      <c r="G47" s="39">
        <v>0</v>
      </c>
      <c r="H47" s="1"/>
      <c r="I47" s="1"/>
      <c r="J47" s="1"/>
      <c r="K47" s="1"/>
      <c r="L47" s="1"/>
    </row>
    <row r="48" spans="2:12" customFormat="1" ht="15.75" customHeight="1" x14ac:dyDescent="0.25">
      <c r="B48" s="74" t="s">
        <v>60</v>
      </c>
      <c r="C48" s="39">
        <v>0</v>
      </c>
      <c r="D48" s="39">
        <v>0</v>
      </c>
      <c r="E48" s="39">
        <v>0</v>
      </c>
      <c r="F48" s="39">
        <v>1422</v>
      </c>
      <c r="G48" s="39">
        <v>0</v>
      </c>
      <c r="H48" s="1"/>
      <c r="I48" s="1"/>
      <c r="J48" s="1"/>
      <c r="K48" s="1"/>
      <c r="L48" s="1"/>
    </row>
    <row r="49" spans="2:12" customFormat="1" ht="15" x14ac:dyDescent="0.25">
      <c r="B49" s="74" t="s">
        <v>61</v>
      </c>
      <c r="C49" s="39">
        <f>5723.52+716.6</f>
        <v>6440.1200000000008</v>
      </c>
      <c r="D49" s="39">
        <f>3395.32+275</f>
        <v>3670.32</v>
      </c>
      <c r="E49" s="39">
        <f>1366.76+228.97</f>
        <v>1595.73</v>
      </c>
      <c r="F49" s="39">
        <f>156404.19+3090.6</f>
        <v>159494.79</v>
      </c>
      <c r="G49" s="39">
        <v>132.28</v>
      </c>
      <c r="H49" s="1"/>
      <c r="I49" s="1"/>
      <c r="J49" s="1"/>
      <c r="K49" s="1"/>
      <c r="L49" s="1"/>
    </row>
    <row r="50" spans="2:12" customFormat="1" ht="15" x14ac:dyDescent="0.25">
      <c r="B50" s="106" t="s">
        <v>62</v>
      </c>
      <c r="C50" s="107">
        <v>3063.67</v>
      </c>
      <c r="D50" s="107">
        <v>2121.29</v>
      </c>
      <c r="E50" s="107">
        <v>2799.05</v>
      </c>
      <c r="F50" s="107">
        <v>11868.12</v>
      </c>
      <c r="G50" s="107">
        <v>655.26</v>
      </c>
      <c r="H50" s="1"/>
      <c r="I50" s="1"/>
      <c r="J50" s="1"/>
      <c r="K50" s="1"/>
      <c r="L50" s="1"/>
    </row>
    <row r="51" spans="2:12" customFormat="1" ht="15" x14ac:dyDescent="0.25">
      <c r="B51" s="80" t="s">
        <v>96</v>
      </c>
      <c r="C51" s="82">
        <f>C40+C41+C42+C50</f>
        <v>213260.46000000002</v>
      </c>
      <c r="D51" s="82">
        <f>D40+D41+D42+D50</f>
        <v>65646.42</v>
      </c>
      <c r="E51" s="82">
        <f>E40+E41+E42+E50</f>
        <v>82784.37</v>
      </c>
      <c r="F51" s="82">
        <f>F40+F41+F42+F50</f>
        <v>855275.8</v>
      </c>
      <c r="G51" s="82">
        <f>G40+G41+G42+G50</f>
        <v>17264.25</v>
      </c>
      <c r="H51" s="1"/>
      <c r="I51" s="1"/>
      <c r="J51" s="1"/>
      <c r="K51" s="1"/>
      <c r="L51" s="1"/>
    </row>
    <row r="52" spans="2:12" x14ac:dyDescent="0.2">
      <c r="B52" s="80" t="s">
        <v>98</v>
      </c>
      <c r="C52" s="82"/>
      <c r="D52" s="82">
        <v>0</v>
      </c>
      <c r="E52" s="82">
        <v>0</v>
      </c>
      <c r="F52" s="82">
        <v>2350</v>
      </c>
      <c r="G52" s="82">
        <v>0</v>
      </c>
    </row>
    <row r="53" spans="2:12" ht="23.25" customHeight="1" x14ac:dyDescent="0.2">
      <c r="B53" s="52"/>
      <c r="C53" s="52"/>
      <c r="D53" s="52"/>
      <c r="E53" s="52"/>
      <c r="F53" s="52"/>
      <c r="G53" s="52"/>
    </row>
    <row r="54" spans="2:12" ht="23.25" customHeight="1" x14ac:dyDescent="0.2">
      <c r="B54" s="52"/>
      <c r="C54" s="52"/>
      <c r="D54" s="52"/>
      <c r="E54" s="52"/>
      <c r="F54" s="52"/>
      <c r="G54" s="52"/>
    </row>
    <row r="55" spans="2:12" ht="51" x14ac:dyDescent="0.2">
      <c r="B55" s="68" t="s">
        <v>52</v>
      </c>
      <c r="C55" s="69" t="s">
        <v>590</v>
      </c>
      <c r="D55" s="69" t="s">
        <v>587</v>
      </c>
      <c r="E55" s="69" t="s">
        <v>588</v>
      </c>
      <c r="F55" s="69" t="s">
        <v>589</v>
      </c>
      <c r="G55" s="108" t="s">
        <v>97</v>
      </c>
    </row>
    <row r="56" spans="2:12" x14ac:dyDescent="0.2">
      <c r="B56" s="104" t="s">
        <v>53</v>
      </c>
      <c r="C56" s="105">
        <v>848277.76</v>
      </c>
      <c r="D56" s="105">
        <v>573215.61</v>
      </c>
      <c r="E56" s="105">
        <v>10381.59</v>
      </c>
      <c r="F56" s="105">
        <v>138253.04</v>
      </c>
      <c r="G56" s="109">
        <f>C40+D40+E40+F40+C56+D56+E56+F56+G40</f>
        <v>2193695.4500000002</v>
      </c>
    </row>
    <row r="57" spans="2:12" x14ac:dyDescent="0.2">
      <c r="B57" s="104" t="s">
        <v>54</v>
      </c>
      <c r="C57" s="105">
        <v>303364.82</v>
      </c>
      <c r="D57" s="105">
        <v>204322.88</v>
      </c>
      <c r="E57" s="105">
        <v>3635.1</v>
      </c>
      <c r="F57" s="105">
        <v>50392.34</v>
      </c>
      <c r="G57" s="109">
        <f>C41+D41+E41+F41+C57+D57+E57+F57+G41</f>
        <v>779822.87999999989</v>
      </c>
    </row>
    <row r="58" spans="2:12" x14ac:dyDescent="0.2">
      <c r="B58" s="104" t="s">
        <v>55</v>
      </c>
      <c r="C58" s="105">
        <f>SUM(C59:C65)</f>
        <v>533822.55000000005</v>
      </c>
      <c r="D58" s="105">
        <f>SUM(D59:D65)</f>
        <v>33135.18</v>
      </c>
      <c r="E58" s="105">
        <f>SUM(E59:E65)</f>
        <v>4189.25</v>
      </c>
      <c r="F58" s="105">
        <f>SUM(F59:F65)</f>
        <v>28430.35</v>
      </c>
      <c r="G58" s="109">
        <f>C42+D42+E42+F42+C58+D58+E58+F58+G42</f>
        <v>971626.05000000016</v>
      </c>
    </row>
    <row r="59" spans="2:12" x14ac:dyDescent="0.2">
      <c r="B59" s="74" t="s">
        <v>95</v>
      </c>
      <c r="C59" s="39">
        <v>45.46</v>
      </c>
      <c r="D59" s="39">
        <v>206.56</v>
      </c>
      <c r="E59" s="39">
        <v>0</v>
      </c>
      <c r="F59" s="39">
        <v>151.94</v>
      </c>
      <c r="G59" s="110">
        <f t="shared" ref="G59:G68" si="0">C43+D43+E43+F43+C59+D59+E59+F59+G43</f>
        <v>539.53</v>
      </c>
    </row>
    <row r="60" spans="2:12" x14ac:dyDescent="0.2">
      <c r="B60" s="74" t="s">
        <v>56</v>
      </c>
      <c r="C60" s="39">
        <v>151485.13</v>
      </c>
      <c r="D60" s="39">
        <v>613.95000000000005</v>
      </c>
      <c r="E60" s="39">
        <v>6.42</v>
      </c>
      <c r="F60" s="39">
        <v>1394.78</v>
      </c>
      <c r="G60" s="110">
        <f t="shared" si="0"/>
        <v>266431.26</v>
      </c>
    </row>
    <row r="61" spans="2:12" x14ac:dyDescent="0.2">
      <c r="B61" s="74" t="s">
        <v>57</v>
      </c>
      <c r="C61" s="39">
        <v>49466.96</v>
      </c>
      <c r="D61" s="39">
        <v>4463.92</v>
      </c>
      <c r="E61" s="39">
        <v>0</v>
      </c>
      <c r="F61" s="39">
        <v>2128.9299999999998</v>
      </c>
      <c r="G61" s="110">
        <f t="shared" si="0"/>
        <v>106381.66999999998</v>
      </c>
    </row>
    <row r="62" spans="2:12" x14ac:dyDescent="0.2">
      <c r="B62" s="74" t="s">
        <v>58</v>
      </c>
      <c r="C62" s="39">
        <v>1215.02</v>
      </c>
      <c r="D62" s="39">
        <v>5452.4</v>
      </c>
      <c r="E62" s="39">
        <v>3961.76</v>
      </c>
      <c r="F62" s="39">
        <v>2596.62</v>
      </c>
      <c r="G62" s="110">
        <f t="shared" si="0"/>
        <v>15538.529999999999</v>
      </c>
    </row>
    <row r="63" spans="2:12" ht="15" customHeight="1" x14ac:dyDescent="0.2">
      <c r="B63" s="74" t="s">
        <v>59</v>
      </c>
      <c r="C63" s="39">
        <v>55913.78</v>
      </c>
      <c r="D63" s="39">
        <v>0</v>
      </c>
      <c r="E63" s="39">
        <v>0</v>
      </c>
      <c r="F63" s="39">
        <v>170</v>
      </c>
      <c r="G63" s="110">
        <f t="shared" si="0"/>
        <v>89676.12</v>
      </c>
    </row>
    <row r="64" spans="2:12" ht="15.75" customHeight="1" x14ac:dyDescent="0.2">
      <c r="B64" s="74" t="s">
        <v>60</v>
      </c>
      <c r="C64" s="39">
        <v>984</v>
      </c>
      <c r="D64" s="39">
        <v>0</v>
      </c>
      <c r="E64" s="39">
        <v>0</v>
      </c>
      <c r="F64" s="39">
        <v>0</v>
      </c>
      <c r="G64" s="110">
        <f t="shared" si="0"/>
        <v>2406</v>
      </c>
    </row>
    <row r="65" spans="2:9" x14ac:dyDescent="0.2">
      <c r="B65" s="74" t="s">
        <v>61</v>
      </c>
      <c r="C65" s="39">
        <f>272521.36+2190.84</f>
        <v>274712.2</v>
      </c>
      <c r="D65" s="39">
        <f>18954.35+3444</f>
        <v>22398.35</v>
      </c>
      <c r="E65" s="39">
        <f>221.07+0</f>
        <v>221.07</v>
      </c>
      <c r="F65" s="39">
        <f>20658.67+1329.41</f>
        <v>21988.079999999998</v>
      </c>
      <c r="G65" s="110">
        <f t="shared" si="0"/>
        <v>490652.94000000006</v>
      </c>
    </row>
    <row r="66" spans="2:9" x14ac:dyDescent="0.2">
      <c r="B66" s="106" t="s">
        <v>62</v>
      </c>
      <c r="C66" s="107">
        <v>27968.98</v>
      </c>
      <c r="D66" s="107">
        <v>35244.19</v>
      </c>
      <c r="E66" s="107">
        <v>871.42</v>
      </c>
      <c r="F66" s="107">
        <v>4208.25</v>
      </c>
      <c r="G66" s="111">
        <f t="shared" si="0"/>
        <v>88800.23</v>
      </c>
    </row>
    <row r="67" spans="2:9" x14ac:dyDescent="0.2">
      <c r="B67" s="80" t="s">
        <v>96</v>
      </c>
      <c r="C67" s="82">
        <f>C56+C57+C58+C66</f>
        <v>1713434.11</v>
      </c>
      <c r="D67" s="82">
        <f>D56+D57+D58+D66</f>
        <v>845917.8600000001</v>
      </c>
      <c r="E67" s="82">
        <f>E56+E57+E58+E66</f>
        <v>19077.36</v>
      </c>
      <c r="F67" s="82">
        <f>F56+F57+F58+F66</f>
        <v>221283.98</v>
      </c>
      <c r="G67" s="92">
        <f t="shared" si="0"/>
        <v>4033944.6100000003</v>
      </c>
    </row>
    <row r="68" spans="2:9" x14ac:dyDescent="0.2">
      <c r="B68" s="80" t="s">
        <v>98</v>
      </c>
      <c r="C68" s="82">
        <f>4632+3700+4980</f>
        <v>13312</v>
      </c>
      <c r="D68" s="82">
        <v>0</v>
      </c>
      <c r="E68" s="82">
        <v>0</v>
      </c>
      <c r="F68" s="82">
        <v>0</v>
      </c>
      <c r="G68" s="92">
        <f t="shared" si="0"/>
        <v>15662</v>
      </c>
      <c r="I68" s="4"/>
    </row>
    <row r="69" spans="2:9" x14ac:dyDescent="0.2">
      <c r="B69" s="28"/>
      <c r="C69" s="28"/>
      <c r="D69" s="28"/>
      <c r="E69" s="28"/>
      <c r="F69" s="28"/>
      <c r="G69" s="28"/>
    </row>
    <row r="70" spans="2:9" x14ac:dyDescent="0.2">
      <c r="B70" s="28"/>
      <c r="C70" s="28"/>
      <c r="D70" s="28"/>
      <c r="E70" s="28"/>
      <c r="F70" s="28"/>
      <c r="G70" s="28"/>
    </row>
    <row r="71" spans="2:9" x14ac:dyDescent="0.2">
      <c r="B71" s="28"/>
      <c r="C71" s="28"/>
      <c r="D71" s="28"/>
      <c r="E71" s="28"/>
      <c r="F71" s="28"/>
      <c r="G71" s="29"/>
    </row>
    <row r="72" spans="2:9" x14ac:dyDescent="0.2">
      <c r="B72" s="28"/>
      <c r="C72" s="28"/>
      <c r="D72" s="28"/>
      <c r="E72" s="28"/>
      <c r="F72" s="28"/>
      <c r="G72" s="29"/>
    </row>
    <row r="73" spans="2:9" x14ac:dyDescent="0.2">
      <c r="B73" s="28"/>
      <c r="C73" s="28"/>
      <c r="D73" s="28"/>
      <c r="E73" s="28"/>
      <c r="F73" s="28"/>
      <c r="G73" s="28"/>
    </row>
    <row r="74" spans="2:9" x14ac:dyDescent="0.2">
      <c r="B74" s="28"/>
      <c r="C74" s="28"/>
      <c r="D74" s="28"/>
      <c r="E74" s="28"/>
      <c r="F74" s="28"/>
      <c r="G74" s="28"/>
    </row>
    <row r="75" spans="2:9" x14ac:dyDescent="0.2">
      <c r="B75" s="28"/>
      <c r="C75" s="28"/>
      <c r="D75" s="28"/>
      <c r="E75" s="28"/>
      <c r="F75" s="28"/>
      <c r="G75" s="28"/>
    </row>
  </sheetData>
  <mergeCells count="33">
    <mergeCell ref="B16:D16"/>
    <mergeCell ref="B3:G3"/>
    <mergeCell ref="B5:D5"/>
    <mergeCell ref="B6:D6"/>
    <mergeCell ref="B8:D8"/>
    <mergeCell ref="B9:D9"/>
    <mergeCell ref="B10:D10"/>
    <mergeCell ref="B11:D11"/>
    <mergeCell ref="B13:D13"/>
    <mergeCell ref="B14:D14"/>
    <mergeCell ref="B15:D15"/>
    <mergeCell ref="B7:D7"/>
    <mergeCell ref="B12:D12"/>
    <mergeCell ref="B30:D30"/>
    <mergeCell ref="B35:D35"/>
    <mergeCell ref="B29:D29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7:D27"/>
    <mergeCell ref="B36:D36"/>
    <mergeCell ref="B31:D31"/>
    <mergeCell ref="B32:D32"/>
    <mergeCell ref="B33:D33"/>
    <mergeCell ref="B34:D34"/>
  </mergeCells>
  <phoneticPr fontId="22" type="noConversion"/>
  <pageMargins left="0.86614173228346458" right="0.59055118110236227" top="0.51181102362204722" bottom="0.55118110236220474" header="0.11811023622047245" footer="0.15748031496062992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K34"/>
  <sheetViews>
    <sheetView workbookViewId="0">
      <selection activeCell="B5" sqref="B5:D5"/>
    </sheetView>
  </sheetViews>
  <sheetFormatPr defaultRowHeight="12.75" x14ac:dyDescent="0.2"/>
  <cols>
    <col min="1" max="1" width="5.140625" style="52" customWidth="1"/>
    <col min="2" max="2" width="23.7109375" style="52" customWidth="1"/>
    <col min="3" max="3" width="12.140625" style="52" customWidth="1"/>
    <col min="4" max="4" width="10.85546875" style="52" customWidth="1"/>
    <col min="5" max="5" width="11.28515625" style="52" customWidth="1"/>
    <col min="6" max="6" width="10.7109375" style="52" customWidth="1"/>
    <col min="7" max="7" width="11.7109375" style="52" customWidth="1"/>
    <col min="8" max="8" width="10.140625" style="52" bestFit="1" customWidth="1"/>
    <col min="9" max="9" width="9.140625" style="52" customWidth="1"/>
    <col min="10" max="16384" width="9.140625" style="52"/>
  </cols>
  <sheetData>
    <row r="1" spans="2:11" ht="27.75" customHeight="1" x14ac:dyDescent="0.2">
      <c r="H1" s="112" t="s">
        <v>99</v>
      </c>
    </row>
    <row r="2" spans="2:11" ht="18.75" customHeight="1" x14ac:dyDescent="0.3">
      <c r="B2" s="567" t="s">
        <v>100</v>
      </c>
      <c r="C2" s="567"/>
      <c r="D2" s="567"/>
      <c r="E2" s="567"/>
      <c r="F2" s="567"/>
      <c r="G2" s="567"/>
      <c r="H2" s="567"/>
    </row>
    <row r="3" spans="2:11" ht="22.5" customHeight="1" x14ac:dyDescent="0.2"/>
    <row r="4" spans="2:11" ht="21" customHeight="1" x14ac:dyDescent="0.2">
      <c r="B4" s="568" t="s">
        <v>101</v>
      </c>
      <c r="C4" s="568"/>
      <c r="D4" s="568"/>
      <c r="E4" s="568"/>
      <c r="I4" s="53"/>
      <c r="J4" s="53"/>
      <c r="K4" s="53"/>
    </row>
    <row r="5" spans="2:11" ht="30.75" customHeight="1" x14ac:dyDescent="0.2">
      <c r="B5" s="558" t="s">
        <v>102</v>
      </c>
      <c r="C5" s="558"/>
      <c r="D5" s="558"/>
      <c r="E5" s="118">
        <v>4769.12</v>
      </c>
      <c r="I5" s="53"/>
      <c r="J5" s="53"/>
      <c r="K5" s="53"/>
    </row>
    <row r="6" spans="2:11" ht="14.25" customHeight="1" x14ac:dyDescent="0.2">
      <c r="B6" s="558" t="s">
        <v>103</v>
      </c>
      <c r="C6" s="558"/>
      <c r="D6" s="558"/>
      <c r="E6" s="118">
        <v>76063.210000000006</v>
      </c>
      <c r="I6" s="53"/>
      <c r="J6" s="53"/>
      <c r="K6" s="53"/>
    </row>
    <row r="7" spans="2:11" x14ac:dyDescent="0.2">
      <c r="B7" s="560" t="s">
        <v>104</v>
      </c>
      <c r="C7" s="560"/>
      <c r="D7" s="560"/>
      <c r="E7" s="118">
        <v>231647.94</v>
      </c>
      <c r="I7" s="53"/>
      <c r="J7" s="53"/>
      <c r="K7" s="53"/>
    </row>
    <row r="8" spans="2:11" x14ac:dyDescent="0.2">
      <c r="B8" s="560" t="s">
        <v>105</v>
      </c>
      <c r="C8" s="560"/>
      <c r="D8" s="560"/>
      <c r="E8" s="118">
        <v>315575.93</v>
      </c>
      <c r="I8" s="53"/>
      <c r="J8" s="53"/>
      <c r="K8" s="53"/>
    </row>
    <row r="9" spans="2:11" ht="16.5" customHeight="1" x14ac:dyDescent="0.2">
      <c r="B9" s="560" t="s">
        <v>627</v>
      </c>
      <c r="C9" s="560"/>
      <c r="D9" s="560"/>
      <c r="E9" s="118">
        <v>3890.22</v>
      </c>
      <c r="I9" s="53"/>
      <c r="J9" s="53"/>
      <c r="K9" s="53"/>
    </row>
    <row r="10" spans="2:11" s="114" customFormat="1" x14ac:dyDescent="0.2">
      <c r="B10" s="556" t="s">
        <v>49</v>
      </c>
      <c r="C10" s="556"/>
      <c r="D10" s="556"/>
      <c r="E10" s="100">
        <v>843.11</v>
      </c>
      <c r="I10" s="113"/>
      <c r="J10" s="113"/>
      <c r="K10" s="113"/>
    </row>
    <row r="11" spans="2:11" x14ac:dyDescent="0.2">
      <c r="B11" s="556" t="s">
        <v>518</v>
      </c>
      <c r="C11" s="556"/>
      <c r="D11" s="556"/>
      <c r="E11" s="100">
        <v>156.07</v>
      </c>
      <c r="I11" s="53"/>
      <c r="J11" s="53"/>
      <c r="K11" s="53"/>
    </row>
    <row r="12" spans="2:11" x14ac:dyDescent="0.2">
      <c r="B12" s="556" t="s">
        <v>106</v>
      </c>
      <c r="C12" s="556"/>
      <c r="D12" s="556"/>
      <c r="E12" s="100">
        <v>1418.71</v>
      </c>
      <c r="I12" s="53"/>
      <c r="J12" s="53"/>
      <c r="K12" s="53"/>
    </row>
    <row r="13" spans="2:11" s="93" customFormat="1" ht="21.75" customHeight="1" x14ac:dyDescent="0.25">
      <c r="B13" s="566" t="s">
        <v>97</v>
      </c>
      <c r="C13" s="566"/>
      <c r="D13" s="566"/>
      <c r="E13" s="120">
        <f>SUM(E5:E12)</f>
        <v>634364.30999999982</v>
      </c>
      <c r="G13" s="121"/>
      <c r="I13" s="116"/>
      <c r="J13" s="116"/>
      <c r="K13" s="116"/>
    </row>
    <row r="14" spans="2:11" x14ac:dyDescent="0.2">
      <c r="I14" s="53"/>
      <c r="J14" s="53"/>
      <c r="K14" s="53"/>
    </row>
    <row r="15" spans="2:11" ht="13.5" customHeight="1" x14ac:dyDescent="0.2">
      <c r="I15" s="53"/>
      <c r="J15" s="53"/>
      <c r="K15" s="53"/>
    </row>
    <row r="16" spans="2:11" x14ac:dyDescent="0.2">
      <c r="I16" s="53"/>
      <c r="J16" s="53"/>
      <c r="K16" s="53"/>
    </row>
    <row r="17" spans="2:11" s="86" customFormat="1" ht="51" x14ac:dyDescent="0.25">
      <c r="B17" s="68" t="s">
        <v>52</v>
      </c>
      <c r="C17" s="69" t="s">
        <v>591</v>
      </c>
      <c r="D17" s="69" t="s">
        <v>592</v>
      </c>
      <c r="E17" s="69" t="s">
        <v>593</v>
      </c>
      <c r="F17" s="69" t="s">
        <v>594</v>
      </c>
      <c r="G17" s="69" t="s">
        <v>595</v>
      </c>
      <c r="H17" s="122" t="s">
        <v>97</v>
      </c>
      <c r="I17" s="117"/>
      <c r="J17" s="117"/>
      <c r="K17" s="117"/>
    </row>
    <row r="18" spans="2:11" s="93" customFormat="1" x14ac:dyDescent="0.25">
      <c r="B18" s="104" t="s">
        <v>53</v>
      </c>
      <c r="C18" s="123">
        <v>2334507.39</v>
      </c>
      <c r="D18" s="123">
        <v>54889.23</v>
      </c>
      <c r="E18" s="123">
        <v>14335.21</v>
      </c>
      <c r="F18" s="123">
        <v>429901.19</v>
      </c>
      <c r="G18" s="123">
        <v>108609.42</v>
      </c>
      <c r="H18" s="123">
        <f t="shared" ref="H18:H28" si="0">C18+D18+E18+F18+G18</f>
        <v>2942242.44</v>
      </c>
      <c r="I18" s="116"/>
      <c r="J18" s="116"/>
      <c r="K18" s="116"/>
    </row>
    <row r="19" spans="2:11" s="93" customFormat="1" x14ac:dyDescent="0.25">
      <c r="B19" s="104" t="s">
        <v>54</v>
      </c>
      <c r="C19" s="123">
        <v>856212.06</v>
      </c>
      <c r="D19" s="123">
        <v>19455.98</v>
      </c>
      <c r="E19" s="123">
        <v>5216.58</v>
      </c>
      <c r="F19" s="123">
        <v>152793.53</v>
      </c>
      <c r="G19" s="123">
        <v>41049.71</v>
      </c>
      <c r="H19" s="123">
        <f t="shared" si="0"/>
        <v>1074727.8600000001</v>
      </c>
      <c r="I19" s="116"/>
      <c r="J19" s="116"/>
      <c r="K19" s="116"/>
    </row>
    <row r="20" spans="2:11" s="93" customFormat="1" x14ac:dyDescent="0.25">
      <c r="B20" s="104" t="s">
        <v>55</v>
      </c>
      <c r="C20" s="123">
        <f>SUM(C21:C27)</f>
        <v>887185.91999999993</v>
      </c>
      <c r="D20" s="123">
        <f t="shared" ref="D20:G20" si="1">SUM(D21:D27)</f>
        <v>10229.959999999999</v>
      </c>
      <c r="E20" s="123">
        <f t="shared" si="1"/>
        <v>814.96</v>
      </c>
      <c r="F20" s="123">
        <f t="shared" si="1"/>
        <v>421529.67</v>
      </c>
      <c r="G20" s="123">
        <f t="shared" si="1"/>
        <v>51390.119999999995</v>
      </c>
      <c r="H20" s="123">
        <f>C20+D20+E20+F20+G20</f>
        <v>1371150.63</v>
      </c>
      <c r="I20" s="116"/>
      <c r="J20" s="116"/>
      <c r="K20" s="116"/>
    </row>
    <row r="21" spans="2:11" s="93" customFormat="1" x14ac:dyDescent="0.25">
      <c r="B21" s="74" t="s">
        <v>95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24">
        <f t="shared" ref="H21" si="2">C21+D21+E21+F21+G21</f>
        <v>0</v>
      </c>
      <c r="I21" s="116"/>
      <c r="J21" s="116"/>
      <c r="K21" s="116"/>
    </row>
    <row r="22" spans="2:11" s="93" customFormat="1" x14ac:dyDescent="0.25">
      <c r="B22" s="74" t="s">
        <v>56</v>
      </c>
      <c r="C22" s="118">
        <v>311425.83</v>
      </c>
      <c r="D22" s="118">
        <v>2727.39</v>
      </c>
      <c r="E22" s="118">
        <v>620</v>
      </c>
      <c r="F22" s="118">
        <v>254.17</v>
      </c>
      <c r="G22" s="118">
        <v>766.14</v>
      </c>
      <c r="H22" s="124">
        <f t="shared" si="0"/>
        <v>315793.53000000003</v>
      </c>
      <c r="I22" s="116"/>
      <c r="J22" s="116"/>
      <c r="K22" s="116"/>
    </row>
    <row r="23" spans="2:11" s="93" customFormat="1" x14ac:dyDescent="0.25">
      <c r="B23" s="74" t="s">
        <v>57</v>
      </c>
      <c r="C23" s="118">
        <v>312777.11</v>
      </c>
      <c r="D23" s="118">
        <v>2226.33</v>
      </c>
      <c r="E23" s="118">
        <v>0</v>
      </c>
      <c r="F23" s="118">
        <v>371757.78</v>
      </c>
      <c r="G23" s="118">
        <v>3098.69</v>
      </c>
      <c r="H23" s="124">
        <f t="shared" si="0"/>
        <v>689859.90999999992</v>
      </c>
      <c r="I23" s="116"/>
      <c r="J23" s="116"/>
      <c r="K23" s="116"/>
    </row>
    <row r="24" spans="2:11" s="93" customFormat="1" x14ac:dyDescent="0.25">
      <c r="B24" s="74" t="s">
        <v>58</v>
      </c>
      <c r="C24" s="118">
        <v>0</v>
      </c>
      <c r="D24" s="118">
        <v>0</v>
      </c>
      <c r="E24" s="118">
        <v>0</v>
      </c>
      <c r="F24" s="118">
        <v>0</v>
      </c>
      <c r="G24" s="118">
        <v>2214.59</v>
      </c>
      <c r="H24" s="124">
        <f t="shared" si="0"/>
        <v>2214.59</v>
      </c>
      <c r="I24" s="116"/>
      <c r="J24" s="116"/>
      <c r="K24" s="116"/>
    </row>
    <row r="25" spans="2:11" s="93" customFormat="1" x14ac:dyDescent="0.25">
      <c r="B25" s="74" t="s">
        <v>59</v>
      </c>
      <c r="C25" s="118">
        <v>159657.92000000001</v>
      </c>
      <c r="D25" s="118">
        <v>2558.89</v>
      </c>
      <c r="E25" s="118">
        <v>0</v>
      </c>
      <c r="F25" s="118">
        <v>31223.8</v>
      </c>
      <c r="G25" s="118">
        <v>0</v>
      </c>
      <c r="H25" s="124">
        <f t="shared" si="0"/>
        <v>193440.61000000002</v>
      </c>
      <c r="I25" s="116"/>
      <c r="J25" s="116"/>
      <c r="K25" s="116"/>
    </row>
    <row r="26" spans="2:11" s="93" customFormat="1" x14ac:dyDescent="0.25">
      <c r="B26" s="74" t="s">
        <v>60</v>
      </c>
      <c r="C26" s="118">
        <v>26009.599999999999</v>
      </c>
      <c r="D26" s="118">
        <v>0</v>
      </c>
      <c r="E26" s="118">
        <v>0</v>
      </c>
      <c r="F26" s="118">
        <v>0</v>
      </c>
      <c r="G26" s="118">
        <v>2738.71</v>
      </c>
      <c r="H26" s="124">
        <f t="shared" si="0"/>
        <v>28748.309999999998</v>
      </c>
      <c r="I26" s="116"/>
      <c r="J26" s="116"/>
      <c r="K26" s="116"/>
    </row>
    <row r="27" spans="2:11" s="93" customFormat="1" x14ac:dyDescent="0.25">
      <c r="B27" s="74" t="s">
        <v>61</v>
      </c>
      <c r="C27" s="118">
        <v>77315.460000000006</v>
      </c>
      <c r="D27" s="118">
        <v>2717.35</v>
      </c>
      <c r="E27" s="118">
        <v>194.96</v>
      </c>
      <c r="F27" s="118">
        <v>18293.919999999998</v>
      </c>
      <c r="G27" s="118">
        <v>42571.99</v>
      </c>
      <c r="H27" s="124">
        <f t="shared" si="0"/>
        <v>141093.68000000002</v>
      </c>
      <c r="I27" s="116"/>
      <c r="J27" s="116"/>
      <c r="K27" s="116"/>
    </row>
    <row r="28" spans="2:11" x14ac:dyDescent="0.2">
      <c r="B28" s="106" t="s">
        <v>62</v>
      </c>
      <c r="C28" s="107">
        <v>60519.43</v>
      </c>
      <c r="D28" s="107">
        <v>483</v>
      </c>
      <c r="E28" s="107">
        <v>284.29000000000002</v>
      </c>
      <c r="F28" s="107">
        <v>6546.39</v>
      </c>
      <c r="G28" s="107">
        <v>3989.55</v>
      </c>
      <c r="H28" s="107">
        <f t="shared" si="0"/>
        <v>71822.66</v>
      </c>
      <c r="I28" s="53"/>
      <c r="J28" s="53"/>
      <c r="K28" s="53"/>
    </row>
    <row r="29" spans="2:11" x14ac:dyDescent="0.2">
      <c r="B29" s="80" t="s">
        <v>63</v>
      </c>
      <c r="C29" s="82">
        <f>C18+C19+C20+C28</f>
        <v>4138424.8000000003</v>
      </c>
      <c r="D29" s="82">
        <f>D18+D19+D20+D28</f>
        <v>85058.170000000013</v>
      </c>
      <c r="E29" s="82">
        <f>E18+E19+E20+E28</f>
        <v>20651.04</v>
      </c>
      <c r="F29" s="82">
        <f>F18+F19+F20+F28</f>
        <v>1010770.7799999999</v>
      </c>
      <c r="G29" s="82">
        <f>G18+G19+G20+G28</f>
        <v>205038.8</v>
      </c>
      <c r="H29" s="82">
        <f>G29+F29+E29+D29+C29</f>
        <v>5459943.5899999999</v>
      </c>
      <c r="I29" s="53"/>
      <c r="J29" s="94"/>
      <c r="K29" s="53"/>
    </row>
    <row r="30" spans="2:11" x14ac:dyDescent="0.2">
      <c r="B30" s="80" t="s">
        <v>64</v>
      </c>
      <c r="C30" s="82">
        <v>71064.710000000006</v>
      </c>
      <c r="D30" s="82">
        <v>0</v>
      </c>
      <c r="E30" s="82">
        <v>0</v>
      </c>
      <c r="F30" s="82">
        <v>8000</v>
      </c>
      <c r="G30" s="82">
        <v>20980</v>
      </c>
      <c r="H30" s="82">
        <f>G30+F30+E30+D30+C30</f>
        <v>100044.71</v>
      </c>
      <c r="I30" s="53"/>
      <c r="J30" s="53"/>
      <c r="K30" s="53"/>
    </row>
    <row r="31" spans="2:11" x14ac:dyDescent="0.2">
      <c r="C31" s="98"/>
      <c r="D31" s="98"/>
      <c r="E31" s="98"/>
      <c r="F31" s="98"/>
      <c r="G31" s="98"/>
      <c r="I31" s="53"/>
      <c r="J31" s="53"/>
      <c r="K31" s="53"/>
    </row>
    <row r="32" spans="2:11" x14ac:dyDescent="0.2">
      <c r="I32" s="53"/>
      <c r="J32" s="53"/>
      <c r="K32" s="53"/>
    </row>
    <row r="33" spans="8:11" x14ac:dyDescent="0.2">
      <c r="H33" s="98"/>
      <c r="I33" s="53"/>
      <c r="J33" s="53"/>
      <c r="K33" s="53"/>
    </row>
    <row r="34" spans="8:11" x14ac:dyDescent="0.2">
      <c r="H34" s="98"/>
      <c r="I34" s="53"/>
      <c r="J34" s="53"/>
      <c r="K34" s="53"/>
    </row>
  </sheetData>
  <mergeCells count="11">
    <mergeCell ref="B10:D10"/>
    <mergeCell ref="B11:D11"/>
    <mergeCell ref="B13:D13"/>
    <mergeCell ref="B2:H2"/>
    <mergeCell ref="B4:E4"/>
    <mergeCell ref="B5:D5"/>
    <mergeCell ref="B6:D6"/>
    <mergeCell ref="B7:D7"/>
    <mergeCell ref="B8:D8"/>
    <mergeCell ref="B12:D12"/>
    <mergeCell ref="B9:D9"/>
  </mergeCells>
  <pageMargins left="0.78740157480314965" right="0.27559055118110237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87"/>
  <sheetViews>
    <sheetView workbookViewId="0">
      <selection activeCell="F21" sqref="F21"/>
    </sheetView>
  </sheetViews>
  <sheetFormatPr defaultRowHeight="12.75" x14ac:dyDescent="0.2"/>
  <cols>
    <col min="1" max="1" width="9.42578125" style="125" customWidth="1"/>
    <col min="2" max="2" width="18.28515625" style="125" customWidth="1"/>
    <col min="3" max="3" width="10.140625" style="125" customWidth="1"/>
    <col min="4" max="4" width="11.140625" style="125" customWidth="1"/>
    <col min="5" max="5" width="11" style="125" customWidth="1"/>
    <col min="6" max="6" width="9.140625" style="125" bestFit="1" customWidth="1"/>
    <col min="7" max="7" width="11" style="125" customWidth="1"/>
    <col min="8" max="8" width="9.85546875" style="125" customWidth="1"/>
    <col min="9" max="9" width="11" style="125" customWidth="1"/>
    <col min="10" max="10" width="10" style="125" customWidth="1"/>
    <col min="11" max="248" width="9.42578125" style="125" customWidth="1"/>
    <col min="249" max="249" width="16.42578125" style="125" customWidth="1"/>
    <col min="250" max="250" width="10.140625" style="125" customWidth="1"/>
    <col min="251" max="251" width="8.42578125" style="125" customWidth="1"/>
    <col min="252" max="252" width="10" style="125" customWidth="1"/>
    <col min="253" max="253" width="8.42578125" style="125" customWidth="1"/>
    <col min="254" max="254" width="11" style="125" customWidth="1"/>
    <col min="255" max="255" width="9" style="125" customWidth="1"/>
    <col min="256" max="256" width="11.42578125" style="125" customWidth="1"/>
    <col min="257" max="257" width="12" style="125" customWidth="1"/>
    <col min="258" max="504" width="9.42578125" style="125" customWidth="1"/>
    <col min="505" max="505" width="16.42578125" style="125" customWidth="1"/>
    <col min="506" max="506" width="10.140625" style="125" customWidth="1"/>
    <col min="507" max="507" width="8.42578125" style="125" customWidth="1"/>
    <col min="508" max="508" width="10" style="125" customWidth="1"/>
    <col min="509" max="509" width="8.42578125" style="125" customWidth="1"/>
    <col min="510" max="510" width="11" style="125" customWidth="1"/>
    <col min="511" max="511" width="9" style="125" customWidth="1"/>
    <col min="512" max="512" width="11.42578125" style="125" customWidth="1"/>
    <col min="513" max="513" width="12" style="125" customWidth="1"/>
    <col min="514" max="760" width="9.42578125" style="125" customWidth="1"/>
    <col min="761" max="761" width="16.42578125" style="125" customWidth="1"/>
    <col min="762" max="762" width="10.140625" style="125" customWidth="1"/>
    <col min="763" max="763" width="8.42578125" style="125" customWidth="1"/>
    <col min="764" max="764" width="10" style="125" customWidth="1"/>
    <col min="765" max="765" width="8.42578125" style="125" customWidth="1"/>
    <col min="766" max="766" width="11" style="125" customWidth="1"/>
    <col min="767" max="767" width="9" style="125" customWidth="1"/>
    <col min="768" max="768" width="11.42578125" style="125" customWidth="1"/>
    <col min="769" max="769" width="12" style="125" customWidth="1"/>
    <col min="770" max="1016" width="9.42578125" style="125" customWidth="1"/>
    <col min="1017" max="1017" width="16.42578125" style="125" customWidth="1"/>
    <col min="1018" max="1018" width="10.140625" style="125" customWidth="1"/>
    <col min="1019" max="1019" width="8.42578125" style="125" customWidth="1"/>
    <col min="1020" max="1020" width="10" style="125" customWidth="1"/>
    <col min="1021" max="1021" width="8.42578125" style="125" customWidth="1"/>
    <col min="1022" max="1022" width="11" style="125" customWidth="1"/>
    <col min="1023" max="1023" width="9" style="125" customWidth="1"/>
    <col min="1024" max="1024" width="11.42578125" style="125" customWidth="1"/>
    <col min="1025" max="1025" width="12" style="125" customWidth="1"/>
    <col min="1026" max="1272" width="9.42578125" style="125" customWidth="1"/>
    <col min="1273" max="1273" width="16.42578125" style="125" customWidth="1"/>
    <col min="1274" max="1274" width="10.140625" style="125" customWidth="1"/>
    <col min="1275" max="1275" width="8.42578125" style="125" customWidth="1"/>
    <col min="1276" max="1276" width="10" style="125" customWidth="1"/>
    <col min="1277" max="1277" width="8.42578125" style="125" customWidth="1"/>
    <col min="1278" max="1278" width="11" style="125" customWidth="1"/>
    <col min="1279" max="1279" width="9" style="125" customWidth="1"/>
    <col min="1280" max="1280" width="11.42578125" style="125" customWidth="1"/>
    <col min="1281" max="1281" width="12" style="125" customWidth="1"/>
    <col min="1282" max="1528" width="9.42578125" style="125" customWidth="1"/>
    <col min="1529" max="1529" width="16.42578125" style="125" customWidth="1"/>
    <col min="1530" max="1530" width="10.140625" style="125" customWidth="1"/>
    <col min="1531" max="1531" width="8.42578125" style="125" customWidth="1"/>
    <col min="1532" max="1532" width="10" style="125" customWidth="1"/>
    <col min="1533" max="1533" width="8.42578125" style="125" customWidth="1"/>
    <col min="1534" max="1534" width="11" style="125" customWidth="1"/>
    <col min="1535" max="1535" width="9" style="125" customWidth="1"/>
    <col min="1536" max="1536" width="11.42578125" style="125" customWidth="1"/>
    <col min="1537" max="1537" width="12" style="125" customWidth="1"/>
    <col min="1538" max="1784" width="9.42578125" style="125" customWidth="1"/>
    <col min="1785" max="1785" width="16.42578125" style="125" customWidth="1"/>
    <col min="1786" max="1786" width="10.140625" style="125" customWidth="1"/>
    <col min="1787" max="1787" width="8.42578125" style="125" customWidth="1"/>
    <col min="1788" max="1788" width="10" style="125" customWidth="1"/>
    <col min="1789" max="1789" width="8.42578125" style="125" customWidth="1"/>
    <col min="1790" max="1790" width="11" style="125" customWidth="1"/>
    <col min="1791" max="1791" width="9" style="125" customWidth="1"/>
    <col min="1792" max="1792" width="11.42578125" style="125" customWidth="1"/>
    <col min="1793" max="1793" width="12" style="125" customWidth="1"/>
    <col min="1794" max="2040" width="9.42578125" style="125" customWidth="1"/>
    <col min="2041" max="2041" width="16.42578125" style="125" customWidth="1"/>
    <col min="2042" max="2042" width="10.140625" style="125" customWidth="1"/>
    <col min="2043" max="2043" width="8.42578125" style="125" customWidth="1"/>
    <col min="2044" max="2044" width="10" style="125" customWidth="1"/>
    <col min="2045" max="2045" width="8.42578125" style="125" customWidth="1"/>
    <col min="2046" max="2046" width="11" style="125" customWidth="1"/>
    <col min="2047" max="2047" width="9" style="125" customWidth="1"/>
    <col min="2048" max="2048" width="11.42578125" style="125" customWidth="1"/>
    <col min="2049" max="2049" width="12" style="125" customWidth="1"/>
    <col min="2050" max="2296" width="9.42578125" style="125" customWidth="1"/>
    <col min="2297" max="2297" width="16.42578125" style="125" customWidth="1"/>
    <col min="2298" max="2298" width="10.140625" style="125" customWidth="1"/>
    <col min="2299" max="2299" width="8.42578125" style="125" customWidth="1"/>
    <col min="2300" max="2300" width="10" style="125" customWidth="1"/>
    <col min="2301" max="2301" width="8.42578125" style="125" customWidth="1"/>
    <col min="2302" max="2302" width="11" style="125" customWidth="1"/>
    <col min="2303" max="2303" width="9" style="125" customWidth="1"/>
    <col min="2304" max="2304" width="11.42578125" style="125" customWidth="1"/>
    <col min="2305" max="2305" width="12" style="125" customWidth="1"/>
    <col min="2306" max="2552" width="9.42578125" style="125" customWidth="1"/>
    <col min="2553" max="2553" width="16.42578125" style="125" customWidth="1"/>
    <col min="2554" max="2554" width="10.140625" style="125" customWidth="1"/>
    <col min="2555" max="2555" width="8.42578125" style="125" customWidth="1"/>
    <col min="2556" max="2556" width="10" style="125" customWidth="1"/>
    <col min="2557" max="2557" width="8.42578125" style="125" customWidth="1"/>
    <col min="2558" max="2558" width="11" style="125" customWidth="1"/>
    <col min="2559" max="2559" width="9" style="125" customWidth="1"/>
    <col min="2560" max="2560" width="11.42578125" style="125" customWidth="1"/>
    <col min="2561" max="2561" width="12" style="125" customWidth="1"/>
    <col min="2562" max="2808" width="9.42578125" style="125" customWidth="1"/>
    <col min="2809" max="2809" width="16.42578125" style="125" customWidth="1"/>
    <col min="2810" max="2810" width="10.140625" style="125" customWidth="1"/>
    <col min="2811" max="2811" width="8.42578125" style="125" customWidth="1"/>
    <col min="2812" max="2812" width="10" style="125" customWidth="1"/>
    <col min="2813" max="2813" width="8.42578125" style="125" customWidth="1"/>
    <col min="2814" max="2814" width="11" style="125" customWidth="1"/>
    <col min="2815" max="2815" width="9" style="125" customWidth="1"/>
    <col min="2816" max="2816" width="11.42578125" style="125" customWidth="1"/>
    <col min="2817" max="2817" width="12" style="125" customWidth="1"/>
    <col min="2818" max="3064" width="9.42578125" style="125" customWidth="1"/>
    <col min="3065" max="3065" width="16.42578125" style="125" customWidth="1"/>
    <col min="3066" max="3066" width="10.140625" style="125" customWidth="1"/>
    <col min="3067" max="3067" width="8.42578125" style="125" customWidth="1"/>
    <col min="3068" max="3068" width="10" style="125" customWidth="1"/>
    <col min="3069" max="3069" width="8.42578125" style="125" customWidth="1"/>
    <col min="3070" max="3070" width="11" style="125" customWidth="1"/>
    <col min="3071" max="3071" width="9" style="125" customWidth="1"/>
    <col min="3072" max="3072" width="11.42578125" style="125" customWidth="1"/>
    <col min="3073" max="3073" width="12" style="125" customWidth="1"/>
    <col min="3074" max="3320" width="9.42578125" style="125" customWidth="1"/>
    <col min="3321" max="3321" width="16.42578125" style="125" customWidth="1"/>
    <col min="3322" max="3322" width="10.140625" style="125" customWidth="1"/>
    <col min="3323" max="3323" width="8.42578125" style="125" customWidth="1"/>
    <col min="3324" max="3324" width="10" style="125" customWidth="1"/>
    <col min="3325" max="3325" width="8.42578125" style="125" customWidth="1"/>
    <col min="3326" max="3326" width="11" style="125" customWidth="1"/>
    <col min="3327" max="3327" width="9" style="125" customWidth="1"/>
    <col min="3328" max="3328" width="11.42578125" style="125" customWidth="1"/>
    <col min="3329" max="3329" width="12" style="125" customWidth="1"/>
    <col min="3330" max="3576" width="9.42578125" style="125" customWidth="1"/>
    <col min="3577" max="3577" width="16.42578125" style="125" customWidth="1"/>
    <col min="3578" max="3578" width="10.140625" style="125" customWidth="1"/>
    <col min="3579" max="3579" width="8.42578125" style="125" customWidth="1"/>
    <col min="3580" max="3580" width="10" style="125" customWidth="1"/>
    <col min="3581" max="3581" width="8.42578125" style="125" customWidth="1"/>
    <col min="3582" max="3582" width="11" style="125" customWidth="1"/>
    <col min="3583" max="3583" width="9" style="125" customWidth="1"/>
    <col min="3584" max="3584" width="11.42578125" style="125" customWidth="1"/>
    <col min="3585" max="3585" width="12" style="125" customWidth="1"/>
    <col min="3586" max="3832" width="9.42578125" style="125" customWidth="1"/>
    <col min="3833" max="3833" width="16.42578125" style="125" customWidth="1"/>
    <col min="3834" max="3834" width="10.140625" style="125" customWidth="1"/>
    <col min="3835" max="3835" width="8.42578125" style="125" customWidth="1"/>
    <col min="3836" max="3836" width="10" style="125" customWidth="1"/>
    <col min="3837" max="3837" width="8.42578125" style="125" customWidth="1"/>
    <col min="3838" max="3838" width="11" style="125" customWidth="1"/>
    <col min="3839" max="3839" width="9" style="125" customWidth="1"/>
    <col min="3840" max="3840" width="11.42578125" style="125" customWidth="1"/>
    <col min="3841" max="3841" width="12" style="125" customWidth="1"/>
    <col min="3842" max="4088" width="9.42578125" style="125" customWidth="1"/>
    <col min="4089" max="4089" width="16.42578125" style="125" customWidth="1"/>
    <col min="4090" max="4090" width="10.140625" style="125" customWidth="1"/>
    <col min="4091" max="4091" width="8.42578125" style="125" customWidth="1"/>
    <col min="4092" max="4092" width="10" style="125" customWidth="1"/>
    <col min="4093" max="4093" width="8.42578125" style="125" customWidth="1"/>
    <col min="4094" max="4094" width="11" style="125" customWidth="1"/>
    <col min="4095" max="4095" width="9" style="125" customWidth="1"/>
    <col min="4096" max="4096" width="11.42578125" style="125" customWidth="1"/>
    <col min="4097" max="4097" width="12" style="125" customWidth="1"/>
    <col min="4098" max="4344" width="9.42578125" style="125" customWidth="1"/>
    <col min="4345" max="4345" width="16.42578125" style="125" customWidth="1"/>
    <col min="4346" max="4346" width="10.140625" style="125" customWidth="1"/>
    <col min="4347" max="4347" width="8.42578125" style="125" customWidth="1"/>
    <col min="4348" max="4348" width="10" style="125" customWidth="1"/>
    <col min="4349" max="4349" width="8.42578125" style="125" customWidth="1"/>
    <col min="4350" max="4350" width="11" style="125" customWidth="1"/>
    <col min="4351" max="4351" width="9" style="125" customWidth="1"/>
    <col min="4352" max="4352" width="11.42578125" style="125" customWidth="1"/>
    <col min="4353" max="4353" width="12" style="125" customWidth="1"/>
    <col min="4354" max="4600" width="9.42578125" style="125" customWidth="1"/>
    <col min="4601" max="4601" width="16.42578125" style="125" customWidth="1"/>
    <col min="4602" max="4602" width="10.140625" style="125" customWidth="1"/>
    <col min="4603" max="4603" width="8.42578125" style="125" customWidth="1"/>
    <col min="4604" max="4604" width="10" style="125" customWidth="1"/>
    <col min="4605" max="4605" width="8.42578125" style="125" customWidth="1"/>
    <col min="4606" max="4606" width="11" style="125" customWidth="1"/>
    <col min="4607" max="4607" width="9" style="125" customWidth="1"/>
    <col min="4608" max="4608" width="11.42578125" style="125" customWidth="1"/>
    <col min="4609" max="4609" width="12" style="125" customWidth="1"/>
    <col min="4610" max="4856" width="9.42578125" style="125" customWidth="1"/>
    <col min="4857" max="4857" width="16.42578125" style="125" customWidth="1"/>
    <col min="4858" max="4858" width="10.140625" style="125" customWidth="1"/>
    <col min="4859" max="4859" width="8.42578125" style="125" customWidth="1"/>
    <col min="4860" max="4860" width="10" style="125" customWidth="1"/>
    <col min="4861" max="4861" width="8.42578125" style="125" customWidth="1"/>
    <col min="4862" max="4862" width="11" style="125" customWidth="1"/>
    <col min="4863" max="4863" width="9" style="125" customWidth="1"/>
    <col min="4864" max="4864" width="11.42578125" style="125" customWidth="1"/>
    <col min="4865" max="4865" width="12" style="125" customWidth="1"/>
    <col min="4866" max="5112" width="9.42578125" style="125" customWidth="1"/>
    <col min="5113" max="5113" width="16.42578125" style="125" customWidth="1"/>
    <col min="5114" max="5114" width="10.140625" style="125" customWidth="1"/>
    <col min="5115" max="5115" width="8.42578125" style="125" customWidth="1"/>
    <col min="5116" max="5116" width="10" style="125" customWidth="1"/>
    <col min="5117" max="5117" width="8.42578125" style="125" customWidth="1"/>
    <col min="5118" max="5118" width="11" style="125" customWidth="1"/>
    <col min="5119" max="5119" width="9" style="125" customWidth="1"/>
    <col min="5120" max="5120" width="11.42578125" style="125" customWidth="1"/>
    <col min="5121" max="5121" width="12" style="125" customWidth="1"/>
    <col min="5122" max="5368" width="9.42578125" style="125" customWidth="1"/>
    <col min="5369" max="5369" width="16.42578125" style="125" customWidth="1"/>
    <col min="5370" max="5370" width="10.140625" style="125" customWidth="1"/>
    <col min="5371" max="5371" width="8.42578125" style="125" customWidth="1"/>
    <col min="5372" max="5372" width="10" style="125" customWidth="1"/>
    <col min="5373" max="5373" width="8.42578125" style="125" customWidth="1"/>
    <col min="5374" max="5374" width="11" style="125" customWidth="1"/>
    <col min="5375" max="5375" width="9" style="125" customWidth="1"/>
    <col min="5376" max="5376" width="11.42578125" style="125" customWidth="1"/>
    <col min="5377" max="5377" width="12" style="125" customWidth="1"/>
    <col min="5378" max="5624" width="9.42578125" style="125" customWidth="1"/>
    <col min="5625" max="5625" width="16.42578125" style="125" customWidth="1"/>
    <col min="5626" max="5626" width="10.140625" style="125" customWidth="1"/>
    <col min="5627" max="5627" width="8.42578125" style="125" customWidth="1"/>
    <col min="5628" max="5628" width="10" style="125" customWidth="1"/>
    <col min="5629" max="5629" width="8.42578125" style="125" customWidth="1"/>
    <col min="5630" max="5630" width="11" style="125" customWidth="1"/>
    <col min="5631" max="5631" width="9" style="125" customWidth="1"/>
    <col min="5632" max="5632" width="11.42578125" style="125" customWidth="1"/>
    <col min="5633" max="5633" width="12" style="125" customWidth="1"/>
    <col min="5634" max="5880" width="9.42578125" style="125" customWidth="1"/>
    <col min="5881" max="5881" width="16.42578125" style="125" customWidth="1"/>
    <col min="5882" max="5882" width="10.140625" style="125" customWidth="1"/>
    <col min="5883" max="5883" width="8.42578125" style="125" customWidth="1"/>
    <col min="5884" max="5884" width="10" style="125" customWidth="1"/>
    <col min="5885" max="5885" width="8.42578125" style="125" customWidth="1"/>
    <col min="5886" max="5886" width="11" style="125" customWidth="1"/>
    <col min="5887" max="5887" width="9" style="125" customWidth="1"/>
    <col min="5888" max="5888" width="11.42578125" style="125" customWidth="1"/>
    <col min="5889" max="5889" width="12" style="125" customWidth="1"/>
    <col min="5890" max="6136" width="9.42578125" style="125" customWidth="1"/>
    <col min="6137" max="6137" width="16.42578125" style="125" customWidth="1"/>
    <col min="6138" max="6138" width="10.140625" style="125" customWidth="1"/>
    <col min="6139" max="6139" width="8.42578125" style="125" customWidth="1"/>
    <col min="6140" max="6140" width="10" style="125" customWidth="1"/>
    <col min="6141" max="6141" width="8.42578125" style="125" customWidth="1"/>
    <col min="6142" max="6142" width="11" style="125" customWidth="1"/>
    <col min="6143" max="6143" width="9" style="125" customWidth="1"/>
    <col min="6144" max="6144" width="11.42578125" style="125" customWidth="1"/>
    <col min="6145" max="6145" width="12" style="125" customWidth="1"/>
    <col min="6146" max="6392" width="9.42578125" style="125" customWidth="1"/>
    <col min="6393" max="6393" width="16.42578125" style="125" customWidth="1"/>
    <col min="6394" max="6394" width="10.140625" style="125" customWidth="1"/>
    <col min="6395" max="6395" width="8.42578125" style="125" customWidth="1"/>
    <col min="6396" max="6396" width="10" style="125" customWidth="1"/>
    <col min="6397" max="6397" width="8.42578125" style="125" customWidth="1"/>
    <col min="6398" max="6398" width="11" style="125" customWidth="1"/>
    <col min="6399" max="6399" width="9" style="125" customWidth="1"/>
    <col min="6400" max="6400" width="11.42578125" style="125" customWidth="1"/>
    <col min="6401" max="6401" width="12" style="125" customWidth="1"/>
    <col min="6402" max="6648" width="9.42578125" style="125" customWidth="1"/>
    <col min="6649" max="6649" width="16.42578125" style="125" customWidth="1"/>
    <col min="6650" max="6650" width="10.140625" style="125" customWidth="1"/>
    <col min="6651" max="6651" width="8.42578125" style="125" customWidth="1"/>
    <col min="6652" max="6652" width="10" style="125" customWidth="1"/>
    <col min="6653" max="6653" width="8.42578125" style="125" customWidth="1"/>
    <col min="6654" max="6654" width="11" style="125" customWidth="1"/>
    <col min="6655" max="6655" width="9" style="125" customWidth="1"/>
    <col min="6656" max="6656" width="11.42578125" style="125" customWidth="1"/>
    <col min="6657" max="6657" width="12" style="125" customWidth="1"/>
    <col min="6658" max="6904" width="9.42578125" style="125" customWidth="1"/>
    <col min="6905" max="6905" width="16.42578125" style="125" customWidth="1"/>
    <col min="6906" max="6906" width="10.140625" style="125" customWidth="1"/>
    <col min="6907" max="6907" width="8.42578125" style="125" customWidth="1"/>
    <col min="6908" max="6908" width="10" style="125" customWidth="1"/>
    <col min="6909" max="6909" width="8.42578125" style="125" customWidth="1"/>
    <col min="6910" max="6910" width="11" style="125" customWidth="1"/>
    <col min="6911" max="6911" width="9" style="125" customWidth="1"/>
    <col min="6912" max="6912" width="11.42578125" style="125" customWidth="1"/>
    <col min="6913" max="6913" width="12" style="125" customWidth="1"/>
    <col min="6914" max="7160" width="9.42578125" style="125" customWidth="1"/>
    <col min="7161" max="7161" width="16.42578125" style="125" customWidth="1"/>
    <col min="7162" max="7162" width="10.140625" style="125" customWidth="1"/>
    <col min="7163" max="7163" width="8.42578125" style="125" customWidth="1"/>
    <col min="7164" max="7164" width="10" style="125" customWidth="1"/>
    <col min="7165" max="7165" width="8.42578125" style="125" customWidth="1"/>
    <col min="7166" max="7166" width="11" style="125" customWidth="1"/>
    <col min="7167" max="7167" width="9" style="125" customWidth="1"/>
    <col min="7168" max="7168" width="11.42578125" style="125" customWidth="1"/>
    <col min="7169" max="7169" width="12" style="125" customWidth="1"/>
    <col min="7170" max="7416" width="9.42578125" style="125" customWidth="1"/>
    <col min="7417" max="7417" width="16.42578125" style="125" customWidth="1"/>
    <col min="7418" max="7418" width="10.140625" style="125" customWidth="1"/>
    <col min="7419" max="7419" width="8.42578125" style="125" customWidth="1"/>
    <col min="7420" max="7420" width="10" style="125" customWidth="1"/>
    <col min="7421" max="7421" width="8.42578125" style="125" customWidth="1"/>
    <col min="7422" max="7422" width="11" style="125" customWidth="1"/>
    <col min="7423" max="7423" width="9" style="125" customWidth="1"/>
    <col min="7424" max="7424" width="11.42578125" style="125" customWidth="1"/>
    <col min="7425" max="7425" width="12" style="125" customWidth="1"/>
    <col min="7426" max="7672" width="9.42578125" style="125" customWidth="1"/>
    <col min="7673" max="7673" width="16.42578125" style="125" customWidth="1"/>
    <col min="7674" max="7674" width="10.140625" style="125" customWidth="1"/>
    <col min="7675" max="7675" width="8.42578125" style="125" customWidth="1"/>
    <col min="7676" max="7676" width="10" style="125" customWidth="1"/>
    <col min="7677" max="7677" width="8.42578125" style="125" customWidth="1"/>
    <col min="7678" max="7678" width="11" style="125" customWidth="1"/>
    <col min="7679" max="7679" width="9" style="125" customWidth="1"/>
    <col min="7680" max="7680" width="11.42578125" style="125" customWidth="1"/>
    <col min="7681" max="7681" width="12" style="125" customWidth="1"/>
    <col min="7682" max="7928" width="9.42578125" style="125" customWidth="1"/>
    <col min="7929" max="7929" width="16.42578125" style="125" customWidth="1"/>
    <col min="7930" max="7930" width="10.140625" style="125" customWidth="1"/>
    <col min="7931" max="7931" width="8.42578125" style="125" customWidth="1"/>
    <col min="7932" max="7932" width="10" style="125" customWidth="1"/>
    <col min="7933" max="7933" width="8.42578125" style="125" customWidth="1"/>
    <col min="7934" max="7934" width="11" style="125" customWidth="1"/>
    <col min="7935" max="7935" width="9" style="125" customWidth="1"/>
    <col min="7936" max="7936" width="11.42578125" style="125" customWidth="1"/>
    <col min="7937" max="7937" width="12" style="125" customWidth="1"/>
    <col min="7938" max="8184" width="9.42578125" style="125" customWidth="1"/>
    <col min="8185" max="8185" width="16.42578125" style="125" customWidth="1"/>
    <col min="8186" max="8186" width="10.140625" style="125" customWidth="1"/>
    <col min="8187" max="8187" width="8.42578125" style="125" customWidth="1"/>
    <col min="8188" max="8188" width="10" style="125" customWidth="1"/>
    <col min="8189" max="8189" width="8.42578125" style="125" customWidth="1"/>
    <col min="8190" max="8190" width="11" style="125" customWidth="1"/>
    <col min="8191" max="8191" width="9" style="125" customWidth="1"/>
    <col min="8192" max="8192" width="11.42578125" style="125" customWidth="1"/>
    <col min="8193" max="8193" width="12" style="125" customWidth="1"/>
    <col min="8194" max="8440" width="9.42578125" style="125" customWidth="1"/>
    <col min="8441" max="8441" width="16.42578125" style="125" customWidth="1"/>
    <col min="8442" max="8442" width="10.140625" style="125" customWidth="1"/>
    <col min="8443" max="8443" width="8.42578125" style="125" customWidth="1"/>
    <col min="8444" max="8444" width="10" style="125" customWidth="1"/>
    <col min="8445" max="8445" width="8.42578125" style="125" customWidth="1"/>
    <col min="8446" max="8446" width="11" style="125" customWidth="1"/>
    <col min="8447" max="8447" width="9" style="125" customWidth="1"/>
    <col min="8448" max="8448" width="11.42578125" style="125" customWidth="1"/>
    <col min="8449" max="8449" width="12" style="125" customWidth="1"/>
    <col min="8450" max="8696" width="9.42578125" style="125" customWidth="1"/>
    <col min="8697" max="8697" width="16.42578125" style="125" customWidth="1"/>
    <col min="8698" max="8698" width="10.140625" style="125" customWidth="1"/>
    <col min="8699" max="8699" width="8.42578125" style="125" customWidth="1"/>
    <col min="8700" max="8700" width="10" style="125" customWidth="1"/>
    <col min="8701" max="8701" width="8.42578125" style="125" customWidth="1"/>
    <col min="8702" max="8702" width="11" style="125" customWidth="1"/>
    <col min="8703" max="8703" width="9" style="125" customWidth="1"/>
    <col min="8704" max="8704" width="11.42578125" style="125" customWidth="1"/>
    <col min="8705" max="8705" width="12" style="125" customWidth="1"/>
    <col min="8706" max="8952" width="9.42578125" style="125" customWidth="1"/>
    <col min="8953" max="8953" width="16.42578125" style="125" customWidth="1"/>
    <col min="8954" max="8954" width="10.140625" style="125" customWidth="1"/>
    <col min="8955" max="8955" width="8.42578125" style="125" customWidth="1"/>
    <col min="8956" max="8956" width="10" style="125" customWidth="1"/>
    <col min="8957" max="8957" width="8.42578125" style="125" customWidth="1"/>
    <col min="8958" max="8958" width="11" style="125" customWidth="1"/>
    <col min="8959" max="8959" width="9" style="125" customWidth="1"/>
    <col min="8960" max="8960" width="11.42578125" style="125" customWidth="1"/>
    <col min="8961" max="8961" width="12" style="125" customWidth="1"/>
    <col min="8962" max="9208" width="9.42578125" style="125" customWidth="1"/>
    <col min="9209" max="9209" width="16.42578125" style="125" customWidth="1"/>
    <col min="9210" max="9210" width="10.140625" style="125" customWidth="1"/>
    <col min="9211" max="9211" width="8.42578125" style="125" customWidth="1"/>
    <col min="9212" max="9212" width="10" style="125" customWidth="1"/>
    <col min="9213" max="9213" width="8.42578125" style="125" customWidth="1"/>
    <col min="9214" max="9214" width="11" style="125" customWidth="1"/>
    <col min="9215" max="9215" width="9" style="125" customWidth="1"/>
    <col min="9216" max="9216" width="11.42578125" style="125" customWidth="1"/>
    <col min="9217" max="9217" width="12" style="125" customWidth="1"/>
    <col min="9218" max="9464" width="9.42578125" style="125" customWidth="1"/>
    <col min="9465" max="9465" width="16.42578125" style="125" customWidth="1"/>
    <col min="9466" max="9466" width="10.140625" style="125" customWidth="1"/>
    <col min="9467" max="9467" width="8.42578125" style="125" customWidth="1"/>
    <col min="9468" max="9468" width="10" style="125" customWidth="1"/>
    <col min="9469" max="9469" width="8.42578125" style="125" customWidth="1"/>
    <col min="9470" max="9470" width="11" style="125" customWidth="1"/>
    <col min="9471" max="9471" width="9" style="125" customWidth="1"/>
    <col min="9472" max="9472" width="11.42578125" style="125" customWidth="1"/>
    <col min="9473" max="9473" width="12" style="125" customWidth="1"/>
    <col min="9474" max="9720" width="9.42578125" style="125" customWidth="1"/>
    <col min="9721" max="9721" width="16.42578125" style="125" customWidth="1"/>
    <col min="9722" max="9722" width="10.140625" style="125" customWidth="1"/>
    <col min="9723" max="9723" width="8.42578125" style="125" customWidth="1"/>
    <col min="9724" max="9724" width="10" style="125" customWidth="1"/>
    <col min="9725" max="9725" width="8.42578125" style="125" customWidth="1"/>
    <col min="9726" max="9726" width="11" style="125" customWidth="1"/>
    <col min="9727" max="9727" width="9" style="125" customWidth="1"/>
    <col min="9728" max="9728" width="11.42578125" style="125" customWidth="1"/>
    <col min="9729" max="9729" width="12" style="125" customWidth="1"/>
    <col min="9730" max="9976" width="9.42578125" style="125" customWidth="1"/>
    <col min="9977" max="9977" width="16.42578125" style="125" customWidth="1"/>
    <col min="9978" max="9978" width="10.140625" style="125" customWidth="1"/>
    <col min="9979" max="9979" width="8.42578125" style="125" customWidth="1"/>
    <col min="9980" max="9980" width="10" style="125" customWidth="1"/>
    <col min="9981" max="9981" width="8.42578125" style="125" customWidth="1"/>
    <col min="9982" max="9982" width="11" style="125" customWidth="1"/>
    <col min="9983" max="9983" width="9" style="125" customWidth="1"/>
    <col min="9984" max="9984" width="11.42578125" style="125" customWidth="1"/>
    <col min="9985" max="9985" width="12" style="125" customWidth="1"/>
    <col min="9986" max="10232" width="9.42578125" style="125" customWidth="1"/>
    <col min="10233" max="10233" width="16.42578125" style="125" customWidth="1"/>
    <col min="10234" max="10234" width="10.140625" style="125" customWidth="1"/>
    <col min="10235" max="10235" width="8.42578125" style="125" customWidth="1"/>
    <col min="10236" max="10236" width="10" style="125" customWidth="1"/>
    <col min="10237" max="10237" width="8.42578125" style="125" customWidth="1"/>
    <col min="10238" max="10238" width="11" style="125" customWidth="1"/>
    <col min="10239" max="10239" width="9" style="125" customWidth="1"/>
    <col min="10240" max="10240" width="11.42578125" style="125" customWidth="1"/>
    <col min="10241" max="10241" width="12" style="125" customWidth="1"/>
    <col min="10242" max="10488" width="9.42578125" style="125" customWidth="1"/>
    <col min="10489" max="10489" width="16.42578125" style="125" customWidth="1"/>
    <col min="10490" max="10490" width="10.140625" style="125" customWidth="1"/>
    <col min="10491" max="10491" width="8.42578125" style="125" customWidth="1"/>
    <col min="10492" max="10492" width="10" style="125" customWidth="1"/>
    <col min="10493" max="10493" width="8.42578125" style="125" customWidth="1"/>
    <col min="10494" max="10494" width="11" style="125" customWidth="1"/>
    <col min="10495" max="10495" width="9" style="125" customWidth="1"/>
    <col min="10496" max="10496" width="11.42578125" style="125" customWidth="1"/>
    <col min="10497" max="10497" width="12" style="125" customWidth="1"/>
    <col min="10498" max="10744" width="9.42578125" style="125" customWidth="1"/>
    <col min="10745" max="10745" width="16.42578125" style="125" customWidth="1"/>
    <col min="10746" max="10746" width="10.140625" style="125" customWidth="1"/>
    <col min="10747" max="10747" width="8.42578125" style="125" customWidth="1"/>
    <col min="10748" max="10748" width="10" style="125" customWidth="1"/>
    <col min="10749" max="10749" width="8.42578125" style="125" customWidth="1"/>
    <col min="10750" max="10750" width="11" style="125" customWidth="1"/>
    <col min="10751" max="10751" width="9" style="125" customWidth="1"/>
    <col min="10752" max="10752" width="11.42578125" style="125" customWidth="1"/>
    <col min="10753" max="10753" width="12" style="125" customWidth="1"/>
    <col min="10754" max="11000" width="9.42578125" style="125" customWidth="1"/>
    <col min="11001" max="11001" width="16.42578125" style="125" customWidth="1"/>
    <col min="11002" max="11002" width="10.140625" style="125" customWidth="1"/>
    <col min="11003" max="11003" width="8.42578125" style="125" customWidth="1"/>
    <col min="11004" max="11004" width="10" style="125" customWidth="1"/>
    <col min="11005" max="11005" width="8.42578125" style="125" customWidth="1"/>
    <col min="11006" max="11006" width="11" style="125" customWidth="1"/>
    <col min="11007" max="11007" width="9" style="125" customWidth="1"/>
    <col min="11008" max="11008" width="11.42578125" style="125" customWidth="1"/>
    <col min="11009" max="11009" width="12" style="125" customWidth="1"/>
    <col min="11010" max="11256" width="9.42578125" style="125" customWidth="1"/>
    <col min="11257" max="11257" width="16.42578125" style="125" customWidth="1"/>
    <col min="11258" max="11258" width="10.140625" style="125" customWidth="1"/>
    <col min="11259" max="11259" width="8.42578125" style="125" customWidth="1"/>
    <col min="11260" max="11260" width="10" style="125" customWidth="1"/>
    <col min="11261" max="11261" width="8.42578125" style="125" customWidth="1"/>
    <col min="11262" max="11262" width="11" style="125" customWidth="1"/>
    <col min="11263" max="11263" width="9" style="125" customWidth="1"/>
    <col min="11264" max="11264" width="11.42578125" style="125" customWidth="1"/>
    <col min="11265" max="11265" width="12" style="125" customWidth="1"/>
    <col min="11266" max="11512" width="9.42578125" style="125" customWidth="1"/>
    <col min="11513" max="11513" width="16.42578125" style="125" customWidth="1"/>
    <col min="11514" max="11514" width="10.140625" style="125" customWidth="1"/>
    <col min="11515" max="11515" width="8.42578125" style="125" customWidth="1"/>
    <col min="11516" max="11516" width="10" style="125" customWidth="1"/>
    <col min="11517" max="11517" width="8.42578125" style="125" customWidth="1"/>
    <col min="11518" max="11518" width="11" style="125" customWidth="1"/>
    <col min="11519" max="11519" width="9" style="125" customWidth="1"/>
    <col min="11520" max="11520" width="11.42578125" style="125" customWidth="1"/>
    <col min="11521" max="11521" width="12" style="125" customWidth="1"/>
    <col min="11522" max="11768" width="9.42578125" style="125" customWidth="1"/>
    <col min="11769" max="11769" width="16.42578125" style="125" customWidth="1"/>
    <col min="11770" max="11770" width="10.140625" style="125" customWidth="1"/>
    <col min="11771" max="11771" width="8.42578125" style="125" customWidth="1"/>
    <col min="11772" max="11772" width="10" style="125" customWidth="1"/>
    <col min="11773" max="11773" width="8.42578125" style="125" customWidth="1"/>
    <col min="11774" max="11774" width="11" style="125" customWidth="1"/>
    <col min="11775" max="11775" width="9" style="125" customWidth="1"/>
    <col min="11776" max="11776" width="11.42578125" style="125" customWidth="1"/>
    <col min="11777" max="11777" width="12" style="125" customWidth="1"/>
    <col min="11778" max="12024" width="9.42578125" style="125" customWidth="1"/>
    <col min="12025" max="12025" width="16.42578125" style="125" customWidth="1"/>
    <col min="12026" max="12026" width="10.140625" style="125" customWidth="1"/>
    <col min="12027" max="12027" width="8.42578125" style="125" customWidth="1"/>
    <col min="12028" max="12028" width="10" style="125" customWidth="1"/>
    <col min="12029" max="12029" width="8.42578125" style="125" customWidth="1"/>
    <col min="12030" max="12030" width="11" style="125" customWidth="1"/>
    <col min="12031" max="12031" width="9" style="125" customWidth="1"/>
    <col min="12032" max="12032" width="11.42578125" style="125" customWidth="1"/>
    <col min="12033" max="12033" width="12" style="125" customWidth="1"/>
    <col min="12034" max="12280" width="9.42578125" style="125" customWidth="1"/>
    <col min="12281" max="12281" width="16.42578125" style="125" customWidth="1"/>
    <col min="12282" max="12282" width="10.140625" style="125" customWidth="1"/>
    <col min="12283" max="12283" width="8.42578125" style="125" customWidth="1"/>
    <col min="12284" max="12284" width="10" style="125" customWidth="1"/>
    <col min="12285" max="12285" width="8.42578125" style="125" customWidth="1"/>
    <col min="12286" max="12286" width="11" style="125" customWidth="1"/>
    <col min="12287" max="12287" width="9" style="125" customWidth="1"/>
    <col min="12288" max="12288" width="11.42578125" style="125" customWidth="1"/>
    <col min="12289" max="12289" width="12" style="125" customWidth="1"/>
    <col min="12290" max="12536" width="9.42578125" style="125" customWidth="1"/>
    <col min="12537" max="12537" width="16.42578125" style="125" customWidth="1"/>
    <col min="12538" max="12538" width="10.140625" style="125" customWidth="1"/>
    <col min="12539" max="12539" width="8.42578125" style="125" customWidth="1"/>
    <col min="12540" max="12540" width="10" style="125" customWidth="1"/>
    <col min="12541" max="12541" width="8.42578125" style="125" customWidth="1"/>
    <col min="12542" max="12542" width="11" style="125" customWidth="1"/>
    <col min="12543" max="12543" width="9" style="125" customWidth="1"/>
    <col min="12544" max="12544" width="11.42578125" style="125" customWidth="1"/>
    <col min="12545" max="12545" width="12" style="125" customWidth="1"/>
    <col min="12546" max="12792" width="9.42578125" style="125" customWidth="1"/>
    <col min="12793" max="12793" width="16.42578125" style="125" customWidth="1"/>
    <col min="12794" max="12794" width="10.140625" style="125" customWidth="1"/>
    <col min="12795" max="12795" width="8.42578125" style="125" customWidth="1"/>
    <col min="12796" max="12796" width="10" style="125" customWidth="1"/>
    <col min="12797" max="12797" width="8.42578125" style="125" customWidth="1"/>
    <col min="12798" max="12798" width="11" style="125" customWidth="1"/>
    <col min="12799" max="12799" width="9" style="125" customWidth="1"/>
    <col min="12800" max="12800" width="11.42578125" style="125" customWidth="1"/>
    <col min="12801" max="12801" width="12" style="125" customWidth="1"/>
    <col min="12802" max="13048" width="9.42578125" style="125" customWidth="1"/>
    <col min="13049" max="13049" width="16.42578125" style="125" customWidth="1"/>
    <col min="13050" max="13050" width="10.140625" style="125" customWidth="1"/>
    <col min="13051" max="13051" width="8.42578125" style="125" customWidth="1"/>
    <col min="13052" max="13052" width="10" style="125" customWidth="1"/>
    <col min="13053" max="13053" width="8.42578125" style="125" customWidth="1"/>
    <col min="13054" max="13054" width="11" style="125" customWidth="1"/>
    <col min="13055" max="13055" width="9" style="125" customWidth="1"/>
    <col min="13056" max="13056" width="11.42578125" style="125" customWidth="1"/>
    <col min="13057" max="13057" width="12" style="125" customWidth="1"/>
    <col min="13058" max="13304" width="9.42578125" style="125" customWidth="1"/>
    <col min="13305" max="13305" width="16.42578125" style="125" customWidth="1"/>
    <col min="13306" max="13306" width="10.140625" style="125" customWidth="1"/>
    <col min="13307" max="13307" width="8.42578125" style="125" customWidth="1"/>
    <col min="13308" max="13308" width="10" style="125" customWidth="1"/>
    <col min="13309" max="13309" width="8.42578125" style="125" customWidth="1"/>
    <col min="13310" max="13310" width="11" style="125" customWidth="1"/>
    <col min="13311" max="13311" width="9" style="125" customWidth="1"/>
    <col min="13312" max="13312" width="11.42578125" style="125" customWidth="1"/>
    <col min="13313" max="13313" width="12" style="125" customWidth="1"/>
    <col min="13314" max="13560" width="9.42578125" style="125" customWidth="1"/>
    <col min="13561" max="13561" width="16.42578125" style="125" customWidth="1"/>
    <col min="13562" max="13562" width="10.140625" style="125" customWidth="1"/>
    <col min="13563" max="13563" width="8.42578125" style="125" customWidth="1"/>
    <col min="13564" max="13564" width="10" style="125" customWidth="1"/>
    <col min="13565" max="13565" width="8.42578125" style="125" customWidth="1"/>
    <col min="13566" max="13566" width="11" style="125" customWidth="1"/>
    <col min="13567" max="13567" width="9" style="125" customWidth="1"/>
    <col min="13568" max="13568" width="11.42578125" style="125" customWidth="1"/>
    <col min="13569" max="13569" width="12" style="125" customWidth="1"/>
    <col min="13570" max="13816" width="9.42578125" style="125" customWidth="1"/>
    <col min="13817" max="13817" width="16.42578125" style="125" customWidth="1"/>
    <col min="13818" max="13818" width="10.140625" style="125" customWidth="1"/>
    <col min="13819" max="13819" width="8.42578125" style="125" customWidth="1"/>
    <col min="13820" max="13820" width="10" style="125" customWidth="1"/>
    <col min="13821" max="13821" width="8.42578125" style="125" customWidth="1"/>
    <col min="13822" max="13822" width="11" style="125" customWidth="1"/>
    <col min="13823" max="13823" width="9" style="125" customWidth="1"/>
    <col min="13824" max="13824" width="11.42578125" style="125" customWidth="1"/>
    <col min="13825" max="13825" width="12" style="125" customWidth="1"/>
    <col min="13826" max="14072" width="9.42578125" style="125" customWidth="1"/>
    <col min="14073" max="14073" width="16.42578125" style="125" customWidth="1"/>
    <col min="14074" max="14074" width="10.140625" style="125" customWidth="1"/>
    <col min="14075" max="14075" width="8.42578125" style="125" customWidth="1"/>
    <col min="14076" max="14076" width="10" style="125" customWidth="1"/>
    <col min="14077" max="14077" width="8.42578125" style="125" customWidth="1"/>
    <col min="14078" max="14078" width="11" style="125" customWidth="1"/>
    <col min="14079" max="14079" width="9" style="125" customWidth="1"/>
    <col min="14080" max="14080" width="11.42578125" style="125" customWidth="1"/>
    <col min="14081" max="14081" width="12" style="125" customWidth="1"/>
    <col min="14082" max="14328" width="9.42578125" style="125" customWidth="1"/>
    <col min="14329" max="14329" width="16.42578125" style="125" customWidth="1"/>
    <col min="14330" max="14330" width="10.140625" style="125" customWidth="1"/>
    <col min="14331" max="14331" width="8.42578125" style="125" customWidth="1"/>
    <col min="14332" max="14332" width="10" style="125" customWidth="1"/>
    <col min="14333" max="14333" width="8.42578125" style="125" customWidth="1"/>
    <col min="14334" max="14334" width="11" style="125" customWidth="1"/>
    <col min="14335" max="14335" width="9" style="125" customWidth="1"/>
    <col min="14336" max="14336" width="11.42578125" style="125" customWidth="1"/>
    <col min="14337" max="14337" width="12" style="125" customWidth="1"/>
    <col min="14338" max="14584" width="9.42578125" style="125" customWidth="1"/>
    <col min="14585" max="14585" width="16.42578125" style="125" customWidth="1"/>
    <col min="14586" max="14586" width="10.140625" style="125" customWidth="1"/>
    <col min="14587" max="14587" width="8.42578125" style="125" customWidth="1"/>
    <col min="14588" max="14588" width="10" style="125" customWidth="1"/>
    <col min="14589" max="14589" width="8.42578125" style="125" customWidth="1"/>
    <col min="14590" max="14590" width="11" style="125" customWidth="1"/>
    <col min="14591" max="14591" width="9" style="125" customWidth="1"/>
    <col min="14592" max="14592" width="11.42578125" style="125" customWidth="1"/>
    <col min="14593" max="14593" width="12" style="125" customWidth="1"/>
    <col min="14594" max="14840" width="9.42578125" style="125" customWidth="1"/>
    <col min="14841" max="14841" width="16.42578125" style="125" customWidth="1"/>
    <col min="14842" max="14842" width="10.140625" style="125" customWidth="1"/>
    <col min="14843" max="14843" width="8.42578125" style="125" customWidth="1"/>
    <col min="14844" max="14844" width="10" style="125" customWidth="1"/>
    <col min="14845" max="14845" width="8.42578125" style="125" customWidth="1"/>
    <col min="14846" max="14846" width="11" style="125" customWidth="1"/>
    <col min="14847" max="14847" width="9" style="125" customWidth="1"/>
    <col min="14848" max="14848" width="11.42578125" style="125" customWidth="1"/>
    <col min="14849" max="14849" width="12" style="125" customWidth="1"/>
    <col min="14850" max="15096" width="9.42578125" style="125" customWidth="1"/>
    <col min="15097" max="15097" width="16.42578125" style="125" customWidth="1"/>
    <col min="15098" max="15098" width="10.140625" style="125" customWidth="1"/>
    <col min="15099" max="15099" width="8.42578125" style="125" customWidth="1"/>
    <col min="15100" max="15100" width="10" style="125" customWidth="1"/>
    <col min="15101" max="15101" width="8.42578125" style="125" customWidth="1"/>
    <col min="15102" max="15102" width="11" style="125" customWidth="1"/>
    <col min="15103" max="15103" width="9" style="125" customWidth="1"/>
    <col min="15104" max="15104" width="11.42578125" style="125" customWidth="1"/>
    <col min="15105" max="15105" width="12" style="125" customWidth="1"/>
    <col min="15106" max="15352" width="9.42578125" style="125" customWidth="1"/>
    <col min="15353" max="15353" width="16.42578125" style="125" customWidth="1"/>
    <col min="15354" max="15354" width="10.140625" style="125" customWidth="1"/>
    <col min="15355" max="15355" width="8.42578125" style="125" customWidth="1"/>
    <col min="15356" max="15356" width="10" style="125" customWidth="1"/>
    <col min="15357" max="15357" width="8.42578125" style="125" customWidth="1"/>
    <col min="15358" max="15358" width="11" style="125" customWidth="1"/>
    <col min="15359" max="15359" width="9" style="125" customWidth="1"/>
    <col min="15360" max="15360" width="11.42578125" style="125" customWidth="1"/>
    <col min="15361" max="15361" width="12" style="125" customWidth="1"/>
    <col min="15362" max="15608" width="9.42578125" style="125" customWidth="1"/>
    <col min="15609" max="15609" width="16.42578125" style="125" customWidth="1"/>
    <col min="15610" max="15610" width="10.140625" style="125" customWidth="1"/>
    <col min="15611" max="15611" width="8.42578125" style="125" customWidth="1"/>
    <col min="15612" max="15612" width="10" style="125" customWidth="1"/>
    <col min="15613" max="15613" width="8.42578125" style="125" customWidth="1"/>
    <col min="15614" max="15614" width="11" style="125" customWidth="1"/>
    <col min="15615" max="15615" width="9" style="125" customWidth="1"/>
    <col min="15616" max="15616" width="11.42578125" style="125" customWidth="1"/>
    <col min="15617" max="15617" width="12" style="125" customWidth="1"/>
    <col min="15618" max="15864" width="9.42578125" style="125" customWidth="1"/>
    <col min="15865" max="15865" width="16.42578125" style="125" customWidth="1"/>
    <col min="15866" max="15866" width="10.140625" style="125" customWidth="1"/>
    <col min="15867" max="15867" width="8.42578125" style="125" customWidth="1"/>
    <col min="15868" max="15868" width="10" style="125" customWidth="1"/>
    <col min="15869" max="15869" width="8.42578125" style="125" customWidth="1"/>
    <col min="15870" max="15870" width="11" style="125" customWidth="1"/>
    <col min="15871" max="15871" width="9" style="125" customWidth="1"/>
    <col min="15872" max="15872" width="11.42578125" style="125" customWidth="1"/>
    <col min="15873" max="15873" width="12" style="125" customWidth="1"/>
    <col min="15874" max="16120" width="9.42578125" style="125" customWidth="1"/>
    <col min="16121" max="16121" width="16.42578125" style="125" customWidth="1"/>
    <col min="16122" max="16122" width="10.140625" style="125" customWidth="1"/>
    <col min="16123" max="16123" width="8.42578125" style="125" customWidth="1"/>
    <col min="16124" max="16124" width="10" style="125" customWidth="1"/>
    <col min="16125" max="16125" width="8.42578125" style="125" customWidth="1"/>
    <col min="16126" max="16126" width="11" style="125" customWidth="1"/>
    <col min="16127" max="16127" width="9" style="125" customWidth="1"/>
    <col min="16128" max="16128" width="11.42578125" style="125" customWidth="1"/>
    <col min="16129" max="16129" width="12" style="125" customWidth="1"/>
    <col min="16130" max="16384" width="9.42578125" style="125" customWidth="1"/>
  </cols>
  <sheetData>
    <row r="1" spans="2:11" s="30" customFormat="1" ht="15" x14ac:dyDescent="0.25"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2:11" s="30" customFormat="1" ht="15" x14ac:dyDescent="0.25">
      <c r="B2" s="125"/>
      <c r="C2" s="125"/>
      <c r="D2" s="125"/>
      <c r="E2" s="125"/>
      <c r="F2" s="125"/>
      <c r="G2" s="125"/>
      <c r="H2" s="125"/>
      <c r="I2" s="127" t="s">
        <v>108</v>
      </c>
      <c r="J2" s="125"/>
      <c r="K2" s="126"/>
    </row>
    <row r="3" spans="2:11" s="30" customFormat="1" ht="20.25" x14ac:dyDescent="0.3">
      <c r="B3" s="573" t="s">
        <v>109</v>
      </c>
      <c r="C3" s="573"/>
      <c r="D3" s="573"/>
      <c r="E3" s="573"/>
      <c r="F3" s="573"/>
      <c r="G3" s="573"/>
      <c r="H3" s="573"/>
      <c r="I3" s="573"/>
      <c r="J3" s="128"/>
      <c r="K3" s="126"/>
    </row>
    <row r="4" spans="2:11" s="30" customFormat="1" ht="9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spans="2:11" s="30" customFormat="1" ht="18" customHeight="1" x14ac:dyDescent="0.25">
      <c r="B5" s="143" t="s">
        <v>110</v>
      </c>
      <c r="C5" s="129"/>
      <c r="D5" s="129"/>
      <c r="E5" s="125"/>
      <c r="F5" s="125"/>
      <c r="G5" s="125"/>
      <c r="H5" s="125"/>
      <c r="I5" s="125"/>
      <c r="J5" s="125"/>
      <c r="K5" s="126"/>
    </row>
    <row r="6" spans="2:11" s="30" customFormat="1" ht="15" x14ac:dyDescent="0.25">
      <c r="B6" s="125"/>
      <c r="C6" s="125"/>
      <c r="D6" s="125"/>
      <c r="E6" s="125"/>
      <c r="F6" s="125"/>
      <c r="G6" s="125"/>
      <c r="H6" s="128"/>
      <c r="I6" s="128"/>
      <c r="J6" s="127"/>
      <c r="K6" s="126"/>
    </row>
    <row r="7" spans="2:11" s="30" customFormat="1" ht="15" x14ac:dyDescent="0.25">
      <c r="B7" s="574" t="s">
        <v>111</v>
      </c>
      <c r="C7" s="576" t="s">
        <v>112</v>
      </c>
      <c r="D7" s="576" t="s">
        <v>113</v>
      </c>
      <c r="E7" s="578" t="s">
        <v>52</v>
      </c>
      <c r="F7" s="578"/>
      <c r="G7" s="578"/>
      <c r="H7" s="578"/>
      <c r="I7" s="578"/>
      <c r="J7" s="130"/>
      <c r="K7" s="126"/>
    </row>
    <row r="8" spans="2:11" s="30" customFormat="1" ht="12.95" customHeight="1" x14ac:dyDescent="0.25">
      <c r="B8" s="575"/>
      <c r="C8" s="577"/>
      <c r="D8" s="577"/>
      <c r="E8" s="579">
        <v>610</v>
      </c>
      <c r="F8" s="579">
        <v>620</v>
      </c>
      <c r="G8" s="579">
        <v>630</v>
      </c>
      <c r="H8" s="579">
        <v>640</v>
      </c>
      <c r="I8" s="579" t="s">
        <v>97</v>
      </c>
      <c r="J8" s="126"/>
      <c r="K8" s="131"/>
    </row>
    <row r="9" spans="2:11" s="30" customFormat="1" ht="5.25" customHeight="1" x14ac:dyDescent="0.25">
      <c r="B9" s="575"/>
      <c r="C9" s="577"/>
      <c r="D9" s="577"/>
      <c r="E9" s="579"/>
      <c r="F9" s="579"/>
      <c r="G9" s="579"/>
      <c r="H9" s="579"/>
      <c r="I9" s="579"/>
      <c r="J9" s="126"/>
      <c r="K9" s="131"/>
    </row>
    <row r="10" spans="2:11" s="30" customFormat="1" ht="15" x14ac:dyDescent="0.25">
      <c r="B10" s="144" t="s">
        <v>114</v>
      </c>
      <c r="C10" s="145">
        <v>69</v>
      </c>
      <c r="D10" s="146">
        <v>32478</v>
      </c>
      <c r="E10" s="147">
        <v>111587</v>
      </c>
      <c r="F10" s="147">
        <v>40370</v>
      </c>
      <c r="G10" s="147">
        <v>40010</v>
      </c>
      <c r="H10" s="147">
        <v>1542</v>
      </c>
      <c r="I10" s="148">
        <f>SUM(E10:H10)</f>
        <v>193509</v>
      </c>
      <c r="J10" s="126"/>
      <c r="K10" s="131"/>
    </row>
    <row r="11" spans="2:11" s="30" customFormat="1" ht="15" x14ac:dyDescent="0.25">
      <c r="B11" s="144" t="s">
        <v>115</v>
      </c>
      <c r="C11" s="145">
        <v>133</v>
      </c>
      <c r="D11" s="146">
        <v>64166</v>
      </c>
      <c r="E11" s="147">
        <v>216500</v>
      </c>
      <c r="F11" s="147">
        <v>79161</v>
      </c>
      <c r="G11" s="147">
        <v>58596</v>
      </c>
      <c r="H11" s="147">
        <v>18729</v>
      </c>
      <c r="I11" s="148">
        <f t="shared" ref="I11:I25" si="0">SUM(E11:H11)</f>
        <v>372986</v>
      </c>
      <c r="J11" s="126"/>
      <c r="K11" s="131"/>
    </row>
    <row r="12" spans="2:11" s="30" customFormat="1" ht="15" x14ac:dyDescent="0.25">
      <c r="B12" s="144" t="s">
        <v>116</v>
      </c>
      <c r="C12" s="145">
        <v>71</v>
      </c>
      <c r="D12" s="146">
        <v>35554</v>
      </c>
      <c r="E12" s="147">
        <v>118929</v>
      </c>
      <c r="F12" s="147">
        <v>42384</v>
      </c>
      <c r="G12" s="147">
        <v>58859</v>
      </c>
      <c r="H12" s="147">
        <v>2200</v>
      </c>
      <c r="I12" s="148">
        <f t="shared" si="0"/>
        <v>222372</v>
      </c>
      <c r="J12" s="126"/>
      <c r="K12" s="131"/>
    </row>
    <row r="13" spans="2:11" s="30" customFormat="1" ht="15" x14ac:dyDescent="0.25">
      <c r="B13" s="144" t="s">
        <v>117</v>
      </c>
      <c r="C13" s="145">
        <v>90</v>
      </c>
      <c r="D13" s="146">
        <v>41644</v>
      </c>
      <c r="E13" s="147">
        <v>133595</v>
      </c>
      <c r="F13" s="147">
        <v>48605</v>
      </c>
      <c r="G13" s="147">
        <v>59339</v>
      </c>
      <c r="H13" s="147">
        <v>1710</v>
      </c>
      <c r="I13" s="148">
        <f t="shared" si="0"/>
        <v>243249</v>
      </c>
      <c r="J13" s="126"/>
      <c r="K13" s="131"/>
    </row>
    <row r="14" spans="2:11" s="30" customFormat="1" ht="15" x14ac:dyDescent="0.25">
      <c r="B14" s="144" t="s">
        <v>118</v>
      </c>
      <c r="C14" s="145">
        <v>76</v>
      </c>
      <c r="D14" s="146">
        <v>32740</v>
      </c>
      <c r="E14" s="147">
        <v>138352</v>
      </c>
      <c r="F14" s="147">
        <v>51686</v>
      </c>
      <c r="G14" s="147">
        <v>58049</v>
      </c>
      <c r="H14" s="147">
        <v>1060</v>
      </c>
      <c r="I14" s="148">
        <f t="shared" si="0"/>
        <v>249147</v>
      </c>
      <c r="J14" s="126"/>
      <c r="K14" s="131"/>
    </row>
    <row r="15" spans="2:11" s="30" customFormat="1" ht="15" x14ac:dyDescent="0.25">
      <c r="B15" s="144" t="s">
        <v>119</v>
      </c>
      <c r="C15" s="145">
        <v>127</v>
      </c>
      <c r="D15" s="146">
        <v>63897</v>
      </c>
      <c r="E15" s="147">
        <v>220415</v>
      </c>
      <c r="F15" s="147">
        <v>78586</v>
      </c>
      <c r="G15" s="147">
        <v>67895</v>
      </c>
      <c r="H15" s="147">
        <v>4208</v>
      </c>
      <c r="I15" s="148">
        <f t="shared" si="0"/>
        <v>371104</v>
      </c>
      <c r="J15" s="126"/>
      <c r="K15" s="131"/>
    </row>
    <row r="16" spans="2:11" s="30" customFormat="1" ht="15" x14ac:dyDescent="0.25">
      <c r="B16" s="144" t="s">
        <v>120</v>
      </c>
      <c r="C16" s="145">
        <v>122</v>
      </c>
      <c r="D16" s="146">
        <v>58666</v>
      </c>
      <c r="E16" s="147">
        <v>200996</v>
      </c>
      <c r="F16" s="147">
        <v>72769</v>
      </c>
      <c r="G16" s="147">
        <v>90030</v>
      </c>
      <c r="H16" s="147">
        <v>2710</v>
      </c>
      <c r="I16" s="148">
        <f t="shared" si="0"/>
        <v>366505</v>
      </c>
      <c r="J16" s="126"/>
      <c r="K16" s="131"/>
    </row>
    <row r="17" spans="1:14" s="30" customFormat="1" ht="15" x14ac:dyDescent="0.25">
      <c r="B17" s="144" t="s">
        <v>121</v>
      </c>
      <c r="C17" s="145">
        <v>72</v>
      </c>
      <c r="D17" s="146">
        <v>32390</v>
      </c>
      <c r="E17" s="147">
        <v>138575</v>
      </c>
      <c r="F17" s="147">
        <v>52954</v>
      </c>
      <c r="G17" s="147">
        <v>33109</v>
      </c>
      <c r="H17" s="147">
        <v>2566</v>
      </c>
      <c r="I17" s="148">
        <f t="shared" si="0"/>
        <v>227204</v>
      </c>
      <c r="J17" s="126"/>
      <c r="K17" s="131"/>
      <c r="L17" s="131"/>
      <c r="M17" s="131"/>
    </row>
    <row r="18" spans="1:14" s="30" customFormat="1" ht="15" x14ac:dyDescent="0.25">
      <c r="B18" s="144" t="s">
        <v>122</v>
      </c>
      <c r="C18" s="145">
        <v>116</v>
      </c>
      <c r="D18" s="146">
        <v>56628</v>
      </c>
      <c r="E18" s="147">
        <v>201450</v>
      </c>
      <c r="F18" s="147">
        <v>75164</v>
      </c>
      <c r="G18" s="147">
        <v>81074</v>
      </c>
      <c r="H18" s="147">
        <v>12868</v>
      </c>
      <c r="I18" s="148">
        <f t="shared" si="0"/>
        <v>370556</v>
      </c>
      <c r="J18" s="132"/>
      <c r="K18" s="131"/>
      <c r="L18" s="131"/>
      <c r="M18" s="131"/>
    </row>
    <row r="19" spans="1:14" s="30" customFormat="1" ht="15" x14ac:dyDescent="0.25">
      <c r="B19" s="144" t="s">
        <v>123</v>
      </c>
      <c r="C19" s="145">
        <v>126</v>
      </c>
      <c r="D19" s="146">
        <v>55820</v>
      </c>
      <c r="E19" s="147">
        <v>211321</v>
      </c>
      <c r="F19" s="147">
        <v>80631</v>
      </c>
      <c r="G19" s="147">
        <v>68612</v>
      </c>
      <c r="H19" s="147">
        <v>4113</v>
      </c>
      <c r="I19" s="148">
        <f t="shared" si="0"/>
        <v>364677</v>
      </c>
      <c r="J19" s="132"/>
      <c r="K19" s="131"/>
      <c r="L19" s="131"/>
      <c r="M19" s="131"/>
    </row>
    <row r="20" spans="1:14" s="30" customFormat="1" ht="15" x14ac:dyDescent="0.25">
      <c r="B20" s="144" t="s">
        <v>124</v>
      </c>
      <c r="C20" s="145">
        <v>74</v>
      </c>
      <c r="D20" s="146">
        <v>33294</v>
      </c>
      <c r="E20" s="147">
        <v>148763</v>
      </c>
      <c r="F20" s="147">
        <v>53369</v>
      </c>
      <c r="G20" s="147">
        <v>47833</v>
      </c>
      <c r="H20" s="147">
        <v>2558</v>
      </c>
      <c r="I20" s="148">
        <f t="shared" si="0"/>
        <v>252523</v>
      </c>
      <c r="J20" s="132"/>
      <c r="K20" s="131"/>
      <c r="L20" s="131"/>
      <c r="M20" s="131"/>
    </row>
    <row r="21" spans="1:14" s="30" customFormat="1" ht="15" x14ac:dyDescent="0.25">
      <c r="B21" s="144" t="s">
        <v>125</v>
      </c>
      <c r="C21" s="145">
        <v>35</v>
      </c>
      <c r="D21" s="146">
        <v>15853</v>
      </c>
      <c r="E21" s="147">
        <v>74083</v>
      </c>
      <c r="F21" s="147">
        <v>27883</v>
      </c>
      <c r="G21" s="147">
        <v>18366</v>
      </c>
      <c r="H21" s="147">
        <v>2653</v>
      </c>
      <c r="I21" s="148">
        <f t="shared" si="0"/>
        <v>122985</v>
      </c>
      <c r="J21" s="132"/>
      <c r="K21" s="131"/>
      <c r="L21" s="131"/>
      <c r="M21" s="131"/>
    </row>
    <row r="22" spans="1:14" s="30" customFormat="1" ht="15" x14ac:dyDescent="0.25">
      <c r="B22" s="144" t="s">
        <v>126</v>
      </c>
      <c r="C22" s="145">
        <v>46</v>
      </c>
      <c r="D22" s="146">
        <v>29131</v>
      </c>
      <c r="E22" s="147">
        <v>87894</v>
      </c>
      <c r="F22" s="147">
        <v>33509</v>
      </c>
      <c r="G22" s="147">
        <v>19763</v>
      </c>
      <c r="H22" s="147">
        <v>377</v>
      </c>
      <c r="I22" s="148">
        <f t="shared" si="0"/>
        <v>141543</v>
      </c>
      <c r="J22" s="132"/>
      <c r="K22" s="131"/>
      <c r="L22" s="131"/>
      <c r="M22" s="131"/>
    </row>
    <row r="23" spans="1:14" s="30" customFormat="1" ht="15" x14ac:dyDescent="0.25">
      <c r="B23" s="144" t="s">
        <v>127</v>
      </c>
      <c r="C23" s="145">
        <v>42</v>
      </c>
      <c r="D23" s="146">
        <v>5921</v>
      </c>
      <c r="E23" s="147">
        <v>84006</v>
      </c>
      <c r="F23" s="147">
        <v>28904</v>
      </c>
      <c r="G23" s="147">
        <v>34317</v>
      </c>
      <c r="H23" s="147">
        <v>485</v>
      </c>
      <c r="I23" s="148">
        <f t="shared" si="0"/>
        <v>147712</v>
      </c>
      <c r="J23" s="132"/>
      <c r="K23" s="131"/>
      <c r="L23" s="131"/>
      <c r="M23" s="131"/>
    </row>
    <row r="24" spans="1:14" s="30" customFormat="1" ht="15" x14ac:dyDescent="0.25">
      <c r="B24" s="144" t="s">
        <v>128</v>
      </c>
      <c r="C24" s="145">
        <v>148</v>
      </c>
      <c r="D24" s="146">
        <v>24862</v>
      </c>
      <c r="E24" s="147">
        <v>248042</v>
      </c>
      <c r="F24" s="147">
        <v>90236</v>
      </c>
      <c r="G24" s="147">
        <v>85466</v>
      </c>
      <c r="H24" s="147">
        <v>2741</v>
      </c>
      <c r="I24" s="148">
        <f t="shared" si="0"/>
        <v>426485</v>
      </c>
      <c r="J24" s="132"/>
      <c r="K24" s="131"/>
      <c r="L24" s="131"/>
      <c r="M24" s="131"/>
    </row>
    <row r="25" spans="1:14" s="30" customFormat="1" ht="15" x14ac:dyDescent="0.25">
      <c r="B25" s="149" t="s">
        <v>618</v>
      </c>
      <c r="C25" s="150"/>
      <c r="D25" s="151"/>
      <c r="E25" s="152"/>
      <c r="F25" s="152"/>
      <c r="G25" s="152">
        <v>12945</v>
      </c>
      <c r="H25" s="152"/>
      <c r="I25" s="148">
        <f t="shared" si="0"/>
        <v>12945</v>
      </c>
      <c r="J25" s="132"/>
      <c r="K25" s="131"/>
      <c r="L25" s="131"/>
      <c r="M25" s="131"/>
    </row>
    <row r="26" spans="1:14" s="133" customFormat="1" ht="17.25" customHeight="1" x14ac:dyDescent="0.25">
      <c r="B26" s="153" t="s">
        <v>129</v>
      </c>
      <c r="C26" s="154">
        <f>SUM(C10:C25)</f>
        <v>1347</v>
      </c>
      <c r="D26" s="154">
        <f t="shared" ref="D26:I26" si="1">SUM(D10:D25)</f>
        <v>583044</v>
      </c>
      <c r="E26" s="154">
        <f t="shared" si="1"/>
        <v>2334508</v>
      </c>
      <c r="F26" s="154">
        <f t="shared" si="1"/>
        <v>856211</v>
      </c>
      <c r="G26" s="154">
        <f t="shared" si="1"/>
        <v>834263</v>
      </c>
      <c r="H26" s="154">
        <f t="shared" si="1"/>
        <v>60520</v>
      </c>
      <c r="I26" s="154">
        <f t="shared" si="1"/>
        <v>4085502</v>
      </c>
    </row>
    <row r="27" spans="1:14" s="30" customFormat="1" ht="3.75" customHeight="1" x14ac:dyDescent="0.25">
      <c r="B27" s="155"/>
      <c r="C27" s="155"/>
      <c r="D27" s="155"/>
      <c r="E27" s="155"/>
      <c r="F27" s="155"/>
      <c r="G27" s="155"/>
      <c r="H27" s="155"/>
      <c r="I27" s="155"/>
      <c r="J27" s="132"/>
      <c r="K27" s="131"/>
      <c r="L27" s="131"/>
      <c r="M27" s="131"/>
    </row>
    <row r="28" spans="1:14" s="30" customFormat="1" ht="19.5" customHeight="1" x14ac:dyDescent="0.25">
      <c r="B28" s="156" t="s">
        <v>5</v>
      </c>
      <c r="C28" s="157">
        <f>130+65</f>
        <v>195</v>
      </c>
      <c r="D28" s="158">
        <v>34212</v>
      </c>
      <c r="E28" s="159">
        <v>361230</v>
      </c>
      <c r="F28" s="159">
        <v>130615</v>
      </c>
      <c r="G28" s="159">
        <v>127393</v>
      </c>
      <c r="H28" s="159">
        <v>7482</v>
      </c>
      <c r="I28" s="148">
        <f t="shared" ref="I28:I29" si="2">SUM(E28:H28)</f>
        <v>626720</v>
      </c>
      <c r="J28" s="132"/>
      <c r="K28" s="131"/>
      <c r="L28" s="131"/>
      <c r="M28" s="131"/>
      <c r="N28" s="134"/>
    </row>
    <row r="29" spans="1:14" s="30" customFormat="1" ht="19.5" customHeight="1" x14ac:dyDescent="0.25">
      <c r="B29" s="149" t="s">
        <v>618</v>
      </c>
      <c r="C29" s="150"/>
      <c r="D29" s="151"/>
      <c r="E29" s="152"/>
      <c r="F29" s="152"/>
      <c r="G29" s="152">
        <v>711</v>
      </c>
      <c r="H29" s="152"/>
      <c r="I29" s="148">
        <f t="shared" si="2"/>
        <v>711</v>
      </c>
      <c r="J29" s="132"/>
      <c r="K29" s="131"/>
      <c r="L29" s="131"/>
      <c r="M29" s="131"/>
      <c r="N29" s="134"/>
    </row>
    <row r="30" spans="1:14" s="30" customFormat="1" ht="15" x14ac:dyDescent="0.25">
      <c r="B30" s="153" t="s">
        <v>129</v>
      </c>
      <c r="C30" s="154">
        <f>SUM(C28:C29)</f>
        <v>195</v>
      </c>
      <c r="D30" s="154">
        <f t="shared" ref="D30:I30" si="3">SUM(D28:D29)</f>
        <v>34212</v>
      </c>
      <c r="E30" s="154">
        <f t="shared" si="3"/>
        <v>361230</v>
      </c>
      <c r="F30" s="154">
        <f t="shared" si="3"/>
        <v>130615</v>
      </c>
      <c r="G30" s="154">
        <f t="shared" si="3"/>
        <v>128104</v>
      </c>
      <c r="H30" s="154">
        <f t="shared" si="3"/>
        <v>7482</v>
      </c>
      <c r="I30" s="154">
        <f t="shared" si="3"/>
        <v>627431</v>
      </c>
      <c r="J30" s="135"/>
      <c r="K30" s="132"/>
      <c r="L30" s="131"/>
      <c r="M30" s="131"/>
    </row>
    <row r="31" spans="1:14" s="30" customFormat="1" ht="15" x14ac:dyDescent="0.25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2"/>
      <c r="L31" s="131"/>
      <c r="M31" s="131"/>
    </row>
    <row r="32" spans="1:14" s="30" customFormat="1" ht="15" x14ac:dyDescent="0.25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2"/>
      <c r="L32" s="131"/>
      <c r="M32" s="131"/>
    </row>
    <row r="33" spans="2:13" s="30" customFormat="1" ht="18.75" customHeight="1" x14ac:dyDescent="0.25">
      <c r="B33" s="143" t="s">
        <v>130</v>
      </c>
      <c r="C33" s="129"/>
      <c r="D33" s="129"/>
      <c r="E33" s="125"/>
      <c r="F33" s="125"/>
      <c r="G33" s="125"/>
      <c r="H33" s="125"/>
      <c r="I33" s="125"/>
      <c r="J33" s="125"/>
      <c r="K33" s="132"/>
      <c r="L33" s="131"/>
      <c r="M33" s="131"/>
    </row>
    <row r="34" spans="2:13" s="30" customFormat="1" ht="15" x14ac:dyDescent="0.25">
      <c r="B34" s="125"/>
      <c r="C34" s="125"/>
      <c r="D34" s="125"/>
      <c r="E34" s="125"/>
      <c r="F34" s="125"/>
      <c r="G34" s="125"/>
      <c r="H34" s="127"/>
      <c r="I34" s="128"/>
      <c r="J34" s="125"/>
      <c r="K34" s="132"/>
      <c r="L34" s="131"/>
      <c r="M34" s="131"/>
    </row>
    <row r="35" spans="2:13" s="30" customFormat="1" ht="15" x14ac:dyDescent="0.25">
      <c r="B35" s="571" t="s">
        <v>111</v>
      </c>
      <c r="C35" s="569" t="s">
        <v>52</v>
      </c>
      <c r="D35" s="569"/>
      <c r="E35" s="569"/>
      <c r="F35" s="569"/>
      <c r="G35" s="569"/>
      <c r="H35" s="136"/>
      <c r="I35" s="160"/>
      <c r="J35" s="137"/>
      <c r="K35" s="137"/>
      <c r="L35" s="137"/>
      <c r="M35" s="137"/>
    </row>
    <row r="36" spans="2:13" s="30" customFormat="1" ht="15" x14ac:dyDescent="0.25">
      <c r="B36" s="572"/>
      <c r="C36" s="161">
        <v>610</v>
      </c>
      <c r="D36" s="161">
        <v>620</v>
      </c>
      <c r="E36" s="161">
        <v>630</v>
      </c>
      <c r="F36" s="161">
        <v>640</v>
      </c>
      <c r="G36" s="161" t="s">
        <v>97</v>
      </c>
      <c r="H36" s="160"/>
      <c r="I36" s="160"/>
      <c r="J36" s="137"/>
      <c r="K36" s="137"/>
      <c r="L36" s="137"/>
      <c r="M36" s="137"/>
    </row>
    <row r="37" spans="2:13" s="30" customFormat="1" ht="15" x14ac:dyDescent="0.25">
      <c r="B37" s="144" t="s">
        <v>114</v>
      </c>
      <c r="C37" s="147">
        <v>23969</v>
      </c>
      <c r="D37" s="147">
        <v>8657</v>
      </c>
      <c r="E37" s="147">
        <v>24818</v>
      </c>
      <c r="F37" s="147">
        <v>301</v>
      </c>
      <c r="G37" s="148">
        <f>SUM(C37:F37)</f>
        <v>57745</v>
      </c>
      <c r="H37" s="160"/>
      <c r="I37" s="162"/>
      <c r="J37" s="137"/>
      <c r="K37" s="137"/>
      <c r="L37" s="137"/>
      <c r="M37" s="137"/>
    </row>
    <row r="38" spans="2:13" s="30" customFormat="1" ht="15" x14ac:dyDescent="0.25">
      <c r="B38" s="144" t="s">
        <v>115</v>
      </c>
      <c r="C38" s="147">
        <v>36930</v>
      </c>
      <c r="D38" s="147">
        <v>13046</v>
      </c>
      <c r="E38" s="147">
        <v>37325</v>
      </c>
      <c r="F38" s="147">
        <v>289</v>
      </c>
      <c r="G38" s="148">
        <f t="shared" ref="G38:G50" si="4">SUM(C38:F38)</f>
        <v>87590</v>
      </c>
      <c r="H38" s="160"/>
      <c r="I38" s="162"/>
      <c r="J38" s="137"/>
      <c r="K38" s="137"/>
      <c r="L38" s="137"/>
      <c r="M38" s="137"/>
    </row>
    <row r="39" spans="2:13" s="30" customFormat="1" ht="15" x14ac:dyDescent="0.25">
      <c r="B39" s="144" t="s">
        <v>116</v>
      </c>
      <c r="C39" s="147">
        <v>24967</v>
      </c>
      <c r="D39" s="147">
        <v>9180</v>
      </c>
      <c r="E39" s="147">
        <v>28765</v>
      </c>
      <c r="F39" s="147">
        <v>1645</v>
      </c>
      <c r="G39" s="148">
        <f t="shared" si="4"/>
        <v>64557</v>
      </c>
      <c r="H39" s="160"/>
      <c r="I39" s="162"/>
      <c r="J39" s="137"/>
      <c r="K39" s="137"/>
      <c r="L39" s="138"/>
      <c r="M39" s="137"/>
    </row>
    <row r="40" spans="2:13" s="30" customFormat="1" ht="15" x14ac:dyDescent="0.25">
      <c r="B40" s="144" t="s">
        <v>117</v>
      </c>
      <c r="C40" s="147">
        <v>26038</v>
      </c>
      <c r="D40" s="147">
        <v>9415</v>
      </c>
      <c r="E40" s="147">
        <v>31213</v>
      </c>
      <c r="F40" s="147">
        <v>47</v>
      </c>
      <c r="G40" s="148">
        <f t="shared" si="4"/>
        <v>66713</v>
      </c>
      <c r="H40" s="160"/>
      <c r="I40" s="162"/>
      <c r="J40" s="137"/>
      <c r="K40" s="137"/>
      <c r="L40" s="137"/>
      <c r="M40" s="137"/>
    </row>
    <row r="41" spans="2:13" s="30" customFormat="1" ht="15" x14ac:dyDescent="0.25">
      <c r="B41" s="144" t="s">
        <v>118</v>
      </c>
      <c r="C41" s="147">
        <v>27151</v>
      </c>
      <c r="D41" s="147">
        <v>9736</v>
      </c>
      <c r="E41" s="147">
        <v>24651</v>
      </c>
      <c r="F41" s="147">
        <v>0</v>
      </c>
      <c r="G41" s="148">
        <f t="shared" si="4"/>
        <v>61538</v>
      </c>
      <c r="H41" s="160"/>
      <c r="I41" s="162"/>
      <c r="J41" s="137"/>
      <c r="K41" s="137"/>
      <c r="L41" s="137"/>
      <c r="M41" s="137"/>
    </row>
    <row r="42" spans="2:13" s="30" customFormat="1" ht="15" x14ac:dyDescent="0.25">
      <c r="B42" s="144" t="s">
        <v>119</v>
      </c>
      <c r="C42" s="147">
        <v>40989</v>
      </c>
      <c r="D42" s="147">
        <v>14638</v>
      </c>
      <c r="E42" s="147">
        <v>43505</v>
      </c>
      <c r="F42" s="147">
        <v>741</v>
      </c>
      <c r="G42" s="148">
        <f t="shared" si="4"/>
        <v>99873</v>
      </c>
      <c r="H42" s="160"/>
      <c r="I42" s="162"/>
      <c r="J42" s="137"/>
      <c r="K42" s="137"/>
      <c r="L42" s="137"/>
      <c r="M42" s="137"/>
    </row>
    <row r="43" spans="2:13" s="30" customFormat="1" ht="15" x14ac:dyDescent="0.25">
      <c r="B43" s="144" t="s">
        <v>5</v>
      </c>
      <c r="C43" s="147">
        <v>46544</v>
      </c>
      <c r="D43" s="147">
        <v>17306</v>
      </c>
      <c r="E43" s="147">
        <v>43850</v>
      </c>
      <c r="F43" s="147">
        <v>940</v>
      </c>
      <c r="G43" s="148">
        <f t="shared" si="4"/>
        <v>108640</v>
      </c>
      <c r="H43" s="160"/>
      <c r="I43" s="162"/>
      <c r="J43" s="137"/>
      <c r="K43" s="137"/>
      <c r="L43" s="137"/>
      <c r="M43" s="137"/>
    </row>
    <row r="44" spans="2:13" s="30" customFormat="1" ht="15" x14ac:dyDescent="0.25">
      <c r="B44" s="144" t="s">
        <v>120</v>
      </c>
      <c r="C44" s="147">
        <v>41801</v>
      </c>
      <c r="D44" s="147">
        <v>14127</v>
      </c>
      <c r="E44" s="147">
        <v>41427</v>
      </c>
      <c r="F44" s="147">
        <v>465</v>
      </c>
      <c r="G44" s="148">
        <f t="shared" si="4"/>
        <v>97820</v>
      </c>
      <c r="H44" s="160"/>
      <c r="I44" s="162"/>
      <c r="J44" s="137"/>
      <c r="K44" s="137"/>
      <c r="L44" s="137"/>
      <c r="M44" s="137"/>
    </row>
    <row r="45" spans="2:13" s="30" customFormat="1" ht="15" x14ac:dyDescent="0.25">
      <c r="B45" s="144" t="s">
        <v>121</v>
      </c>
      <c r="C45" s="147">
        <v>25994</v>
      </c>
      <c r="D45" s="147">
        <v>9742</v>
      </c>
      <c r="E45" s="147">
        <v>20635</v>
      </c>
      <c r="F45" s="147">
        <v>1772</v>
      </c>
      <c r="G45" s="148">
        <f t="shared" si="4"/>
        <v>58143</v>
      </c>
      <c r="H45" s="160"/>
      <c r="I45" s="162"/>
      <c r="J45" s="137"/>
      <c r="K45" s="137"/>
      <c r="L45" s="137"/>
      <c r="M45" s="137"/>
    </row>
    <row r="46" spans="2:13" s="30" customFormat="1" ht="15" x14ac:dyDescent="0.25">
      <c r="B46" s="144" t="s">
        <v>122</v>
      </c>
      <c r="C46" s="147">
        <v>34630</v>
      </c>
      <c r="D46" s="147">
        <v>11109</v>
      </c>
      <c r="E46" s="147">
        <v>33870</v>
      </c>
      <c r="F46" s="147">
        <v>55</v>
      </c>
      <c r="G46" s="148">
        <f t="shared" si="4"/>
        <v>79664</v>
      </c>
      <c r="H46" s="160"/>
      <c r="I46" s="162"/>
      <c r="J46" s="137"/>
      <c r="K46" s="137"/>
      <c r="L46" s="137"/>
      <c r="M46" s="137"/>
    </row>
    <row r="47" spans="2:13" s="30" customFormat="1" ht="15" x14ac:dyDescent="0.25">
      <c r="B47" s="144" t="s">
        <v>123</v>
      </c>
      <c r="C47" s="147">
        <v>35641</v>
      </c>
      <c r="D47" s="147">
        <v>12956</v>
      </c>
      <c r="E47" s="147">
        <v>37576</v>
      </c>
      <c r="F47" s="147">
        <v>0</v>
      </c>
      <c r="G47" s="148">
        <f t="shared" si="4"/>
        <v>86173</v>
      </c>
      <c r="H47" s="160"/>
      <c r="I47" s="162"/>
      <c r="J47" s="137"/>
      <c r="K47" s="137"/>
      <c r="L47" s="137"/>
      <c r="M47" s="137"/>
    </row>
    <row r="48" spans="2:13" s="30" customFormat="1" ht="15" x14ac:dyDescent="0.25">
      <c r="B48" s="144" t="s">
        <v>124</v>
      </c>
      <c r="C48" s="147">
        <v>27568</v>
      </c>
      <c r="D48" s="147">
        <v>9902</v>
      </c>
      <c r="E48" s="147">
        <v>21572</v>
      </c>
      <c r="F48" s="147">
        <v>0</v>
      </c>
      <c r="G48" s="148">
        <f t="shared" si="4"/>
        <v>59042</v>
      </c>
      <c r="H48" s="160"/>
      <c r="I48" s="162"/>
      <c r="J48" s="137"/>
      <c r="K48" s="137"/>
      <c r="L48" s="137"/>
      <c r="M48" s="137"/>
    </row>
    <row r="49" spans="2:13" s="30" customFormat="1" ht="15" x14ac:dyDescent="0.25">
      <c r="B49" s="144" t="s">
        <v>125</v>
      </c>
      <c r="C49" s="147">
        <v>14700</v>
      </c>
      <c r="D49" s="147">
        <v>5080</v>
      </c>
      <c r="E49" s="147">
        <v>13080</v>
      </c>
      <c r="F49" s="147">
        <v>0</v>
      </c>
      <c r="G49" s="148">
        <f t="shared" si="4"/>
        <v>32860</v>
      </c>
      <c r="H49" s="160"/>
      <c r="I49" s="162"/>
      <c r="J49" s="137"/>
      <c r="K49" s="137"/>
      <c r="L49" s="137"/>
      <c r="M49" s="137"/>
    </row>
    <row r="50" spans="2:13" s="30" customFormat="1" ht="15" x14ac:dyDescent="0.25">
      <c r="B50" s="149" t="s">
        <v>126</v>
      </c>
      <c r="C50" s="152">
        <v>22980</v>
      </c>
      <c r="D50" s="152">
        <v>7899</v>
      </c>
      <c r="E50" s="152">
        <v>19240</v>
      </c>
      <c r="F50" s="152">
        <v>292</v>
      </c>
      <c r="G50" s="148">
        <f t="shared" si="4"/>
        <v>50411</v>
      </c>
      <c r="H50" s="160"/>
      <c r="I50" s="162"/>
      <c r="J50" s="137"/>
      <c r="K50" s="137"/>
      <c r="L50" s="137"/>
      <c r="M50" s="137"/>
    </row>
    <row r="51" spans="2:13" s="30" customFormat="1" ht="20.25" customHeight="1" x14ac:dyDescent="0.25">
      <c r="B51" s="153" t="s">
        <v>129</v>
      </c>
      <c r="C51" s="163">
        <f>SUM(C36:C50)</f>
        <v>430512</v>
      </c>
      <c r="D51" s="163">
        <f t="shared" ref="D51:F51" si="5">SUM(D36:D50)</f>
        <v>153413</v>
      </c>
      <c r="E51" s="163">
        <f t="shared" si="5"/>
        <v>422157</v>
      </c>
      <c r="F51" s="163">
        <f t="shared" si="5"/>
        <v>7187</v>
      </c>
      <c r="G51" s="163">
        <f>SUM(G36:G50)</f>
        <v>1010769</v>
      </c>
      <c r="H51" s="125"/>
      <c r="I51" s="162"/>
      <c r="J51" s="137"/>
      <c r="K51" s="137"/>
      <c r="L51" s="137"/>
      <c r="M51" s="137"/>
    </row>
    <row r="52" spans="2:13" s="30" customFormat="1" ht="15" x14ac:dyDescent="0.25">
      <c r="B52" s="139"/>
      <c r="C52" s="140"/>
      <c r="D52" s="140"/>
      <c r="E52" s="140"/>
      <c r="F52" s="140"/>
      <c r="G52" s="140"/>
      <c r="H52" s="140"/>
      <c r="I52" s="125"/>
      <c r="J52" s="137"/>
      <c r="K52" s="137"/>
      <c r="L52" s="137"/>
      <c r="M52" s="137"/>
    </row>
    <row r="53" spans="2:13" s="30" customFormat="1" ht="15" x14ac:dyDescent="0.25">
      <c r="B53" s="139"/>
      <c r="C53" s="140"/>
      <c r="D53" s="140"/>
      <c r="E53" s="140"/>
      <c r="F53" s="140"/>
      <c r="G53" s="140"/>
      <c r="H53" s="140"/>
      <c r="I53" s="125"/>
      <c r="J53" s="137"/>
      <c r="K53" s="137"/>
      <c r="L53" s="137"/>
      <c r="M53" s="137"/>
    </row>
    <row r="54" spans="2:13" s="30" customFormat="1" ht="15" x14ac:dyDescent="0.25">
      <c r="B54" s="125"/>
      <c r="C54" s="125"/>
      <c r="D54" s="125"/>
      <c r="E54" s="125"/>
      <c r="F54" s="125"/>
      <c r="G54" s="125"/>
      <c r="H54" s="125"/>
      <c r="I54" s="125"/>
      <c r="J54" s="135"/>
      <c r="K54" s="126"/>
      <c r="L54" s="131"/>
      <c r="M54" s="131"/>
    </row>
    <row r="55" spans="2:13" s="30" customFormat="1" ht="21.75" customHeight="1" x14ac:dyDescent="0.25">
      <c r="B55" s="570" t="s">
        <v>131</v>
      </c>
      <c r="C55" s="570"/>
      <c r="D55" s="570"/>
      <c r="E55" s="570"/>
      <c r="F55" s="570"/>
      <c r="G55" s="570"/>
      <c r="H55" s="570"/>
      <c r="I55" s="125"/>
      <c r="J55" s="135"/>
      <c r="K55" s="126"/>
      <c r="L55" s="131"/>
      <c r="M55" s="131"/>
    </row>
    <row r="56" spans="2:13" s="30" customFormat="1" ht="15" x14ac:dyDescent="0.25">
      <c r="B56" s="125"/>
      <c r="C56" s="125"/>
      <c r="D56" s="125"/>
      <c r="E56" s="125"/>
      <c r="F56" s="125"/>
      <c r="G56" s="125"/>
      <c r="H56" s="127"/>
      <c r="I56" s="125"/>
      <c r="J56" s="125"/>
      <c r="K56" s="126"/>
      <c r="L56" s="131"/>
      <c r="M56" s="131"/>
    </row>
    <row r="57" spans="2:13" s="30" customFormat="1" ht="15" x14ac:dyDescent="0.25">
      <c r="B57" s="571" t="s">
        <v>111</v>
      </c>
      <c r="C57" s="569" t="s">
        <v>52</v>
      </c>
      <c r="D57" s="569"/>
      <c r="E57" s="569"/>
      <c r="F57" s="569"/>
      <c r="G57" s="569"/>
      <c r="H57" s="136"/>
      <c r="I57" s="125"/>
      <c r="J57" s="125"/>
      <c r="K57" s="141"/>
      <c r="L57" s="131"/>
      <c r="M57" s="131"/>
    </row>
    <row r="58" spans="2:13" s="30" customFormat="1" ht="15" x14ac:dyDescent="0.25">
      <c r="B58" s="572"/>
      <c r="C58" s="161">
        <v>610</v>
      </c>
      <c r="D58" s="161">
        <v>620</v>
      </c>
      <c r="E58" s="161">
        <v>630</v>
      </c>
      <c r="F58" s="161">
        <v>640</v>
      </c>
      <c r="G58" s="161" t="s">
        <v>97</v>
      </c>
      <c r="H58" s="125"/>
      <c r="I58" s="125"/>
      <c r="J58" s="126"/>
      <c r="K58" s="131"/>
      <c r="L58" s="131"/>
      <c r="M58" s="131"/>
    </row>
    <row r="59" spans="2:13" s="30" customFormat="1" ht="15" x14ac:dyDescent="0.25">
      <c r="B59" s="144" t="s">
        <v>114</v>
      </c>
      <c r="C59" s="164">
        <f>C37+E10</f>
        <v>135556</v>
      </c>
      <c r="D59" s="164">
        <f t="shared" ref="D59:F64" si="6">D37+F10</f>
        <v>49027</v>
      </c>
      <c r="E59" s="164">
        <f t="shared" si="6"/>
        <v>64828</v>
      </c>
      <c r="F59" s="164">
        <f t="shared" si="6"/>
        <v>1843</v>
      </c>
      <c r="G59" s="165">
        <f>SUM(C59:F59)</f>
        <v>251254</v>
      </c>
      <c r="H59" s="125"/>
      <c r="I59" s="125"/>
      <c r="J59" s="126"/>
      <c r="K59" s="131"/>
      <c r="L59" s="131"/>
      <c r="M59" s="131"/>
    </row>
    <row r="60" spans="2:13" s="30" customFormat="1" ht="15" x14ac:dyDescent="0.25">
      <c r="B60" s="144" t="s">
        <v>115</v>
      </c>
      <c r="C60" s="164">
        <f t="shared" ref="C60:C64" si="7">C38+E11</f>
        <v>253430</v>
      </c>
      <c r="D60" s="164">
        <f t="shared" si="6"/>
        <v>92207</v>
      </c>
      <c r="E60" s="164">
        <f t="shared" si="6"/>
        <v>95921</v>
      </c>
      <c r="F60" s="164">
        <f t="shared" si="6"/>
        <v>19018</v>
      </c>
      <c r="G60" s="165">
        <f t="shared" ref="G60:G74" si="8">SUM(C60:F60)</f>
        <v>460576</v>
      </c>
      <c r="H60" s="125"/>
      <c r="I60" s="125"/>
      <c r="J60" s="126"/>
      <c r="K60" s="131"/>
      <c r="L60" s="131"/>
      <c r="M60" s="131"/>
    </row>
    <row r="61" spans="2:13" s="30" customFormat="1" ht="15" x14ac:dyDescent="0.25">
      <c r="B61" s="144" t="s">
        <v>116</v>
      </c>
      <c r="C61" s="164">
        <f t="shared" si="7"/>
        <v>143896</v>
      </c>
      <c r="D61" s="164">
        <f t="shared" si="6"/>
        <v>51564</v>
      </c>
      <c r="E61" s="164">
        <f t="shared" si="6"/>
        <v>87624</v>
      </c>
      <c r="F61" s="164">
        <f t="shared" si="6"/>
        <v>3845</v>
      </c>
      <c r="G61" s="165">
        <f t="shared" si="8"/>
        <v>286929</v>
      </c>
      <c r="H61" s="125"/>
      <c r="I61" s="125"/>
      <c r="J61" s="126"/>
      <c r="K61" s="131"/>
      <c r="L61" s="131"/>
      <c r="M61" s="131"/>
    </row>
    <row r="62" spans="2:13" s="30" customFormat="1" ht="15" x14ac:dyDescent="0.25">
      <c r="B62" s="144" t="s">
        <v>117</v>
      </c>
      <c r="C62" s="164">
        <f t="shared" si="7"/>
        <v>159633</v>
      </c>
      <c r="D62" s="164">
        <f t="shared" si="6"/>
        <v>58020</v>
      </c>
      <c r="E62" s="164">
        <f t="shared" si="6"/>
        <v>90552</v>
      </c>
      <c r="F62" s="164">
        <f t="shared" si="6"/>
        <v>1757</v>
      </c>
      <c r="G62" s="165">
        <f t="shared" si="8"/>
        <v>309962</v>
      </c>
      <c r="H62" s="125"/>
      <c r="I62" s="125"/>
      <c r="J62" s="126"/>
      <c r="K62" s="131"/>
      <c r="L62" s="131"/>
      <c r="M62" s="131"/>
    </row>
    <row r="63" spans="2:13" s="30" customFormat="1" ht="15" x14ac:dyDescent="0.25">
      <c r="B63" s="144" t="s">
        <v>118</v>
      </c>
      <c r="C63" s="164">
        <f t="shared" si="7"/>
        <v>165503</v>
      </c>
      <c r="D63" s="164">
        <f t="shared" si="6"/>
        <v>61422</v>
      </c>
      <c r="E63" s="164">
        <f t="shared" si="6"/>
        <v>82700</v>
      </c>
      <c r="F63" s="164">
        <f t="shared" si="6"/>
        <v>1060</v>
      </c>
      <c r="G63" s="165">
        <f t="shared" si="8"/>
        <v>310685</v>
      </c>
      <c r="H63" s="125"/>
      <c r="I63" s="125"/>
      <c r="J63" s="126"/>
      <c r="K63" s="131"/>
      <c r="L63" s="131"/>
      <c r="M63" s="131"/>
    </row>
    <row r="64" spans="2:13" s="30" customFormat="1" ht="15" x14ac:dyDescent="0.25">
      <c r="B64" s="144" t="s">
        <v>119</v>
      </c>
      <c r="C64" s="164">
        <f t="shared" si="7"/>
        <v>261404</v>
      </c>
      <c r="D64" s="164">
        <f t="shared" si="6"/>
        <v>93224</v>
      </c>
      <c r="E64" s="164">
        <f t="shared" si="6"/>
        <v>111400</v>
      </c>
      <c r="F64" s="164">
        <f t="shared" si="6"/>
        <v>4949</v>
      </c>
      <c r="G64" s="165">
        <f t="shared" si="8"/>
        <v>470977</v>
      </c>
      <c r="H64" s="125"/>
      <c r="I64" s="125"/>
      <c r="J64" s="126"/>
      <c r="K64" s="131"/>
      <c r="L64" s="131"/>
      <c r="M64" s="131"/>
    </row>
    <row r="65" spans="2:13" s="30" customFormat="1" ht="15" x14ac:dyDescent="0.25">
      <c r="B65" s="144" t="s">
        <v>5</v>
      </c>
      <c r="C65" s="164">
        <f>E28+C43</f>
        <v>407774</v>
      </c>
      <c r="D65" s="164">
        <f t="shared" ref="D65:F65" si="9">F28+D43</f>
        <v>147921</v>
      </c>
      <c r="E65" s="164">
        <f t="shared" si="9"/>
        <v>171243</v>
      </c>
      <c r="F65" s="164">
        <f t="shared" si="9"/>
        <v>8422</v>
      </c>
      <c r="G65" s="165">
        <f t="shared" si="8"/>
        <v>735360</v>
      </c>
      <c r="H65" s="125"/>
      <c r="I65" s="125"/>
      <c r="J65" s="126"/>
      <c r="K65" s="131"/>
      <c r="L65" s="131"/>
      <c r="M65" s="131"/>
    </row>
    <row r="66" spans="2:13" s="30" customFormat="1" ht="15" x14ac:dyDescent="0.25">
      <c r="B66" s="144" t="s">
        <v>120</v>
      </c>
      <c r="C66" s="164">
        <f>E16+C44</f>
        <v>242797</v>
      </c>
      <c r="D66" s="164">
        <f t="shared" ref="D66:F72" si="10">F16+D44</f>
        <v>86896</v>
      </c>
      <c r="E66" s="164">
        <f t="shared" si="10"/>
        <v>131457</v>
      </c>
      <c r="F66" s="164">
        <f t="shared" si="10"/>
        <v>3175</v>
      </c>
      <c r="G66" s="165">
        <f t="shared" si="8"/>
        <v>464325</v>
      </c>
      <c r="H66" s="125"/>
      <c r="I66" s="125"/>
      <c r="J66" s="126"/>
      <c r="K66" s="131"/>
      <c r="L66" s="131"/>
      <c r="M66" s="131"/>
    </row>
    <row r="67" spans="2:13" s="30" customFormat="1" ht="15" x14ac:dyDescent="0.25">
      <c r="B67" s="144" t="s">
        <v>121</v>
      </c>
      <c r="C67" s="164">
        <f t="shared" ref="C67:C72" si="11">E17+C45</f>
        <v>164569</v>
      </c>
      <c r="D67" s="164">
        <f t="shared" si="10"/>
        <v>62696</v>
      </c>
      <c r="E67" s="164">
        <f t="shared" si="10"/>
        <v>53744</v>
      </c>
      <c r="F67" s="164">
        <f t="shared" si="10"/>
        <v>4338</v>
      </c>
      <c r="G67" s="165">
        <f t="shared" si="8"/>
        <v>285347</v>
      </c>
      <c r="H67" s="125"/>
      <c r="I67" s="125"/>
      <c r="J67" s="126"/>
      <c r="K67" s="131"/>
      <c r="L67" s="131"/>
      <c r="M67" s="131"/>
    </row>
    <row r="68" spans="2:13" s="30" customFormat="1" ht="15" x14ac:dyDescent="0.25">
      <c r="B68" s="144" t="s">
        <v>122</v>
      </c>
      <c r="C68" s="164">
        <f t="shared" si="11"/>
        <v>236080</v>
      </c>
      <c r="D68" s="164">
        <f t="shared" si="10"/>
        <v>86273</v>
      </c>
      <c r="E68" s="164">
        <f t="shared" si="10"/>
        <v>114944</v>
      </c>
      <c r="F68" s="164">
        <f t="shared" si="10"/>
        <v>12923</v>
      </c>
      <c r="G68" s="165">
        <f t="shared" si="8"/>
        <v>450220</v>
      </c>
      <c r="H68" s="125"/>
      <c r="I68" s="125"/>
      <c r="J68" s="131"/>
      <c r="K68" s="131"/>
    </row>
    <row r="69" spans="2:13" s="30" customFormat="1" ht="15" x14ac:dyDescent="0.25">
      <c r="B69" s="144" t="s">
        <v>123</v>
      </c>
      <c r="C69" s="164">
        <f t="shared" si="11"/>
        <v>246962</v>
      </c>
      <c r="D69" s="164">
        <f t="shared" si="10"/>
        <v>93587</v>
      </c>
      <c r="E69" s="164">
        <f t="shared" si="10"/>
        <v>106188</v>
      </c>
      <c r="F69" s="164">
        <f t="shared" si="10"/>
        <v>4113</v>
      </c>
      <c r="G69" s="165">
        <f t="shared" si="8"/>
        <v>450850</v>
      </c>
      <c r="H69" s="125"/>
      <c r="I69" s="125"/>
      <c r="J69" s="131"/>
      <c r="K69" s="131"/>
    </row>
    <row r="70" spans="2:13" s="30" customFormat="1" ht="15" x14ac:dyDescent="0.25">
      <c r="B70" s="144" t="s">
        <v>124</v>
      </c>
      <c r="C70" s="164">
        <f t="shared" si="11"/>
        <v>176331</v>
      </c>
      <c r="D70" s="164">
        <f t="shared" si="10"/>
        <v>63271</v>
      </c>
      <c r="E70" s="164">
        <f t="shared" si="10"/>
        <v>69405</v>
      </c>
      <c r="F70" s="164">
        <f t="shared" si="10"/>
        <v>2558</v>
      </c>
      <c r="G70" s="165">
        <f t="shared" si="8"/>
        <v>311565</v>
      </c>
      <c r="H70" s="125"/>
      <c r="I70" s="125"/>
      <c r="J70" s="131"/>
      <c r="K70" s="131"/>
    </row>
    <row r="71" spans="2:13" s="30" customFormat="1" ht="15" x14ac:dyDescent="0.25">
      <c r="B71" s="144" t="s">
        <v>125</v>
      </c>
      <c r="C71" s="164">
        <f t="shared" si="11"/>
        <v>88783</v>
      </c>
      <c r="D71" s="164">
        <f t="shared" si="10"/>
        <v>32963</v>
      </c>
      <c r="E71" s="164">
        <f t="shared" si="10"/>
        <v>31446</v>
      </c>
      <c r="F71" s="164">
        <f t="shared" si="10"/>
        <v>2653</v>
      </c>
      <c r="G71" s="165">
        <f t="shared" si="8"/>
        <v>155845</v>
      </c>
      <c r="H71" s="125"/>
      <c r="I71" s="125"/>
      <c r="J71" s="131"/>
      <c r="K71" s="131"/>
    </row>
    <row r="72" spans="2:13" s="30" customFormat="1" ht="15" x14ac:dyDescent="0.25">
      <c r="B72" s="144" t="s">
        <v>126</v>
      </c>
      <c r="C72" s="164">
        <f t="shared" si="11"/>
        <v>110874</v>
      </c>
      <c r="D72" s="164">
        <f t="shared" si="10"/>
        <v>41408</v>
      </c>
      <c r="E72" s="164">
        <f t="shared" si="10"/>
        <v>39003</v>
      </c>
      <c r="F72" s="164">
        <f t="shared" si="10"/>
        <v>669</v>
      </c>
      <c r="G72" s="165">
        <f t="shared" si="8"/>
        <v>191954</v>
      </c>
      <c r="H72" s="125"/>
      <c r="I72" s="125"/>
      <c r="J72" s="131"/>
      <c r="K72" s="131"/>
    </row>
    <row r="73" spans="2:13" s="30" customFormat="1" ht="15" x14ac:dyDescent="0.25">
      <c r="B73" s="144" t="s">
        <v>127</v>
      </c>
      <c r="C73" s="164">
        <f>E23</f>
        <v>84006</v>
      </c>
      <c r="D73" s="164">
        <f t="shared" ref="D73:F74" si="12">F23</f>
        <v>28904</v>
      </c>
      <c r="E73" s="164">
        <f t="shared" si="12"/>
        <v>34317</v>
      </c>
      <c r="F73" s="164">
        <f t="shared" si="12"/>
        <v>485</v>
      </c>
      <c r="G73" s="165">
        <f t="shared" si="8"/>
        <v>147712</v>
      </c>
      <c r="H73" s="125"/>
      <c r="I73" s="125"/>
      <c r="J73" s="131"/>
      <c r="K73" s="131"/>
    </row>
    <row r="74" spans="2:13" s="30" customFormat="1" ht="15" x14ac:dyDescent="0.25">
      <c r="B74" s="149" t="s">
        <v>128</v>
      </c>
      <c r="C74" s="164">
        <f>E24</f>
        <v>248042</v>
      </c>
      <c r="D74" s="164">
        <f t="shared" si="12"/>
        <v>90236</v>
      </c>
      <c r="E74" s="164">
        <f t="shared" si="12"/>
        <v>85466</v>
      </c>
      <c r="F74" s="164">
        <f t="shared" si="12"/>
        <v>2741</v>
      </c>
      <c r="G74" s="165">
        <f t="shared" si="8"/>
        <v>426485</v>
      </c>
      <c r="H74" s="125"/>
      <c r="I74" s="125"/>
      <c r="J74" s="131"/>
      <c r="K74" s="131"/>
    </row>
    <row r="75" spans="2:13" s="133" customFormat="1" ht="21.75" customHeight="1" x14ac:dyDescent="0.25">
      <c r="B75" s="153" t="s">
        <v>129</v>
      </c>
      <c r="C75" s="163">
        <f>SUM(C59:C74)</f>
        <v>3125640</v>
      </c>
      <c r="D75" s="163">
        <f t="shared" ref="D75:G75" si="13">SUM(D59:D74)</f>
        <v>1139619</v>
      </c>
      <c r="E75" s="163">
        <f t="shared" si="13"/>
        <v>1370238</v>
      </c>
      <c r="F75" s="163">
        <f t="shared" si="13"/>
        <v>74549</v>
      </c>
      <c r="G75" s="163">
        <f t="shared" si="13"/>
        <v>5710046</v>
      </c>
      <c r="I75" s="142"/>
      <c r="J75" s="142"/>
      <c r="K75" s="142"/>
    </row>
    <row r="76" spans="2:13" s="30" customFormat="1" ht="15" x14ac:dyDescent="0.25">
      <c r="B76" s="125"/>
      <c r="C76" s="125"/>
      <c r="D76" s="125"/>
      <c r="E76" s="125"/>
      <c r="F76" s="125"/>
      <c r="G76" s="125"/>
      <c r="H76" s="125"/>
      <c r="I76" s="135"/>
      <c r="J76" s="125"/>
      <c r="K76" s="131"/>
    </row>
    <row r="77" spans="2:13" s="30" customFormat="1" ht="12" customHeight="1" x14ac:dyDescent="0.25">
      <c r="B77" s="125"/>
      <c r="C77" s="135"/>
      <c r="D77" s="135"/>
      <c r="E77" s="135"/>
      <c r="F77" s="135"/>
      <c r="G77" s="135"/>
      <c r="H77" s="135"/>
      <c r="I77" s="125"/>
      <c r="J77" s="125"/>
      <c r="K77" s="131"/>
    </row>
    <row r="78" spans="2:13" s="30" customFormat="1" ht="15" x14ac:dyDescent="0.25">
      <c r="B78" s="125"/>
      <c r="C78" s="125"/>
      <c r="D78" s="125"/>
      <c r="E78" s="125"/>
      <c r="F78" s="135"/>
      <c r="G78" s="135"/>
      <c r="H78" s="125"/>
      <c r="I78" s="125"/>
      <c r="J78" s="125"/>
      <c r="K78" s="131"/>
    </row>
    <row r="79" spans="2:13" s="30" customFormat="1" ht="15" x14ac:dyDescent="0.25">
      <c r="B79" s="125"/>
      <c r="C79" s="125"/>
      <c r="D79" s="125"/>
      <c r="E79" s="125"/>
      <c r="F79" s="125"/>
      <c r="G79" s="135"/>
      <c r="H79" s="125"/>
      <c r="I79" s="125"/>
      <c r="J79" s="125"/>
      <c r="K79" s="131"/>
    </row>
    <row r="87" spans="4:4" x14ac:dyDescent="0.2">
      <c r="D87" s="135"/>
    </row>
  </sheetData>
  <mergeCells count="15">
    <mergeCell ref="C35:G35"/>
    <mergeCell ref="B55:H55"/>
    <mergeCell ref="B57:B58"/>
    <mergeCell ref="C57:G57"/>
    <mergeCell ref="B3:I3"/>
    <mergeCell ref="B7:B9"/>
    <mergeCell ref="C7:C9"/>
    <mergeCell ref="D7:D9"/>
    <mergeCell ref="E7:I7"/>
    <mergeCell ref="E8:E9"/>
    <mergeCell ref="F8:F9"/>
    <mergeCell ref="G8:G9"/>
    <mergeCell ref="H8:H9"/>
    <mergeCell ref="I8:I9"/>
    <mergeCell ref="B35:B36"/>
  </mergeCells>
  <pageMargins left="0.43307086614173229" right="0.23622047244094491" top="0.55118110236220474" bottom="0.55118110236220474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7:P375"/>
  <sheetViews>
    <sheetView workbookViewId="0">
      <selection activeCell="C14" sqref="C14"/>
    </sheetView>
  </sheetViews>
  <sheetFormatPr defaultRowHeight="12.75" x14ac:dyDescent="0.2"/>
  <cols>
    <col min="1" max="1" width="5.42578125" style="52" customWidth="1"/>
    <col min="2" max="2" width="24" style="52" customWidth="1"/>
    <col min="3" max="3" width="12.140625" style="52" customWidth="1"/>
    <col min="4" max="4" width="13" style="52" customWidth="1"/>
    <col min="5" max="5" width="11" style="52" customWidth="1"/>
    <col min="6" max="6" width="12" style="52" bestFit="1" customWidth="1"/>
    <col min="7" max="7" width="11.140625" style="52" customWidth="1"/>
    <col min="8" max="8" width="10.85546875" style="52" customWidth="1"/>
    <col min="9" max="9" width="11.42578125" style="52" customWidth="1"/>
    <col min="10" max="10" width="10.85546875" style="52" customWidth="1"/>
    <col min="11" max="11" width="10.28515625" style="52" customWidth="1"/>
    <col min="12" max="12" width="11.5703125" style="52" customWidth="1"/>
    <col min="13" max="13" width="12" style="52" customWidth="1"/>
    <col min="14" max="14" width="12.5703125" style="52" customWidth="1"/>
    <col min="15" max="15" width="13.5703125" style="52" customWidth="1"/>
    <col min="16" max="16" width="9.140625" style="52" customWidth="1"/>
    <col min="17" max="16384" width="9.140625" style="52"/>
  </cols>
  <sheetData>
    <row r="7" spans="2:10" ht="18.75" x14ac:dyDescent="0.3">
      <c r="B7" s="166" t="s">
        <v>132</v>
      </c>
      <c r="J7" s="52" t="s">
        <v>133</v>
      </c>
    </row>
    <row r="8" spans="2:10" ht="14.25" customHeight="1" x14ac:dyDescent="0.2"/>
    <row r="9" spans="2:10" s="93" customFormat="1" ht="22.5" customHeight="1" x14ac:dyDescent="0.25">
      <c r="B9" s="568" t="s">
        <v>101</v>
      </c>
      <c r="C9" s="568"/>
      <c r="D9" s="568"/>
      <c r="E9" s="568"/>
      <c r="F9" s="167"/>
    </row>
    <row r="10" spans="2:10" x14ac:dyDescent="0.2">
      <c r="B10" s="558" t="s">
        <v>134</v>
      </c>
      <c r="C10" s="558"/>
      <c r="D10" s="558"/>
      <c r="E10" s="39">
        <v>45102.65</v>
      </c>
      <c r="F10" s="75"/>
    </row>
    <row r="11" spans="2:10" x14ac:dyDescent="0.2">
      <c r="B11" s="558" t="s">
        <v>135</v>
      </c>
      <c r="C11" s="558"/>
      <c r="D11" s="558"/>
      <c r="E11" s="39">
        <v>60871.199999999997</v>
      </c>
      <c r="F11" s="75"/>
    </row>
    <row r="12" spans="2:10" x14ac:dyDescent="0.2">
      <c r="B12" s="558" t="s">
        <v>136</v>
      </c>
      <c r="C12" s="558"/>
      <c r="D12" s="558"/>
      <c r="E12" s="39">
        <v>26969.27</v>
      </c>
      <c r="F12" s="75"/>
    </row>
    <row r="13" spans="2:10" s="114" customFormat="1" x14ac:dyDescent="0.25">
      <c r="B13" s="582" t="s">
        <v>105</v>
      </c>
      <c r="C13" s="582"/>
      <c r="D13" s="582"/>
      <c r="E13" s="191">
        <v>152241.95000000001</v>
      </c>
      <c r="F13" s="168"/>
    </row>
    <row r="14" spans="2:10" s="114" customFormat="1" x14ac:dyDescent="0.25">
      <c r="B14" s="74" t="s">
        <v>49</v>
      </c>
      <c r="C14" s="74"/>
      <c r="D14" s="74"/>
      <c r="E14" s="191">
        <v>0</v>
      </c>
      <c r="F14" s="168"/>
    </row>
    <row r="15" spans="2:10" s="114" customFormat="1" ht="13.5" customHeight="1" x14ac:dyDescent="0.25">
      <c r="B15" s="582" t="s">
        <v>138</v>
      </c>
      <c r="C15" s="582"/>
      <c r="D15" s="582"/>
      <c r="E15" s="191">
        <v>3443</v>
      </c>
      <c r="F15" s="168"/>
    </row>
    <row r="16" spans="2:10" s="93" customFormat="1" ht="16.5" customHeight="1" x14ac:dyDescent="0.25">
      <c r="B16" s="566" t="s">
        <v>97</v>
      </c>
      <c r="C16" s="566"/>
      <c r="D16" s="566"/>
      <c r="E16" s="120">
        <f>SUM(E10:E15)</f>
        <v>288628.07</v>
      </c>
      <c r="F16" s="83"/>
    </row>
    <row r="17" spans="2:15" s="30" customFormat="1" ht="1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5" s="86" customFormat="1" ht="51" x14ac:dyDescent="0.25">
      <c r="B18" s="68" t="s">
        <v>52</v>
      </c>
      <c r="C18" s="581" t="s">
        <v>596</v>
      </c>
      <c r="D18" s="581"/>
      <c r="E18" s="581" t="s">
        <v>597</v>
      </c>
      <c r="F18" s="581"/>
      <c r="G18" s="192" t="s">
        <v>598</v>
      </c>
      <c r="H18" s="69" t="s">
        <v>599</v>
      </c>
      <c r="I18" s="108" t="s">
        <v>97</v>
      </c>
    </row>
    <row r="19" spans="2:15" s="86" customFormat="1" x14ac:dyDescent="0.25">
      <c r="B19" s="182"/>
      <c r="C19" s="193" t="s">
        <v>321</v>
      </c>
      <c r="D19" s="193" t="s">
        <v>323</v>
      </c>
      <c r="E19" s="193" t="s">
        <v>330</v>
      </c>
      <c r="F19" s="193" t="s">
        <v>332</v>
      </c>
      <c r="G19" s="193" t="s">
        <v>325</v>
      </c>
      <c r="H19" s="193" t="s">
        <v>341</v>
      </c>
      <c r="I19" s="170"/>
    </row>
    <row r="20" spans="2:15" s="30" customFormat="1" ht="15" x14ac:dyDescent="0.25">
      <c r="B20" s="194" t="s">
        <v>53</v>
      </c>
      <c r="C20" s="40">
        <v>433771</v>
      </c>
      <c r="D20" s="40">
        <v>804219.28</v>
      </c>
      <c r="E20" s="40">
        <v>54324</v>
      </c>
      <c r="F20" s="40">
        <v>84887</v>
      </c>
      <c r="G20" s="40">
        <v>152170</v>
      </c>
      <c r="H20" s="40"/>
      <c r="I20" s="195">
        <f t="shared" ref="I20:I32" si="0">C20+D20+E20+F20+G20+H20</f>
        <v>1529371.28</v>
      </c>
      <c r="J20" s="52"/>
      <c r="K20" s="52"/>
      <c r="L20" s="52"/>
      <c r="M20" s="52"/>
    </row>
    <row r="21" spans="2:15" s="30" customFormat="1" ht="15" x14ac:dyDescent="0.25">
      <c r="B21" s="194" t="s">
        <v>54</v>
      </c>
      <c r="C21" s="40">
        <v>152552</v>
      </c>
      <c r="D21" s="40">
        <v>284279.78999999998</v>
      </c>
      <c r="E21" s="40">
        <v>19249</v>
      </c>
      <c r="F21" s="40">
        <v>30064</v>
      </c>
      <c r="G21" s="40">
        <v>56053</v>
      </c>
      <c r="H21" s="40"/>
      <c r="I21" s="195">
        <f t="shared" si="0"/>
        <v>542197.79</v>
      </c>
      <c r="J21" s="52"/>
      <c r="K21" s="52"/>
      <c r="L21" s="52"/>
      <c r="M21" s="52"/>
    </row>
    <row r="22" spans="2:15" s="30" customFormat="1" ht="15" x14ac:dyDescent="0.25">
      <c r="B22" s="194" t="s">
        <v>55</v>
      </c>
      <c r="C22" s="40">
        <f t="shared" ref="C22:H22" si="1">SUM(C23:C29)</f>
        <v>106514.45999999999</v>
      </c>
      <c r="D22" s="40">
        <f t="shared" si="1"/>
        <v>318147.08</v>
      </c>
      <c r="E22" s="40">
        <f t="shared" si="1"/>
        <v>17506</v>
      </c>
      <c r="F22" s="40">
        <f t="shared" si="1"/>
        <v>183828.05</v>
      </c>
      <c r="G22" s="40">
        <f t="shared" si="1"/>
        <v>19800</v>
      </c>
      <c r="H22" s="40">
        <f t="shared" si="1"/>
        <v>0</v>
      </c>
      <c r="I22" s="195">
        <f t="shared" si="0"/>
        <v>645795.59000000008</v>
      </c>
      <c r="J22" s="52"/>
      <c r="K22" s="52"/>
      <c r="L22" s="52"/>
      <c r="M22" s="52"/>
    </row>
    <row r="23" spans="2:15" s="30" customFormat="1" ht="15" x14ac:dyDescent="0.25">
      <c r="B23" s="74" t="s">
        <v>66</v>
      </c>
      <c r="C23" s="39">
        <v>39.950000000000003</v>
      </c>
      <c r="D23" s="39">
        <v>125</v>
      </c>
      <c r="E23" s="39">
        <v>0</v>
      </c>
      <c r="F23" s="39">
        <v>0</v>
      </c>
      <c r="G23" s="39">
        <v>0</v>
      </c>
      <c r="H23" s="39"/>
      <c r="I23" s="110">
        <f t="shared" si="0"/>
        <v>164.95</v>
      </c>
      <c r="J23" s="52"/>
      <c r="K23" s="52"/>
      <c r="L23" s="52"/>
      <c r="M23" s="52"/>
    </row>
    <row r="24" spans="2:15" s="30" customFormat="1" ht="15" x14ac:dyDescent="0.25">
      <c r="B24" s="74" t="s">
        <v>56</v>
      </c>
      <c r="C24" s="39">
        <v>46426.42</v>
      </c>
      <c r="D24" s="39">
        <v>184567.73</v>
      </c>
      <c r="E24" s="39">
        <v>7360</v>
      </c>
      <c r="F24" s="39">
        <v>6929</v>
      </c>
      <c r="G24" s="39">
        <v>5544</v>
      </c>
      <c r="H24" s="39"/>
      <c r="I24" s="110">
        <f t="shared" si="0"/>
        <v>250827.15000000002</v>
      </c>
      <c r="J24" s="52"/>
      <c r="K24" s="52"/>
      <c r="L24" s="52"/>
      <c r="M24" s="52"/>
    </row>
    <row r="25" spans="2:15" s="30" customFormat="1" ht="15" x14ac:dyDescent="0.25">
      <c r="B25" s="74" t="s">
        <v>57</v>
      </c>
      <c r="C25" s="39">
        <v>30211.99</v>
      </c>
      <c r="D25" s="39">
        <v>58331.24</v>
      </c>
      <c r="E25" s="39">
        <v>4050</v>
      </c>
      <c r="F25" s="39">
        <v>146227.10999999999</v>
      </c>
      <c r="G25" s="39">
        <v>4092</v>
      </c>
      <c r="H25" s="39"/>
      <c r="I25" s="110">
        <f t="shared" si="0"/>
        <v>242912.33999999997</v>
      </c>
      <c r="J25" s="52"/>
      <c r="K25" s="52"/>
      <c r="L25" s="52"/>
      <c r="M25" s="52"/>
    </row>
    <row r="26" spans="2:15" s="30" customFormat="1" ht="15" x14ac:dyDescent="0.25">
      <c r="B26" s="74" t="s">
        <v>58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/>
      <c r="I26" s="110">
        <f t="shared" si="0"/>
        <v>0</v>
      </c>
      <c r="J26" s="52"/>
      <c r="K26" s="52"/>
      <c r="L26" s="52"/>
      <c r="M26" s="52"/>
    </row>
    <row r="27" spans="2:15" s="30" customFormat="1" ht="15" x14ac:dyDescent="0.25">
      <c r="B27" s="74" t="s">
        <v>59</v>
      </c>
      <c r="C27" s="39">
        <v>5922.28</v>
      </c>
      <c r="D27" s="39">
        <v>18967.78</v>
      </c>
      <c r="E27" s="39">
        <v>3366</v>
      </c>
      <c r="F27" s="39">
        <v>6169</v>
      </c>
      <c r="G27" s="39">
        <v>4828</v>
      </c>
      <c r="H27" s="39"/>
      <c r="I27" s="110">
        <f t="shared" si="0"/>
        <v>39253.06</v>
      </c>
      <c r="J27" s="52"/>
      <c r="K27" s="52"/>
      <c r="L27" s="52"/>
      <c r="M27" s="52"/>
    </row>
    <row r="28" spans="2:15" s="30" customFormat="1" ht="15" x14ac:dyDescent="0.25">
      <c r="B28" s="74" t="s">
        <v>60</v>
      </c>
      <c r="C28" s="39">
        <v>1500</v>
      </c>
      <c r="D28" s="39">
        <v>2626.2</v>
      </c>
      <c r="E28" s="39">
        <v>0</v>
      </c>
      <c r="F28" s="39">
        <v>0</v>
      </c>
      <c r="G28" s="39">
        <v>0</v>
      </c>
      <c r="H28" s="39"/>
      <c r="I28" s="110">
        <f t="shared" si="0"/>
        <v>4126.2</v>
      </c>
      <c r="J28" s="52"/>
      <c r="K28" s="52"/>
      <c r="L28" s="52"/>
      <c r="M28" s="52"/>
    </row>
    <row r="29" spans="2:15" s="30" customFormat="1" ht="15" x14ac:dyDescent="0.25">
      <c r="B29" s="74" t="s">
        <v>61</v>
      </c>
      <c r="C29" s="39">
        <v>22413.82</v>
      </c>
      <c r="D29" s="39">
        <v>53529.13</v>
      </c>
      <c r="E29" s="39">
        <v>2730</v>
      </c>
      <c r="F29" s="39">
        <v>24502.94</v>
      </c>
      <c r="G29" s="39">
        <v>5336</v>
      </c>
      <c r="H29" s="39"/>
      <c r="I29" s="110">
        <f t="shared" si="0"/>
        <v>108511.89</v>
      </c>
      <c r="J29" s="52"/>
      <c r="K29" s="52"/>
      <c r="L29" s="52"/>
      <c r="M29" s="52"/>
    </row>
    <row r="30" spans="2:15" s="30" customFormat="1" ht="15" x14ac:dyDescent="0.25">
      <c r="B30" s="194" t="s">
        <v>62</v>
      </c>
      <c r="C30" s="40">
        <v>15938</v>
      </c>
      <c r="D30" s="40">
        <v>8804</v>
      </c>
      <c r="E30" s="40">
        <v>971</v>
      </c>
      <c r="F30" s="40">
        <v>1566</v>
      </c>
      <c r="G30" s="40">
        <v>1201</v>
      </c>
      <c r="H30" s="40">
        <v>66.400000000000006</v>
      </c>
      <c r="I30" s="195">
        <f t="shared" si="0"/>
        <v>28546.400000000001</v>
      </c>
      <c r="J30" s="52"/>
      <c r="K30" s="52"/>
      <c r="L30" s="52"/>
      <c r="M30" s="52"/>
    </row>
    <row r="31" spans="2:15" s="30" customFormat="1" ht="15" x14ac:dyDescent="0.25">
      <c r="B31" s="194" t="s">
        <v>519</v>
      </c>
      <c r="C31" s="40"/>
      <c r="D31" s="40">
        <v>40000</v>
      </c>
      <c r="E31" s="40"/>
      <c r="F31" s="40"/>
      <c r="G31" s="40"/>
      <c r="H31" s="40"/>
      <c r="I31" s="195">
        <f t="shared" si="0"/>
        <v>40000</v>
      </c>
      <c r="J31" s="52"/>
      <c r="K31" s="52"/>
      <c r="L31" s="52"/>
      <c r="M31" s="52"/>
    </row>
    <row r="32" spans="2:15" s="30" customFormat="1" ht="18.75" customHeight="1" x14ac:dyDescent="0.25">
      <c r="B32" s="180" t="s">
        <v>97</v>
      </c>
      <c r="C32" s="120">
        <f>C20+C21+C22+C30</f>
        <v>708775.46</v>
      </c>
      <c r="D32" s="120">
        <f>D20+D21+D22+D30+D31</f>
        <v>1455450.1500000001</v>
      </c>
      <c r="E32" s="120">
        <f>E20+E21+E22+E30</f>
        <v>92050</v>
      </c>
      <c r="F32" s="120">
        <f t="shared" ref="F32:H32" si="2">F20+F21+F22+F30</f>
        <v>300345.05</v>
      </c>
      <c r="G32" s="120">
        <f t="shared" si="2"/>
        <v>229224</v>
      </c>
      <c r="H32" s="120">
        <f t="shared" si="2"/>
        <v>66.400000000000006</v>
      </c>
      <c r="I32" s="181">
        <f t="shared" si="0"/>
        <v>2785911.06</v>
      </c>
      <c r="J32" s="52"/>
      <c r="K32" s="52"/>
      <c r="L32" s="52"/>
      <c r="M32" s="52"/>
    </row>
    <row r="33" spans="2:16" s="30" customFormat="1" ht="18.7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s="30" customFormat="1" ht="18.75" customHeight="1" x14ac:dyDescent="0.25">
      <c r="B34" s="52"/>
      <c r="C34" s="52"/>
      <c r="D34" s="52"/>
      <c r="E34" s="52"/>
      <c r="F34" s="52"/>
      <c r="G34" s="52"/>
      <c r="H34" s="175"/>
      <c r="I34" s="52"/>
      <c r="J34" s="52"/>
      <c r="K34" s="52"/>
      <c r="L34" s="52"/>
      <c r="M34" s="52"/>
      <c r="N34" s="52"/>
      <c r="O34" s="52"/>
      <c r="P34" s="52"/>
    </row>
    <row r="35" spans="2:16" s="30" customFormat="1" ht="18.75" customHeight="1" x14ac:dyDescent="0.25">
      <c r="B35" s="52"/>
      <c r="C35" s="52"/>
      <c r="D35" s="52"/>
      <c r="E35" s="52"/>
      <c r="F35" s="52"/>
      <c r="G35" s="52"/>
      <c r="H35" s="175"/>
      <c r="I35" s="52"/>
      <c r="J35" s="52"/>
      <c r="K35" s="52"/>
      <c r="L35" s="52"/>
      <c r="M35" s="52"/>
      <c r="N35" s="52"/>
      <c r="O35" s="52"/>
      <c r="P35" s="52"/>
    </row>
    <row r="36" spans="2:16" s="30" customFormat="1" ht="18.75" x14ac:dyDescent="0.3">
      <c r="B36" s="166" t="s">
        <v>139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s="30" customFormat="1" ht="15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s="93" customFormat="1" ht="16.5" customHeight="1" x14ac:dyDescent="0.25">
      <c r="B38" s="568" t="s">
        <v>101</v>
      </c>
      <c r="C38" s="568"/>
      <c r="D38" s="568"/>
      <c r="E38" s="568"/>
      <c r="F38" s="167"/>
    </row>
    <row r="39" spans="2:16" s="30" customFormat="1" ht="15" x14ac:dyDescent="0.25">
      <c r="B39" s="558" t="s">
        <v>134</v>
      </c>
      <c r="C39" s="558"/>
      <c r="D39" s="558"/>
      <c r="E39" s="39">
        <v>2814.69</v>
      </c>
      <c r="F39" s="75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s="30" customFormat="1" ht="15" x14ac:dyDescent="0.25">
      <c r="B40" s="558" t="s">
        <v>135</v>
      </c>
      <c r="C40" s="558"/>
      <c r="D40" s="558"/>
      <c r="E40" s="39">
        <v>32017.5</v>
      </c>
      <c r="F40" s="75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s="30" customFormat="1" ht="15" x14ac:dyDescent="0.25">
      <c r="B41" s="558" t="s">
        <v>136</v>
      </c>
      <c r="C41" s="558"/>
      <c r="D41" s="558"/>
      <c r="E41" s="39">
        <v>22884.7</v>
      </c>
      <c r="F41" s="75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2:16" s="30" customFormat="1" ht="15" x14ac:dyDescent="0.25">
      <c r="B42" s="558" t="s">
        <v>105</v>
      </c>
      <c r="C42" s="558"/>
      <c r="D42" s="558"/>
      <c r="E42" s="39">
        <v>116353.58</v>
      </c>
      <c r="F42" s="75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s="30" customFormat="1" ht="15" x14ac:dyDescent="0.25">
      <c r="B43" s="61" t="s">
        <v>49</v>
      </c>
      <c r="C43" s="61"/>
      <c r="D43" s="61"/>
      <c r="E43" s="39">
        <v>974.09</v>
      </c>
      <c r="F43" s="75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2:16" s="30" customFormat="1" ht="15" x14ac:dyDescent="0.25">
      <c r="B44" s="61" t="s">
        <v>518</v>
      </c>
      <c r="C44" s="61"/>
      <c r="D44" s="61"/>
      <c r="E44" s="39">
        <v>2922.26</v>
      </c>
      <c r="F44" s="75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2:16" s="114" customFormat="1" x14ac:dyDescent="0.25">
      <c r="B45" s="74" t="s">
        <v>137</v>
      </c>
      <c r="C45" s="74"/>
      <c r="D45" s="74"/>
      <c r="E45" s="191">
        <v>0</v>
      </c>
      <c r="F45" s="168"/>
    </row>
    <row r="46" spans="2:16" s="114" customFormat="1" ht="12.75" customHeight="1" x14ac:dyDescent="0.25">
      <c r="B46" s="582" t="s">
        <v>138</v>
      </c>
      <c r="C46" s="582"/>
      <c r="D46" s="582"/>
      <c r="E46" s="191">
        <v>0</v>
      </c>
      <c r="F46" s="168"/>
    </row>
    <row r="47" spans="2:16" s="93" customFormat="1" ht="18.75" customHeight="1" x14ac:dyDescent="0.25">
      <c r="B47" s="566" t="s">
        <v>97</v>
      </c>
      <c r="C47" s="566"/>
      <c r="D47" s="566"/>
      <c r="E47" s="120">
        <f>SUM(E39:E46)</f>
        <v>177966.82</v>
      </c>
      <c r="F47" s="83"/>
    </row>
    <row r="48" spans="2:16" s="30" customFormat="1" ht="15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2:13" s="86" customFormat="1" ht="51" x14ac:dyDescent="0.25">
      <c r="B49" s="68" t="s">
        <v>52</v>
      </c>
      <c r="C49" s="581" t="s">
        <v>596</v>
      </c>
      <c r="D49" s="581"/>
      <c r="E49" s="581" t="s">
        <v>597</v>
      </c>
      <c r="F49" s="581"/>
      <c r="G49" s="192" t="s">
        <v>598</v>
      </c>
      <c r="H49" s="69" t="s">
        <v>599</v>
      </c>
      <c r="I49" s="108" t="s">
        <v>97</v>
      </c>
    </row>
    <row r="50" spans="2:13" s="86" customFormat="1" x14ac:dyDescent="0.25">
      <c r="B50" s="182"/>
      <c r="C50" s="193" t="s">
        <v>321</v>
      </c>
      <c r="D50" s="193" t="s">
        <v>323</v>
      </c>
      <c r="E50" s="193" t="s">
        <v>330</v>
      </c>
      <c r="F50" s="193" t="s">
        <v>332</v>
      </c>
      <c r="G50" s="193" t="s">
        <v>325</v>
      </c>
      <c r="H50" s="193" t="s">
        <v>341</v>
      </c>
      <c r="I50" s="170"/>
    </row>
    <row r="51" spans="2:13" s="30" customFormat="1" ht="15" x14ac:dyDescent="0.25">
      <c r="B51" s="194" t="s">
        <v>53</v>
      </c>
      <c r="C51" s="40">
        <v>340000</v>
      </c>
      <c r="D51" s="40">
        <v>510878</v>
      </c>
      <c r="E51" s="40">
        <v>35100</v>
      </c>
      <c r="F51" s="40">
        <v>35100</v>
      </c>
      <c r="G51" s="40">
        <v>113700</v>
      </c>
      <c r="H51" s="40"/>
      <c r="I51" s="195">
        <f t="shared" ref="I51:I64" si="3">C51+D51+E51+F51+G51+H51</f>
        <v>1034778</v>
      </c>
      <c r="J51" s="52"/>
      <c r="K51" s="52"/>
      <c r="L51" s="52"/>
      <c r="M51" s="52"/>
    </row>
    <row r="52" spans="2:13" s="30" customFormat="1" ht="15" x14ac:dyDescent="0.25">
      <c r="B52" s="194" t="s">
        <v>54</v>
      </c>
      <c r="C52" s="40">
        <v>120130</v>
      </c>
      <c r="D52" s="40">
        <v>180832</v>
      </c>
      <c r="E52" s="40">
        <v>12780</v>
      </c>
      <c r="F52" s="40">
        <v>12780</v>
      </c>
      <c r="G52" s="40">
        <v>40550</v>
      </c>
      <c r="H52" s="40"/>
      <c r="I52" s="195">
        <f t="shared" si="3"/>
        <v>367072</v>
      </c>
      <c r="J52" s="52"/>
      <c r="K52" s="52"/>
      <c r="L52" s="52"/>
      <c r="M52" s="52"/>
    </row>
    <row r="53" spans="2:13" s="30" customFormat="1" ht="15" x14ac:dyDescent="0.25">
      <c r="B53" s="194" t="s">
        <v>55</v>
      </c>
      <c r="C53" s="40">
        <f t="shared" ref="C53:H53" si="4">SUM(C54:C60)</f>
        <v>81298.13</v>
      </c>
      <c r="D53" s="40">
        <f t="shared" si="4"/>
        <v>191062.25</v>
      </c>
      <c r="E53" s="40">
        <f t="shared" si="4"/>
        <v>45592.13</v>
      </c>
      <c r="F53" s="40">
        <f t="shared" si="4"/>
        <v>48260.350000000006</v>
      </c>
      <c r="G53" s="40">
        <f t="shared" si="4"/>
        <v>6998.1799999999994</v>
      </c>
      <c r="H53" s="40">
        <f t="shared" si="4"/>
        <v>33.200000000000003</v>
      </c>
      <c r="I53" s="195">
        <f t="shared" si="3"/>
        <v>373244.24</v>
      </c>
      <c r="J53" s="52"/>
      <c r="K53" s="52"/>
      <c r="L53" s="52"/>
      <c r="M53" s="52"/>
    </row>
    <row r="54" spans="2:13" s="30" customFormat="1" ht="15" x14ac:dyDescent="0.25">
      <c r="B54" s="74" t="s">
        <v>66</v>
      </c>
      <c r="C54" s="39">
        <v>56.13</v>
      </c>
      <c r="D54" s="39">
        <v>56.13</v>
      </c>
      <c r="E54" s="39">
        <v>0</v>
      </c>
      <c r="F54" s="39">
        <v>0</v>
      </c>
      <c r="G54" s="39">
        <v>0</v>
      </c>
      <c r="H54" s="39"/>
      <c r="I54" s="110">
        <f t="shared" si="3"/>
        <v>112.26</v>
      </c>
      <c r="J54" s="52"/>
      <c r="K54" s="52"/>
      <c r="L54" s="52"/>
      <c r="M54" s="52"/>
    </row>
    <row r="55" spans="2:13" s="30" customFormat="1" ht="15" x14ac:dyDescent="0.25">
      <c r="B55" s="74" t="s">
        <v>56</v>
      </c>
      <c r="C55" s="39">
        <v>20935</v>
      </c>
      <c r="D55" s="39">
        <v>27253</v>
      </c>
      <c r="E55" s="39">
        <v>4042.45</v>
      </c>
      <c r="F55" s="39">
        <v>4042.41</v>
      </c>
      <c r="G55" s="39">
        <v>2780.43</v>
      </c>
      <c r="H55" s="39"/>
      <c r="I55" s="110">
        <f t="shared" si="3"/>
        <v>59053.29</v>
      </c>
      <c r="J55" s="52"/>
      <c r="K55" s="52"/>
      <c r="L55" s="52"/>
      <c r="M55" s="52"/>
    </row>
    <row r="56" spans="2:13" s="30" customFormat="1" ht="15" x14ac:dyDescent="0.25">
      <c r="B56" s="74" t="s">
        <v>57</v>
      </c>
      <c r="C56" s="39">
        <v>16715</v>
      </c>
      <c r="D56" s="39">
        <v>55495</v>
      </c>
      <c r="E56" s="39">
        <v>39272.94</v>
      </c>
      <c r="F56" s="39">
        <v>41821.440000000002</v>
      </c>
      <c r="G56" s="39">
        <v>1711.29</v>
      </c>
      <c r="H56" s="39">
        <v>33.200000000000003</v>
      </c>
      <c r="I56" s="110">
        <f t="shared" si="3"/>
        <v>155048.87000000002</v>
      </c>
      <c r="J56" s="52"/>
      <c r="K56" s="52"/>
      <c r="L56" s="52"/>
      <c r="M56" s="52"/>
    </row>
    <row r="57" spans="2:13" s="30" customFormat="1" ht="15" x14ac:dyDescent="0.25">
      <c r="B57" s="74" t="s">
        <v>58</v>
      </c>
      <c r="C57" s="39">
        <v>816</v>
      </c>
      <c r="D57" s="39">
        <v>0</v>
      </c>
      <c r="E57" s="39">
        <v>0</v>
      </c>
      <c r="F57" s="39">
        <v>0</v>
      </c>
      <c r="G57" s="39">
        <v>0</v>
      </c>
      <c r="H57" s="39"/>
      <c r="I57" s="110">
        <f t="shared" si="3"/>
        <v>816</v>
      </c>
      <c r="J57" s="52"/>
      <c r="K57" s="52"/>
      <c r="L57" s="52"/>
      <c r="M57" s="52"/>
    </row>
    <row r="58" spans="2:13" s="30" customFormat="1" ht="15" x14ac:dyDescent="0.25">
      <c r="B58" s="74" t="s">
        <v>59</v>
      </c>
      <c r="C58" s="39">
        <v>7500</v>
      </c>
      <c r="D58" s="39">
        <v>45900</v>
      </c>
      <c r="E58" s="39">
        <v>461.28</v>
      </c>
      <c r="F58" s="39">
        <v>461.28</v>
      </c>
      <c r="G58" s="39">
        <v>0</v>
      </c>
      <c r="H58" s="39"/>
      <c r="I58" s="110">
        <f t="shared" si="3"/>
        <v>54322.559999999998</v>
      </c>
      <c r="J58" s="52"/>
      <c r="K58" s="52"/>
      <c r="L58" s="52"/>
      <c r="M58" s="52"/>
    </row>
    <row r="59" spans="2:13" s="30" customFormat="1" ht="15" x14ac:dyDescent="0.25">
      <c r="B59" s="74" t="s">
        <v>60</v>
      </c>
      <c r="C59" s="39">
        <v>467</v>
      </c>
      <c r="D59" s="39">
        <v>552.20000000000005</v>
      </c>
      <c r="E59" s="39">
        <v>6</v>
      </c>
      <c r="F59" s="39">
        <v>6</v>
      </c>
      <c r="G59" s="39">
        <v>0</v>
      </c>
      <c r="H59" s="39"/>
      <c r="I59" s="110">
        <f t="shared" si="3"/>
        <v>1031.2</v>
      </c>
      <c r="J59" s="52"/>
      <c r="K59" s="52"/>
      <c r="L59" s="52"/>
      <c r="M59" s="52"/>
    </row>
    <row r="60" spans="2:13" s="30" customFormat="1" ht="15" x14ac:dyDescent="0.25">
      <c r="B60" s="74" t="s">
        <v>61</v>
      </c>
      <c r="C60" s="39">
        <v>34809</v>
      </c>
      <c r="D60" s="39">
        <v>61805.919999999998</v>
      </c>
      <c r="E60" s="39">
        <v>1809.46</v>
      </c>
      <c r="F60" s="39">
        <v>1929.22</v>
      </c>
      <c r="G60" s="39">
        <v>2506.46</v>
      </c>
      <c r="H60" s="39"/>
      <c r="I60" s="110">
        <f t="shared" si="3"/>
        <v>102860.06000000001</v>
      </c>
      <c r="J60" s="52"/>
      <c r="K60" s="52"/>
      <c r="L60" s="52"/>
      <c r="M60" s="52"/>
    </row>
    <row r="61" spans="2:13" s="30" customFormat="1" ht="15" x14ac:dyDescent="0.25">
      <c r="B61" s="194" t="s">
        <v>62</v>
      </c>
      <c r="C61" s="40">
        <v>5119</v>
      </c>
      <c r="D61" s="40">
        <v>5456</v>
      </c>
      <c r="E61" s="40">
        <v>882.42</v>
      </c>
      <c r="F61" s="40">
        <v>913.03</v>
      </c>
      <c r="G61" s="40">
        <v>9382.5499999999993</v>
      </c>
      <c r="H61" s="40">
        <v>0</v>
      </c>
      <c r="I61" s="195">
        <f t="shared" si="3"/>
        <v>21753</v>
      </c>
      <c r="J61" s="52"/>
      <c r="K61" s="52"/>
      <c r="L61" s="52"/>
      <c r="M61" s="52"/>
    </row>
    <row r="62" spans="2:13" s="30" customFormat="1" ht="25.5" x14ac:dyDescent="0.25">
      <c r="B62" s="194" t="s">
        <v>915</v>
      </c>
      <c r="C62" s="40"/>
      <c r="D62" s="40">
        <v>1168</v>
      </c>
      <c r="E62" s="40"/>
      <c r="F62" s="40">
        <v>100</v>
      </c>
      <c r="G62" s="40"/>
      <c r="H62" s="40"/>
      <c r="I62" s="195">
        <f t="shared" si="3"/>
        <v>1268</v>
      </c>
      <c r="J62" s="52"/>
      <c r="K62" s="52"/>
      <c r="L62" s="52"/>
      <c r="M62" s="52"/>
    </row>
    <row r="63" spans="2:13" s="30" customFormat="1" ht="15" x14ac:dyDescent="0.25">
      <c r="B63" s="194" t="s">
        <v>519</v>
      </c>
      <c r="C63" s="40"/>
      <c r="D63" s="40">
        <v>34169.199999999997</v>
      </c>
      <c r="E63" s="40"/>
      <c r="F63" s="40"/>
      <c r="G63" s="40"/>
      <c r="H63" s="40"/>
      <c r="I63" s="195">
        <f t="shared" si="3"/>
        <v>34169.199999999997</v>
      </c>
      <c r="J63" s="52"/>
      <c r="K63" s="52"/>
      <c r="L63" s="52"/>
      <c r="M63" s="52"/>
    </row>
    <row r="64" spans="2:13" s="58" customFormat="1" ht="15" x14ac:dyDescent="0.25">
      <c r="B64" s="194" t="s">
        <v>601</v>
      </c>
      <c r="C64" s="196"/>
      <c r="D64" s="196"/>
      <c r="E64" s="196"/>
      <c r="F64" s="196"/>
      <c r="G64" s="196"/>
      <c r="H64" s="196"/>
      <c r="I64" s="197">
        <f t="shared" si="3"/>
        <v>0</v>
      </c>
      <c r="J64" s="93"/>
      <c r="K64" s="93"/>
      <c r="L64" s="93"/>
      <c r="M64" s="93"/>
    </row>
    <row r="65" spans="2:16" s="30" customFormat="1" ht="22.5" customHeight="1" x14ac:dyDescent="0.25">
      <c r="B65" s="180" t="s">
        <v>97</v>
      </c>
      <c r="C65" s="120">
        <f>C51+C52+C53+C61+C64+C63+C62</f>
        <v>546547.13</v>
      </c>
      <c r="D65" s="120">
        <f>D51+D52+D53+D61+D64+D63+D62</f>
        <v>923565.45</v>
      </c>
      <c r="E65" s="120">
        <f t="shared" ref="E65:H65" si="5">E51+E52+E53+E61+E64+E63+E62</f>
        <v>94354.55</v>
      </c>
      <c r="F65" s="120">
        <f t="shared" si="5"/>
        <v>97153.38</v>
      </c>
      <c r="G65" s="120">
        <f t="shared" si="5"/>
        <v>170630.72999999998</v>
      </c>
      <c r="H65" s="120">
        <f t="shared" si="5"/>
        <v>33.200000000000003</v>
      </c>
      <c r="I65" s="120">
        <f>I51+I52+I53+I61+I64+I63+I62</f>
        <v>1832284.44</v>
      </c>
      <c r="J65" s="52"/>
      <c r="K65" s="98"/>
      <c r="L65" s="52"/>
      <c r="M65" s="52"/>
    </row>
    <row r="66" spans="2:16" s="30" customFormat="1" ht="15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7" spans="2:16" s="30" customFormat="1" ht="15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2:16" s="30" customFormat="1" ht="15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</row>
    <row r="69" spans="2:16" s="30" customFormat="1" ht="15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</row>
    <row r="70" spans="2:16" s="30" customFormat="1" ht="15" x14ac:dyDescent="0.25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2:16" s="30" customFormat="1" ht="15" x14ac:dyDescent="0.2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2:16" s="30" customFormat="1" ht="18.75" x14ac:dyDescent="0.3">
      <c r="B72" s="166" t="s">
        <v>140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2:16" s="30" customFormat="1" ht="15" x14ac:dyDescent="0.25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2:16" s="93" customFormat="1" ht="17.25" customHeight="1" x14ac:dyDescent="0.25">
      <c r="B74" s="568" t="s">
        <v>101</v>
      </c>
      <c r="C74" s="568"/>
      <c r="D74" s="568"/>
      <c r="E74" s="568"/>
      <c r="F74" s="167"/>
    </row>
    <row r="75" spans="2:16" s="30" customFormat="1" ht="15" x14ac:dyDescent="0.25">
      <c r="B75" s="558" t="s">
        <v>134</v>
      </c>
      <c r="C75" s="558"/>
      <c r="D75" s="558"/>
      <c r="E75" s="39">
        <v>2796</v>
      </c>
      <c r="F75" s="75"/>
      <c r="G75" s="52"/>
      <c r="H75" s="52"/>
      <c r="I75" s="52"/>
      <c r="J75" s="52"/>
      <c r="K75" s="52"/>
      <c r="L75" s="52"/>
      <c r="M75" s="52"/>
      <c r="N75" s="52"/>
      <c r="O75" s="52"/>
      <c r="P75" s="52"/>
    </row>
    <row r="76" spans="2:16" s="30" customFormat="1" ht="15" x14ac:dyDescent="0.25">
      <c r="B76" s="558" t="s">
        <v>135</v>
      </c>
      <c r="C76" s="558"/>
      <c r="D76" s="558"/>
      <c r="E76" s="39">
        <v>40517.199999999997</v>
      </c>
      <c r="F76" s="75"/>
      <c r="G76" s="52"/>
      <c r="H76" s="52"/>
      <c r="I76" s="52"/>
      <c r="J76" s="52"/>
      <c r="K76" s="52"/>
      <c r="L76" s="52"/>
      <c r="M76" s="52"/>
      <c r="N76" s="52"/>
      <c r="O76" s="52"/>
      <c r="P76" s="52"/>
    </row>
    <row r="77" spans="2:16" s="30" customFormat="1" ht="15" x14ac:dyDescent="0.25">
      <c r="B77" s="558" t="s">
        <v>136</v>
      </c>
      <c r="C77" s="558"/>
      <c r="D77" s="558"/>
      <c r="E77" s="39">
        <v>16308.6</v>
      </c>
      <c r="F77" s="75"/>
      <c r="G77" s="52"/>
      <c r="H77" s="52"/>
      <c r="I77" s="52"/>
      <c r="J77" s="52"/>
      <c r="K77" s="52"/>
      <c r="L77" s="52"/>
      <c r="M77" s="52"/>
      <c r="N77" s="52"/>
      <c r="O77" s="52"/>
      <c r="P77" s="52"/>
    </row>
    <row r="78" spans="2:16" s="114" customFormat="1" x14ac:dyDescent="0.25">
      <c r="B78" s="582" t="s">
        <v>105</v>
      </c>
      <c r="C78" s="582"/>
      <c r="D78" s="582"/>
      <c r="E78" s="191">
        <v>78088.7</v>
      </c>
      <c r="F78" s="168"/>
    </row>
    <row r="79" spans="2:16" s="114" customFormat="1" x14ac:dyDescent="0.25">
      <c r="B79" s="74" t="s">
        <v>471</v>
      </c>
      <c r="C79" s="74"/>
      <c r="D79" s="74"/>
      <c r="E79" s="191">
        <v>0</v>
      </c>
      <c r="F79" s="168"/>
    </row>
    <row r="80" spans="2:16" s="114" customFormat="1" x14ac:dyDescent="0.25">
      <c r="B80" s="74" t="s">
        <v>137</v>
      </c>
      <c r="C80" s="74"/>
      <c r="D80" s="74"/>
      <c r="E80" s="191">
        <v>2730</v>
      </c>
      <c r="F80" s="168"/>
    </row>
    <row r="81" spans="2:16" s="30" customFormat="1" ht="16.5" customHeight="1" x14ac:dyDescent="0.25">
      <c r="B81" s="582" t="s">
        <v>107</v>
      </c>
      <c r="C81" s="582"/>
      <c r="D81" s="582"/>
      <c r="E81" s="62"/>
      <c r="F81" s="178"/>
      <c r="G81" s="52"/>
      <c r="H81" s="52"/>
      <c r="I81" s="52"/>
      <c r="J81" s="52"/>
      <c r="K81" s="52"/>
      <c r="L81" s="52"/>
      <c r="M81" s="52"/>
      <c r="N81" s="52"/>
      <c r="O81" s="52"/>
      <c r="P81" s="52"/>
    </row>
    <row r="82" spans="2:16" s="30" customFormat="1" ht="18.75" customHeight="1" x14ac:dyDescent="0.25">
      <c r="B82" s="566" t="s">
        <v>97</v>
      </c>
      <c r="C82" s="566"/>
      <c r="D82" s="566"/>
      <c r="E82" s="120">
        <f>SUM(E75:E81)</f>
        <v>140440.5</v>
      </c>
      <c r="F82" s="83"/>
      <c r="G82" s="52"/>
      <c r="H82" s="52"/>
      <c r="I82" s="52"/>
      <c r="J82" s="52"/>
      <c r="K82" s="52"/>
      <c r="L82" s="52"/>
      <c r="M82" s="52"/>
      <c r="N82" s="52"/>
      <c r="O82" s="52"/>
      <c r="P82" s="52"/>
    </row>
    <row r="83" spans="2:16" s="30" customFormat="1" ht="15" x14ac:dyDescent="0.25"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</row>
    <row r="84" spans="2:16" s="86" customFormat="1" ht="51" x14ac:dyDescent="0.25">
      <c r="B84" s="68" t="s">
        <v>52</v>
      </c>
      <c r="C84" s="581" t="s">
        <v>596</v>
      </c>
      <c r="D84" s="581"/>
      <c r="E84" s="583" t="s">
        <v>597</v>
      </c>
      <c r="F84" s="584"/>
      <c r="G84" s="585"/>
      <c r="H84" s="192" t="s">
        <v>598</v>
      </c>
      <c r="I84" s="69" t="s">
        <v>599</v>
      </c>
      <c r="J84" s="108" t="s">
        <v>97</v>
      </c>
    </row>
    <row r="85" spans="2:16" s="86" customFormat="1" x14ac:dyDescent="0.25">
      <c r="B85" s="182"/>
      <c r="C85" s="193" t="s">
        <v>321</v>
      </c>
      <c r="D85" s="193" t="s">
        <v>323</v>
      </c>
      <c r="E85" s="193" t="s">
        <v>329</v>
      </c>
      <c r="F85" s="193" t="s">
        <v>330</v>
      </c>
      <c r="G85" s="193" t="s">
        <v>332</v>
      </c>
      <c r="H85" s="193" t="s">
        <v>325</v>
      </c>
      <c r="I85" s="193" t="s">
        <v>341</v>
      </c>
      <c r="J85" s="170"/>
    </row>
    <row r="86" spans="2:16" s="30" customFormat="1" ht="15" x14ac:dyDescent="0.25">
      <c r="B86" s="194" t="s">
        <v>53</v>
      </c>
      <c r="C86" s="40">
        <v>312308</v>
      </c>
      <c r="D86" s="40">
        <v>363293</v>
      </c>
      <c r="E86" s="40">
        <v>0</v>
      </c>
      <c r="F86" s="40">
        <v>38031</v>
      </c>
      <c r="G86" s="40">
        <v>39046</v>
      </c>
      <c r="H86" s="40">
        <v>84358</v>
      </c>
      <c r="I86" s="40"/>
      <c r="J86" s="195">
        <f>D86+E86+G86+H86+I86+F86+C86</f>
        <v>837036</v>
      </c>
      <c r="K86" s="52"/>
      <c r="L86" s="52"/>
      <c r="M86" s="52"/>
    </row>
    <row r="87" spans="2:16" s="30" customFormat="1" ht="15" x14ac:dyDescent="0.25">
      <c r="B87" s="194" t="s">
        <v>54</v>
      </c>
      <c r="C87" s="40">
        <v>109213</v>
      </c>
      <c r="D87" s="40">
        <v>131062</v>
      </c>
      <c r="E87" s="40">
        <v>0</v>
      </c>
      <c r="F87" s="40">
        <v>13957</v>
      </c>
      <c r="G87" s="40">
        <v>14301</v>
      </c>
      <c r="H87" s="40">
        <v>30848</v>
      </c>
      <c r="I87" s="40"/>
      <c r="J87" s="195">
        <f t="shared" ref="J87:J97" si="6">D87+E87+G87+H87+I87+F87+C87</f>
        <v>299381</v>
      </c>
      <c r="K87" s="52"/>
      <c r="L87" s="52"/>
      <c r="M87" s="52"/>
    </row>
    <row r="88" spans="2:16" s="30" customFormat="1" ht="15" x14ac:dyDescent="0.25">
      <c r="B88" s="194" t="s">
        <v>55</v>
      </c>
      <c r="C88" s="40">
        <f t="shared" ref="C88:E88" si="7">SUM(C89:C95)</f>
        <v>56011.44</v>
      </c>
      <c r="D88" s="40">
        <f t="shared" si="7"/>
        <v>177931.78999999998</v>
      </c>
      <c r="E88" s="40">
        <f t="shared" si="7"/>
        <v>26150.74</v>
      </c>
      <c r="F88" s="40">
        <f t="shared" ref="F88:I88" si="8">SUM(F89:F95)</f>
        <v>58876.39</v>
      </c>
      <c r="G88" s="40">
        <f t="shared" si="8"/>
        <v>78305.78</v>
      </c>
      <c r="H88" s="40">
        <f t="shared" si="8"/>
        <v>23500</v>
      </c>
      <c r="I88" s="40">
        <f t="shared" si="8"/>
        <v>0</v>
      </c>
      <c r="J88" s="195">
        <f t="shared" si="6"/>
        <v>420776.13999999996</v>
      </c>
      <c r="K88" s="52"/>
      <c r="L88" s="52"/>
      <c r="M88" s="52"/>
    </row>
    <row r="89" spans="2:16" s="30" customFormat="1" ht="15" x14ac:dyDescent="0.25">
      <c r="B89" s="74" t="s">
        <v>66</v>
      </c>
      <c r="C89" s="39">
        <v>14.4</v>
      </c>
      <c r="D89" s="39">
        <v>14.4</v>
      </c>
      <c r="E89" s="39"/>
      <c r="F89" s="39">
        <v>0</v>
      </c>
      <c r="G89" s="39">
        <v>0</v>
      </c>
      <c r="H89" s="39">
        <v>0</v>
      </c>
      <c r="I89" s="39"/>
      <c r="J89" s="110">
        <f t="shared" si="6"/>
        <v>28.8</v>
      </c>
      <c r="K89" s="52"/>
      <c r="L89" s="52"/>
      <c r="M89" s="52"/>
    </row>
    <row r="90" spans="2:16" s="30" customFormat="1" ht="15" x14ac:dyDescent="0.25">
      <c r="B90" s="74" t="s">
        <v>56</v>
      </c>
      <c r="C90" s="39">
        <v>21895</v>
      </c>
      <c r="D90" s="39">
        <v>123583.42</v>
      </c>
      <c r="E90" s="39"/>
      <c r="F90" s="39">
        <v>12000</v>
      </c>
      <c r="G90" s="39">
        <v>12000</v>
      </c>
      <c r="H90" s="39">
        <v>4500</v>
      </c>
      <c r="I90" s="39"/>
      <c r="J90" s="110">
        <f t="shared" si="6"/>
        <v>173978.41999999998</v>
      </c>
      <c r="K90" s="52"/>
      <c r="L90" s="52"/>
      <c r="M90" s="52"/>
    </row>
    <row r="91" spans="2:16" s="30" customFormat="1" ht="15" x14ac:dyDescent="0.25">
      <c r="B91" s="74" t="s">
        <v>57</v>
      </c>
      <c r="C91" s="39">
        <v>13847</v>
      </c>
      <c r="D91" s="39">
        <v>20309.66</v>
      </c>
      <c r="E91" s="39">
        <v>26150.74</v>
      </c>
      <c r="F91" s="39">
        <v>35006.39</v>
      </c>
      <c r="G91" s="39">
        <v>45435.78</v>
      </c>
      <c r="H91" s="39">
        <v>9000</v>
      </c>
      <c r="I91" s="39"/>
      <c r="J91" s="110">
        <f t="shared" si="6"/>
        <v>149749.57</v>
      </c>
      <c r="K91" s="52"/>
      <c r="L91" s="52"/>
      <c r="M91" s="52"/>
    </row>
    <row r="92" spans="2:16" s="30" customFormat="1" ht="15" x14ac:dyDescent="0.25">
      <c r="B92" s="74" t="s">
        <v>58</v>
      </c>
      <c r="C92" s="39">
        <v>0</v>
      </c>
      <c r="D92" s="39">
        <v>384</v>
      </c>
      <c r="E92" s="39"/>
      <c r="F92" s="39">
        <v>0</v>
      </c>
      <c r="G92" s="39">
        <v>0</v>
      </c>
      <c r="H92" s="39">
        <v>0</v>
      </c>
      <c r="I92" s="39"/>
      <c r="J92" s="110">
        <f t="shared" si="6"/>
        <v>384</v>
      </c>
      <c r="K92" s="52"/>
      <c r="L92" s="52"/>
      <c r="M92" s="52"/>
    </row>
    <row r="93" spans="2:16" s="30" customFormat="1" ht="15" x14ac:dyDescent="0.25">
      <c r="B93" s="74" t="s">
        <v>59</v>
      </c>
      <c r="C93" s="39">
        <v>1135.04</v>
      </c>
      <c r="D93" s="39">
        <v>2500</v>
      </c>
      <c r="E93" s="39"/>
      <c r="F93" s="39">
        <v>6120</v>
      </c>
      <c r="G93" s="39">
        <v>15120</v>
      </c>
      <c r="H93" s="39">
        <v>4000</v>
      </c>
      <c r="I93" s="39"/>
      <c r="J93" s="110">
        <f t="shared" si="6"/>
        <v>28875.040000000001</v>
      </c>
      <c r="K93" s="52"/>
      <c r="L93" s="52"/>
      <c r="M93" s="52"/>
    </row>
    <row r="94" spans="2:16" s="30" customFormat="1" ht="15" x14ac:dyDescent="0.25">
      <c r="B94" s="74" t="s">
        <v>60</v>
      </c>
      <c r="C94" s="39">
        <v>0</v>
      </c>
      <c r="D94" s="39">
        <v>50</v>
      </c>
      <c r="E94" s="39"/>
      <c r="F94" s="39">
        <v>0</v>
      </c>
      <c r="G94" s="39">
        <v>0</v>
      </c>
      <c r="H94" s="39">
        <v>0</v>
      </c>
      <c r="I94" s="39"/>
      <c r="J94" s="110">
        <f t="shared" si="6"/>
        <v>50</v>
      </c>
      <c r="K94" s="52"/>
      <c r="L94" s="52"/>
      <c r="M94" s="52"/>
    </row>
    <row r="95" spans="2:16" s="30" customFormat="1" ht="15" x14ac:dyDescent="0.25">
      <c r="B95" s="74" t="s">
        <v>61</v>
      </c>
      <c r="C95" s="39">
        <v>19120</v>
      </c>
      <c r="D95" s="39">
        <v>31090.31</v>
      </c>
      <c r="E95" s="39"/>
      <c r="F95" s="39">
        <v>5750</v>
      </c>
      <c r="G95" s="39">
        <v>5750</v>
      </c>
      <c r="H95" s="39">
        <v>6000</v>
      </c>
      <c r="I95" s="39"/>
      <c r="J95" s="110">
        <f t="shared" si="6"/>
        <v>67710.31</v>
      </c>
      <c r="K95" s="52"/>
      <c r="L95" s="52"/>
      <c r="M95" s="52"/>
    </row>
    <row r="96" spans="2:16" s="30" customFormat="1" ht="15" x14ac:dyDescent="0.25">
      <c r="B96" s="194" t="s">
        <v>62</v>
      </c>
      <c r="C96" s="40">
        <v>2565</v>
      </c>
      <c r="D96" s="40">
        <v>3315</v>
      </c>
      <c r="E96" s="40">
        <v>0</v>
      </c>
      <c r="F96" s="40">
        <v>411.83</v>
      </c>
      <c r="G96" s="40">
        <v>1479.69</v>
      </c>
      <c r="H96" s="40">
        <v>2848.82</v>
      </c>
      <c r="I96" s="40"/>
      <c r="J96" s="195">
        <f t="shared" si="6"/>
        <v>10620.34</v>
      </c>
      <c r="K96" s="52"/>
      <c r="L96" s="52"/>
      <c r="M96" s="52"/>
    </row>
    <row r="97" spans="2:16" s="30" customFormat="1" ht="15" x14ac:dyDescent="0.25">
      <c r="B97" s="194" t="s">
        <v>601</v>
      </c>
      <c r="C97" s="40"/>
      <c r="D97" s="40">
        <v>3925.72</v>
      </c>
      <c r="E97" s="40"/>
      <c r="F97" s="40"/>
      <c r="G97" s="40">
        <v>5436</v>
      </c>
      <c r="H97" s="40"/>
      <c r="I97" s="40"/>
      <c r="J97" s="195">
        <f t="shared" si="6"/>
        <v>9361.7199999999993</v>
      </c>
      <c r="K97" s="52"/>
      <c r="L97" s="52"/>
      <c r="M97" s="52"/>
    </row>
    <row r="98" spans="2:16" s="30" customFormat="1" ht="22.5" customHeight="1" x14ac:dyDescent="0.25">
      <c r="B98" s="198" t="s">
        <v>97</v>
      </c>
      <c r="C98" s="199">
        <f t="shared" ref="C98:E98" si="9">C86+C87+C88+C96</f>
        <v>480097.44</v>
      </c>
      <c r="D98" s="199">
        <f>D86+D87+D88+D96+D97</f>
        <v>679527.51</v>
      </c>
      <c r="E98" s="199">
        <f t="shared" si="9"/>
        <v>26150.74</v>
      </c>
      <c r="F98" s="199">
        <f t="shared" ref="F98" si="10">F86+F87+F88+F96</f>
        <v>111276.22</v>
      </c>
      <c r="G98" s="199">
        <f>G86+G87+G88+G96+G97</f>
        <v>138568.47</v>
      </c>
      <c r="H98" s="199">
        <f t="shared" ref="H98:I98" si="11">H86+H87+H88+H96</f>
        <v>141554.82</v>
      </c>
      <c r="I98" s="199">
        <f t="shared" si="11"/>
        <v>0</v>
      </c>
      <c r="J98" s="200">
        <f>D98+E98+G98+H98+I98+F98+C98</f>
        <v>1577175.2</v>
      </c>
      <c r="K98" s="98"/>
      <c r="L98" s="52"/>
      <c r="M98" s="52"/>
    </row>
    <row r="99" spans="2:16" s="30" customFormat="1" ht="15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</row>
    <row r="100" spans="2:16" s="30" customFormat="1" ht="15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2:16" s="30" customFormat="1" ht="18.75" x14ac:dyDescent="0.3">
      <c r="B101" s="166" t="s">
        <v>141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</row>
    <row r="102" spans="2:16" s="30" customFormat="1" ht="7.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</row>
    <row r="103" spans="2:16" s="30" customFormat="1" ht="16.5" customHeight="1" x14ac:dyDescent="0.25">
      <c r="B103" s="568" t="s">
        <v>101</v>
      </c>
      <c r="C103" s="568"/>
      <c r="D103" s="568"/>
      <c r="E103" s="568"/>
      <c r="F103" s="167"/>
      <c r="G103" s="52"/>
      <c r="H103" s="52"/>
      <c r="I103" s="52"/>
      <c r="J103" s="52"/>
      <c r="K103" s="52"/>
      <c r="L103" s="52"/>
      <c r="M103" s="52"/>
      <c r="N103" s="52"/>
      <c r="O103" s="52"/>
      <c r="P103" s="52"/>
    </row>
    <row r="104" spans="2:16" s="30" customFormat="1" ht="15" x14ac:dyDescent="0.25">
      <c r="B104" s="558" t="s">
        <v>134</v>
      </c>
      <c r="C104" s="558"/>
      <c r="D104" s="558"/>
      <c r="E104" s="39">
        <v>1328.38</v>
      </c>
      <c r="F104" s="75"/>
      <c r="G104" s="52"/>
      <c r="H104" s="52"/>
      <c r="I104" s="52"/>
      <c r="J104" s="52"/>
      <c r="K104" s="52"/>
      <c r="L104" s="52"/>
      <c r="M104" s="52"/>
      <c r="N104" s="52"/>
      <c r="O104" s="52"/>
      <c r="P104" s="52"/>
    </row>
    <row r="105" spans="2:16" s="30" customFormat="1" ht="15" x14ac:dyDescent="0.25">
      <c r="B105" s="558" t="s">
        <v>135</v>
      </c>
      <c r="C105" s="558"/>
      <c r="D105" s="558"/>
      <c r="E105" s="39">
        <v>27755.13</v>
      </c>
      <c r="F105" s="75"/>
      <c r="G105" s="52"/>
      <c r="H105" s="52"/>
      <c r="I105" s="52"/>
      <c r="J105" s="52"/>
      <c r="K105" s="52"/>
      <c r="L105" s="52"/>
      <c r="M105" s="52"/>
      <c r="N105" s="52"/>
      <c r="O105" s="52"/>
      <c r="P105" s="52"/>
    </row>
    <row r="106" spans="2:16" s="30" customFormat="1" ht="15" x14ac:dyDescent="0.25">
      <c r="B106" s="558" t="s">
        <v>136</v>
      </c>
      <c r="C106" s="558"/>
      <c r="D106" s="558"/>
      <c r="E106" s="39">
        <v>22550.48</v>
      </c>
      <c r="F106" s="75"/>
      <c r="G106" s="52"/>
      <c r="H106" s="52"/>
      <c r="I106" s="52"/>
      <c r="J106" s="52"/>
      <c r="K106" s="52"/>
      <c r="L106" s="52"/>
      <c r="M106" s="52"/>
      <c r="N106" s="52"/>
      <c r="O106" s="52"/>
      <c r="P106" s="52"/>
    </row>
    <row r="107" spans="2:16" s="114" customFormat="1" x14ac:dyDescent="0.25">
      <c r="B107" s="582" t="s">
        <v>105</v>
      </c>
      <c r="C107" s="582"/>
      <c r="D107" s="582"/>
      <c r="E107" s="191">
        <v>86610.21</v>
      </c>
      <c r="F107" s="168"/>
    </row>
    <row r="108" spans="2:16" s="30" customFormat="1" ht="15" x14ac:dyDescent="0.25">
      <c r="B108" s="556" t="s">
        <v>49</v>
      </c>
      <c r="C108" s="556"/>
      <c r="D108" s="556"/>
      <c r="E108" s="62">
        <v>0</v>
      </c>
      <c r="F108" s="178"/>
      <c r="G108" s="52"/>
      <c r="H108" s="52"/>
      <c r="I108" s="52"/>
      <c r="J108" s="52"/>
      <c r="K108" s="52"/>
      <c r="L108" s="52"/>
      <c r="M108" s="52"/>
      <c r="N108" s="52"/>
      <c r="O108" s="52"/>
      <c r="P108" s="52"/>
    </row>
    <row r="109" spans="2:16" s="30" customFormat="1" ht="15" x14ac:dyDescent="0.25">
      <c r="B109" s="38" t="s">
        <v>518</v>
      </c>
      <c r="C109" s="38"/>
      <c r="D109" s="38"/>
      <c r="E109" s="62">
        <v>0</v>
      </c>
      <c r="F109" s="178"/>
      <c r="G109" s="52"/>
      <c r="H109" s="52"/>
      <c r="I109" s="52"/>
      <c r="J109" s="52"/>
      <c r="K109" s="52"/>
      <c r="L109" s="52"/>
      <c r="M109" s="52"/>
      <c r="N109" s="52"/>
      <c r="O109" s="52"/>
      <c r="P109" s="52"/>
    </row>
    <row r="110" spans="2:16" s="30" customFormat="1" ht="15" x14ac:dyDescent="0.25">
      <c r="B110" s="101" t="s">
        <v>520</v>
      </c>
      <c r="C110" s="101"/>
      <c r="D110" s="101"/>
      <c r="E110" s="62">
        <v>0</v>
      </c>
      <c r="F110" s="178"/>
      <c r="G110" s="52"/>
      <c r="H110" s="52"/>
      <c r="I110" s="52"/>
      <c r="J110" s="52"/>
      <c r="K110" s="52"/>
      <c r="L110" s="52"/>
      <c r="M110" s="52"/>
      <c r="N110" s="52"/>
      <c r="O110" s="52"/>
      <c r="P110" s="52"/>
    </row>
    <row r="111" spans="2:16" s="30" customFormat="1" ht="18" customHeight="1" x14ac:dyDescent="0.25">
      <c r="B111" s="566" t="s">
        <v>97</v>
      </c>
      <c r="C111" s="566"/>
      <c r="D111" s="566"/>
      <c r="E111" s="120">
        <f>SUM(E104:E110)</f>
        <v>138244.20000000001</v>
      </c>
      <c r="F111" s="83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3" spans="2:16" s="86" customFormat="1" ht="51" x14ac:dyDescent="0.25">
      <c r="B113" s="68" t="s">
        <v>52</v>
      </c>
      <c r="C113" s="581" t="s">
        <v>596</v>
      </c>
      <c r="D113" s="581"/>
      <c r="E113" s="581" t="s">
        <v>597</v>
      </c>
      <c r="F113" s="581"/>
      <c r="G113" s="192" t="s">
        <v>598</v>
      </c>
      <c r="H113" s="69" t="s">
        <v>599</v>
      </c>
      <c r="I113" s="108" t="s">
        <v>97</v>
      </c>
    </row>
    <row r="114" spans="2:16" s="86" customFormat="1" x14ac:dyDescent="0.25">
      <c r="B114" s="182"/>
      <c r="C114" s="193" t="s">
        <v>321</v>
      </c>
      <c r="D114" s="193" t="s">
        <v>323</v>
      </c>
      <c r="E114" s="193" t="s">
        <v>330</v>
      </c>
      <c r="F114" s="193" t="s">
        <v>332</v>
      </c>
      <c r="G114" s="193" t="s">
        <v>325</v>
      </c>
      <c r="H114" s="193" t="s">
        <v>341</v>
      </c>
      <c r="I114" s="170"/>
    </row>
    <row r="115" spans="2:16" s="30" customFormat="1" ht="15" x14ac:dyDescent="0.25">
      <c r="B115" s="194" t="s">
        <v>53</v>
      </c>
      <c r="C115" s="40">
        <v>278116.78999999998</v>
      </c>
      <c r="D115" s="40">
        <v>449172.12</v>
      </c>
      <c r="E115" s="40">
        <v>38193.550000000003</v>
      </c>
      <c r="F115" s="40">
        <v>33003.32</v>
      </c>
      <c r="G115" s="40">
        <v>109521.47</v>
      </c>
      <c r="H115" s="40"/>
      <c r="I115" s="40">
        <f t="shared" ref="I115:I125" si="12">C115+D115+E115+F115+G115+H115</f>
        <v>908007.24999999988</v>
      </c>
      <c r="J115" s="52"/>
      <c r="K115" s="52"/>
      <c r="L115" s="52"/>
      <c r="M115" s="52"/>
    </row>
    <row r="116" spans="2:16" s="30" customFormat="1" ht="15" x14ac:dyDescent="0.25">
      <c r="B116" s="194" t="s">
        <v>54</v>
      </c>
      <c r="C116" s="40">
        <v>97471</v>
      </c>
      <c r="D116" s="40">
        <v>157355.94</v>
      </c>
      <c r="E116" s="40">
        <v>13856.45</v>
      </c>
      <c r="F116" s="40">
        <v>12007.68</v>
      </c>
      <c r="G116" s="40">
        <v>38535.53</v>
      </c>
      <c r="H116" s="40"/>
      <c r="I116" s="40">
        <f t="shared" si="12"/>
        <v>319226.59999999998</v>
      </c>
      <c r="J116" s="52"/>
      <c r="K116" s="52"/>
      <c r="L116" s="52"/>
      <c r="M116" s="52"/>
    </row>
    <row r="117" spans="2:16" s="30" customFormat="1" ht="15" x14ac:dyDescent="0.25">
      <c r="B117" s="194" t="s">
        <v>55</v>
      </c>
      <c r="C117" s="40">
        <f t="shared" ref="C117:H117" si="13">SUM(C118:C122)</f>
        <v>44502.31</v>
      </c>
      <c r="D117" s="40">
        <f t="shared" si="13"/>
        <v>137163.1</v>
      </c>
      <c r="E117" s="40">
        <f t="shared" si="13"/>
        <v>61333.539999999994</v>
      </c>
      <c r="F117" s="40">
        <f t="shared" si="13"/>
        <v>61520.72</v>
      </c>
      <c r="G117" s="40">
        <f t="shared" si="13"/>
        <v>26898.840000000004</v>
      </c>
      <c r="H117" s="40">
        <f t="shared" si="13"/>
        <v>3678.4</v>
      </c>
      <c r="I117" s="40">
        <f t="shared" si="12"/>
        <v>335096.91000000009</v>
      </c>
      <c r="J117" s="52"/>
      <c r="K117" s="52"/>
      <c r="L117" s="52"/>
      <c r="M117" s="52"/>
    </row>
    <row r="118" spans="2:16" s="30" customFormat="1" ht="15" x14ac:dyDescent="0.25">
      <c r="B118" s="74" t="s">
        <v>56</v>
      </c>
      <c r="C118" s="39">
        <v>17240.419999999998</v>
      </c>
      <c r="D118" s="39">
        <v>80941.81</v>
      </c>
      <c r="E118" s="39">
        <v>6347</v>
      </c>
      <c r="F118" s="39">
        <v>6347</v>
      </c>
      <c r="G118" s="39">
        <v>15742</v>
      </c>
      <c r="H118" s="39"/>
      <c r="I118" s="39">
        <f t="shared" si="12"/>
        <v>126618.23</v>
      </c>
      <c r="J118" s="52"/>
      <c r="K118" s="52"/>
      <c r="L118" s="52"/>
      <c r="M118" s="52"/>
    </row>
    <row r="119" spans="2:16" s="30" customFormat="1" ht="15" x14ac:dyDescent="0.25">
      <c r="B119" s="74" t="s">
        <v>57</v>
      </c>
      <c r="C119" s="39">
        <v>15204.34</v>
      </c>
      <c r="D119" s="39">
        <v>31169.51</v>
      </c>
      <c r="E119" s="39">
        <v>44976.84</v>
      </c>
      <c r="F119" s="39">
        <v>44975.96</v>
      </c>
      <c r="G119" s="39">
        <v>7873</v>
      </c>
      <c r="H119" s="39">
        <v>3678.4</v>
      </c>
      <c r="I119" s="39">
        <f t="shared" si="12"/>
        <v>147878.04999999999</v>
      </c>
      <c r="J119" s="52"/>
      <c r="K119" s="52"/>
      <c r="L119" s="52"/>
      <c r="M119" s="52"/>
    </row>
    <row r="120" spans="2:16" s="30" customFormat="1" ht="15" x14ac:dyDescent="0.25">
      <c r="B120" s="74" t="s">
        <v>58</v>
      </c>
      <c r="C120" s="39">
        <v>32.86</v>
      </c>
      <c r="D120" s="39">
        <v>33.14</v>
      </c>
      <c r="E120" s="39">
        <v>0</v>
      </c>
      <c r="F120" s="39">
        <v>0</v>
      </c>
      <c r="G120" s="39">
        <v>0</v>
      </c>
      <c r="H120" s="39"/>
      <c r="I120" s="39">
        <f t="shared" si="12"/>
        <v>66</v>
      </c>
      <c r="J120" s="52"/>
      <c r="K120" s="52"/>
      <c r="L120" s="52"/>
      <c r="M120" s="52"/>
    </row>
    <row r="121" spans="2:16" s="30" customFormat="1" ht="15" x14ac:dyDescent="0.25">
      <c r="B121" s="74" t="s">
        <v>59</v>
      </c>
      <c r="C121" s="39">
        <v>1592.97</v>
      </c>
      <c r="D121" s="39">
        <v>11177.97</v>
      </c>
      <c r="E121" s="39">
        <v>6350</v>
      </c>
      <c r="F121" s="39">
        <v>6350</v>
      </c>
      <c r="G121" s="39">
        <v>210.58</v>
      </c>
      <c r="H121" s="39"/>
      <c r="I121" s="39">
        <f t="shared" si="12"/>
        <v>25681.52</v>
      </c>
      <c r="J121" s="52"/>
      <c r="K121" s="52"/>
      <c r="L121" s="52"/>
      <c r="M121" s="52"/>
    </row>
    <row r="122" spans="2:16" s="30" customFormat="1" ht="15" x14ac:dyDescent="0.25">
      <c r="B122" s="74" t="s">
        <v>61</v>
      </c>
      <c r="C122" s="39">
        <v>10431.719999999999</v>
      </c>
      <c r="D122" s="39">
        <v>13840.67</v>
      </c>
      <c r="E122" s="39">
        <v>3659.7</v>
      </c>
      <c r="F122" s="39">
        <v>3847.76</v>
      </c>
      <c r="G122" s="39">
        <v>3073.26</v>
      </c>
      <c r="H122" s="39"/>
      <c r="I122" s="39">
        <f t="shared" si="12"/>
        <v>34853.11</v>
      </c>
      <c r="J122" s="52"/>
      <c r="K122" s="52"/>
      <c r="L122" s="52"/>
      <c r="M122" s="52"/>
    </row>
    <row r="123" spans="2:16" s="30" customFormat="1" ht="15" x14ac:dyDescent="0.25">
      <c r="B123" s="194" t="s">
        <v>62</v>
      </c>
      <c r="C123" s="40">
        <v>2712</v>
      </c>
      <c r="D123" s="40">
        <v>4070.95</v>
      </c>
      <c r="E123" s="40">
        <v>309.97000000000003</v>
      </c>
      <c r="F123" s="40">
        <v>122.67</v>
      </c>
      <c r="G123" s="40">
        <v>595.16</v>
      </c>
      <c r="H123" s="40"/>
      <c r="I123" s="40">
        <f t="shared" si="12"/>
        <v>7810.75</v>
      </c>
      <c r="J123" s="52"/>
      <c r="K123" s="52"/>
      <c r="L123" s="52"/>
      <c r="M123" s="52"/>
    </row>
    <row r="124" spans="2:16" s="30" customFormat="1" ht="15" x14ac:dyDescent="0.25">
      <c r="B124" s="194" t="s">
        <v>603</v>
      </c>
      <c r="C124" s="40"/>
      <c r="D124" s="40"/>
      <c r="E124" s="40"/>
      <c r="F124" s="201">
        <v>4962.2</v>
      </c>
      <c r="G124" s="201"/>
      <c r="H124" s="201"/>
      <c r="I124" s="201">
        <f t="shared" si="12"/>
        <v>4962.2</v>
      </c>
      <c r="J124" s="52"/>
      <c r="K124" s="52"/>
      <c r="L124" s="52"/>
      <c r="M124" s="52"/>
    </row>
    <row r="125" spans="2:16" s="30" customFormat="1" ht="21" customHeight="1" x14ac:dyDescent="0.25">
      <c r="B125" s="180" t="s">
        <v>97</v>
      </c>
      <c r="C125" s="120">
        <f t="shared" ref="C125:H125" si="14">C115+C116+C117+C123+C124</f>
        <v>422802.1</v>
      </c>
      <c r="D125" s="120">
        <f t="shared" si="14"/>
        <v>747762.11</v>
      </c>
      <c r="E125" s="120">
        <f t="shared" si="14"/>
        <v>113693.51</v>
      </c>
      <c r="F125" s="120">
        <f t="shared" si="14"/>
        <v>111616.59</v>
      </c>
      <c r="G125" s="120">
        <f t="shared" si="14"/>
        <v>175551</v>
      </c>
      <c r="H125" s="120">
        <f t="shared" si="14"/>
        <v>3678.4</v>
      </c>
      <c r="I125" s="120">
        <f t="shared" si="12"/>
        <v>1575103.71</v>
      </c>
      <c r="J125" s="52"/>
      <c r="K125" s="52"/>
      <c r="L125" s="52"/>
      <c r="M125" s="52"/>
    </row>
    <row r="126" spans="2:16" s="30" customFormat="1" ht="15" x14ac:dyDescent="0.25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</row>
    <row r="127" spans="2:16" s="30" customFormat="1" ht="15" x14ac:dyDescent="0.25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</row>
    <row r="128" spans="2:16" s="30" customFormat="1" ht="15" x14ac:dyDescent="0.25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</row>
    <row r="129" spans="2:16" s="30" customFormat="1" ht="15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</row>
    <row r="130" spans="2:16" s="30" customFormat="1" ht="15" x14ac:dyDescent="0.25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</row>
    <row r="131" spans="2:16" s="30" customFormat="1" ht="15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</row>
    <row r="132" spans="2:16" s="30" customFormat="1" ht="15" x14ac:dyDescent="0.25"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</row>
    <row r="133" spans="2:16" s="30" customFormat="1" ht="15" x14ac:dyDescent="0.25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</row>
    <row r="134" spans="2:16" s="30" customFormat="1" ht="18.75" x14ac:dyDescent="0.3">
      <c r="B134" s="166" t="s">
        <v>142</v>
      </c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</row>
    <row r="135" spans="2:16" s="30" customFormat="1" ht="15" x14ac:dyDescent="0.25"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</row>
    <row r="136" spans="2:16" s="30" customFormat="1" ht="22.5" customHeight="1" x14ac:dyDescent="0.25">
      <c r="B136" s="568" t="s">
        <v>101</v>
      </c>
      <c r="C136" s="568"/>
      <c r="D136" s="568"/>
      <c r="E136" s="568"/>
      <c r="F136" s="167"/>
      <c r="G136" s="52"/>
      <c r="H136" s="52"/>
      <c r="I136" s="52"/>
      <c r="J136" s="52"/>
      <c r="K136" s="52"/>
      <c r="L136" s="52"/>
      <c r="M136" s="52"/>
      <c r="N136" s="52"/>
      <c r="O136" s="52"/>
      <c r="P136" s="52"/>
    </row>
    <row r="137" spans="2:16" s="30" customFormat="1" ht="15" x14ac:dyDescent="0.25">
      <c r="B137" s="558" t="s">
        <v>134</v>
      </c>
      <c r="C137" s="558"/>
      <c r="D137" s="558"/>
      <c r="E137" s="62">
        <v>26018.560000000001</v>
      </c>
      <c r="F137" s="178"/>
      <c r="G137" s="52"/>
      <c r="H137" s="52"/>
      <c r="I137" s="52"/>
      <c r="J137" s="52"/>
      <c r="K137" s="52"/>
      <c r="L137" s="52"/>
      <c r="M137" s="52"/>
      <c r="N137" s="52"/>
      <c r="O137" s="52"/>
      <c r="P137" s="52"/>
    </row>
    <row r="138" spans="2:16" s="30" customFormat="1" ht="15" customHeight="1" x14ac:dyDescent="0.25">
      <c r="B138" s="558" t="s">
        <v>136</v>
      </c>
      <c r="C138" s="558"/>
      <c r="D138" s="558"/>
      <c r="E138" s="62">
        <v>38422</v>
      </c>
      <c r="F138" s="178"/>
      <c r="G138" s="52"/>
      <c r="H138" s="52"/>
      <c r="I138" s="52"/>
      <c r="J138" s="52"/>
      <c r="K138" s="52"/>
      <c r="L138" s="52"/>
      <c r="M138" s="52"/>
      <c r="N138" s="52"/>
      <c r="O138" s="52"/>
      <c r="P138" s="52"/>
    </row>
    <row r="139" spans="2:16" s="30" customFormat="1" ht="15" x14ac:dyDescent="0.25">
      <c r="B139" s="38" t="s">
        <v>49</v>
      </c>
      <c r="C139" s="38"/>
      <c r="D139" s="38"/>
      <c r="E139" s="62">
        <v>6398.29</v>
      </c>
      <c r="F139" s="178"/>
      <c r="G139" s="52"/>
      <c r="H139" s="52"/>
      <c r="I139" s="52"/>
      <c r="J139" s="52"/>
      <c r="K139" s="52"/>
      <c r="L139" s="52"/>
      <c r="M139" s="52"/>
      <c r="N139" s="52"/>
      <c r="O139" s="52"/>
      <c r="P139" s="52"/>
    </row>
    <row r="140" spans="2:16" s="30" customFormat="1" ht="15" x14ac:dyDescent="0.25">
      <c r="B140" s="560" t="s">
        <v>138</v>
      </c>
      <c r="C140" s="560"/>
      <c r="D140" s="560"/>
      <c r="E140" s="62">
        <v>46656.82</v>
      </c>
      <c r="F140" s="178"/>
      <c r="G140" s="52"/>
      <c r="H140" s="52"/>
      <c r="I140" s="52"/>
      <c r="J140" s="52"/>
      <c r="K140" s="52"/>
      <c r="L140" s="52"/>
      <c r="M140" s="52"/>
      <c r="N140" s="52"/>
      <c r="O140" s="52"/>
      <c r="P140" s="52"/>
    </row>
    <row r="141" spans="2:16" s="30" customFormat="1" ht="19.5" customHeight="1" x14ac:dyDescent="0.25">
      <c r="B141" s="566" t="s">
        <v>97</v>
      </c>
      <c r="C141" s="566"/>
      <c r="D141" s="566"/>
      <c r="E141" s="202">
        <f>SUM(E137:E140)</f>
        <v>117495.66999999998</v>
      </c>
      <c r="F141" s="179"/>
      <c r="G141" s="52"/>
      <c r="H141" s="52"/>
      <c r="I141" s="52"/>
      <c r="J141" s="52"/>
      <c r="K141" s="52"/>
      <c r="L141" s="52"/>
      <c r="M141" s="52"/>
      <c r="N141" s="52"/>
      <c r="O141" s="52"/>
      <c r="P141" s="52"/>
    </row>
    <row r="142" spans="2:16" s="30" customFormat="1" ht="15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</row>
    <row r="143" spans="2:16" s="86" customFormat="1" ht="47.25" customHeight="1" x14ac:dyDescent="0.25">
      <c r="B143" s="68" t="s">
        <v>52</v>
      </c>
      <c r="C143" s="192" t="s">
        <v>600</v>
      </c>
      <c r="D143" s="581" t="s">
        <v>596</v>
      </c>
      <c r="E143" s="581"/>
      <c r="F143" s="192" t="s">
        <v>597</v>
      </c>
      <c r="G143" s="192" t="s">
        <v>598</v>
      </c>
      <c r="H143" s="69" t="s">
        <v>599</v>
      </c>
      <c r="I143" s="108" t="s">
        <v>97</v>
      </c>
    </row>
    <row r="144" spans="2:16" s="86" customFormat="1" x14ac:dyDescent="0.25">
      <c r="B144" s="182"/>
      <c r="C144" s="193" t="s">
        <v>309</v>
      </c>
      <c r="D144" s="193" t="s">
        <v>321</v>
      </c>
      <c r="E144" s="193" t="s">
        <v>323</v>
      </c>
      <c r="F144" s="193" t="s">
        <v>332</v>
      </c>
      <c r="G144" s="193" t="s">
        <v>325</v>
      </c>
      <c r="H144" s="193" t="s">
        <v>341</v>
      </c>
      <c r="I144" s="170"/>
    </row>
    <row r="145" spans="2:16" s="30" customFormat="1" ht="15" x14ac:dyDescent="0.25">
      <c r="B145" s="194" t="s">
        <v>53</v>
      </c>
      <c r="C145" s="40"/>
      <c r="D145" s="40">
        <v>436092</v>
      </c>
      <c r="E145" s="40">
        <v>884239.92</v>
      </c>
      <c r="F145" s="40"/>
      <c r="G145" s="40">
        <v>226005.24</v>
      </c>
      <c r="H145" s="40"/>
      <c r="I145" s="195">
        <f>C145+D145+E145+F145+G145+H145</f>
        <v>1546337.16</v>
      </c>
      <c r="J145" s="52"/>
      <c r="K145" s="52"/>
      <c r="L145" s="52"/>
      <c r="M145" s="52"/>
    </row>
    <row r="146" spans="2:16" s="30" customFormat="1" ht="15" x14ac:dyDescent="0.25">
      <c r="B146" s="194" t="s">
        <v>54</v>
      </c>
      <c r="C146" s="40"/>
      <c r="D146" s="40">
        <v>162585</v>
      </c>
      <c r="E146" s="40">
        <v>325410.96999999997</v>
      </c>
      <c r="F146" s="40"/>
      <c r="G146" s="40">
        <v>80346.929999999993</v>
      </c>
      <c r="H146" s="40"/>
      <c r="I146" s="195">
        <f>C146+D146+E146+F146+G146+H146</f>
        <v>568342.89999999991</v>
      </c>
      <c r="J146" s="52"/>
      <c r="K146" s="52"/>
      <c r="L146" s="52"/>
      <c r="M146" s="52"/>
    </row>
    <row r="147" spans="2:16" s="30" customFormat="1" ht="15" x14ac:dyDescent="0.25">
      <c r="B147" s="194" t="s">
        <v>55</v>
      </c>
      <c r="C147" s="40">
        <f>SUM(C148:C153)</f>
        <v>52050</v>
      </c>
      <c r="D147" s="40">
        <f>SUM(D148:D153)</f>
        <v>106784.47000000002</v>
      </c>
      <c r="E147" s="40">
        <f t="shared" ref="E147:I147" si="15">SUM(E148:E153)</f>
        <v>271918.90000000002</v>
      </c>
      <c r="F147" s="40">
        <f t="shared" si="15"/>
        <v>4963.3999999999996</v>
      </c>
      <c r="G147" s="40">
        <f t="shared" si="15"/>
        <v>27550</v>
      </c>
      <c r="H147" s="40">
        <f t="shared" si="15"/>
        <v>0</v>
      </c>
      <c r="I147" s="40">
        <f t="shared" si="15"/>
        <v>463266.77</v>
      </c>
      <c r="J147" s="52"/>
      <c r="K147" s="52"/>
      <c r="L147" s="52"/>
      <c r="M147" s="52"/>
    </row>
    <row r="148" spans="2:16" s="30" customFormat="1" ht="15" x14ac:dyDescent="0.25">
      <c r="B148" s="74" t="s">
        <v>66</v>
      </c>
      <c r="C148" s="39"/>
      <c r="D148" s="39">
        <v>34.46</v>
      </c>
      <c r="E148" s="39"/>
      <c r="F148" s="39"/>
      <c r="G148" s="39"/>
      <c r="H148" s="39"/>
      <c r="I148" s="110">
        <f t="shared" ref="I148:I156" si="16">C148+D148+E148+F148+G148+H148</f>
        <v>34.46</v>
      </c>
      <c r="J148" s="52"/>
      <c r="K148" s="52"/>
      <c r="L148" s="52"/>
      <c r="M148" s="52"/>
    </row>
    <row r="149" spans="2:16" s="30" customFormat="1" ht="15" x14ac:dyDescent="0.25">
      <c r="B149" s="74" t="s">
        <v>56</v>
      </c>
      <c r="C149" s="39"/>
      <c r="D149" s="39">
        <v>38244.43</v>
      </c>
      <c r="E149" s="39">
        <v>124882.04</v>
      </c>
      <c r="F149" s="39"/>
      <c r="G149" s="39">
        <v>17900</v>
      </c>
      <c r="H149" s="39"/>
      <c r="I149" s="110">
        <f t="shared" si="16"/>
        <v>181026.47</v>
      </c>
      <c r="J149" s="52"/>
      <c r="K149" s="52"/>
      <c r="L149" s="52"/>
      <c r="M149" s="52"/>
    </row>
    <row r="150" spans="2:16" s="30" customFormat="1" ht="15" x14ac:dyDescent="0.25">
      <c r="B150" s="74" t="s">
        <v>57</v>
      </c>
      <c r="C150" s="39"/>
      <c r="D150" s="39">
        <v>37705.4</v>
      </c>
      <c r="E150" s="39">
        <v>74469.45</v>
      </c>
      <c r="F150" s="39"/>
      <c r="G150" s="39">
        <v>2400</v>
      </c>
      <c r="H150" s="39"/>
      <c r="I150" s="110">
        <f t="shared" si="16"/>
        <v>114574.85</v>
      </c>
      <c r="J150" s="52"/>
      <c r="K150" s="52"/>
      <c r="L150" s="52"/>
      <c r="M150" s="52"/>
    </row>
    <row r="151" spans="2:16" s="30" customFormat="1" ht="15" x14ac:dyDescent="0.25">
      <c r="B151" s="74" t="s">
        <v>59</v>
      </c>
      <c r="C151" s="39"/>
      <c r="D151" s="39">
        <v>3710.19</v>
      </c>
      <c r="E151" s="39">
        <v>21146.52</v>
      </c>
      <c r="F151" s="39"/>
      <c r="G151" s="39">
        <v>1000</v>
      </c>
      <c r="H151" s="39"/>
      <c r="I151" s="110">
        <f t="shared" si="16"/>
        <v>25856.71</v>
      </c>
      <c r="J151" s="52"/>
      <c r="K151" s="52"/>
      <c r="L151" s="52"/>
      <c r="M151" s="52"/>
    </row>
    <row r="152" spans="2:16" s="30" customFormat="1" ht="15" x14ac:dyDescent="0.25">
      <c r="B152" s="74" t="s">
        <v>143</v>
      </c>
      <c r="C152" s="39">
        <v>52050</v>
      </c>
      <c r="D152" s="39">
        <v>1400</v>
      </c>
      <c r="E152" s="39">
        <v>2031.73</v>
      </c>
      <c r="F152" s="39"/>
      <c r="G152" s="39"/>
      <c r="H152" s="39"/>
      <c r="I152" s="110">
        <f t="shared" si="16"/>
        <v>55481.73</v>
      </c>
      <c r="J152" s="52"/>
      <c r="K152" s="52"/>
      <c r="L152" s="52"/>
      <c r="M152" s="52"/>
    </row>
    <row r="153" spans="2:16" s="30" customFormat="1" ht="15" x14ac:dyDescent="0.25">
      <c r="B153" s="74" t="s">
        <v>61</v>
      </c>
      <c r="C153" s="39"/>
      <c r="D153" s="39">
        <v>25689.99</v>
      </c>
      <c r="E153" s="39">
        <v>49389.16</v>
      </c>
      <c r="F153" s="39">
        <v>4963.3999999999996</v>
      </c>
      <c r="G153" s="39">
        <v>6250</v>
      </c>
      <c r="H153" s="39"/>
      <c r="I153" s="110">
        <f t="shared" si="16"/>
        <v>86292.55</v>
      </c>
      <c r="J153" s="52"/>
      <c r="K153" s="52"/>
      <c r="L153" s="52"/>
      <c r="M153" s="52"/>
    </row>
    <row r="154" spans="2:16" s="30" customFormat="1" ht="15" x14ac:dyDescent="0.25">
      <c r="B154" s="194" t="s">
        <v>62</v>
      </c>
      <c r="C154" s="40"/>
      <c r="D154" s="40">
        <v>4811.25</v>
      </c>
      <c r="E154" s="40">
        <v>11855.49</v>
      </c>
      <c r="F154" s="40"/>
      <c r="G154" s="40">
        <v>2452.83</v>
      </c>
      <c r="H154" s="40">
        <v>49.8</v>
      </c>
      <c r="I154" s="195">
        <f t="shared" si="16"/>
        <v>19169.37</v>
      </c>
      <c r="J154" s="52"/>
      <c r="K154" s="52"/>
      <c r="L154" s="52"/>
      <c r="M154" s="52"/>
    </row>
    <row r="155" spans="2:16" s="30" customFormat="1" ht="15" x14ac:dyDescent="0.25">
      <c r="B155" s="194" t="s">
        <v>602</v>
      </c>
      <c r="C155" s="40"/>
      <c r="D155" s="40"/>
      <c r="E155" s="196">
        <v>36110</v>
      </c>
      <c r="F155" s="196"/>
      <c r="G155" s="196"/>
      <c r="H155" s="196"/>
      <c r="I155" s="197">
        <f t="shared" si="16"/>
        <v>36110</v>
      </c>
      <c r="J155" s="52"/>
      <c r="K155" s="52"/>
      <c r="L155" s="52"/>
      <c r="M155" s="52"/>
    </row>
    <row r="156" spans="2:16" s="30" customFormat="1" ht="15.75" customHeight="1" x14ac:dyDescent="0.25">
      <c r="B156" s="180" t="s">
        <v>97</v>
      </c>
      <c r="C156" s="120">
        <f>C145+C146+C147+C154</f>
        <v>52050</v>
      </c>
      <c r="D156" s="120">
        <f>D145+D146+D147+D154</f>
        <v>710272.72</v>
      </c>
      <c r="E156" s="120">
        <f>E145+E146+E147+E154+E155</f>
        <v>1529535.28</v>
      </c>
      <c r="F156" s="120">
        <f t="shared" ref="F156:H156" si="17">F145+F146+F147+F154</f>
        <v>4963.3999999999996</v>
      </c>
      <c r="G156" s="120">
        <f t="shared" si="17"/>
        <v>336355</v>
      </c>
      <c r="H156" s="120">
        <f t="shared" si="17"/>
        <v>49.8</v>
      </c>
      <c r="I156" s="181">
        <f t="shared" si="16"/>
        <v>2633226.1999999997</v>
      </c>
      <c r="J156" s="52"/>
      <c r="K156" s="52"/>
      <c r="L156" s="52"/>
      <c r="M156" s="52"/>
    </row>
    <row r="157" spans="2:16" s="30" customFormat="1" ht="15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</row>
    <row r="158" spans="2:16" s="30" customFormat="1" ht="15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</row>
    <row r="159" spans="2:16" s="30" customFormat="1" ht="15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</row>
    <row r="160" spans="2:16" s="30" customFormat="1" ht="18.75" x14ac:dyDescent="0.3">
      <c r="B160" s="166" t="s">
        <v>144</v>
      </c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</row>
    <row r="161" spans="2:16" s="30" customFormat="1" ht="7.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</row>
    <row r="162" spans="2:16" s="30" customFormat="1" ht="19.5" customHeight="1" x14ac:dyDescent="0.25">
      <c r="B162" s="568" t="s">
        <v>101</v>
      </c>
      <c r="C162" s="568"/>
      <c r="D162" s="568"/>
      <c r="E162" s="568"/>
      <c r="F162" s="167"/>
      <c r="G162" s="52"/>
      <c r="H162" s="52"/>
      <c r="I162" s="52"/>
      <c r="J162" s="52"/>
      <c r="K162" s="52"/>
      <c r="L162" s="52"/>
      <c r="M162" s="52"/>
      <c r="N162" s="52"/>
      <c r="O162" s="52"/>
      <c r="P162" s="52"/>
    </row>
    <row r="163" spans="2:16" s="30" customFormat="1" ht="15" x14ac:dyDescent="0.25">
      <c r="B163" s="558" t="s">
        <v>134</v>
      </c>
      <c r="C163" s="558"/>
      <c r="D163" s="558"/>
      <c r="E163" s="62">
        <v>4260.6899999999996</v>
      </c>
      <c r="F163" s="178"/>
      <c r="G163" s="52"/>
      <c r="H163" s="52"/>
      <c r="I163" s="52"/>
      <c r="J163" s="52"/>
      <c r="K163" s="52"/>
      <c r="L163" s="52"/>
      <c r="M163" s="52"/>
      <c r="N163" s="52"/>
      <c r="O163" s="52"/>
      <c r="P163" s="52"/>
    </row>
    <row r="164" spans="2:16" s="30" customFormat="1" ht="15" x14ac:dyDescent="0.25">
      <c r="B164" s="558" t="s">
        <v>135</v>
      </c>
      <c r="C164" s="558"/>
      <c r="D164" s="558"/>
      <c r="E164" s="62">
        <v>24964.400000000001</v>
      </c>
      <c r="F164" s="178"/>
      <c r="G164" s="52"/>
      <c r="H164" s="52"/>
      <c r="I164" s="52"/>
      <c r="J164" s="52"/>
      <c r="K164" s="52"/>
      <c r="L164" s="52"/>
      <c r="M164" s="52"/>
      <c r="N164" s="52"/>
      <c r="O164" s="52"/>
      <c r="P164" s="52"/>
    </row>
    <row r="165" spans="2:16" s="30" customFormat="1" ht="15" x14ac:dyDescent="0.25">
      <c r="B165" s="558" t="s">
        <v>136</v>
      </c>
      <c r="C165" s="558"/>
      <c r="D165" s="558"/>
      <c r="E165" s="62">
        <v>11037</v>
      </c>
      <c r="F165" s="178"/>
      <c r="G165" s="52"/>
      <c r="H165" s="52"/>
      <c r="I165" s="52"/>
      <c r="J165" s="52"/>
      <c r="K165" s="52"/>
      <c r="L165" s="52"/>
      <c r="M165" s="52"/>
      <c r="N165" s="52"/>
      <c r="O165" s="52"/>
      <c r="P165" s="52"/>
    </row>
    <row r="166" spans="2:16" s="114" customFormat="1" x14ac:dyDescent="0.25">
      <c r="B166" s="582" t="s">
        <v>105</v>
      </c>
      <c r="C166" s="582"/>
      <c r="D166" s="582"/>
      <c r="E166" s="191">
        <v>68530.570000000007</v>
      </c>
      <c r="F166" s="168"/>
    </row>
    <row r="167" spans="2:16" s="114" customFormat="1" x14ac:dyDescent="0.25">
      <c r="B167" s="74" t="s">
        <v>145</v>
      </c>
      <c r="C167" s="74"/>
      <c r="D167" s="74"/>
      <c r="E167" s="191">
        <v>3147.86</v>
      </c>
      <c r="F167" s="168"/>
    </row>
    <row r="168" spans="2:16" s="114" customFormat="1" x14ac:dyDescent="0.25">
      <c r="B168" s="582" t="s">
        <v>137</v>
      </c>
      <c r="C168" s="582"/>
      <c r="D168" s="582"/>
      <c r="E168" s="191">
        <v>1496</v>
      </c>
      <c r="F168" s="168"/>
    </row>
    <row r="169" spans="2:16" s="30" customFormat="1" ht="19.5" customHeight="1" x14ac:dyDescent="0.25">
      <c r="B169" s="566" t="s">
        <v>97</v>
      </c>
      <c r="C169" s="566"/>
      <c r="D169" s="566"/>
      <c r="E169" s="202">
        <f>SUM(E163:E168)</f>
        <v>113436.52</v>
      </c>
      <c r="F169" s="179"/>
      <c r="G169" s="52"/>
      <c r="H169" s="52"/>
      <c r="I169" s="52"/>
      <c r="J169" s="52"/>
      <c r="K169" s="52"/>
      <c r="L169" s="52"/>
      <c r="M169" s="52"/>
      <c r="N169" s="52"/>
      <c r="O169" s="52"/>
      <c r="P169" s="52"/>
    </row>
    <row r="170" spans="2:16" s="30" customFormat="1" ht="7.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</row>
    <row r="171" spans="2:16" s="86" customFormat="1" ht="51" x14ac:dyDescent="0.25">
      <c r="B171" s="68" t="s">
        <v>52</v>
      </c>
      <c r="C171" s="581" t="s">
        <v>596</v>
      </c>
      <c r="D171" s="581"/>
      <c r="E171" s="581" t="s">
        <v>597</v>
      </c>
      <c r="F171" s="581"/>
      <c r="G171" s="581"/>
      <c r="H171" s="192" t="s">
        <v>598</v>
      </c>
      <c r="I171" s="69" t="s">
        <v>599</v>
      </c>
      <c r="J171" s="108" t="s">
        <v>97</v>
      </c>
    </row>
    <row r="172" spans="2:16" s="86" customFormat="1" x14ac:dyDescent="0.25">
      <c r="B172" s="182"/>
      <c r="C172" s="193" t="s">
        <v>321</v>
      </c>
      <c r="D172" s="193" t="s">
        <v>323</v>
      </c>
      <c r="E172" s="193" t="s">
        <v>329</v>
      </c>
      <c r="F172" s="193" t="s">
        <v>330</v>
      </c>
      <c r="G172" s="193" t="s">
        <v>332</v>
      </c>
      <c r="H172" s="193" t="s">
        <v>325</v>
      </c>
      <c r="I172" s="193" t="s">
        <v>341</v>
      </c>
      <c r="J172" s="170"/>
    </row>
    <row r="173" spans="2:16" s="30" customFormat="1" ht="15" x14ac:dyDescent="0.25">
      <c r="B173" s="194" t="s">
        <v>53</v>
      </c>
      <c r="C173" s="40">
        <v>130552</v>
      </c>
      <c r="D173" s="40">
        <v>275153.08</v>
      </c>
      <c r="E173" s="40"/>
      <c r="F173" s="40">
        <v>24212</v>
      </c>
      <c r="G173" s="40">
        <v>27815</v>
      </c>
      <c r="H173" s="40">
        <v>43051.26</v>
      </c>
      <c r="I173" s="40"/>
      <c r="J173" s="195">
        <f t="shared" ref="J173:J184" si="18">C173+D173+F173+G173+H173+I173+E173</f>
        <v>500783.34</v>
      </c>
      <c r="K173" s="52"/>
      <c r="L173" s="52"/>
      <c r="M173" s="52"/>
      <c r="N173" s="52"/>
    </row>
    <row r="174" spans="2:16" s="30" customFormat="1" ht="15" x14ac:dyDescent="0.25">
      <c r="B174" s="194" t="s">
        <v>54</v>
      </c>
      <c r="C174" s="40">
        <v>44786</v>
      </c>
      <c r="D174" s="40">
        <v>96304.92</v>
      </c>
      <c r="E174" s="40"/>
      <c r="F174" s="40">
        <v>8535</v>
      </c>
      <c r="G174" s="40">
        <v>9738.02</v>
      </c>
      <c r="H174" s="40">
        <v>15080</v>
      </c>
      <c r="I174" s="40"/>
      <c r="J174" s="195">
        <f t="shared" si="18"/>
        <v>174443.93999999997</v>
      </c>
      <c r="K174" s="52"/>
      <c r="L174" s="52"/>
      <c r="M174" s="52"/>
      <c r="N174" s="52"/>
    </row>
    <row r="175" spans="2:16" s="30" customFormat="1" ht="15" x14ac:dyDescent="0.25">
      <c r="B175" s="194" t="s">
        <v>55</v>
      </c>
      <c r="C175" s="40">
        <f t="shared" ref="C175:I175" si="19">SUM(C176:C180)</f>
        <v>48623</v>
      </c>
      <c r="D175" s="40">
        <f t="shared" si="19"/>
        <v>96968.569999999992</v>
      </c>
      <c r="E175" s="40">
        <f t="shared" si="19"/>
        <v>16008.16</v>
      </c>
      <c r="F175" s="40">
        <f t="shared" si="19"/>
        <v>39408</v>
      </c>
      <c r="G175" s="40">
        <f t="shared" si="19"/>
        <v>64705.72</v>
      </c>
      <c r="H175" s="40">
        <f t="shared" si="19"/>
        <v>10023</v>
      </c>
      <c r="I175" s="40">
        <f t="shared" si="19"/>
        <v>66.400000000000006</v>
      </c>
      <c r="J175" s="195">
        <f t="shared" si="18"/>
        <v>275802.84999999998</v>
      </c>
      <c r="K175" s="52"/>
      <c r="L175" s="52"/>
      <c r="M175" s="52"/>
      <c r="N175" s="52"/>
    </row>
    <row r="176" spans="2:16" s="30" customFormat="1" ht="15" x14ac:dyDescent="0.25">
      <c r="B176" s="74" t="s">
        <v>56</v>
      </c>
      <c r="C176" s="39">
        <v>23914</v>
      </c>
      <c r="D176" s="39">
        <v>39551.42</v>
      </c>
      <c r="E176" s="39"/>
      <c r="F176" s="39">
        <v>7780</v>
      </c>
      <c r="G176" s="39">
        <v>7070</v>
      </c>
      <c r="H176" s="39">
        <v>5000</v>
      </c>
      <c r="I176" s="39"/>
      <c r="J176" s="110">
        <f t="shared" si="18"/>
        <v>83315.42</v>
      </c>
      <c r="K176" s="52"/>
      <c r="L176" s="52"/>
      <c r="M176" s="52"/>
      <c r="N176" s="52"/>
    </row>
    <row r="177" spans="2:16" s="30" customFormat="1" ht="15" x14ac:dyDescent="0.25">
      <c r="B177" s="74" t="s">
        <v>57</v>
      </c>
      <c r="C177" s="39">
        <v>11023</v>
      </c>
      <c r="D177" s="39">
        <v>16904</v>
      </c>
      <c r="E177" s="39">
        <v>16008.16</v>
      </c>
      <c r="F177" s="39">
        <v>17628</v>
      </c>
      <c r="G177" s="39">
        <v>30310.58</v>
      </c>
      <c r="H177" s="39">
        <v>670</v>
      </c>
      <c r="I177" s="39">
        <v>66.400000000000006</v>
      </c>
      <c r="J177" s="110">
        <f t="shared" si="18"/>
        <v>92610.14</v>
      </c>
      <c r="K177" s="52"/>
      <c r="L177" s="52"/>
      <c r="M177" s="52"/>
      <c r="N177" s="52"/>
    </row>
    <row r="178" spans="2:16" s="30" customFormat="1" ht="15" x14ac:dyDescent="0.25">
      <c r="B178" s="74" t="s">
        <v>58</v>
      </c>
      <c r="C178" s="39">
        <v>0</v>
      </c>
      <c r="D178" s="39">
        <v>0</v>
      </c>
      <c r="E178" s="39"/>
      <c r="F178" s="39"/>
      <c r="G178" s="39">
        <v>0</v>
      </c>
      <c r="H178" s="39">
        <v>0</v>
      </c>
      <c r="I178" s="39"/>
      <c r="J178" s="110">
        <f t="shared" si="18"/>
        <v>0</v>
      </c>
      <c r="K178" s="52"/>
      <c r="L178" s="52"/>
      <c r="M178" s="52"/>
      <c r="N178" s="52"/>
    </row>
    <row r="179" spans="2:16" s="30" customFormat="1" ht="15" x14ac:dyDescent="0.25">
      <c r="B179" s="74" t="s">
        <v>59</v>
      </c>
      <c r="C179" s="39">
        <v>4578</v>
      </c>
      <c r="D179" s="39">
        <v>28124</v>
      </c>
      <c r="E179" s="39"/>
      <c r="F179" s="39">
        <v>11000</v>
      </c>
      <c r="G179" s="39">
        <v>6600</v>
      </c>
      <c r="H179" s="39">
        <v>2923</v>
      </c>
      <c r="I179" s="39"/>
      <c r="J179" s="110">
        <f t="shared" si="18"/>
        <v>53225</v>
      </c>
      <c r="K179" s="52"/>
      <c r="L179" s="52"/>
      <c r="M179" s="52"/>
      <c r="N179" s="52"/>
    </row>
    <row r="180" spans="2:16" s="30" customFormat="1" ht="15" x14ac:dyDescent="0.25">
      <c r="B180" s="74" t="s">
        <v>61</v>
      </c>
      <c r="C180" s="39">
        <v>9108</v>
      </c>
      <c r="D180" s="39">
        <v>12389.15</v>
      </c>
      <c r="E180" s="39"/>
      <c r="F180" s="39">
        <v>3000</v>
      </c>
      <c r="G180" s="39">
        <v>20725.14</v>
      </c>
      <c r="H180" s="39">
        <v>1430</v>
      </c>
      <c r="I180" s="39"/>
      <c r="J180" s="110">
        <f t="shared" si="18"/>
        <v>46652.29</v>
      </c>
      <c r="K180" s="52"/>
      <c r="L180" s="52"/>
      <c r="M180" s="52"/>
      <c r="N180" s="52"/>
    </row>
    <row r="181" spans="2:16" s="30" customFormat="1" ht="15" x14ac:dyDescent="0.25">
      <c r="B181" s="194" t="s">
        <v>62</v>
      </c>
      <c r="C181" s="40">
        <v>1570</v>
      </c>
      <c r="D181" s="40">
        <v>996</v>
      </c>
      <c r="E181" s="40"/>
      <c r="F181" s="40">
        <v>420</v>
      </c>
      <c r="G181" s="40">
        <v>1575</v>
      </c>
      <c r="H181" s="40">
        <v>250.74</v>
      </c>
      <c r="I181" s="40"/>
      <c r="J181" s="195">
        <f t="shared" si="18"/>
        <v>4811.74</v>
      </c>
      <c r="K181" s="52"/>
      <c r="L181" s="52"/>
      <c r="M181" s="52"/>
      <c r="N181" s="52"/>
    </row>
    <row r="182" spans="2:16" s="30" customFormat="1" ht="15" x14ac:dyDescent="0.25">
      <c r="B182" s="194" t="s">
        <v>601</v>
      </c>
      <c r="C182" s="40"/>
      <c r="D182" s="40"/>
      <c r="E182" s="40"/>
      <c r="F182" s="40"/>
      <c r="G182" s="40"/>
      <c r="H182" s="40"/>
      <c r="I182" s="40"/>
      <c r="J182" s="195">
        <f t="shared" si="18"/>
        <v>0</v>
      </c>
      <c r="K182" s="52"/>
      <c r="L182" s="52"/>
      <c r="M182" s="52"/>
      <c r="N182" s="52"/>
    </row>
    <row r="183" spans="2:16" s="30" customFormat="1" ht="15" x14ac:dyDescent="0.25">
      <c r="B183" s="194" t="s">
        <v>602</v>
      </c>
      <c r="C183" s="40"/>
      <c r="D183" s="196">
        <v>25000</v>
      </c>
      <c r="E183" s="40"/>
      <c r="F183" s="40"/>
      <c r="G183" s="40"/>
      <c r="H183" s="40"/>
      <c r="I183" s="40"/>
      <c r="J183" s="203">
        <f t="shared" si="18"/>
        <v>25000</v>
      </c>
      <c r="K183" s="52"/>
      <c r="L183" s="98"/>
      <c r="M183" s="52"/>
      <c r="N183" s="52"/>
    </row>
    <row r="184" spans="2:16" s="30" customFormat="1" ht="22.5" customHeight="1" x14ac:dyDescent="0.25">
      <c r="B184" s="180" t="s">
        <v>97</v>
      </c>
      <c r="C184" s="120">
        <f>C173+C174+C175+C181</f>
        <v>225531</v>
      </c>
      <c r="D184" s="120">
        <f>D173+D174+D175+D181+D182+D183</f>
        <v>494422.57</v>
      </c>
      <c r="E184" s="120">
        <f t="shared" ref="E184:I184" si="20">E173+E174+E175+E181</f>
        <v>16008.16</v>
      </c>
      <c r="F184" s="120">
        <f t="shared" si="20"/>
        <v>72575</v>
      </c>
      <c r="G184" s="120">
        <f>G173+G174+G175+G181+G182+G183</f>
        <v>103833.74</v>
      </c>
      <c r="H184" s="120">
        <f t="shared" si="20"/>
        <v>68405.000000000015</v>
      </c>
      <c r="I184" s="120">
        <f t="shared" si="20"/>
        <v>66.400000000000006</v>
      </c>
      <c r="J184" s="181">
        <f t="shared" si="18"/>
        <v>980841.87000000011</v>
      </c>
      <c r="K184" s="52"/>
      <c r="L184" s="52"/>
      <c r="M184" s="52"/>
      <c r="N184" s="52"/>
    </row>
    <row r="185" spans="2:16" s="30" customFormat="1" ht="15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</row>
    <row r="186" spans="2:16" s="30" customFormat="1" ht="15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</row>
    <row r="187" spans="2:16" s="30" customFormat="1" ht="15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</row>
    <row r="188" spans="2:16" s="30" customFormat="1" ht="15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</row>
    <row r="189" spans="2:16" s="30" customFormat="1" ht="15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</row>
    <row r="190" spans="2:16" s="30" customFormat="1" ht="15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</row>
    <row r="191" spans="2:16" s="30" customFormat="1" ht="15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</row>
    <row r="192" spans="2:16" s="30" customFormat="1" ht="15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</row>
    <row r="193" spans="2:16" s="30" customFormat="1" ht="15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</row>
    <row r="194" spans="2:16" s="30" customFormat="1" ht="15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</row>
    <row r="195" spans="2:16" s="30" customFormat="1" ht="15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</row>
    <row r="196" spans="2:16" s="30" customFormat="1" ht="15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</row>
    <row r="197" spans="2:16" s="30" customFormat="1" ht="15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</row>
    <row r="198" spans="2:16" s="30" customFormat="1" ht="18.75" x14ac:dyDescent="0.3">
      <c r="B198" s="166" t="s">
        <v>146</v>
      </c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</row>
    <row r="199" spans="2:16" s="30" customFormat="1" ht="7.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</row>
    <row r="200" spans="2:16" s="30" customFormat="1" ht="20.25" customHeight="1" x14ac:dyDescent="0.25">
      <c r="B200" s="568" t="s">
        <v>101</v>
      </c>
      <c r="C200" s="568"/>
      <c r="D200" s="568"/>
      <c r="E200" s="568"/>
      <c r="F200" s="167"/>
      <c r="G200" s="52"/>
      <c r="H200" s="52"/>
      <c r="I200" s="52"/>
      <c r="J200" s="52"/>
      <c r="K200" s="52"/>
      <c r="L200" s="52"/>
      <c r="M200" s="52"/>
      <c r="N200" s="52"/>
      <c r="O200" s="52"/>
      <c r="P200" s="52"/>
    </row>
    <row r="201" spans="2:16" s="30" customFormat="1" ht="15" x14ac:dyDescent="0.25">
      <c r="B201" s="558" t="s">
        <v>134</v>
      </c>
      <c r="C201" s="558"/>
      <c r="D201" s="558"/>
      <c r="E201" s="39">
        <v>392.02</v>
      </c>
      <c r="F201" s="75"/>
      <c r="G201" s="52"/>
      <c r="H201" s="52"/>
      <c r="I201" s="52"/>
      <c r="J201" s="52"/>
      <c r="K201" s="52"/>
      <c r="L201" s="52"/>
      <c r="M201" s="52"/>
      <c r="N201" s="52"/>
      <c r="O201" s="52"/>
      <c r="P201" s="52"/>
    </row>
    <row r="202" spans="2:16" s="30" customFormat="1" ht="15" x14ac:dyDescent="0.25">
      <c r="B202" s="558" t="s">
        <v>47</v>
      </c>
      <c r="C202" s="558"/>
      <c r="D202" s="558"/>
      <c r="E202" s="39">
        <v>31310.65</v>
      </c>
      <c r="F202" s="75"/>
      <c r="G202" s="52"/>
      <c r="H202" s="52"/>
      <c r="I202" s="52"/>
      <c r="J202" s="52"/>
      <c r="K202" s="52"/>
      <c r="L202" s="52"/>
      <c r="M202" s="52"/>
      <c r="N202" s="52"/>
      <c r="O202" s="52"/>
      <c r="P202" s="52"/>
    </row>
    <row r="203" spans="2:16" s="30" customFormat="1" ht="15" x14ac:dyDescent="0.25">
      <c r="B203" s="558" t="s">
        <v>136</v>
      </c>
      <c r="C203" s="558"/>
      <c r="D203" s="558"/>
      <c r="E203" s="39">
        <v>28324.21</v>
      </c>
      <c r="F203" s="75"/>
      <c r="G203" s="52"/>
      <c r="H203" s="52"/>
      <c r="I203" s="52"/>
      <c r="J203" s="52"/>
      <c r="K203" s="52"/>
      <c r="L203" s="52"/>
      <c r="M203" s="52"/>
      <c r="N203" s="52"/>
      <c r="O203" s="52"/>
      <c r="P203" s="52"/>
    </row>
    <row r="204" spans="2:16" s="30" customFormat="1" ht="15" x14ac:dyDescent="0.25">
      <c r="B204" s="61" t="s">
        <v>105</v>
      </c>
      <c r="C204" s="61"/>
      <c r="D204" s="61"/>
      <c r="E204" s="39">
        <v>158283.01999999999</v>
      </c>
      <c r="F204" s="75"/>
      <c r="G204" s="52"/>
      <c r="H204" s="52"/>
      <c r="I204" s="52"/>
      <c r="J204" s="52"/>
      <c r="K204" s="52"/>
      <c r="L204" s="52"/>
      <c r="M204" s="52"/>
      <c r="N204" s="52"/>
      <c r="O204" s="52"/>
      <c r="P204" s="52"/>
    </row>
    <row r="205" spans="2:16" s="30" customFormat="1" ht="15" x14ac:dyDescent="0.25">
      <c r="B205" s="556" t="s">
        <v>49</v>
      </c>
      <c r="C205" s="556"/>
      <c r="D205" s="556"/>
      <c r="E205" s="39">
        <v>0</v>
      </c>
      <c r="F205" s="75"/>
      <c r="G205" s="52"/>
      <c r="H205" s="52"/>
      <c r="I205" s="52"/>
      <c r="J205" s="52"/>
      <c r="K205" s="52"/>
      <c r="L205" s="52"/>
      <c r="M205" s="52"/>
      <c r="N205" s="52"/>
      <c r="O205" s="52"/>
      <c r="P205" s="52"/>
    </row>
    <row r="206" spans="2:16" s="30" customFormat="1" ht="15" x14ac:dyDescent="0.25">
      <c r="B206" s="38" t="s">
        <v>138</v>
      </c>
      <c r="C206" s="38"/>
      <c r="D206" s="38"/>
      <c r="E206" s="39">
        <v>0</v>
      </c>
      <c r="F206" s="75"/>
      <c r="G206" s="52"/>
      <c r="H206" s="52"/>
      <c r="I206" s="52"/>
      <c r="J206" s="52"/>
      <c r="K206" s="52"/>
      <c r="L206" s="52"/>
      <c r="M206" s="52"/>
      <c r="N206" s="52"/>
      <c r="O206" s="52"/>
      <c r="P206" s="52"/>
    </row>
    <row r="207" spans="2:16" s="30" customFormat="1" ht="21" customHeight="1" x14ac:dyDescent="0.25">
      <c r="B207" s="566" t="s">
        <v>97</v>
      </c>
      <c r="C207" s="566"/>
      <c r="D207" s="566"/>
      <c r="E207" s="120">
        <f>SUM(E201:E206)</f>
        <v>218309.9</v>
      </c>
      <c r="F207" s="183"/>
      <c r="G207" s="52"/>
      <c r="H207" s="52"/>
      <c r="I207" s="52"/>
      <c r="J207" s="52"/>
      <c r="K207" s="52"/>
      <c r="L207" s="52"/>
      <c r="M207" s="52"/>
      <c r="N207" s="52"/>
      <c r="O207" s="52"/>
      <c r="P207" s="52"/>
    </row>
    <row r="208" spans="2:16" s="30" customFormat="1" ht="9.7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</row>
    <row r="209" spans="2:16" s="86" customFormat="1" ht="51" x14ac:dyDescent="0.25">
      <c r="B209" s="68" t="s">
        <v>52</v>
      </c>
      <c r="C209" s="581" t="s">
        <v>596</v>
      </c>
      <c r="D209" s="581"/>
      <c r="E209" s="581" t="s">
        <v>597</v>
      </c>
      <c r="F209" s="581"/>
      <c r="G209" s="69" t="s">
        <v>598</v>
      </c>
      <c r="H209" s="108" t="s">
        <v>97</v>
      </c>
    </row>
    <row r="210" spans="2:16" s="86" customFormat="1" x14ac:dyDescent="0.25">
      <c r="B210" s="182"/>
      <c r="C210" s="193" t="s">
        <v>321</v>
      </c>
      <c r="D210" s="193" t="s">
        <v>323</v>
      </c>
      <c r="E210" s="193" t="s">
        <v>330</v>
      </c>
      <c r="F210" s="193" t="s">
        <v>332</v>
      </c>
      <c r="G210" s="193" t="s">
        <v>325</v>
      </c>
      <c r="H210" s="170"/>
    </row>
    <row r="211" spans="2:16" s="30" customFormat="1" ht="15" x14ac:dyDescent="0.25">
      <c r="B211" s="194" t="s">
        <v>53</v>
      </c>
      <c r="C211" s="40">
        <v>328213.17</v>
      </c>
      <c r="D211" s="40">
        <v>664988.06999999995</v>
      </c>
      <c r="E211" s="40">
        <v>55210</v>
      </c>
      <c r="F211" s="40">
        <v>69130</v>
      </c>
      <c r="G211" s="40">
        <v>116600</v>
      </c>
      <c r="H211" s="195">
        <f t="shared" ref="H211:H220" si="21">C211+D211+E211+F211+G211</f>
        <v>1234141.24</v>
      </c>
      <c r="I211" s="52"/>
      <c r="J211" s="52"/>
      <c r="K211" s="52"/>
      <c r="L211" s="52"/>
    </row>
    <row r="212" spans="2:16" s="30" customFormat="1" ht="15" x14ac:dyDescent="0.25">
      <c r="B212" s="194" t="s">
        <v>54</v>
      </c>
      <c r="C212" s="40">
        <v>119784.19</v>
      </c>
      <c r="D212" s="40">
        <v>244377.41</v>
      </c>
      <c r="E212" s="40">
        <v>20220</v>
      </c>
      <c r="F212" s="40">
        <v>25150</v>
      </c>
      <c r="G212" s="40">
        <v>43100</v>
      </c>
      <c r="H212" s="195">
        <f t="shared" si="21"/>
        <v>452631.6</v>
      </c>
      <c r="I212" s="52"/>
      <c r="J212" s="52"/>
      <c r="K212" s="52"/>
      <c r="L212" s="52"/>
    </row>
    <row r="213" spans="2:16" s="30" customFormat="1" ht="15" x14ac:dyDescent="0.25">
      <c r="B213" s="194" t="s">
        <v>55</v>
      </c>
      <c r="C213" s="40">
        <f>SUM(C214:C219)</f>
        <v>68506.41</v>
      </c>
      <c r="D213" s="40">
        <f t="shared" ref="D213:G213" si="22">SUM(D214:D219)</f>
        <v>149853.45000000001</v>
      </c>
      <c r="E213" s="40">
        <f t="shared" si="22"/>
        <v>70229.429999999993</v>
      </c>
      <c r="F213" s="40">
        <f t="shared" si="22"/>
        <v>102123.24</v>
      </c>
      <c r="G213" s="40">
        <f t="shared" si="22"/>
        <v>10098.969999999999</v>
      </c>
      <c r="H213" s="195">
        <f t="shared" si="21"/>
        <v>400811.5</v>
      </c>
      <c r="I213" s="52"/>
      <c r="J213" s="52"/>
      <c r="K213" s="52"/>
      <c r="L213" s="52"/>
    </row>
    <row r="214" spans="2:16" s="30" customFormat="1" ht="15" x14ac:dyDescent="0.25">
      <c r="B214" s="74" t="s">
        <v>95</v>
      </c>
      <c r="C214" s="39">
        <v>0</v>
      </c>
      <c r="D214" s="39">
        <v>600.05999999999995</v>
      </c>
      <c r="E214" s="39">
        <v>0</v>
      </c>
      <c r="F214" s="39">
        <v>0</v>
      </c>
      <c r="G214" s="39">
        <v>0</v>
      </c>
      <c r="H214" s="110">
        <f t="shared" si="21"/>
        <v>600.05999999999995</v>
      </c>
      <c r="I214" s="52"/>
      <c r="J214" s="52"/>
      <c r="K214" s="52"/>
      <c r="L214" s="52"/>
    </row>
    <row r="215" spans="2:16" s="30" customFormat="1" ht="15" x14ac:dyDescent="0.25">
      <c r="B215" s="74" t="s">
        <v>56</v>
      </c>
      <c r="C215" s="39">
        <v>29206.18</v>
      </c>
      <c r="D215" s="39">
        <v>44653.51</v>
      </c>
      <c r="E215" s="39">
        <v>2200</v>
      </c>
      <c r="F215" s="39">
        <v>2200</v>
      </c>
      <c r="G215" s="39">
        <v>4500</v>
      </c>
      <c r="H215" s="110">
        <f t="shared" si="21"/>
        <v>82759.69</v>
      </c>
      <c r="I215" s="52"/>
      <c r="J215" s="52"/>
      <c r="K215" s="52"/>
      <c r="L215" s="52"/>
    </row>
    <row r="216" spans="2:16" s="30" customFormat="1" ht="15" x14ac:dyDescent="0.25">
      <c r="B216" s="74" t="s">
        <v>57</v>
      </c>
      <c r="C216" s="39">
        <v>13300.17</v>
      </c>
      <c r="D216" s="39">
        <v>39229.160000000003</v>
      </c>
      <c r="E216" s="39">
        <v>48082.43</v>
      </c>
      <c r="F216" s="39">
        <v>74275.8</v>
      </c>
      <c r="G216" s="39">
        <v>2299.8200000000002</v>
      </c>
      <c r="H216" s="110">
        <f t="shared" si="21"/>
        <v>177187.38</v>
      </c>
      <c r="I216" s="52"/>
      <c r="J216" s="52"/>
      <c r="K216" s="52"/>
      <c r="L216" s="52"/>
    </row>
    <row r="217" spans="2:16" s="30" customFormat="1" ht="15" x14ac:dyDescent="0.25">
      <c r="B217" s="74" t="s">
        <v>58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110">
        <f t="shared" si="21"/>
        <v>0</v>
      </c>
      <c r="I217" s="52"/>
      <c r="J217" s="52"/>
      <c r="K217" s="52"/>
      <c r="L217" s="52"/>
    </row>
    <row r="218" spans="2:16" s="30" customFormat="1" ht="15" x14ac:dyDescent="0.25">
      <c r="B218" s="74" t="s">
        <v>59</v>
      </c>
      <c r="C218" s="39">
        <v>8000.4</v>
      </c>
      <c r="D218" s="39">
        <v>17499.580000000002</v>
      </c>
      <c r="E218" s="39">
        <v>1500</v>
      </c>
      <c r="F218" s="39">
        <v>1700</v>
      </c>
      <c r="G218" s="39">
        <v>0</v>
      </c>
      <c r="H218" s="110">
        <f t="shared" si="21"/>
        <v>28699.980000000003</v>
      </c>
      <c r="I218" s="52"/>
      <c r="J218" s="52"/>
      <c r="K218" s="52"/>
      <c r="L218" s="52"/>
    </row>
    <row r="219" spans="2:16" s="30" customFormat="1" ht="15" x14ac:dyDescent="0.25">
      <c r="B219" s="74" t="s">
        <v>61</v>
      </c>
      <c r="C219" s="39">
        <v>17999.66</v>
      </c>
      <c r="D219" s="39">
        <v>47871.14</v>
      </c>
      <c r="E219" s="39">
        <v>18447</v>
      </c>
      <c r="F219" s="39">
        <v>23947.439999999999</v>
      </c>
      <c r="G219" s="39">
        <v>3299.15</v>
      </c>
      <c r="H219" s="110">
        <f t="shared" si="21"/>
        <v>111564.39</v>
      </c>
      <c r="I219" s="52"/>
      <c r="J219" s="52"/>
      <c r="K219" s="52"/>
      <c r="L219" s="52"/>
    </row>
    <row r="220" spans="2:16" s="30" customFormat="1" ht="15" x14ac:dyDescent="0.25">
      <c r="B220" s="194" t="s">
        <v>62</v>
      </c>
      <c r="C220" s="40">
        <v>5535.38</v>
      </c>
      <c r="D220" s="40">
        <v>7094.06</v>
      </c>
      <c r="E220" s="40">
        <v>1200</v>
      </c>
      <c r="F220" s="40">
        <v>700</v>
      </c>
      <c r="G220" s="40">
        <v>1950</v>
      </c>
      <c r="H220" s="195">
        <f t="shared" si="21"/>
        <v>16479.440000000002</v>
      </c>
      <c r="I220" s="52"/>
      <c r="J220" s="52"/>
      <c r="K220" s="52"/>
      <c r="L220" s="52"/>
    </row>
    <row r="221" spans="2:16" s="30" customFormat="1" ht="15" x14ac:dyDescent="0.25">
      <c r="B221" s="194" t="s">
        <v>604</v>
      </c>
      <c r="C221" s="40"/>
      <c r="D221" s="40"/>
      <c r="E221" s="40"/>
      <c r="F221" s="40"/>
      <c r="G221" s="40"/>
      <c r="H221" s="195"/>
      <c r="I221" s="52"/>
      <c r="J221" s="52"/>
      <c r="K221" s="52"/>
      <c r="L221" s="52"/>
    </row>
    <row r="222" spans="2:16" s="30" customFormat="1" ht="24" customHeight="1" x14ac:dyDescent="0.25">
      <c r="B222" s="180" t="s">
        <v>97</v>
      </c>
      <c r="C222" s="120">
        <f>C211+C212+C213+C220</f>
        <v>522039.15</v>
      </c>
      <c r="D222" s="120">
        <f>D211+D212+D213+D220</f>
        <v>1066312.99</v>
      </c>
      <c r="E222" s="120">
        <f>E211+E212+E213+E220</f>
        <v>146859.43</v>
      </c>
      <c r="F222" s="120">
        <f>F211+F212+F213+F220+F221</f>
        <v>197103.24</v>
      </c>
      <c r="G222" s="120">
        <f>G211+G212+G213+G220</f>
        <v>171748.97</v>
      </c>
      <c r="H222" s="181">
        <f>C222+D222+E222+F222+G222</f>
        <v>2104063.7800000003</v>
      </c>
      <c r="I222" s="52"/>
      <c r="J222" s="52"/>
      <c r="K222" s="52"/>
      <c r="L222" s="52"/>
    </row>
    <row r="223" spans="2:16" s="30" customFormat="1" ht="15" x14ac:dyDescent="0.25">
      <c r="B223" s="52"/>
      <c r="C223" s="52"/>
      <c r="D223" s="52"/>
      <c r="E223" s="52"/>
      <c r="F223" s="52"/>
      <c r="G223" s="52"/>
      <c r="H223" s="52"/>
      <c r="I223" s="186"/>
      <c r="J223" s="186"/>
      <c r="K223" s="186"/>
      <c r="L223" s="52"/>
      <c r="M223" s="52"/>
      <c r="N223" s="52"/>
      <c r="O223" s="52"/>
      <c r="P223" s="52"/>
    </row>
    <row r="224" spans="2:16" s="30" customFormat="1" ht="15" x14ac:dyDescent="0.25">
      <c r="B224" s="52"/>
      <c r="C224" s="52"/>
      <c r="D224" s="52"/>
      <c r="E224" s="52"/>
      <c r="F224" s="52"/>
      <c r="G224" s="52"/>
      <c r="H224" s="52"/>
      <c r="I224" s="186"/>
      <c r="J224" s="186"/>
      <c r="K224" s="186"/>
      <c r="L224" s="52"/>
      <c r="M224" s="52"/>
      <c r="N224" s="52"/>
      <c r="O224" s="52"/>
      <c r="P224" s="52"/>
    </row>
    <row r="225" spans="2:16" s="30" customFormat="1" ht="15" x14ac:dyDescent="0.25">
      <c r="B225" s="52"/>
      <c r="C225" s="52"/>
      <c r="D225" s="52"/>
      <c r="E225" s="52"/>
      <c r="F225" s="52"/>
      <c r="G225" s="52"/>
      <c r="H225" s="52"/>
      <c r="I225" s="186"/>
      <c r="J225" s="186"/>
      <c r="K225" s="186"/>
      <c r="L225" s="52"/>
      <c r="M225" s="52"/>
      <c r="N225" s="52"/>
      <c r="O225" s="52"/>
      <c r="P225" s="52"/>
    </row>
    <row r="226" spans="2:16" s="30" customFormat="1" ht="18.75" x14ac:dyDescent="0.3">
      <c r="B226" s="166" t="s">
        <v>147</v>
      </c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</row>
    <row r="227" spans="2:16" s="30" customFormat="1" ht="7.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</row>
    <row r="228" spans="2:16" s="93" customFormat="1" ht="19.5" customHeight="1" thickBot="1" x14ac:dyDescent="0.3">
      <c r="B228" s="587" t="s">
        <v>101</v>
      </c>
      <c r="C228" s="587"/>
      <c r="D228" s="587"/>
      <c r="E228" s="587"/>
      <c r="F228" s="167"/>
    </row>
    <row r="229" spans="2:16" s="30" customFormat="1" ht="15.75" thickTop="1" x14ac:dyDescent="0.25">
      <c r="B229" s="588" t="s">
        <v>134</v>
      </c>
      <c r="C229" s="588"/>
      <c r="D229" s="588"/>
      <c r="E229" s="204">
        <v>7999.57</v>
      </c>
      <c r="F229" s="178"/>
      <c r="G229" s="52"/>
      <c r="H229" s="52"/>
      <c r="I229" s="52"/>
      <c r="J229" s="52"/>
      <c r="K229" s="52"/>
      <c r="L229" s="52"/>
      <c r="M229" s="52"/>
      <c r="N229" s="52"/>
      <c r="O229" s="52"/>
      <c r="P229" s="52"/>
    </row>
    <row r="230" spans="2:16" s="30" customFormat="1" ht="15" x14ac:dyDescent="0.25">
      <c r="B230" s="589" t="s">
        <v>135</v>
      </c>
      <c r="C230" s="589"/>
      <c r="D230" s="589"/>
      <c r="E230" s="205">
        <v>49857.55</v>
      </c>
      <c r="F230" s="178"/>
      <c r="G230" s="52"/>
      <c r="H230" s="52"/>
      <c r="I230" s="52"/>
      <c r="J230" s="52"/>
      <c r="K230" s="52"/>
      <c r="L230" s="52"/>
      <c r="M230" s="52"/>
      <c r="N230" s="52"/>
      <c r="O230" s="52"/>
      <c r="P230" s="52"/>
    </row>
    <row r="231" spans="2:16" s="30" customFormat="1" ht="15" x14ac:dyDescent="0.25">
      <c r="B231" s="589" t="s">
        <v>136</v>
      </c>
      <c r="C231" s="589"/>
      <c r="D231" s="589"/>
      <c r="E231" s="205">
        <v>36236</v>
      </c>
      <c r="F231" s="178"/>
      <c r="G231" s="52"/>
      <c r="H231" s="52"/>
      <c r="I231" s="52"/>
      <c r="J231" s="52"/>
      <c r="K231" s="52"/>
      <c r="L231" s="52"/>
      <c r="M231" s="52"/>
      <c r="N231" s="52"/>
      <c r="O231" s="52"/>
      <c r="P231" s="52"/>
    </row>
    <row r="232" spans="2:16" s="114" customFormat="1" x14ac:dyDescent="0.25">
      <c r="B232" s="590" t="s">
        <v>105</v>
      </c>
      <c r="C232" s="590"/>
      <c r="D232" s="590"/>
      <c r="E232" s="206">
        <v>142204.07999999999</v>
      </c>
      <c r="F232" s="168"/>
    </row>
    <row r="233" spans="2:16" s="114" customFormat="1" x14ac:dyDescent="0.25">
      <c r="B233" s="207" t="s">
        <v>49</v>
      </c>
      <c r="C233" s="208"/>
      <c r="D233" s="209"/>
      <c r="E233" s="210">
        <v>539.34</v>
      </c>
      <c r="F233" s="168"/>
    </row>
    <row r="234" spans="2:16" s="114" customFormat="1" ht="14.25" customHeight="1" thickBot="1" x14ac:dyDescent="0.3">
      <c r="B234" s="207" t="s">
        <v>137</v>
      </c>
      <c r="C234" s="208"/>
      <c r="D234" s="209"/>
      <c r="E234" s="210">
        <v>500</v>
      </c>
      <c r="F234" s="168"/>
    </row>
    <row r="235" spans="2:16" s="30" customFormat="1" ht="20.25" customHeight="1" thickTop="1" x14ac:dyDescent="0.25">
      <c r="B235" s="591" t="s">
        <v>97</v>
      </c>
      <c r="C235" s="591"/>
      <c r="D235" s="591"/>
      <c r="E235" s="211">
        <f>SUM(E229:E234)</f>
        <v>237336.53999999998</v>
      </c>
      <c r="F235" s="179"/>
      <c r="G235" s="52"/>
      <c r="H235" s="52"/>
      <c r="I235" s="52"/>
      <c r="J235" s="52"/>
      <c r="K235" s="52"/>
      <c r="L235" s="52"/>
      <c r="M235" s="52"/>
      <c r="N235" s="52"/>
      <c r="O235" s="52"/>
      <c r="P235" s="52"/>
    </row>
    <row r="236" spans="2:16" s="30" customFormat="1" ht="10.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</row>
    <row r="237" spans="2:16" s="86" customFormat="1" ht="51" x14ac:dyDescent="0.25">
      <c r="B237" s="68" t="s">
        <v>52</v>
      </c>
      <c r="C237" s="581" t="s">
        <v>596</v>
      </c>
      <c r="D237" s="581"/>
      <c r="E237" s="581" t="s">
        <v>597</v>
      </c>
      <c r="F237" s="581"/>
      <c r="G237" s="192" t="s">
        <v>598</v>
      </c>
      <c r="H237" s="69" t="s">
        <v>599</v>
      </c>
      <c r="I237" s="108" t="s">
        <v>97</v>
      </c>
    </row>
    <row r="238" spans="2:16" s="86" customFormat="1" x14ac:dyDescent="0.25">
      <c r="B238" s="182"/>
      <c r="C238" s="193" t="s">
        <v>321</v>
      </c>
      <c r="D238" s="193" t="s">
        <v>323</v>
      </c>
      <c r="E238" s="193" t="s">
        <v>330</v>
      </c>
      <c r="F238" s="193" t="s">
        <v>332</v>
      </c>
      <c r="G238" s="193" t="s">
        <v>325</v>
      </c>
      <c r="H238" s="193" t="s">
        <v>341</v>
      </c>
      <c r="I238" s="170"/>
    </row>
    <row r="239" spans="2:16" s="30" customFormat="1" ht="15" x14ac:dyDescent="0.25">
      <c r="B239" s="194" t="s">
        <v>53</v>
      </c>
      <c r="C239" s="40">
        <v>550615.59</v>
      </c>
      <c r="D239" s="40">
        <v>702966.84</v>
      </c>
      <c r="E239" s="40">
        <v>51620</v>
      </c>
      <c r="F239" s="40">
        <v>49919</v>
      </c>
      <c r="G239" s="40">
        <v>158009</v>
      </c>
      <c r="H239" s="40"/>
      <c r="I239" s="195">
        <f t="shared" ref="I239:I251" si="23">C239+D239+E239+F239+G239+H239</f>
        <v>1513130.43</v>
      </c>
      <c r="J239" s="52"/>
      <c r="K239" s="52"/>
      <c r="L239" s="52"/>
      <c r="M239" s="52"/>
    </row>
    <row r="240" spans="2:16" s="30" customFormat="1" ht="15" x14ac:dyDescent="0.25">
      <c r="B240" s="194" t="s">
        <v>54</v>
      </c>
      <c r="C240" s="40">
        <v>182293.24</v>
      </c>
      <c r="D240" s="40">
        <v>256755.9</v>
      </c>
      <c r="E240" s="40">
        <v>18473</v>
      </c>
      <c r="F240" s="40">
        <v>18473.48</v>
      </c>
      <c r="G240" s="40">
        <v>63529.02</v>
      </c>
      <c r="H240" s="40"/>
      <c r="I240" s="195">
        <f t="shared" si="23"/>
        <v>539524.64</v>
      </c>
      <c r="J240" s="52"/>
      <c r="K240" s="52"/>
      <c r="L240" s="52"/>
      <c r="M240" s="52"/>
    </row>
    <row r="241" spans="2:16" s="30" customFormat="1" ht="15" x14ac:dyDescent="0.25">
      <c r="B241" s="194" t="s">
        <v>55</v>
      </c>
      <c r="C241" s="40">
        <f t="shared" ref="C241:H241" si="24">SUM(C242:C247)</f>
        <v>92860.64</v>
      </c>
      <c r="D241" s="40">
        <f t="shared" si="24"/>
        <v>255065.29</v>
      </c>
      <c r="E241" s="40">
        <f t="shared" si="24"/>
        <v>164703.65000000002</v>
      </c>
      <c r="F241" s="40">
        <f t="shared" si="24"/>
        <v>27738.600000000002</v>
      </c>
      <c r="G241" s="40">
        <f t="shared" si="24"/>
        <v>21179.730000000003</v>
      </c>
      <c r="H241" s="40">
        <f t="shared" si="24"/>
        <v>20344.32</v>
      </c>
      <c r="I241" s="195">
        <f t="shared" si="23"/>
        <v>581892.23</v>
      </c>
      <c r="J241" s="52"/>
      <c r="K241" s="52"/>
      <c r="L241" s="52"/>
      <c r="M241" s="52"/>
    </row>
    <row r="242" spans="2:16" s="30" customFormat="1" ht="15" x14ac:dyDescent="0.25">
      <c r="B242" s="74" t="s">
        <v>66</v>
      </c>
      <c r="C242" s="39">
        <v>583.20000000000005</v>
      </c>
      <c r="D242" s="39">
        <v>1090.3800000000001</v>
      </c>
      <c r="E242" s="39">
        <v>0</v>
      </c>
      <c r="F242" s="39">
        <v>0</v>
      </c>
      <c r="G242" s="39">
        <v>0</v>
      </c>
      <c r="H242" s="39"/>
      <c r="I242" s="110">
        <f t="shared" si="23"/>
        <v>1673.5800000000002</v>
      </c>
      <c r="J242" s="52"/>
      <c r="K242" s="52"/>
      <c r="L242" s="52"/>
      <c r="M242" s="52"/>
    </row>
    <row r="243" spans="2:16" s="30" customFormat="1" ht="15" x14ac:dyDescent="0.25">
      <c r="B243" s="74" t="s">
        <v>56</v>
      </c>
      <c r="C243" s="39">
        <v>17681.37</v>
      </c>
      <c r="D243" s="39">
        <v>80111.63</v>
      </c>
      <c r="E243" s="39">
        <v>8484.9500000000007</v>
      </c>
      <c r="F243" s="39">
        <v>9467.48</v>
      </c>
      <c r="G243" s="39">
        <v>7388.39</v>
      </c>
      <c r="H243" s="39"/>
      <c r="I243" s="110">
        <f t="shared" si="23"/>
        <v>123133.81999999999</v>
      </c>
      <c r="J243" s="52"/>
      <c r="K243" s="52"/>
      <c r="L243" s="52"/>
      <c r="M243" s="52"/>
    </row>
    <row r="244" spans="2:16" s="30" customFormat="1" ht="15" x14ac:dyDescent="0.25">
      <c r="B244" s="74" t="s">
        <v>57</v>
      </c>
      <c r="C244" s="39">
        <v>22854.639999999999</v>
      </c>
      <c r="D244" s="39">
        <v>73728.31</v>
      </c>
      <c r="E244" s="39">
        <v>152012.1</v>
      </c>
      <c r="F244" s="39">
        <v>12490.02</v>
      </c>
      <c r="G244" s="39">
        <v>10403.35</v>
      </c>
      <c r="H244" s="39">
        <v>20344.32</v>
      </c>
      <c r="I244" s="110">
        <f t="shared" si="23"/>
        <v>291832.74</v>
      </c>
      <c r="J244" s="52"/>
      <c r="K244" s="52"/>
      <c r="L244" s="52"/>
      <c r="M244" s="52"/>
    </row>
    <row r="245" spans="2:16" s="30" customFormat="1" ht="15" x14ac:dyDescent="0.25">
      <c r="B245" s="74" t="s">
        <v>59</v>
      </c>
      <c r="C245" s="39">
        <v>18163.23</v>
      </c>
      <c r="D245" s="39">
        <v>52624.47</v>
      </c>
      <c r="E245" s="39">
        <v>1745.65</v>
      </c>
      <c r="F245" s="39">
        <v>3449.01</v>
      </c>
      <c r="G245" s="39">
        <v>0</v>
      </c>
      <c r="H245" s="39"/>
      <c r="I245" s="110">
        <f t="shared" si="23"/>
        <v>75982.359999999986</v>
      </c>
      <c r="J245" s="52"/>
      <c r="K245" s="52"/>
      <c r="L245" s="52"/>
      <c r="M245" s="52"/>
    </row>
    <row r="246" spans="2:16" s="30" customFormat="1" ht="15" x14ac:dyDescent="0.25">
      <c r="B246" s="74" t="s">
        <v>143</v>
      </c>
      <c r="C246" s="39">
        <v>3000</v>
      </c>
      <c r="D246" s="39">
        <v>3171.77</v>
      </c>
      <c r="E246" s="39">
        <v>0</v>
      </c>
      <c r="F246" s="39">
        <v>0</v>
      </c>
      <c r="G246" s="39">
        <v>0</v>
      </c>
      <c r="H246" s="39"/>
      <c r="I246" s="110">
        <f t="shared" si="23"/>
        <v>6171.77</v>
      </c>
      <c r="J246" s="52"/>
      <c r="K246" s="52"/>
      <c r="L246" s="52"/>
      <c r="M246" s="52"/>
    </row>
    <row r="247" spans="2:16" s="30" customFormat="1" ht="15" x14ac:dyDescent="0.25">
      <c r="B247" s="74" t="s">
        <v>61</v>
      </c>
      <c r="C247" s="39">
        <v>30578.2</v>
      </c>
      <c r="D247" s="39">
        <v>44338.73</v>
      </c>
      <c r="E247" s="39">
        <v>2460.9499999999998</v>
      </c>
      <c r="F247" s="39">
        <v>2332.09</v>
      </c>
      <c r="G247" s="39">
        <v>3387.99</v>
      </c>
      <c r="H247" s="39"/>
      <c r="I247" s="110">
        <f t="shared" si="23"/>
        <v>83097.960000000006</v>
      </c>
      <c r="J247" s="52"/>
      <c r="K247" s="52"/>
      <c r="L247" s="52"/>
      <c r="M247" s="52"/>
    </row>
    <row r="248" spans="2:16" s="30" customFormat="1" ht="15" x14ac:dyDescent="0.25">
      <c r="B248" s="194" t="s">
        <v>62</v>
      </c>
      <c r="C248" s="40">
        <v>11769</v>
      </c>
      <c r="D248" s="40">
        <v>49406.85</v>
      </c>
      <c r="E248" s="40">
        <v>1200</v>
      </c>
      <c r="F248" s="40">
        <v>1909.55</v>
      </c>
      <c r="G248" s="40">
        <v>4274.1099999999997</v>
      </c>
      <c r="H248" s="40"/>
      <c r="I248" s="195">
        <f t="shared" si="23"/>
        <v>68559.509999999995</v>
      </c>
      <c r="J248" s="52"/>
      <c r="K248" s="52"/>
      <c r="L248" s="52"/>
      <c r="M248" s="52"/>
    </row>
    <row r="249" spans="2:16" s="30" customFormat="1" ht="15" x14ac:dyDescent="0.25">
      <c r="B249" s="194" t="s">
        <v>601</v>
      </c>
      <c r="C249" s="40"/>
      <c r="D249" s="40"/>
      <c r="E249" s="40"/>
      <c r="F249" s="40">
        <v>4968</v>
      </c>
      <c r="G249" s="40"/>
      <c r="H249" s="40"/>
      <c r="I249" s="195">
        <f t="shared" si="23"/>
        <v>4968</v>
      </c>
      <c r="J249" s="52"/>
      <c r="K249" s="52"/>
      <c r="L249" s="52"/>
      <c r="M249" s="52"/>
    </row>
    <row r="250" spans="2:16" s="30" customFormat="1" ht="15" x14ac:dyDescent="0.25">
      <c r="B250" s="194" t="s">
        <v>519</v>
      </c>
      <c r="C250" s="40"/>
      <c r="D250" s="40"/>
      <c r="E250" s="40"/>
      <c r="F250" s="40"/>
      <c r="G250" s="40"/>
      <c r="H250" s="40"/>
      <c r="I250" s="195">
        <f t="shared" si="23"/>
        <v>0</v>
      </c>
      <c r="J250" s="52"/>
      <c r="K250" s="52"/>
      <c r="L250" s="52"/>
      <c r="M250" s="52"/>
    </row>
    <row r="251" spans="2:16" s="30" customFormat="1" ht="21.75" customHeight="1" x14ac:dyDescent="0.25">
      <c r="B251" s="180" t="s">
        <v>97</v>
      </c>
      <c r="C251" s="120">
        <f>C239+C240+C241+C248</f>
        <v>837538.47</v>
      </c>
      <c r="D251" s="120">
        <f>D239+D240+D241+D248+D249+D250</f>
        <v>1264194.8800000001</v>
      </c>
      <c r="E251" s="120">
        <f>E239+E240+E241+E248</f>
        <v>235996.65000000002</v>
      </c>
      <c r="F251" s="120">
        <f>F239+F240+F241+F248+F249</f>
        <v>103008.63</v>
      </c>
      <c r="G251" s="120">
        <f>G239+G240+G241+G248</f>
        <v>246991.86</v>
      </c>
      <c r="H251" s="120">
        <f>H239+H240+H241+H248</f>
        <v>20344.32</v>
      </c>
      <c r="I251" s="181">
        <f t="shared" si="23"/>
        <v>2708074.8099999996</v>
      </c>
      <c r="J251" s="52"/>
      <c r="K251" s="98"/>
      <c r="L251" s="52"/>
      <c r="M251" s="98"/>
    </row>
    <row r="252" spans="2:16" s="30" customFormat="1" ht="15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</row>
    <row r="253" spans="2:16" s="30" customFormat="1" ht="15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</row>
    <row r="254" spans="2:16" s="30" customFormat="1" ht="15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</row>
    <row r="255" spans="2:16" s="30" customFormat="1" ht="15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</row>
    <row r="256" spans="2:16" s="30" customFormat="1" ht="15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</row>
    <row r="257" spans="2:16" s="30" customFormat="1" ht="15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</row>
    <row r="258" spans="2:16" s="30" customFormat="1" ht="15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</row>
    <row r="259" spans="2:16" s="30" customFormat="1" ht="15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</row>
    <row r="260" spans="2:16" s="30" customFormat="1" ht="15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</row>
    <row r="261" spans="2:16" s="30" customFormat="1" ht="15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</row>
    <row r="262" spans="2:16" s="30" customFormat="1" ht="18.75" x14ac:dyDescent="0.3">
      <c r="B262" s="166" t="s">
        <v>148</v>
      </c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</row>
    <row r="264" spans="2:16" s="30" customFormat="1" ht="20.25" customHeight="1" x14ac:dyDescent="0.25">
      <c r="B264" s="568" t="s">
        <v>101</v>
      </c>
      <c r="C264" s="568"/>
      <c r="D264" s="568"/>
      <c r="E264" s="568"/>
      <c r="F264" s="167"/>
      <c r="G264" s="52"/>
      <c r="H264" s="98"/>
      <c r="I264" s="98"/>
      <c r="J264" s="98"/>
      <c r="K264" s="98"/>
      <c r="L264" s="52"/>
      <c r="M264" s="175"/>
      <c r="N264" s="175"/>
      <c r="O264" s="175"/>
      <c r="P264" s="52"/>
    </row>
    <row r="265" spans="2:16" s="30" customFormat="1" ht="15" x14ac:dyDescent="0.25">
      <c r="B265" s="558" t="s">
        <v>134</v>
      </c>
      <c r="C265" s="558"/>
      <c r="D265" s="558"/>
      <c r="E265" s="62">
        <f>E229+E201+E163+E137+E104+E75+E39+E10</f>
        <v>90712.56</v>
      </c>
      <c r="F265" s="187"/>
      <c r="G265" s="98"/>
      <c r="H265" s="52"/>
      <c r="I265" s="98"/>
      <c r="J265" s="98"/>
      <c r="K265" s="98"/>
      <c r="L265" s="52"/>
      <c r="M265" s="175"/>
      <c r="N265" s="175"/>
      <c r="O265" s="175"/>
      <c r="P265" s="52"/>
    </row>
    <row r="266" spans="2:16" s="30" customFormat="1" ht="15" x14ac:dyDescent="0.25">
      <c r="B266" s="558" t="s">
        <v>135</v>
      </c>
      <c r="C266" s="558"/>
      <c r="D266" s="558"/>
      <c r="E266" s="62">
        <f>E230+E202+E164+E105+E76+E40+E11</f>
        <v>267293.63</v>
      </c>
      <c r="F266" s="187"/>
      <c r="G266" s="98"/>
      <c r="H266" s="52"/>
      <c r="I266" s="98"/>
      <c r="J266" s="98"/>
      <c r="K266" s="98"/>
      <c r="L266" s="52"/>
      <c r="M266" s="175"/>
      <c r="N266" s="175"/>
      <c r="O266" s="175"/>
      <c r="P266" s="52"/>
    </row>
    <row r="267" spans="2:16" s="30" customFormat="1" ht="15" x14ac:dyDescent="0.25">
      <c r="B267" s="558" t="s">
        <v>136</v>
      </c>
      <c r="C267" s="558"/>
      <c r="D267" s="558"/>
      <c r="E267" s="62">
        <f>E231+E203+E165+E138+E106+E77+E41+E12</f>
        <v>202732.26</v>
      </c>
      <c r="F267" s="187"/>
      <c r="G267" s="98"/>
      <c r="H267" s="98"/>
      <c r="I267" s="98"/>
      <c r="J267" s="98"/>
      <c r="K267" s="98"/>
      <c r="L267" s="52"/>
      <c r="M267" s="175"/>
      <c r="N267" s="175"/>
      <c r="O267" s="175"/>
      <c r="P267" s="52"/>
    </row>
    <row r="268" spans="2:16" s="30" customFormat="1" ht="15" x14ac:dyDescent="0.25">
      <c r="B268" s="558" t="s">
        <v>105</v>
      </c>
      <c r="C268" s="558"/>
      <c r="D268" s="558"/>
      <c r="E268" s="62">
        <f>E232+E204+E166+E107+E78+E42+E13</f>
        <v>802312.10999999987</v>
      </c>
      <c r="F268" s="187"/>
      <c r="G268" s="98"/>
      <c r="H268" s="98"/>
      <c r="I268" s="98"/>
      <c r="J268" s="98"/>
      <c r="K268" s="98"/>
      <c r="L268" s="52"/>
      <c r="M268" s="175"/>
      <c r="N268" s="175"/>
      <c r="O268" s="175"/>
      <c r="P268" s="52"/>
    </row>
    <row r="269" spans="2:16" s="30" customFormat="1" ht="15" x14ac:dyDescent="0.25">
      <c r="B269" s="582" t="s">
        <v>49</v>
      </c>
      <c r="C269" s="582"/>
      <c r="D269" s="582"/>
      <c r="E269" s="191">
        <f>E205+E167+E139+E108+E14+E43+E233</f>
        <v>11059.58</v>
      </c>
      <c r="F269" s="188"/>
      <c r="G269" s="189"/>
      <c r="H269" s="52"/>
      <c r="I269" s="98"/>
      <c r="J269" s="98"/>
      <c r="K269" s="98"/>
      <c r="L269" s="52"/>
      <c r="M269" s="175"/>
      <c r="N269" s="175"/>
      <c r="O269" s="175"/>
      <c r="P269" s="52"/>
    </row>
    <row r="270" spans="2:16" s="30" customFormat="1" ht="15" x14ac:dyDescent="0.25">
      <c r="B270" s="582" t="s">
        <v>50</v>
      </c>
      <c r="C270" s="582"/>
      <c r="D270" s="582"/>
      <c r="E270" s="191">
        <f>E79+E44+E109</f>
        <v>2922.26</v>
      </c>
      <c r="F270" s="188"/>
      <c r="G270" s="189"/>
      <c r="H270" s="52"/>
      <c r="I270" s="98"/>
      <c r="J270" s="98"/>
      <c r="K270" s="98"/>
      <c r="L270" s="52"/>
      <c r="M270" s="175"/>
      <c r="N270" s="175"/>
      <c r="O270" s="175"/>
      <c r="P270" s="175"/>
    </row>
    <row r="271" spans="2:16" s="30" customFormat="1" ht="15" x14ac:dyDescent="0.25">
      <c r="B271" s="582" t="s">
        <v>137</v>
      </c>
      <c r="C271" s="582"/>
      <c r="D271" s="582"/>
      <c r="E271" s="191">
        <f>E234+E168+E45+E80</f>
        <v>4726</v>
      </c>
      <c r="F271" s="188"/>
      <c r="G271" s="189"/>
      <c r="H271" s="52"/>
      <c r="I271" s="98"/>
      <c r="J271" s="98"/>
      <c r="K271" s="98"/>
      <c r="L271" s="52"/>
      <c r="M271" s="175"/>
      <c r="N271" s="175"/>
      <c r="O271" s="175"/>
      <c r="P271" s="175"/>
    </row>
    <row r="272" spans="2:16" s="30" customFormat="1" ht="15" x14ac:dyDescent="0.25">
      <c r="B272" s="582" t="s">
        <v>138</v>
      </c>
      <c r="C272" s="582"/>
      <c r="D272" s="582"/>
      <c r="E272" s="191">
        <f>E46+E15+E140+E206</f>
        <v>50099.82</v>
      </c>
      <c r="F272" s="188"/>
      <c r="G272" s="189"/>
      <c r="H272" s="52"/>
      <c r="I272" s="52"/>
      <c r="J272" s="52"/>
      <c r="K272" s="52"/>
      <c r="L272" s="52"/>
      <c r="M272" s="52"/>
      <c r="N272" s="52"/>
      <c r="O272" s="175"/>
      <c r="P272" s="52"/>
    </row>
    <row r="273" spans="2:16" s="30" customFormat="1" ht="15" x14ac:dyDescent="0.25">
      <c r="B273" s="582" t="s">
        <v>520</v>
      </c>
      <c r="C273" s="582"/>
      <c r="D273" s="582"/>
      <c r="E273" s="191">
        <f>E110</f>
        <v>0</v>
      </c>
      <c r="F273" s="188"/>
      <c r="G273" s="189"/>
      <c r="H273" s="52"/>
      <c r="I273" s="52"/>
      <c r="J273" s="52"/>
      <c r="K273" s="52"/>
      <c r="L273" s="52"/>
      <c r="M273" s="52"/>
      <c r="N273" s="52"/>
      <c r="O273" s="175"/>
      <c r="P273" s="52"/>
    </row>
    <row r="274" spans="2:16" s="30" customFormat="1" ht="15" x14ac:dyDescent="0.25">
      <c r="B274" s="582" t="s">
        <v>149</v>
      </c>
      <c r="C274" s="582"/>
      <c r="D274" s="582"/>
      <c r="E274" s="191">
        <f>E81</f>
        <v>0</v>
      </c>
      <c r="F274" s="188"/>
      <c r="G274" s="189"/>
      <c r="H274" s="52"/>
      <c r="I274" s="52"/>
      <c r="J274" s="52"/>
      <c r="K274" s="52"/>
      <c r="L274" s="52"/>
      <c r="M274" s="52"/>
      <c r="N274" s="52"/>
      <c r="O274" s="175"/>
      <c r="P274" s="52"/>
    </row>
    <row r="275" spans="2:16" s="30" customFormat="1" ht="21.75" customHeight="1" x14ac:dyDescent="0.25">
      <c r="B275" s="566" t="s">
        <v>97</v>
      </c>
      <c r="C275" s="566"/>
      <c r="D275" s="566"/>
      <c r="E275" s="202">
        <f>SUM(E265:E274)</f>
        <v>1431858.22</v>
      </c>
      <c r="F275" s="212"/>
      <c r="G275" s="189"/>
      <c r="H275" s="98"/>
      <c r="I275" s="98"/>
      <c r="J275" s="98"/>
      <c r="K275" s="98"/>
      <c r="L275" s="98"/>
      <c r="M275" s="98"/>
      <c r="N275" s="98"/>
      <c r="O275" s="98"/>
      <c r="P275" s="52"/>
    </row>
    <row r="276" spans="2:16" s="30" customFormat="1" ht="15" x14ac:dyDescent="0.25">
      <c r="B276" s="52"/>
      <c r="C276" s="52"/>
      <c r="D276" s="52"/>
      <c r="E276" s="52"/>
      <c r="F276" s="52"/>
      <c r="G276" s="189"/>
      <c r="H276" s="52"/>
      <c r="I276" s="52"/>
      <c r="J276" s="52"/>
      <c r="K276" s="52"/>
      <c r="L276" s="52"/>
      <c r="M276" s="52"/>
      <c r="N276" s="52"/>
      <c r="O276" s="52"/>
      <c r="P276" s="52"/>
    </row>
    <row r="277" spans="2:16" s="30" customFormat="1" ht="36" x14ac:dyDescent="0.25">
      <c r="B277" s="54" t="s">
        <v>52</v>
      </c>
      <c r="C277" s="552" t="s">
        <v>600</v>
      </c>
      <c r="D277" s="580" t="s">
        <v>596</v>
      </c>
      <c r="E277" s="580"/>
      <c r="F277" s="580" t="s">
        <v>597</v>
      </c>
      <c r="G277" s="580"/>
      <c r="H277" s="580"/>
      <c r="I277" s="552" t="s">
        <v>598</v>
      </c>
      <c r="J277" s="553" t="s">
        <v>599</v>
      </c>
      <c r="K277" s="184" t="s">
        <v>97</v>
      </c>
      <c r="L277" s="52"/>
      <c r="M277" s="52"/>
      <c r="N277" s="52"/>
      <c r="O277" s="52"/>
    </row>
    <row r="278" spans="2:16" s="30" customFormat="1" ht="15" x14ac:dyDescent="0.25">
      <c r="B278" s="169"/>
      <c r="C278" s="554" t="s">
        <v>309</v>
      </c>
      <c r="D278" s="554" t="s">
        <v>321</v>
      </c>
      <c r="E278" s="554" t="s">
        <v>323</v>
      </c>
      <c r="F278" s="554" t="s">
        <v>329</v>
      </c>
      <c r="G278" s="554" t="s">
        <v>330</v>
      </c>
      <c r="H278" s="554" t="s">
        <v>332</v>
      </c>
      <c r="I278" s="554" t="s">
        <v>325</v>
      </c>
      <c r="J278" s="554" t="s">
        <v>341</v>
      </c>
      <c r="K278" s="185"/>
      <c r="L278" s="52"/>
      <c r="M278" s="52"/>
      <c r="N278" s="52"/>
      <c r="O278" s="52"/>
    </row>
    <row r="279" spans="2:16" s="30" customFormat="1" ht="15" x14ac:dyDescent="0.25">
      <c r="B279" s="171" t="s">
        <v>53</v>
      </c>
      <c r="C279" s="32">
        <f>C145</f>
        <v>0</v>
      </c>
      <c r="D279" s="32">
        <f>C239+C211+C173+D145+C115+C86+C51+C20</f>
        <v>2809668.55</v>
      </c>
      <c r="E279" s="32">
        <f>D239+D211+D173+E145+D115+D86+D51+D20</f>
        <v>4654910.3100000005</v>
      </c>
      <c r="F279" s="32">
        <v>0</v>
      </c>
      <c r="G279" s="32">
        <f>E239+E211+F173+E115+F86+E51+E20</f>
        <v>296690.55</v>
      </c>
      <c r="H279" s="32">
        <f>F239+F211+G173+F145+F115+G86+F51+F20</f>
        <v>338900.32</v>
      </c>
      <c r="I279" s="32">
        <f>G239+G211+H173+G145+G115+H86+G51+G20</f>
        <v>1003414.97</v>
      </c>
      <c r="J279" s="32">
        <f>H145+H51+H20+H115+H239</f>
        <v>0</v>
      </c>
      <c r="K279" s="172">
        <f t="shared" ref="K279:K292" si="25">C279+D279+E279+G279+H279+I279+J279+F279</f>
        <v>9103584.7000000011</v>
      </c>
      <c r="L279" s="52"/>
      <c r="M279" s="98"/>
      <c r="N279" s="52"/>
      <c r="O279" s="52"/>
    </row>
    <row r="280" spans="2:16" s="30" customFormat="1" ht="15" x14ac:dyDescent="0.25">
      <c r="B280" s="171" t="s">
        <v>54</v>
      </c>
      <c r="C280" s="32">
        <f>C146</f>
        <v>0</v>
      </c>
      <c r="D280" s="32">
        <f>C240+C212+C174+D146+C116+C87+C52+C21</f>
        <v>988814.42999999993</v>
      </c>
      <c r="E280" s="32">
        <f>D240+D212+D174+E146+D116+D87+D52+D21</f>
        <v>1676378.93</v>
      </c>
      <c r="F280" s="32">
        <v>0</v>
      </c>
      <c r="G280" s="32">
        <f>E240+E212+F174+E116+F87+E52+E21</f>
        <v>107070.45</v>
      </c>
      <c r="H280" s="32">
        <f>F240+F212+G174+F146+F116+G87+F52+F21</f>
        <v>122514.18</v>
      </c>
      <c r="I280" s="32">
        <f>G240+G212+H174+G146+G116+H87+G52+G21</f>
        <v>368042.48</v>
      </c>
      <c r="J280" s="32">
        <f>H146+H52+H21+H116+H240</f>
        <v>0</v>
      </c>
      <c r="K280" s="172">
        <f t="shared" si="25"/>
        <v>3262820.47</v>
      </c>
      <c r="L280" s="52"/>
      <c r="M280" s="98"/>
      <c r="N280" s="52"/>
      <c r="O280" s="52"/>
    </row>
    <row r="281" spans="2:16" s="30" customFormat="1" ht="15" x14ac:dyDescent="0.25">
      <c r="B281" s="171" t="s">
        <v>55</v>
      </c>
      <c r="C281" s="32">
        <f t="shared" ref="C281:J281" si="26">SUM(C282:C288)</f>
        <v>52050</v>
      </c>
      <c r="D281" s="32">
        <f t="shared" si="26"/>
        <v>605100.86</v>
      </c>
      <c r="E281" s="32">
        <f t="shared" si="26"/>
        <v>1598110.4299999997</v>
      </c>
      <c r="F281" s="32">
        <f t="shared" si="26"/>
        <v>42158.9</v>
      </c>
      <c r="G281" s="32">
        <f t="shared" si="26"/>
        <v>457649.13999999996</v>
      </c>
      <c r="H281" s="32">
        <f t="shared" si="26"/>
        <v>571445.86</v>
      </c>
      <c r="I281" s="32">
        <f t="shared" si="26"/>
        <v>146048.72</v>
      </c>
      <c r="J281" s="32">
        <f t="shared" si="26"/>
        <v>24122.32</v>
      </c>
      <c r="K281" s="172">
        <f t="shared" si="25"/>
        <v>3496686.2299999995</v>
      </c>
      <c r="L281" s="52"/>
      <c r="M281" s="98"/>
      <c r="N281" s="52"/>
      <c r="O281" s="52"/>
    </row>
    <row r="282" spans="2:16" s="30" customFormat="1" ht="15" x14ac:dyDescent="0.25">
      <c r="B282" s="55" t="s">
        <v>66</v>
      </c>
      <c r="C282" s="31">
        <v>0</v>
      </c>
      <c r="D282" s="31">
        <f>C242+C89+C54+C23+D148</f>
        <v>728.1400000000001</v>
      </c>
      <c r="E282" s="31">
        <f>D242+D89+D54+D23+D214</f>
        <v>1885.9700000000003</v>
      </c>
      <c r="F282" s="31">
        <v>0</v>
      </c>
      <c r="G282" s="31">
        <f>E242+F89+E54+E23</f>
        <v>0</v>
      </c>
      <c r="H282" s="31">
        <f>F242+G89+F54+F23</f>
        <v>0</v>
      </c>
      <c r="I282" s="31">
        <f>G242+H89+G54+G23</f>
        <v>0</v>
      </c>
      <c r="J282" s="31">
        <f>H54+H23+H242</f>
        <v>0</v>
      </c>
      <c r="K282" s="95">
        <f t="shared" si="25"/>
        <v>2614.1100000000006</v>
      </c>
      <c r="L282" s="52"/>
      <c r="M282" s="52"/>
      <c r="N282" s="52"/>
      <c r="O282" s="52"/>
    </row>
    <row r="283" spans="2:16" s="30" customFormat="1" ht="15" x14ac:dyDescent="0.25">
      <c r="B283" s="55" t="s">
        <v>56</v>
      </c>
      <c r="C283" s="31">
        <f>C149</f>
        <v>0</v>
      </c>
      <c r="D283" s="31">
        <f>C243+C215+C176+D149+C118+C90+C55+C24</f>
        <v>215542.82</v>
      </c>
      <c r="E283" s="31">
        <f>D243+D215+D176+E149+D118+D90+D55+D24</f>
        <v>705544.55999999994</v>
      </c>
      <c r="F283" s="31">
        <v>0</v>
      </c>
      <c r="G283" s="31">
        <f>E243+E215+F176+E118+F90+E55+E24</f>
        <v>48214.399999999994</v>
      </c>
      <c r="H283" s="31">
        <f>F243+F215+G176+F149+F118+G90+F55+F24</f>
        <v>48055.89</v>
      </c>
      <c r="I283" s="31">
        <f>G243+G215+H176+G149+G118+H90+G55+G24</f>
        <v>63354.82</v>
      </c>
      <c r="J283" s="31">
        <f>H149+H55+H24+H118+H243</f>
        <v>0</v>
      </c>
      <c r="K283" s="95">
        <f t="shared" si="25"/>
        <v>1080712.49</v>
      </c>
      <c r="L283" s="52"/>
      <c r="M283" s="52"/>
      <c r="N283" s="52"/>
      <c r="O283" s="52"/>
    </row>
    <row r="284" spans="2:16" s="30" customFormat="1" ht="15" x14ac:dyDescent="0.25">
      <c r="B284" s="55" t="s">
        <v>57</v>
      </c>
      <c r="C284" s="31">
        <f>C150</f>
        <v>0</v>
      </c>
      <c r="D284" s="31">
        <f>C244+C216+C177+D150+C119+C91+C56+C25</f>
        <v>160861.53999999998</v>
      </c>
      <c r="E284" s="31">
        <f>D244+D216+D177+E150+D119+D91+D56+D25</f>
        <v>369636.32999999996</v>
      </c>
      <c r="F284" s="31">
        <f>E177+E91</f>
        <v>42158.9</v>
      </c>
      <c r="G284" s="31">
        <f>E244+E216+F177+E119+F91+E56+E25</f>
        <v>341028.7</v>
      </c>
      <c r="H284" s="31">
        <f>F244+F216+G177+F150+F119+G91+F56+F25</f>
        <v>395536.69</v>
      </c>
      <c r="I284" s="31">
        <f>G244+G216+H177+G150+G119+H91+G56+G25</f>
        <v>38449.46</v>
      </c>
      <c r="J284" s="31">
        <f>H150+H56+H25+H119+I177+H244</f>
        <v>24122.32</v>
      </c>
      <c r="K284" s="95">
        <f t="shared" si="25"/>
        <v>1371793.9399999997</v>
      </c>
      <c r="L284" s="52"/>
      <c r="M284" s="52"/>
      <c r="N284" s="52"/>
      <c r="O284" s="52"/>
    </row>
    <row r="285" spans="2:16" s="30" customFormat="1" ht="15" x14ac:dyDescent="0.25">
      <c r="B285" s="55" t="s">
        <v>58</v>
      </c>
      <c r="C285" s="31">
        <v>0</v>
      </c>
      <c r="D285" s="31">
        <f>C217+C120+C57+C26+C92+C178</f>
        <v>848.86</v>
      </c>
      <c r="E285" s="31">
        <f>D217+D120+D57+D26+D92</f>
        <v>417.14</v>
      </c>
      <c r="F285" s="31">
        <v>0</v>
      </c>
      <c r="G285" s="31">
        <f>E217+E120+E57+E26+F92</f>
        <v>0</v>
      </c>
      <c r="H285" s="31">
        <f>F217+F120+F57+F26+G92</f>
        <v>0</v>
      </c>
      <c r="I285" s="31">
        <f>G217+G120+G57+G26+H92</f>
        <v>0</v>
      </c>
      <c r="J285" s="31">
        <f>H57+H26+H120</f>
        <v>0</v>
      </c>
      <c r="K285" s="95">
        <f t="shared" si="25"/>
        <v>1266</v>
      </c>
      <c r="L285" s="52"/>
      <c r="M285" s="52"/>
      <c r="N285" s="52"/>
      <c r="O285" s="52"/>
    </row>
    <row r="286" spans="2:16" s="30" customFormat="1" ht="15" x14ac:dyDescent="0.25">
      <c r="B286" s="55" t="s">
        <v>59</v>
      </c>
      <c r="C286" s="31">
        <f>C151</f>
        <v>0</v>
      </c>
      <c r="D286" s="31">
        <f>C245+C218+C179+D151+C121+C93+C58+C27</f>
        <v>50602.11</v>
      </c>
      <c r="E286" s="31">
        <f>D245+D218+D179+E151+D121+D93+D58+D27</f>
        <v>197940.32</v>
      </c>
      <c r="F286" s="31">
        <v>0</v>
      </c>
      <c r="G286" s="31">
        <f>E245+E218+F179+E121+F93+E58+E27</f>
        <v>30542.93</v>
      </c>
      <c r="H286" s="31">
        <f>F245+F218+G179+F151+F121+G93+F58+F27</f>
        <v>39849.29</v>
      </c>
      <c r="I286" s="31">
        <f>G245+G218+H179+G151+G121+H93+G58+G27</f>
        <v>12961.58</v>
      </c>
      <c r="J286" s="31">
        <f>H151+H58+H27+H121+H245</f>
        <v>0</v>
      </c>
      <c r="K286" s="95">
        <f t="shared" si="25"/>
        <v>331896.23</v>
      </c>
      <c r="L286" s="52"/>
      <c r="M286" s="52"/>
      <c r="N286" s="52"/>
      <c r="O286" s="52"/>
    </row>
    <row r="287" spans="2:16" s="30" customFormat="1" ht="15" x14ac:dyDescent="0.25">
      <c r="B287" s="55" t="s">
        <v>143</v>
      </c>
      <c r="C287" s="31">
        <f>C152</f>
        <v>52050</v>
      </c>
      <c r="D287" s="31">
        <f>C246+D152+C94+C59+C28</f>
        <v>6367</v>
      </c>
      <c r="E287" s="31">
        <f>D246+E152+D94+D59+D28</f>
        <v>8431.9</v>
      </c>
      <c r="F287" s="31">
        <v>0</v>
      </c>
      <c r="G287" s="31">
        <f>E246+F94+E59+E28</f>
        <v>6</v>
      </c>
      <c r="H287" s="31">
        <f>F246+F152+G94+F59+F28</f>
        <v>6</v>
      </c>
      <c r="I287" s="31">
        <f>G246+G152+H94+G59+G28</f>
        <v>0</v>
      </c>
      <c r="J287" s="31">
        <f>H152+H59+H28+H246</f>
        <v>0</v>
      </c>
      <c r="K287" s="95">
        <f t="shared" si="25"/>
        <v>66860.899999999994</v>
      </c>
      <c r="L287" s="52"/>
      <c r="M287" s="52"/>
      <c r="N287" s="52"/>
      <c r="O287" s="52"/>
    </row>
    <row r="288" spans="2:16" s="30" customFormat="1" ht="15" x14ac:dyDescent="0.25">
      <c r="B288" s="55" t="s">
        <v>61</v>
      </c>
      <c r="C288" s="31">
        <v>0</v>
      </c>
      <c r="D288" s="31">
        <f>C247+C219+C180+D153+C122+C95+C60+C29</f>
        <v>170150.39</v>
      </c>
      <c r="E288" s="31">
        <f>D247+D219+D180+E153+D122+D95+D60+D29</f>
        <v>314254.21000000002</v>
      </c>
      <c r="F288" s="31">
        <v>0</v>
      </c>
      <c r="G288" s="31">
        <f>E247+E219+F180+E122+F95+E60+E29</f>
        <v>37857.11</v>
      </c>
      <c r="H288" s="31">
        <f>F247+F219+G180+F153+F122+G95+F60+F29</f>
        <v>87997.99</v>
      </c>
      <c r="I288" s="31">
        <f>G247+G219+H180+G153+G122+H95+G60+G29</f>
        <v>31282.86</v>
      </c>
      <c r="J288" s="31">
        <f>H153+H60+H29+H122+H247</f>
        <v>0</v>
      </c>
      <c r="K288" s="95">
        <f t="shared" si="25"/>
        <v>641542.56000000006</v>
      </c>
      <c r="L288" s="52"/>
      <c r="M288" s="52"/>
      <c r="N288" s="52"/>
      <c r="O288" s="52"/>
    </row>
    <row r="289" spans="2:16" s="30" customFormat="1" ht="15" x14ac:dyDescent="0.25">
      <c r="B289" s="171" t="s">
        <v>62</v>
      </c>
      <c r="C289" s="32">
        <v>0</v>
      </c>
      <c r="D289" s="32">
        <f>C248+C220+C181+D154+C123+C96+C61+C30</f>
        <v>50019.630000000005</v>
      </c>
      <c r="E289" s="32">
        <f>D248+D220+D181+E154+D123+D96+D61+D30</f>
        <v>90998.349999999991</v>
      </c>
      <c r="F289" s="32">
        <v>0</v>
      </c>
      <c r="G289" s="32">
        <f>E248+E220+F181+E123+F96+E61+E30</f>
        <v>5395.22</v>
      </c>
      <c r="H289" s="32">
        <f>F248+F220+G181+F154+F123+G96+F61+F30</f>
        <v>8265.9399999999987</v>
      </c>
      <c r="I289" s="32">
        <f>G248+G220+H181+G154+G123+H96+G61+G30</f>
        <v>22955.21</v>
      </c>
      <c r="J289" s="32">
        <f>H154+H61+H30+H123+H248</f>
        <v>116.2</v>
      </c>
      <c r="K289" s="172">
        <f t="shared" si="25"/>
        <v>177750.55</v>
      </c>
      <c r="L289" s="52"/>
      <c r="M289" s="52"/>
      <c r="N289" s="52"/>
      <c r="O289" s="52"/>
    </row>
    <row r="290" spans="2:16" s="93" customFormat="1" ht="19.5" customHeight="1" x14ac:dyDescent="0.25">
      <c r="B290" s="171" t="s">
        <v>603</v>
      </c>
      <c r="C290" s="176">
        <v>0</v>
      </c>
      <c r="D290" s="176">
        <f>C124+C64</f>
        <v>0</v>
      </c>
      <c r="E290" s="176">
        <f>D124+D64+D249+D97</f>
        <v>3925.72</v>
      </c>
      <c r="F290" s="176">
        <v>0</v>
      </c>
      <c r="G290" s="176">
        <f>E124+E64+F97</f>
        <v>0</v>
      </c>
      <c r="H290" s="176">
        <f>F124+F64+G182+F249+F221+G97</f>
        <v>15366.2</v>
      </c>
      <c r="I290" s="176">
        <f>G124+G64</f>
        <v>0</v>
      </c>
      <c r="J290" s="176">
        <f>H64</f>
        <v>0</v>
      </c>
      <c r="K290" s="177">
        <f t="shared" si="25"/>
        <v>19291.920000000002</v>
      </c>
    </row>
    <row r="291" spans="2:16" s="93" customFormat="1" ht="27" customHeight="1" x14ac:dyDescent="0.25">
      <c r="B291" s="171" t="s">
        <v>915</v>
      </c>
      <c r="C291" s="176"/>
      <c r="D291" s="176"/>
      <c r="E291" s="176">
        <f>D62</f>
        <v>1168</v>
      </c>
      <c r="F291" s="176"/>
      <c r="G291" s="176"/>
      <c r="H291" s="176">
        <f>F62</f>
        <v>100</v>
      </c>
      <c r="I291" s="176"/>
      <c r="J291" s="176"/>
      <c r="K291" s="177">
        <f t="shared" si="25"/>
        <v>1268</v>
      </c>
    </row>
    <row r="292" spans="2:16" s="58" customFormat="1" ht="15" x14ac:dyDescent="0.25">
      <c r="B292" s="171" t="s">
        <v>519</v>
      </c>
      <c r="C292" s="176">
        <v>0</v>
      </c>
      <c r="D292" s="176">
        <v>0</v>
      </c>
      <c r="E292" s="176">
        <f>E155+D63+D183+D250+D31</f>
        <v>135279.20000000001</v>
      </c>
      <c r="F292" s="176">
        <f>E63</f>
        <v>0</v>
      </c>
      <c r="G292" s="176">
        <f>F155</f>
        <v>0</v>
      </c>
      <c r="H292" s="176">
        <f>F63</f>
        <v>0</v>
      </c>
      <c r="I292" s="176">
        <f>H155+H63</f>
        <v>0</v>
      </c>
      <c r="J292" s="176">
        <v>0</v>
      </c>
      <c r="K292" s="177">
        <f t="shared" si="25"/>
        <v>135279.20000000001</v>
      </c>
      <c r="L292" s="93"/>
      <c r="M292" s="121"/>
      <c r="N292" s="93"/>
      <c r="O292" s="93"/>
    </row>
    <row r="293" spans="2:16" s="30" customFormat="1" ht="21" customHeight="1" x14ac:dyDescent="0.25">
      <c r="B293" s="173" t="s">
        <v>97</v>
      </c>
      <c r="C293" s="115">
        <f t="shared" ref="C293:D293" si="27">C279+C280+C281+C289+C292+C290+C291</f>
        <v>52050</v>
      </c>
      <c r="D293" s="115">
        <f t="shared" si="27"/>
        <v>4453603.47</v>
      </c>
      <c r="E293" s="115">
        <f>E279+E280+E281+E289+E292+E290+E291</f>
        <v>8160770.9399999995</v>
      </c>
      <c r="F293" s="115">
        <f t="shared" ref="F293:J293" si="28">F279+F280+F281+F289+F292+F290+F291</f>
        <v>42158.9</v>
      </c>
      <c r="G293" s="115">
        <f t="shared" si="28"/>
        <v>866805.35999999987</v>
      </c>
      <c r="H293" s="115">
        <f t="shared" si="28"/>
        <v>1056592.5</v>
      </c>
      <c r="I293" s="115">
        <f t="shared" si="28"/>
        <v>1540461.38</v>
      </c>
      <c r="J293" s="115">
        <f t="shared" si="28"/>
        <v>24238.52</v>
      </c>
      <c r="K293" s="174">
        <f>C293+D293+E293+G293+H293+I293+J293+F293</f>
        <v>16196681.069999998</v>
      </c>
      <c r="L293" s="98"/>
      <c r="M293" s="98"/>
      <c r="N293" s="98"/>
      <c r="O293" s="52"/>
    </row>
    <row r="294" spans="2:16" s="30" customFormat="1" ht="15" x14ac:dyDescent="0.25">
      <c r="B294" s="52"/>
      <c r="C294" s="98"/>
      <c r="D294" s="98"/>
      <c r="E294" s="52"/>
      <c r="F294" s="52"/>
      <c r="G294" s="52"/>
      <c r="H294" s="98"/>
      <c r="I294" s="98"/>
      <c r="J294" s="98"/>
      <c r="K294" s="98"/>
      <c r="L294" s="52"/>
      <c r="M294" s="52"/>
      <c r="N294" s="52"/>
      <c r="O294" s="52"/>
      <c r="P294" s="52"/>
    </row>
    <row r="295" spans="2:16" s="30" customFormat="1" ht="15" x14ac:dyDescent="0.25">
      <c r="B295" s="52"/>
      <c r="C295" s="98"/>
      <c r="D295" s="98"/>
      <c r="E295" s="98"/>
      <c r="F295" s="98"/>
      <c r="G295" s="98"/>
      <c r="H295" s="98"/>
      <c r="I295" s="98"/>
      <c r="J295" s="98"/>
      <c r="K295" s="98"/>
      <c r="L295" s="52"/>
      <c r="M295" s="52"/>
      <c r="N295" s="52"/>
      <c r="O295" s="52"/>
      <c r="P295" s="52"/>
    </row>
    <row r="296" spans="2:16" s="30" customFormat="1" ht="15" x14ac:dyDescent="0.25">
      <c r="B296" s="52"/>
      <c r="C296" s="52"/>
      <c r="D296" s="52"/>
      <c r="E296" s="98"/>
      <c r="F296" s="52"/>
      <c r="G296" s="52"/>
      <c r="H296" s="98"/>
      <c r="I296" s="52"/>
      <c r="J296" s="52"/>
      <c r="K296" s="98"/>
      <c r="L296" s="52"/>
      <c r="M296" s="52"/>
      <c r="N296" s="52"/>
      <c r="O296" s="52"/>
      <c r="P296" s="52"/>
    </row>
    <row r="297" spans="2:16" s="30" customFormat="1" ht="15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</row>
    <row r="298" spans="2:16" s="30" customFormat="1" ht="15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</row>
    <row r="299" spans="2:16" s="30" customFormat="1" ht="15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</row>
    <row r="300" spans="2:16" s="30" customFormat="1" ht="15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</row>
    <row r="301" spans="2:16" s="30" customFormat="1" ht="15" x14ac:dyDescent="0.25"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</row>
    <row r="302" spans="2:16" s="30" customFormat="1" ht="15" x14ac:dyDescent="0.25"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</row>
    <row r="303" spans="2:16" s="30" customFormat="1" ht="15" x14ac:dyDescent="0.25"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</row>
    <row r="304" spans="2:16" s="30" customFormat="1" ht="15" x14ac:dyDescent="0.25"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</row>
    <row r="305" spans="2:16" s="30" customFormat="1" ht="15" x14ac:dyDescent="0.25"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</row>
    <row r="306" spans="2:16" s="30" customFormat="1" ht="15" x14ac:dyDescent="0.25"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</row>
    <row r="307" spans="2:16" s="30" customFormat="1" ht="15" x14ac:dyDescent="0.25"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</row>
    <row r="308" spans="2:16" s="30" customFormat="1" ht="15" x14ac:dyDescent="0.25"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</row>
    <row r="309" spans="2:16" s="30" customFormat="1" ht="15" x14ac:dyDescent="0.25"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</row>
    <row r="310" spans="2:16" s="30" customFormat="1" ht="15" x14ac:dyDescent="0.25"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</row>
    <row r="311" spans="2:16" s="30" customFormat="1" ht="15" x14ac:dyDescent="0.25"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</row>
    <row r="312" spans="2:16" s="30" customFormat="1" ht="15" x14ac:dyDescent="0.25"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</row>
    <row r="313" spans="2:16" s="30" customFormat="1" ht="15" x14ac:dyDescent="0.25"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</row>
    <row r="314" spans="2:16" s="30" customFormat="1" ht="15" x14ac:dyDescent="0.25"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</row>
    <row r="315" spans="2:16" s="30" customFormat="1" ht="15" x14ac:dyDescent="0.25"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</row>
    <row r="316" spans="2:16" s="30" customFormat="1" ht="15" x14ac:dyDescent="0.25"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</row>
    <row r="317" spans="2:16" s="30" customFormat="1" ht="15" x14ac:dyDescent="0.25"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</row>
    <row r="318" spans="2:16" s="30" customFormat="1" ht="15" x14ac:dyDescent="0.25"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</row>
    <row r="319" spans="2:16" s="30" customFormat="1" ht="15" x14ac:dyDescent="0.25"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</row>
    <row r="320" spans="2:16" s="30" customFormat="1" ht="15" x14ac:dyDescent="0.25"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</row>
    <row r="321" spans="2:16" s="30" customFormat="1" ht="15" x14ac:dyDescent="0.25"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</row>
    <row r="322" spans="2:16" s="30" customFormat="1" ht="15" x14ac:dyDescent="0.25"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</row>
    <row r="323" spans="2:16" s="30" customFormat="1" ht="15" x14ac:dyDescent="0.25"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</row>
    <row r="324" spans="2:16" s="30" customFormat="1" ht="15" x14ac:dyDescent="0.25"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</row>
    <row r="325" spans="2:16" s="30" customFormat="1" ht="15" x14ac:dyDescent="0.25"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</row>
    <row r="326" spans="2:16" s="30" customFormat="1" ht="15" x14ac:dyDescent="0.25"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</row>
    <row r="327" spans="2:16" s="30" customFormat="1" ht="15" x14ac:dyDescent="0.25"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</row>
    <row r="328" spans="2:16" s="30" customFormat="1" ht="18.75" x14ac:dyDescent="0.3">
      <c r="B328" s="166" t="s">
        <v>462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</row>
    <row r="330" spans="2:16" s="30" customFormat="1" ht="21.75" customHeight="1" x14ac:dyDescent="0.25">
      <c r="B330" s="568" t="s">
        <v>101</v>
      </c>
      <c r="C330" s="568"/>
      <c r="D330" s="568"/>
      <c r="E330" s="568"/>
      <c r="F330" s="167"/>
      <c r="G330" s="52"/>
      <c r="H330" s="52"/>
      <c r="I330" s="52"/>
      <c r="J330" s="52"/>
      <c r="K330" s="52"/>
      <c r="L330" s="52"/>
      <c r="M330" s="52"/>
      <c r="N330" s="52"/>
      <c r="O330" s="52"/>
      <c r="P330" s="52"/>
    </row>
    <row r="331" spans="2:16" s="30" customFormat="1" ht="15" x14ac:dyDescent="0.25">
      <c r="B331" s="560" t="s">
        <v>151</v>
      </c>
      <c r="C331" s="560"/>
      <c r="D331" s="560"/>
      <c r="E331" s="39">
        <v>17416</v>
      </c>
      <c r="F331" s="75"/>
      <c r="G331" s="52"/>
      <c r="H331" s="52"/>
      <c r="I331" s="52"/>
      <c r="J331" s="52"/>
      <c r="K331" s="52"/>
      <c r="L331" s="52"/>
      <c r="M331" s="52"/>
      <c r="N331" s="52"/>
      <c r="O331" s="52"/>
      <c r="P331" s="52"/>
    </row>
    <row r="332" spans="2:16" s="30" customFormat="1" ht="15" x14ac:dyDescent="0.25">
      <c r="B332" s="560" t="s">
        <v>137</v>
      </c>
      <c r="C332" s="560"/>
      <c r="D332" s="560"/>
      <c r="E332" s="39">
        <v>450</v>
      </c>
      <c r="F332" s="75"/>
      <c r="G332" s="52"/>
      <c r="H332" s="52"/>
      <c r="I332" s="52"/>
      <c r="J332" s="52"/>
      <c r="K332" s="52"/>
      <c r="L332" s="52"/>
      <c r="M332" s="52"/>
      <c r="N332" s="52"/>
      <c r="O332" s="52"/>
      <c r="P332" s="52"/>
    </row>
    <row r="333" spans="2:16" s="30" customFormat="1" ht="15" x14ac:dyDescent="0.25">
      <c r="B333" s="582" t="s">
        <v>138</v>
      </c>
      <c r="C333" s="582"/>
      <c r="D333" s="582"/>
      <c r="E333" s="191">
        <v>7100</v>
      </c>
      <c r="F333" s="168"/>
      <c r="G333" s="114"/>
      <c r="H333" s="114"/>
      <c r="I333" s="52"/>
      <c r="J333" s="52"/>
      <c r="K333" s="52"/>
      <c r="L333" s="52"/>
      <c r="M333" s="52"/>
      <c r="N333" s="52"/>
      <c r="O333" s="52"/>
      <c r="P333" s="52"/>
    </row>
    <row r="334" spans="2:16" s="114" customFormat="1" ht="21.75" customHeight="1" x14ac:dyDescent="0.2">
      <c r="B334" s="566" t="s">
        <v>97</v>
      </c>
      <c r="C334" s="566"/>
      <c r="D334" s="566"/>
      <c r="E334" s="120">
        <f>SUM(E331:E333)</f>
        <v>24966</v>
      </c>
      <c r="F334" s="56"/>
      <c r="G334" s="52"/>
      <c r="H334" s="52"/>
    </row>
    <row r="335" spans="2:16" ht="23.25" customHeight="1" x14ac:dyDescent="0.2"/>
    <row r="336" spans="2:16" s="30" customFormat="1" ht="38.25" x14ac:dyDescent="0.25">
      <c r="B336" s="68" t="s">
        <v>52</v>
      </c>
      <c r="C336" s="69" t="s">
        <v>598</v>
      </c>
      <c r="D336" s="213"/>
      <c r="E336" s="190"/>
      <c r="F336" s="190"/>
      <c r="G336" s="190"/>
      <c r="H336" s="86"/>
      <c r="I336" s="52"/>
      <c r="J336" s="52"/>
      <c r="K336" s="52"/>
      <c r="L336" s="52"/>
      <c r="M336" s="52"/>
      <c r="N336" s="52"/>
      <c r="O336" s="52"/>
      <c r="P336" s="52"/>
    </row>
    <row r="337" spans="2:16" s="30" customFormat="1" ht="15" x14ac:dyDescent="0.25">
      <c r="B337" s="182"/>
      <c r="C337" s="193" t="s">
        <v>325</v>
      </c>
      <c r="D337" s="213"/>
      <c r="E337" s="190"/>
      <c r="F337" s="190"/>
      <c r="G337" s="190"/>
      <c r="H337" s="86"/>
      <c r="I337" s="52"/>
      <c r="J337" s="52"/>
      <c r="K337" s="52"/>
      <c r="L337" s="52"/>
      <c r="M337" s="52"/>
      <c r="N337" s="52"/>
      <c r="O337" s="52"/>
      <c r="P337" s="52"/>
    </row>
    <row r="338" spans="2:16" s="30" customFormat="1" ht="15" x14ac:dyDescent="0.25">
      <c r="B338" s="194" t="s">
        <v>53</v>
      </c>
      <c r="C338" s="40">
        <v>129813.54</v>
      </c>
      <c r="D338" s="98"/>
      <c r="E338" s="98"/>
      <c r="F338" s="98"/>
      <c r="G338" s="98"/>
      <c r="H338" s="52"/>
      <c r="I338" s="52"/>
      <c r="J338" s="52"/>
      <c r="K338" s="52"/>
      <c r="L338" s="52"/>
      <c r="M338" s="52"/>
      <c r="N338" s="52"/>
      <c r="O338" s="52"/>
      <c r="P338" s="52"/>
    </row>
    <row r="339" spans="2:16" s="86" customFormat="1" x14ac:dyDescent="0.2">
      <c r="B339" s="194" t="s">
        <v>54</v>
      </c>
      <c r="C339" s="40">
        <v>46805.14</v>
      </c>
      <c r="D339" s="98"/>
      <c r="E339" s="98"/>
      <c r="F339" s="98"/>
      <c r="G339" s="98"/>
      <c r="H339" s="52"/>
    </row>
    <row r="340" spans="2:16" s="30" customFormat="1" ht="15" x14ac:dyDescent="0.25">
      <c r="B340" s="194" t="s">
        <v>55</v>
      </c>
      <c r="C340" s="40">
        <f>SUM(C341:C347)</f>
        <v>69105.540000000008</v>
      </c>
      <c r="D340" s="98"/>
      <c r="E340" s="98"/>
      <c r="F340" s="98"/>
      <c r="G340" s="98"/>
      <c r="H340" s="52"/>
      <c r="I340" s="52"/>
      <c r="J340" s="52"/>
      <c r="K340" s="52"/>
      <c r="L340" s="52"/>
      <c r="M340" s="52"/>
      <c r="N340" s="52"/>
      <c r="O340" s="52"/>
      <c r="P340" s="52"/>
    </row>
    <row r="341" spans="2:16" s="30" customFormat="1" ht="15" x14ac:dyDescent="0.25">
      <c r="B341" s="74" t="s">
        <v>66</v>
      </c>
      <c r="C341" s="39">
        <v>137.06</v>
      </c>
      <c r="D341" s="98"/>
      <c r="E341" s="98"/>
      <c r="F341" s="98"/>
      <c r="G341" s="98"/>
      <c r="H341" s="52"/>
      <c r="I341" s="52"/>
      <c r="J341" s="52"/>
      <c r="K341" s="52"/>
      <c r="L341" s="52"/>
      <c r="M341" s="52"/>
      <c r="N341" s="52"/>
      <c r="O341" s="52"/>
      <c r="P341" s="52"/>
    </row>
    <row r="342" spans="2:16" s="30" customFormat="1" ht="15" x14ac:dyDescent="0.25">
      <c r="B342" s="74" t="s">
        <v>56</v>
      </c>
      <c r="C342" s="39">
        <v>8096.39</v>
      </c>
      <c r="D342" s="98"/>
      <c r="E342" s="98"/>
      <c r="F342" s="98"/>
      <c r="G342" s="98"/>
      <c r="H342" s="52"/>
      <c r="I342" s="52"/>
      <c r="J342" s="52"/>
      <c r="K342" s="52"/>
      <c r="L342" s="52"/>
      <c r="M342" s="52"/>
      <c r="N342" s="52"/>
      <c r="O342" s="52"/>
      <c r="P342" s="52"/>
    </row>
    <row r="343" spans="2:16" s="30" customFormat="1" ht="15" x14ac:dyDescent="0.25">
      <c r="B343" s="74" t="s">
        <v>57</v>
      </c>
      <c r="C343" s="39">
        <v>15178.17</v>
      </c>
      <c r="D343" s="98"/>
      <c r="E343" s="98"/>
      <c r="F343" s="98"/>
      <c r="G343" s="98"/>
      <c r="H343" s="52"/>
      <c r="I343" s="52"/>
      <c r="J343" s="52"/>
      <c r="K343" s="52"/>
      <c r="L343" s="52"/>
      <c r="M343" s="52"/>
      <c r="N343" s="52"/>
      <c r="O343" s="52"/>
      <c r="P343" s="52"/>
    </row>
    <row r="344" spans="2:16" s="30" customFormat="1" ht="15" x14ac:dyDescent="0.25">
      <c r="B344" s="74" t="s">
        <v>58</v>
      </c>
      <c r="C344" s="39">
        <v>51</v>
      </c>
      <c r="D344" s="98"/>
      <c r="E344" s="98"/>
      <c r="F344" s="98"/>
      <c r="G344" s="98"/>
      <c r="H344" s="52"/>
      <c r="I344" s="52"/>
      <c r="J344" s="52"/>
      <c r="K344" s="52"/>
      <c r="L344" s="52"/>
      <c r="M344" s="52"/>
      <c r="N344" s="52"/>
      <c r="O344" s="52"/>
      <c r="P344" s="52"/>
    </row>
    <row r="345" spans="2:16" s="30" customFormat="1" ht="15" x14ac:dyDescent="0.25">
      <c r="B345" s="74" t="s">
        <v>59</v>
      </c>
      <c r="C345" s="39">
        <v>4552.87</v>
      </c>
      <c r="D345" s="98"/>
      <c r="E345" s="98"/>
      <c r="F345" s="98"/>
      <c r="G345" s="98"/>
      <c r="H345" s="52"/>
      <c r="I345" s="52"/>
      <c r="J345" s="52"/>
      <c r="K345" s="52"/>
      <c r="L345" s="52"/>
      <c r="M345" s="52"/>
      <c r="N345" s="52"/>
      <c r="O345" s="52"/>
      <c r="P345" s="52"/>
    </row>
    <row r="346" spans="2:16" s="30" customFormat="1" ht="15" x14ac:dyDescent="0.25">
      <c r="B346" s="74" t="s">
        <v>60</v>
      </c>
      <c r="C346" s="39">
        <v>1339.98</v>
      </c>
      <c r="D346" s="98"/>
      <c r="E346" s="98"/>
      <c r="F346" s="98"/>
      <c r="G346" s="98"/>
      <c r="H346" s="52"/>
      <c r="I346" s="52"/>
      <c r="J346" s="52"/>
      <c r="K346" s="52"/>
      <c r="L346" s="52"/>
      <c r="M346" s="52"/>
      <c r="N346" s="52"/>
      <c r="O346" s="52"/>
      <c r="P346" s="52"/>
    </row>
    <row r="347" spans="2:16" s="30" customFormat="1" ht="15" x14ac:dyDescent="0.25">
      <c r="B347" s="74" t="s">
        <v>61</v>
      </c>
      <c r="C347" s="39">
        <v>39750.07</v>
      </c>
      <c r="D347" s="98"/>
      <c r="E347" s="98"/>
      <c r="F347" s="98"/>
      <c r="G347" s="98"/>
      <c r="H347" s="52"/>
      <c r="I347" s="52"/>
      <c r="J347" s="52"/>
      <c r="K347" s="52"/>
      <c r="L347" s="52"/>
      <c r="M347" s="52"/>
      <c r="N347" s="52"/>
      <c r="O347" s="52"/>
      <c r="P347" s="52"/>
    </row>
    <row r="348" spans="2:16" s="30" customFormat="1" ht="15" x14ac:dyDescent="0.25">
      <c r="B348" s="194" t="s">
        <v>62</v>
      </c>
      <c r="C348" s="40">
        <v>1038.8699999999999</v>
      </c>
      <c r="D348" s="98"/>
      <c r="E348" s="98"/>
      <c r="F348" s="98"/>
      <c r="G348" s="98"/>
      <c r="H348" s="52"/>
      <c r="I348" s="52"/>
      <c r="J348" s="52"/>
      <c r="K348" s="52"/>
      <c r="L348" s="52"/>
      <c r="M348" s="52"/>
      <c r="N348" s="52"/>
      <c r="O348" s="52"/>
      <c r="P348" s="52"/>
    </row>
    <row r="349" spans="2:16" s="30" customFormat="1" ht="19.5" customHeight="1" x14ac:dyDescent="0.25">
      <c r="B349" s="180" t="s">
        <v>97</v>
      </c>
      <c r="C349" s="120">
        <f>C338+C339+C340+C348</f>
        <v>246763.09</v>
      </c>
      <c r="D349" s="67"/>
      <c r="E349" s="67"/>
      <c r="F349" s="67"/>
      <c r="G349" s="67"/>
      <c r="H349" s="175"/>
      <c r="I349" s="52"/>
      <c r="J349" s="52"/>
      <c r="K349" s="52"/>
      <c r="L349" s="52"/>
      <c r="M349" s="52"/>
      <c r="N349" s="52"/>
      <c r="O349" s="52"/>
      <c r="P349" s="52"/>
    </row>
    <row r="350" spans="2:16" s="30" customFormat="1" ht="15" x14ac:dyDescent="0.25"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</row>
    <row r="351" spans="2:16" s="30" customFormat="1" ht="15" x14ac:dyDescent="0.25"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</row>
    <row r="352" spans="2:16" s="30" customFormat="1" ht="18.75" x14ac:dyDescent="0.3">
      <c r="B352" s="166" t="s">
        <v>150</v>
      </c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</row>
    <row r="354" spans="2:16" s="30" customFormat="1" ht="18" customHeight="1" x14ac:dyDescent="0.25">
      <c r="B354" s="568" t="s">
        <v>101</v>
      </c>
      <c r="C354" s="568"/>
      <c r="D354" s="568"/>
      <c r="E354" s="568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</row>
    <row r="355" spans="2:16" s="30" customFormat="1" ht="15" customHeight="1" x14ac:dyDescent="0.25">
      <c r="B355" s="558" t="s">
        <v>152</v>
      </c>
      <c r="C355" s="558"/>
      <c r="D355" s="558"/>
      <c r="E355" s="39">
        <v>110349</v>
      </c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</row>
    <row r="356" spans="2:16" s="30" customFormat="1" ht="15" customHeight="1" x14ac:dyDescent="0.25">
      <c r="B356" s="582" t="s">
        <v>49</v>
      </c>
      <c r="C356" s="582"/>
      <c r="D356" s="582"/>
      <c r="E356" s="39">
        <v>10.01</v>
      </c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</row>
    <row r="357" spans="2:16" s="30" customFormat="1" ht="15" x14ac:dyDescent="0.25">
      <c r="B357" s="558" t="s">
        <v>134</v>
      </c>
      <c r="C357" s="558"/>
      <c r="D357" s="558"/>
      <c r="E357" s="191">
        <v>17.8</v>
      </c>
      <c r="F357" s="114"/>
      <c r="G357" s="114"/>
      <c r="H357" s="114"/>
      <c r="I357" s="52"/>
      <c r="J357" s="52"/>
      <c r="K357" s="52"/>
      <c r="L357" s="52"/>
      <c r="M357" s="52"/>
      <c r="N357" s="52"/>
      <c r="O357" s="52"/>
      <c r="P357" s="52"/>
    </row>
    <row r="358" spans="2:16" s="30" customFormat="1" ht="15" x14ac:dyDescent="0.25">
      <c r="B358" s="558" t="s">
        <v>50</v>
      </c>
      <c r="C358" s="558"/>
      <c r="D358" s="558"/>
      <c r="E358" s="191">
        <v>92.28</v>
      </c>
      <c r="F358" s="114"/>
      <c r="G358" s="114"/>
      <c r="H358" s="114"/>
      <c r="I358" s="52"/>
      <c r="J358" s="52"/>
      <c r="K358" s="52"/>
      <c r="L358" s="52"/>
      <c r="M358" s="52"/>
      <c r="N358" s="52"/>
      <c r="O358" s="52"/>
      <c r="P358" s="52"/>
    </row>
    <row r="359" spans="2:16" s="30" customFormat="1" ht="15" x14ac:dyDescent="0.25">
      <c r="B359" s="558" t="s">
        <v>520</v>
      </c>
      <c r="C359" s="558"/>
      <c r="D359" s="558"/>
      <c r="E359" s="191">
        <v>13307</v>
      </c>
      <c r="F359" s="114"/>
      <c r="G359" s="114"/>
      <c r="H359" s="114"/>
      <c r="I359" s="52"/>
      <c r="J359" s="52"/>
      <c r="K359" s="52"/>
      <c r="L359" s="52"/>
      <c r="M359" s="52"/>
      <c r="N359" s="52"/>
      <c r="O359" s="52"/>
      <c r="P359" s="52"/>
    </row>
    <row r="360" spans="2:16" s="114" customFormat="1" x14ac:dyDescent="0.2">
      <c r="B360" s="586" t="s">
        <v>97</v>
      </c>
      <c r="C360" s="586"/>
      <c r="D360" s="586"/>
      <c r="E360" s="214">
        <f>SUM(E355:E359)</f>
        <v>123776.09</v>
      </c>
      <c r="F360" s="52"/>
      <c r="G360" s="52"/>
      <c r="H360" s="52"/>
    </row>
    <row r="362" spans="2:16" s="30" customFormat="1" ht="38.25" x14ac:dyDescent="0.25">
      <c r="B362" s="68" t="s">
        <v>52</v>
      </c>
      <c r="C362" s="69" t="s">
        <v>598</v>
      </c>
      <c r="D362" s="213"/>
      <c r="E362" s="190"/>
      <c r="F362" s="190"/>
      <c r="G362" s="190"/>
      <c r="H362" s="86"/>
      <c r="I362" s="52"/>
      <c r="J362" s="52"/>
      <c r="K362" s="52"/>
      <c r="L362" s="52"/>
      <c r="M362" s="52"/>
      <c r="N362" s="52"/>
      <c r="O362" s="52"/>
      <c r="P362" s="52"/>
    </row>
    <row r="363" spans="2:16" s="30" customFormat="1" ht="15" x14ac:dyDescent="0.25">
      <c r="B363" s="182"/>
      <c r="C363" s="193" t="s">
        <v>325</v>
      </c>
      <c r="D363" s="213"/>
      <c r="E363" s="190"/>
      <c r="F363" s="190"/>
      <c r="G363" s="190"/>
      <c r="H363" s="86"/>
      <c r="I363" s="52"/>
      <c r="J363" s="52"/>
      <c r="K363" s="52"/>
      <c r="L363" s="52"/>
      <c r="M363" s="52"/>
      <c r="N363" s="52"/>
      <c r="O363" s="52"/>
      <c r="P363" s="52"/>
    </row>
    <row r="364" spans="2:16" s="30" customFormat="1" ht="15" x14ac:dyDescent="0.25">
      <c r="B364" s="194" t="s">
        <v>53</v>
      </c>
      <c r="C364" s="40">
        <v>868549.91</v>
      </c>
      <c r="D364" s="98"/>
      <c r="E364" s="98"/>
      <c r="F364" s="98"/>
      <c r="G364" s="98"/>
      <c r="H364" s="52"/>
      <c r="I364" s="52"/>
      <c r="J364" s="52"/>
      <c r="K364" s="52"/>
      <c r="L364" s="52"/>
      <c r="M364" s="52"/>
      <c r="N364" s="52"/>
      <c r="O364" s="52"/>
      <c r="P364" s="52"/>
    </row>
    <row r="365" spans="2:16" s="86" customFormat="1" x14ac:dyDescent="0.2">
      <c r="B365" s="194" t="s">
        <v>54</v>
      </c>
      <c r="C365" s="40">
        <v>302861.37</v>
      </c>
      <c r="D365" s="98"/>
      <c r="E365" s="98"/>
      <c r="F365" s="98"/>
      <c r="G365" s="98"/>
      <c r="H365" s="52"/>
    </row>
    <row r="366" spans="2:16" s="30" customFormat="1" ht="15" x14ac:dyDescent="0.25">
      <c r="B366" s="194" t="s">
        <v>55</v>
      </c>
      <c r="C366" s="40">
        <f>SUM(C367:C372)</f>
        <v>183521.82</v>
      </c>
      <c r="D366" s="98"/>
      <c r="E366" s="98"/>
      <c r="F366" s="98"/>
      <c r="G366" s="98"/>
      <c r="H366" s="52"/>
      <c r="I366" s="52"/>
      <c r="J366" s="52"/>
      <c r="K366" s="52"/>
      <c r="L366" s="52"/>
      <c r="M366" s="52"/>
      <c r="N366" s="52"/>
      <c r="O366" s="52"/>
      <c r="P366" s="52"/>
    </row>
    <row r="367" spans="2:16" s="30" customFormat="1" ht="15" x14ac:dyDescent="0.25">
      <c r="B367" s="74" t="s">
        <v>66</v>
      </c>
      <c r="C367" s="39">
        <v>2720.57</v>
      </c>
      <c r="D367" s="98"/>
      <c r="E367" s="98"/>
      <c r="F367" s="98"/>
      <c r="G367" s="98"/>
      <c r="H367" s="52"/>
      <c r="I367" s="52"/>
      <c r="J367" s="52"/>
      <c r="K367" s="52"/>
      <c r="L367" s="52"/>
      <c r="M367" s="52"/>
      <c r="N367" s="52"/>
      <c r="O367" s="52"/>
      <c r="P367" s="52"/>
    </row>
    <row r="368" spans="2:16" s="30" customFormat="1" ht="15" x14ac:dyDescent="0.25">
      <c r="B368" s="74" t="s">
        <v>56</v>
      </c>
      <c r="C368" s="39">
        <v>88981.37</v>
      </c>
      <c r="D368" s="98"/>
      <c r="E368" s="98"/>
      <c r="F368" s="98"/>
      <c r="G368" s="98"/>
      <c r="H368" s="52"/>
      <c r="I368" s="52"/>
      <c r="J368" s="52"/>
      <c r="K368" s="52"/>
      <c r="L368" s="52"/>
      <c r="M368" s="52"/>
      <c r="N368" s="52"/>
      <c r="O368" s="52"/>
      <c r="P368" s="52"/>
    </row>
    <row r="369" spans="2:16" s="30" customFormat="1" ht="15" x14ac:dyDescent="0.25">
      <c r="B369" s="74" t="s">
        <v>57</v>
      </c>
      <c r="C369" s="39">
        <v>20542.41</v>
      </c>
      <c r="D369" s="98"/>
      <c r="E369" s="98"/>
      <c r="F369" s="98"/>
      <c r="G369" s="98"/>
      <c r="H369" s="52"/>
      <c r="I369" s="52"/>
      <c r="J369" s="52"/>
      <c r="K369" s="52"/>
      <c r="L369" s="52"/>
      <c r="M369" s="52"/>
      <c r="N369" s="52"/>
      <c r="O369" s="52"/>
      <c r="P369" s="52"/>
    </row>
    <row r="370" spans="2:16" s="30" customFormat="1" ht="15" x14ac:dyDescent="0.25">
      <c r="B370" s="74" t="s">
        <v>59</v>
      </c>
      <c r="C370" s="39">
        <v>8399.43</v>
      </c>
      <c r="D370" s="98"/>
      <c r="E370" s="98"/>
      <c r="F370" s="98"/>
      <c r="G370" s="98"/>
      <c r="H370" s="52"/>
      <c r="I370" s="52"/>
      <c r="J370" s="52"/>
      <c r="K370" s="52"/>
      <c r="L370" s="52"/>
      <c r="M370" s="52"/>
      <c r="N370" s="52"/>
      <c r="O370" s="52"/>
      <c r="P370" s="52"/>
    </row>
    <row r="371" spans="2:16" s="30" customFormat="1" ht="15" x14ac:dyDescent="0.25">
      <c r="B371" s="74" t="s">
        <v>60</v>
      </c>
      <c r="C371" s="39">
        <v>2561.2600000000002</v>
      </c>
      <c r="D371" s="98"/>
      <c r="E371" s="98"/>
      <c r="F371" s="98"/>
      <c r="G371" s="98"/>
      <c r="H371" s="52"/>
      <c r="I371" s="52"/>
      <c r="J371" s="52"/>
      <c r="K371" s="52"/>
      <c r="L371" s="52"/>
      <c r="M371" s="52"/>
      <c r="N371" s="52"/>
      <c r="O371" s="52"/>
      <c r="P371" s="52"/>
    </row>
    <row r="372" spans="2:16" s="30" customFormat="1" ht="15" x14ac:dyDescent="0.25">
      <c r="B372" s="74" t="s">
        <v>61</v>
      </c>
      <c r="C372" s="39">
        <v>60316.78</v>
      </c>
      <c r="D372" s="67"/>
      <c r="E372" s="67"/>
      <c r="F372" s="67"/>
      <c r="G372" s="67"/>
      <c r="H372" s="175"/>
      <c r="I372" s="52"/>
      <c r="J372" s="52"/>
      <c r="K372" s="52"/>
      <c r="L372" s="52"/>
      <c r="M372" s="52"/>
      <c r="N372" s="52"/>
      <c r="O372" s="52"/>
      <c r="P372" s="52"/>
    </row>
    <row r="373" spans="2:16" s="30" customFormat="1" ht="15" x14ac:dyDescent="0.25">
      <c r="B373" s="194" t="s">
        <v>62</v>
      </c>
      <c r="C373" s="40">
        <v>21462.97</v>
      </c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</row>
    <row r="374" spans="2:16" s="30" customFormat="1" ht="15" x14ac:dyDescent="0.25">
      <c r="B374" s="194" t="s">
        <v>519</v>
      </c>
      <c r="C374" s="196">
        <v>11889.4</v>
      </c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</row>
    <row r="375" spans="2:16" s="30" customFormat="1" ht="21.75" customHeight="1" x14ac:dyDescent="0.25">
      <c r="B375" s="180" t="s">
        <v>97</v>
      </c>
      <c r="C375" s="120">
        <f>C364+C365+C366+C373+C374</f>
        <v>1388285.47</v>
      </c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</row>
  </sheetData>
  <mergeCells count="93">
    <mergeCell ref="B41:D41"/>
    <mergeCell ref="B9:E9"/>
    <mergeCell ref="B10:D10"/>
    <mergeCell ref="B11:D11"/>
    <mergeCell ref="B12:D12"/>
    <mergeCell ref="B13:D13"/>
    <mergeCell ref="B15:D15"/>
    <mergeCell ref="B16:D16"/>
    <mergeCell ref="B38:E38"/>
    <mergeCell ref="B39:D39"/>
    <mergeCell ref="B40:D40"/>
    <mergeCell ref="C18:D18"/>
    <mergeCell ref="E18:F18"/>
    <mergeCell ref="B82:D82"/>
    <mergeCell ref="B42:D42"/>
    <mergeCell ref="B46:D46"/>
    <mergeCell ref="B47:D47"/>
    <mergeCell ref="B74:E74"/>
    <mergeCell ref="B75:D75"/>
    <mergeCell ref="B76:D76"/>
    <mergeCell ref="B77:D77"/>
    <mergeCell ref="B78:D78"/>
    <mergeCell ref="B81:D81"/>
    <mergeCell ref="C49:D49"/>
    <mergeCell ref="E49:F49"/>
    <mergeCell ref="B168:D168"/>
    <mergeCell ref="B169:D169"/>
    <mergeCell ref="B200:E200"/>
    <mergeCell ref="C171:D171"/>
    <mergeCell ref="B138:D138"/>
    <mergeCell ref="B162:E162"/>
    <mergeCell ref="B163:D163"/>
    <mergeCell ref="B164:D164"/>
    <mergeCell ref="B165:D165"/>
    <mergeCell ref="B166:D166"/>
    <mergeCell ref="B330:E330"/>
    <mergeCell ref="B272:D272"/>
    <mergeCell ref="B264:E264"/>
    <mergeCell ref="B202:D202"/>
    <mergeCell ref="B203:D203"/>
    <mergeCell ref="B205:D205"/>
    <mergeCell ref="B207:D207"/>
    <mergeCell ref="B228:E228"/>
    <mergeCell ref="B229:D229"/>
    <mergeCell ref="B230:D230"/>
    <mergeCell ref="B231:D231"/>
    <mergeCell ref="B232:D232"/>
    <mergeCell ref="B235:D235"/>
    <mergeCell ref="B270:D270"/>
    <mergeCell ref="B271:D271"/>
    <mergeCell ref="B274:D274"/>
    <mergeCell ref="B358:D358"/>
    <mergeCell ref="B359:D359"/>
    <mergeCell ref="B357:D357"/>
    <mergeCell ref="B360:D360"/>
    <mergeCell ref="B331:D331"/>
    <mergeCell ref="B333:D333"/>
    <mergeCell ref="B334:D334"/>
    <mergeCell ref="B354:E354"/>
    <mergeCell ref="B355:D355"/>
    <mergeCell ref="B356:D356"/>
    <mergeCell ref="B332:D332"/>
    <mergeCell ref="C84:D84"/>
    <mergeCell ref="C113:D113"/>
    <mergeCell ref="E113:F113"/>
    <mergeCell ref="D143:E143"/>
    <mergeCell ref="B140:D140"/>
    <mergeCell ref="B141:D141"/>
    <mergeCell ref="B103:E103"/>
    <mergeCell ref="B104:D104"/>
    <mergeCell ref="B105:D105"/>
    <mergeCell ref="B106:D106"/>
    <mergeCell ref="B107:D107"/>
    <mergeCell ref="B108:D108"/>
    <mergeCell ref="B111:D111"/>
    <mergeCell ref="B136:E136"/>
    <mergeCell ref="B137:D137"/>
    <mergeCell ref="E84:G84"/>
    <mergeCell ref="D277:E277"/>
    <mergeCell ref="F277:H277"/>
    <mergeCell ref="E171:G171"/>
    <mergeCell ref="C209:D209"/>
    <mergeCell ref="E209:F209"/>
    <mergeCell ref="C237:D237"/>
    <mergeCell ref="E237:F237"/>
    <mergeCell ref="B275:D275"/>
    <mergeCell ref="B265:D265"/>
    <mergeCell ref="B266:D266"/>
    <mergeCell ref="B267:D267"/>
    <mergeCell ref="B268:D268"/>
    <mergeCell ref="B269:D269"/>
    <mergeCell ref="B273:D273"/>
    <mergeCell ref="B201:D201"/>
  </mergeCells>
  <pageMargins left="0.59055118110236227" right="0.19685039370078741" top="0.59055118110236227" bottom="0.47244094488188981" header="0.19685039370078741" footer="7.874015748031496E-2"/>
  <pageSetup paperSize="9" scale="75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C1:J77"/>
  <sheetViews>
    <sheetView workbookViewId="0">
      <selection activeCell="G51" sqref="G51"/>
    </sheetView>
  </sheetViews>
  <sheetFormatPr defaultRowHeight="15" x14ac:dyDescent="0.25"/>
  <cols>
    <col min="1" max="1" width="1.5703125" style="58" customWidth="1"/>
    <col min="2" max="2" width="4.28515625" style="58" customWidth="1"/>
    <col min="3" max="3" width="6.28515625" style="58" customWidth="1"/>
    <col min="4" max="4" width="33.42578125" style="58" customWidth="1"/>
    <col min="5" max="5" width="58.7109375" style="58" customWidth="1"/>
    <col min="6" max="6" width="17.85546875" style="224" customWidth="1"/>
    <col min="7" max="7" width="9.140625" style="58" customWidth="1"/>
    <col min="8" max="8" width="12.42578125" style="58" bestFit="1" customWidth="1"/>
    <col min="9" max="9" width="9.140625" style="58"/>
    <col min="10" max="10" width="10" style="58" bestFit="1" customWidth="1"/>
    <col min="11" max="16384" width="9.140625" style="58"/>
  </cols>
  <sheetData>
    <row r="1" spans="3:6" x14ac:dyDescent="0.25">
      <c r="C1" s="215"/>
      <c r="D1" s="215"/>
      <c r="E1" s="215"/>
      <c r="F1" s="216"/>
    </row>
    <row r="2" spans="3:6" x14ac:dyDescent="0.25">
      <c r="C2" s="215"/>
      <c r="D2" s="215"/>
      <c r="E2" s="215"/>
      <c r="F2" s="216"/>
    </row>
    <row r="3" spans="3:6" x14ac:dyDescent="0.25">
      <c r="C3" s="215"/>
      <c r="D3" s="215"/>
      <c r="E3" s="215"/>
      <c r="F3" s="217" t="s">
        <v>153</v>
      </c>
    </row>
    <row r="4" spans="3:6" ht="18.75" x14ac:dyDescent="0.25">
      <c r="C4" s="595" t="s">
        <v>949</v>
      </c>
      <c r="D4" s="595"/>
      <c r="E4" s="595"/>
      <c r="F4" s="595"/>
    </row>
    <row r="5" spans="3:6" ht="6" customHeight="1" x14ac:dyDescent="0.25">
      <c r="C5" s="218"/>
      <c r="D5" s="219"/>
      <c r="E5" s="219"/>
      <c r="F5" s="220"/>
    </row>
    <row r="6" spans="3:6" ht="33" customHeight="1" x14ac:dyDescent="0.25">
      <c r="C6" s="226" t="s">
        <v>154</v>
      </c>
      <c r="D6" s="227" t="s">
        <v>155</v>
      </c>
      <c r="E6" s="227" t="s">
        <v>156</v>
      </c>
      <c r="F6" s="228" t="s">
        <v>157</v>
      </c>
    </row>
    <row r="7" spans="3:6" x14ac:dyDescent="0.25">
      <c r="C7" s="592" t="s">
        <v>158</v>
      </c>
      <c r="D7" s="592"/>
      <c r="E7" s="592"/>
      <c r="F7" s="229">
        <f>SUM(F8:F34)</f>
        <v>12000913.470000001</v>
      </c>
    </row>
    <row r="8" spans="3:6" x14ac:dyDescent="0.2">
      <c r="C8" s="230">
        <v>1</v>
      </c>
      <c r="D8" s="231" t="s">
        <v>927</v>
      </c>
      <c r="E8" s="231" t="s">
        <v>549</v>
      </c>
      <c r="F8" s="232">
        <v>21956</v>
      </c>
    </row>
    <row r="9" spans="3:6" x14ac:dyDescent="0.2">
      <c r="C9" s="230">
        <v>2</v>
      </c>
      <c r="D9" s="231" t="s">
        <v>927</v>
      </c>
      <c r="E9" s="231" t="s">
        <v>550</v>
      </c>
      <c r="F9" s="232">
        <v>141852</v>
      </c>
    </row>
    <row r="10" spans="3:6" x14ac:dyDescent="0.2">
      <c r="C10" s="230">
        <v>3</v>
      </c>
      <c r="D10" s="231" t="s">
        <v>927</v>
      </c>
      <c r="E10" s="231" t="s">
        <v>551</v>
      </c>
      <c r="F10" s="232">
        <v>104492</v>
      </c>
    </row>
    <row r="11" spans="3:6" x14ac:dyDescent="0.2">
      <c r="C11" s="230">
        <f>C10+1</f>
        <v>4</v>
      </c>
      <c r="D11" s="231" t="s">
        <v>927</v>
      </c>
      <c r="E11" s="231" t="s">
        <v>928</v>
      </c>
      <c r="F11" s="232">
        <v>9582815</v>
      </c>
    </row>
    <row r="12" spans="3:6" x14ac:dyDescent="0.2">
      <c r="C12" s="230">
        <f t="shared" ref="C12:C20" si="0">C11+1</f>
        <v>5</v>
      </c>
      <c r="D12" s="231" t="s">
        <v>927</v>
      </c>
      <c r="E12" s="231" t="s">
        <v>929</v>
      </c>
      <c r="F12" s="232">
        <v>27125.4</v>
      </c>
    </row>
    <row r="13" spans="3:6" x14ac:dyDescent="0.2">
      <c r="C13" s="230">
        <f t="shared" si="0"/>
        <v>6</v>
      </c>
      <c r="D13" s="231" t="s">
        <v>927</v>
      </c>
      <c r="E13" s="231" t="s">
        <v>930</v>
      </c>
      <c r="F13" s="232">
        <v>9436</v>
      </c>
    </row>
    <row r="14" spans="3:6" x14ac:dyDescent="0.2">
      <c r="C14" s="230">
        <f t="shared" si="0"/>
        <v>7</v>
      </c>
      <c r="D14" s="231" t="s">
        <v>927</v>
      </c>
      <c r="E14" s="231" t="s">
        <v>931</v>
      </c>
      <c r="F14" s="232">
        <v>275170</v>
      </c>
    </row>
    <row r="15" spans="3:6" x14ac:dyDescent="0.2">
      <c r="C15" s="230">
        <f t="shared" si="0"/>
        <v>8</v>
      </c>
      <c r="D15" s="231" t="s">
        <v>927</v>
      </c>
      <c r="E15" s="231" t="s">
        <v>932</v>
      </c>
      <c r="F15" s="232">
        <v>20000</v>
      </c>
    </row>
    <row r="16" spans="3:6" x14ac:dyDescent="0.2">
      <c r="C16" s="230">
        <f t="shared" si="0"/>
        <v>9</v>
      </c>
      <c r="D16" s="231" t="s">
        <v>927</v>
      </c>
      <c r="E16" s="231" t="s">
        <v>933</v>
      </c>
      <c r="F16" s="232">
        <v>28299</v>
      </c>
    </row>
    <row r="17" spans="3:10" x14ac:dyDescent="0.2">
      <c r="C17" s="230">
        <f>C16+1</f>
        <v>10</v>
      </c>
      <c r="D17" s="231" t="s">
        <v>927</v>
      </c>
      <c r="E17" s="231" t="s">
        <v>934</v>
      </c>
      <c r="F17" s="232">
        <v>2889</v>
      </c>
    </row>
    <row r="18" spans="3:10" x14ac:dyDescent="0.2">
      <c r="C18" s="230">
        <f t="shared" si="0"/>
        <v>11</v>
      </c>
      <c r="D18" s="231" t="s">
        <v>927</v>
      </c>
      <c r="E18" s="231" t="s">
        <v>935</v>
      </c>
      <c r="F18" s="232">
        <v>479942</v>
      </c>
    </row>
    <row r="19" spans="3:10" x14ac:dyDescent="0.2">
      <c r="C19" s="230">
        <f t="shared" si="0"/>
        <v>12</v>
      </c>
      <c r="D19" s="231" t="s">
        <v>927</v>
      </c>
      <c r="E19" s="231" t="s">
        <v>936</v>
      </c>
      <c r="F19" s="232">
        <v>1400</v>
      </c>
      <c r="I19" s="221"/>
      <c r="J19" s="221"/>
    </row>
    <row r="20" spans="3:10" x14ac:dyDescent="0.2">
      <c r="C20" s="230">
        <f t="shared" si="0"/>
        <v>13</v>
      </c>
      <c r="D20" s="231" t="s">
        <v>927</v>
      </c>
      <c r="E20" s="231" t="s">
        <v>552</v>
      </c>
      <c r="F20" s="232">
        <v>78134</v>
      </c>
      <c r="I20" s="221"/>
      <c r="J20" s="221"/>
    </row>
    <row r="21" spans="3:10" x14ac:dyDescent="0.2">
      <c r="C21" s="230">
        <f>C20+1</f>
        <v>14</v>
      </c>
      <c r="D21" s="231" t="s">
        <v>927</v>
      </c>
      <c r="E21" s="231" t="s">
        <v>553</v>
      </c>
      <c r="F21" s="232">
        <v>260536</v>
      </c>
      <c r="I21" s="221"/>
      <c r="J21" s="221"/>
    </row>
    <row r="22" spans="3:10" x14ac:dyDescent="0.2">
      <c r="C22" s="230">
        <f>C21+1</f>
        <v>15</v>
      </c>
      <c r="D22" s="231" t="s">
        <v>927</v>
      </c>
      <c r="E22" s="231" t="s">
        <v>937</v>
      </c>
      <c r="F22" s="232">
        <v>38097</v>
      </c>
      <c r="I22" s="221"/>
      <c r="J22" s="221"/>
    </row>
    <row r="23" spans="3:10" x14ac:dyDescent="0.2">
      <c r="C23" s="230">
        <f t="shared" ref="C23:C30" si="1">C22+1</f>
        <v>16</v>
      </c>
      <c r="D23" s="231" t="s">
        <v>927</v>
      </c>
      <c r="E23" s="231" t="s">
        <v>938</v>
      </c>
      <c r="F23" s="232">
        <v>5800</v>
      </c>
      <c r="I23" s="221"/>
      <c r="J23" s="221"/>
    </row>
    <row r="24" spans="3:10" x14ac:dyDescent="0.2">
      <c r="C24" s="230">
        <f t="shared" si="1"/>
        <v>17</v>
      </c>
      <c r="D24" s="231" t="s">
        <v>927</v>
      </c>
      <c r="E24" s="231" t="s">
        <v>939</v>
      </c>
      <c r="F24" s="232">
        <v>31400</v>
      </c>
      <c r="I24" s="221"/>
      <c r="J24" s="221"/>
    </row>
    <row r="25" spans="3:10" x14ac:dyDescent="0.2">
      <c r="C25" s="230">
        <f t="shared" si="1"/>
        <v>18</v>
      </c>
      <c r="D25" s="231" t="s">
        <v>927</v>
      </c>
      <c r="E25" s="231" t="s">
        <v>940</v>
      </c>
      <c r="F25" s="232">
        <v>5100</v>
      </c>
      <c r="I25" s="221"/>
      <c r="J25" s="221"/>
    </row>
    <row r="26" spans="3:10" x14ac:dyDescent="0.2">
      <c r="C26" s="230">
        <f t="shared" si="1"/>
        <v>19</v>
      </c>
      <c r="D26" s="231" t="s">
        <v>554</v>
      </c>
      <c r="E26" s="231" t="s">
        <v>555</v>
      </c>
      <c r="F26" s="232">
        <v>547.79999999999995</v>
      </c>
      <c r="I26" s="222"/>
      <c r="J26" s="222"/>
    </row>
    <row r="27" spans="3:10" x14ac:dyDescent="0.2">
      <c r="C27" s="230">
        <f t="shared" si="1"/>
        <v>20</v>
      </c>
      <c r="D27" s="231" t="s">
        <v>554</v>
      </c>
      <c r="E27" s="231" t="s">
        <v>941</v>
      </c>
      <c r="F27" s="232">
        <v>102900.2</v>
      </c>
      <c r="I27" s="222"/>
      <c r="J27" s="222"/>
    </row>
    <row r="28" spans="3:10" x14ac:dyDescent="0.2">
      <c r="C28" s="230">
        <f t="shared" si="1"/>
        <v>21</v>
      </c>
      <c r="D28" s="231" t="s">
        <v>988</v>
      </c>
      <c r="E28" s="231" t="s">
        <v>942</v>
      </c>
      <c r="F28" s="232">
        <v>356233.47</v>
      </c>
      <c r="I28" s="222"/>
      <c r="J28" s="222"/>
    </row>
    <row r="29" spans="3:10" x14ac:dyDescent="0.2">
      <c r="C29" s="230">
        <f t="shared" si="1"/>
        <v>22</v>
      </c>
      <c r="D29" s="231" t="s">
        <v>927</v>
      </c>
      <c r="E29" s="231" t="s">
        <v>948</v>
      </c>
      <c r="F29" s="232">
        <v>9998</v>
      </c>
      <c r="I29" s="222"/>
      <c r="J29" s="222"/>
    </row>
    <row r="30" spans="3:10" x14ac:dyDescent="0.2">
      <c r="C30" s="230">
        <f t="shared" si="1"/>
        <v>23</v>
      </c>
      <c r="D30" s="231" t="s">
        <v>927</v>
      </c>
      <c r="E30" s="231" t="s">
        <v>943</v>
      </c>
      <c r="F30" s="232">
        <v>30200</v>
      </c>
      <c r="I30" s="222"/>
      <c r="J30" s="222"/>
    </row>
    <row r="31" spans="3:10" x14ac:dyDescent="0.2">
      <c r="C31" s="230">
        <f t="shared" ref="C31:C34" si="2">C30+1</f>
        <v>24</v>
      </c>
      <c r="D31" s="231" t="s">
        <v>927</v>
      </c>
      <c r="E31" s="231" t="s">
        <v>944</v>
      </c>
      <c r="F31" s="232">
        <v>11435</v>
      </c>
      <c r="I31" s="222"/>
      <c r="J31" s="222"/>
    </row>
    <row r="32" spans="3:10" x14ac:dyDescent="0.2">
      <c r="C32" s="230">
        <f t="shared" si="2"/>
        <v>25</v>
      </c>
      <c r="D32" s="231" t="s">
        <v>927</v>
      </c>
      <c r="E32" s="231" t="s">
        <v>945</v>
      </c>
      <c r="F32" s="232">
        <v>700</v>
      </c>
      <c r="I32" s="222"/>
      <c r="J32" s="222"/>
    </row>
    <row r="33" spans="3:10" x14ac:dyDescent="0.2">
      <c r="C33" s="230">
        <f t="shared" si="2"/>
        <v>26</v>
      </c>
      <c r="D33" s="231" t="s">
        <v>927</v>
      </c>
      <c r="E33" s="231" t="s">
        <v>946</v>
      </c>
      <c r="F33" s="232">
        <v>72759.600000000006</v>
      </c>
      <c r="I33" s="222"/>
      <c r="J33" s="222"/>
    </row>
    <row r="34" spans="3:10" x14ac:dyDescent="0.2">
      <c r="C34" s="230">
        <f t="shared" si="2"/>
        <v>27</v>
      </c>
      <c r="D34" s="231" t="s">
        <v>927</v>
      </c>
      <c r="E34" s="231" t="s">
        <v>947</v>
      </c>
      <c r="F34" s="232">
        <v>301696</v>
      </c>
      <c r="I34" s="222"/>
      <c r="J34" s="222"/>
    </row>
    <row r="35" spans="3:10" x14ac:dyDescent="0.25">
      <c r="C35" s="594" t="s">
        <v>159</v>
      </c>
      <c r="D35" s="594"/>
      <c r="E35" s="594"/>
      <c r="F35" s="223"/>
      <c r="I35" s="222"/>
      <c r="J35" s="222"/>
    </row>
    <row r="36" spans="3:10" x14ac:dyDescent="0.2">
      <c r="C36" s="230">
        <v>28</v>
      </c>
      <c r="D36" s="231" t="s">
        <v>548</v>
      </c>
      <c r="E36" s="231" t="s">
        <v>556</v>
      </c>
      <c r="F36" s="233">
        <v>11473.17</v>
      </c>
      <c r="G36" s="221"/>
      <c r="H36" s="221"/>
    </row>
    <row r="37" spans="3:10" x14ac:dyDescent="0.2">
      <c r="C37" s="230">
        <v>29</v>
      </c>
      <c r="D37" s="231" t="s">
        <v>548</v>
      </c>
      <c r="E37" s="231" t="s">
        <v>950</v>
      </c>
      <c r="F37" s="233">
        <v>693809.5</v>
      </c>
      <c r="G37" s="221"/>
      <c r="H37" s="221"/>
    </row>
    <row r="38" spans="3:10" ht="25.5" x14ac:dyDescent="0.25">
      <c r="C38" s="230">
        <v>30</v>
      </c>
      <c r="D38" s="234" t="s">
        <v>557</v>
      </c>
      <c r="E38" s="235" t="s">
        <v>558</v>
      </c>
      <c r="F38" s="236">
        <v>24575.119999999999</v>
      </c>
      <c r="G38" s="221"/>
      <c r="H38" s="221"/>
    </row>
    <row r="39" spans="3:10" x14ac:dyDescent="0.2">
      <c r="C39" s="230">
        <v>31</v>
      </c>
      <c r="D39" s="231" t="s">
        <v>548</v>
      </c>
      <c r="E39" s="237" t="s">
        <v>559</v>
      </c>
      <c r="F39" s="238">
        <v>5549.83</v>
      </c>
      <c r="G39" s="221"/>
      <c r="H39" s="221"/>
    </row>
    <row r="40" spans="3:10" ht="28.5" customHeight="1" x14ac:dyDescent="0.25">
      <c r="C40" s="230">
        <v>32</v>
      </c>
      <c r="D40" s="234" t="s">
        <v>557</v>
      </c>
      <c r="E40" s="234" t="s">
        <v>560</v>
      </c>
      <c r="F40" s="238">
        <v>2393.9699999999998</v>
      </c>
      <c r="G40" s="215"/>
      <c r="H40" s="215"/>
    </row>
    <row r="41" spans="3:10" ht="25.5" x14ac:dyDescent="0.2">
      <c r="C41" s="230">
        <v>33</v>
      </c>
      <c r="D41" s="234" t="s">
        <v>557</v>
      </c>
      <c r="E41" s="231" t="s">
        <v>561</v>
      </c>
      <c r="F41" s="238">
        <v>71774.8</v>
      </c>
      <c r="G41" s="215"/>
      <c r="H41" s="215"/>
    </row>
    <row r="42" spans="3:10" ht="25.5" x14ac:dyDescent="0.2">
      <c r="C42" s="230">
        <v>34</v>
      </c>
      <c r="D42" s="234" t="s">
        <v>557</v>
      </c>
      <c r="E42" s="231" t="s">
        <v>562</v>
      </c>
      <c r="F42" s="238">
        <v>1261994.98</v>
      </c>
      <c r="G42" s="215"/>
      <c r="H42" s="215"/>
    </row>
    <row r="43" spans="3:10" x14ac:dyDescent="0.2">
      <c r="C43" s="230">
        <v>35</v>
      </c>
      <c r="D43" s="231" t="s">
        <v>547</v>
      </c>
      <c r="E43" s="231" t="s">
        <v>951</v>
      </c>
      <c r="F43" s="238">
        <v>120715</v>
      </c>
      <c r="G43" s="215"/>
      <c r="H43" s="221"/>
    </row>
    <row r="44" spans="3:10" x14ac:dyDescent="0.2">
      <c r="C44" s="230">
        <v>36</v>
      </c>
      <c r="D44" s="231" t="s">
        <v>563</v>
      </c>
      <c r="E44" s="231" t="s">
        <v>564</v>
      </c>
      <c r="F44" s="238">
        <v>156384.95000000001</v>
      </c>
      <c r="G44" s="215"/>
      <c r="H44" s="221"/>
    </row>
    <row r="45" spans="3:10" ht="13.5" customHeight="1" x14ac:dyDescent="0.2">
      <c r="C45" s="230">
        <v>37</v>
      </c>
      <c r="D45" s="231" t="s">
        <v>563</v>
      </c>
      <c r="E45" s="231" t="s">
        <v>565</v>
      </c>
      <c r="F45" s="238">
        <v>509.2</v>
      </c>
      <c r="G45" s="215"/>
      <c r="H45" s="221"/>
    </row>
    <row r="46" spans="3:10" ht="14.25" customHeight="1" x14ac:dyDescent="0.2">
      <c r="C46" s="230">
        <v>38</v>
      </c>
      <c r="D46" s="231" t="s">
        <v>563</v>
      </c>
      <c r="E46" s="231" t="s">
        <v>566</v>
      </c>
      <c r="F46" s="238">
        <v>18287.28</v>
      </c>
      <c r="G46" s="215"/>
      <c r="H46" s="221"/>
    </row>
    <row r="47" spans="3:10" x14ac:dyDescent="0.2">
      <c r="C47" s="230">
        <v>39</v>
      </c>
      <c r="D47" s="231" t="s">
        <v>563</v>
      </c>
      <c r="E47" s="231" t="s">
        <v>952</v>
      </c>
      <c r="F47" s="238">
        <v>82152.75</v>
      </c>
      <c r="G47" s="215"/>
      <c r="H47" s="221"/>
    </row>
    <row r="48" spans="3:10" x14ac:dyDescent="0.2">
      <c r="C48" s="230">
        <v>40</v>
      </c>
      <c r="D48" s="231" t="s">
        <v>563</v>
      </c>
      <c r="E48" s="231" t="s">
        <v>953</v>
      </c>
      <c r="F48" s="238">
        <v>34403.07</v>
      </c>
      <c r="G48" s="215"/>
      <c r="H48" s="221"/>
    </row>
    <row r="49" spans="3:10" x14ac:dyDescent="0.2">
      <c r="C49" s="230">
        <v>41</v>
      </c>
      <c r="D49" s="231" t="s">
        <v>554</v>
      </c>
      <c r="E49" s="231" t="s">
        <v>567</v>
      </c>
      <c r="F49" s="238">
        <v>8049.74</v>
      </c>
      <c r="G49" s="215"/>
      <c r="H49" s="221"/>
    </row>
    <row r="50" spans="3:10" x14ac:dyDescent="0.2">
      <c r="C50" s="230">
        <v>42</v>
      </c>
      <c r="D50" s="231" t="s">
        <v>985</v>
      </c>
      <c r="E50" s="231" t="s">
        <v>985</v>
      </c>
      <c r="F50" s="238">
        <v>311043.43</v>
      </c>
      <c r="G50" s="215"/>
      <c r="H50" s="221"/>
      <c r="J50" s="224"/>
    </row>
    <row r="51" spans="3:10" ht="25.5" x14ac:dyDescent="0.25">
      <c r="C51" s="230">
        <v>43</v>
      </c>
      <c r="D51" s="239" t="s">
        <v>983</v>
      </c>
      <c r="E51" s="239" t="s">
        <v>984</v>
      </c>
      <c r="F51" s="238">
        <v>35807.89</v>
      </c>
      <c r="G51" s="215"/>
      <c r="H51" s="221"/>
    </row>
    <row r="52" spans="3:10" x14ac:dyDescent="0.2">
      <c r="C52" s="230">
        <v>44</v>
      </c>
      <c r="D52" s="231" t="s">
        <v>563</v>
      </c>
      <c r="E52" s="231" t="s">
        <v>954</v>
      </c>
      <c r="F52" s="238">
        <v>141257.22</v>
      </c>
      <c r="G52" s="215"/>
      <c r="H52" s="221"/>
    </row>
    <row r="53" spans="3:10" x14ac:dyDescent="0.2">
      <c r="C53" s="230">
        <v>45</v>
      </c>
      <c r="D53" s="231" t="s">
        <v>568</v>
      </c>
      <c r="E53" s="231" t="s">
        <v>955</v>
      </c>
      <c r="F53" s="238">
        <v>3000</v>
      </c>
      <c r="G53" s="215"/>
      <c r="H53" s="221"/>
    </row>
    <row r="54" spans="3:10" x14ac:dyDescent="0.2">
      <c r="C54" s="230">
        <v>46</v>
      </c>
      <c r="D54" s="231" t="s">
        <v>568</v>
      </c>
      <c r="E54" s="231" t="s">
        <v>956</v>
      </c>
      <c r="F54" s="238">
        <v>1400</v>
      </c>
      <c r="G54" s="215"/>
      <c r="H54" s="221"/>
    </row>
    <row r="55" spans="3:10" x14ac:dyDescent="0.2">
      <c r="C55" s="230">
        <v>47</v>
      </c>
      <c r="D55" s="231" t="s">
        <v>957</v>
      </c>
      <c r="E55" s="231" t="s">
        <v>958</v>
      </c>
      <c r="F55" s="238">
        <v>21136.880000000001</v>
      </c>
      <c r="G55" s="215"/>
      <c r="H55" s="221"/>
    </row>
    <row r="56" spans="3:10" ht="16.5" customHeight="1" x14ac:dyDescent="0.2">
      <c r="C56" s="230">
        <v>48</v>
      </c>
      <c r="D56" s="240" t="s">
        <v>563</v>
      </c>
      <c r="E56" s="231" t="s">
        <v>959</v>
      </c>
      <c r="F56" s="238">
        <v>31776.93</v>
      </c>
      <c r="G56" s="215"/>
      <c r="H56" s="221"/>
    </row>
    <row r="57" spans="3:10" x14ac:dyDescent="0.2">
      <c r="C57" s="230">
        <v>49</v>
      </c>
      <c r="D57" s="240" t="s">
        <v>960</v>
      </c>
      <c r="E57" s="231" t="s">
        <v>961</v>
      </c>
      <c r="F57" s="238">
        <v>3000</v>
      </c>
      <c r="G57" s="215"/>
      <c r="H57" s="221"/>
    </row>
    <row r="58" spans="3:10" x14ac:dyDescent="0.2">
      <c r="C58" s="230">
        <v>50</v>
      </c>
      <c r="D58" s="240" t="s">
        <v>962</v>
      </c>
      <c r="E58" s="231" t="s">
        <v>963</v>
      </c>
      <c r="F58" s="238">
        <v>3000</v>
      </c>
      <c r="G58" s="215"/>
      <c r="H58" s="221"/>
    </row>
    <row r="59" spans="3:10" x14ac:dyDescent="0.2">
      <c r="C59" s="230">
        <v>51</v>
      </c>
      <c r="D59" s="240" t="s">
        <v>987</v>
      </c>
      <c r="E59" s="231" t="s">
        <v>982</v>
      </c>
      <c r="F59" s="238">
        <v>51373.5</v>
      </c>
      <c r="G59" s="215"/>
      <c r="H59" s="221"/>
    </row>
    <row r="60" spans="3:10" x14ac:dyDescent="0.2">
      <c r="C60" s="230">
        <v>52</v>
      </c>
      <c r="D60" s="240" t="s">
        <v>964</v>
      </c>
      <c r="E60" s="231" t="s">
        <v>986</v>
      </c>
      <c r="F60" s="238">
        <v>52000</v>
      </c>
      <c r="G60" s="215"/>
      <c r="H60" s="221"/>
    </row>
    <row r="61" spans="3:10" x14ac:dyDescent="0.25">
      <c r="C61" s="593" t="s">
        <v>97</v>
      </c>
      <c r="D61" s="593"/>
      <c r="E61" s="593"/>
      <c r="F61" s="225">
        <f>SUM(F8:F60)</f>
        <v>15147782.680000002</v>
      </c>
      <c r="G61" s="215"/>
      <c r="H61" s="221"/>
    </row>
    <row r="62" spans="3:10" x14ac:dyDescent="0.25">
      <c r="C62" s="215"/>
      <c r="D62" s="215"/>
      <c r="E62" s="215"/>
      <c r="F62" s="216"/>
      <c r="G62" s="215"/>
      <c r="H62" s="215"/>
    </row>
    <row r="63" spans="3:10" x14ac:dyDescent="0.25">
      <c r="C63" s="215"/>
      <c r="D63" s="215"/>
      <c r="E63" s="215"/>
      <c r="F63" s="216"/>
      <c r="G63" s="215"/>
      <c r="H63" s="215"/>
    </row>
    <row r="64" spans="3:10" x14ac:dyDescent="0.25">
      <c r="C64" s="215"/>
      <c r="D64" s="215"/>
      <c r="E64" s="215"/>
      <c r="F64" s="216"/>
      <c r="G64" s="215"/>
      <c r="H64" s="215"/>
    </row>
    <row r="65" spans="3:8" x14ac:dyDescent="0.25">
      <c r="C65" s="215"/>
      <c r="D65" s="215"/>
      <c r="E65" s="215"/>
      <c r="F65" s="216"/>
      <c r="G65" s="215"/>
      <c r="H65" s="215"/>
    </row>
    <row r="66" spans="3:8" x14ac:dyDescent="0.25">
      <c r="C66" s="215"/>
      <c r="D66" s="215"/>
      <c r="E66" s="215"/>
      <c r="F66" s="216"/>
      <c r="G66" s="215"/>
      <c r="H66" s="215"/>
    </row>
    <row r="67" spans="3:8" x14ac:dyDescent="0.25">
      <c r="C67" s="215"/>
      <c r="D67" s="215"/>
      <c r="E67" s="215"/>
      <c r="F67" s="216"/>
      <c r="G67" s="215"/>
      <c r="H67" s="215"/>
    </row>
    <row r="77" spans="3:8" x14ac:dyDescent="0.25">
      <c r="C77" s="221"/>
      <c r="D77" s="221"/>
      <c r="E77" s="221"/>
      <c r="F77" s="216"/>
      <c r="G77" s="221"/>
      <c r="H77" s="221"/>
    </row>
  </sheetData>
  <mergeCells count="4">
    <mergeCell ref="C7:E7"/>
    <mergeCell ref="C61:E61"/>
    <mergeCell ref="C35:E35"/>
    <mergeCell ref="C4:F4"/>
  </mergeCells>
  <pageMargins left="0.39370078740157483" right="0.51181102362204722" top="0.55118110236220474" bottom="0.15748031496062992" header="0.15748031496062992" footer="0.15748031496062992"/>
  <pageSetup paperSize="9" scale="8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I36"/>
  <sheetViews>
    <sheetView workbookViewId="0">
      <selection activeCell="D13" sqref="D13"/>
    </sheetView>
  </sheetViews>
  <sheetFormatPr defaultRowHeight="15" x14ac:dyDescent="0.25"/>
  <cols>
    <col min="1" max="1" width="9.140625" style="30" customWidth="1"/>
    <col min="2" max="2" width="6.140625" style="30" customWidth="1"/>
    <col min="3" max="3" width="35.7109375" style="30" customWidth="1"/>
    <col min="4" max="4" width="43.85546875" style="30" customWidth="1"/>
    <col min="5" max="5" width="13.140625" style="249" customWidth="1"/>
    <col min="6" max="6" width="9.140625" style="30" customWidth="1"/>
    <col min="7" max="8" width="9.140625" style="30"/>
    <col min="9" max="9" width="13.140625" style="30" bestFit="1" customWidth="1"/>
    <col min="10" max="16384" width="9.140625" style="30"/>
  </cols>
  <sheetData>
    <row r="3" spans="1:9" x14ac:dyDescent="0.25">
      <c r="A3" s="30" t="s">
        <v>160</v>
      </c>
      <c r="E3" s="186" t="s">
        <v>467</v>
      </c>
    </row>
    <row r="4" spans="1:9" ht="16.5" x14ac:dyDescent="0.25">
      <c r="B4" s="597" t="s">
        <v>975</v>
      </c>
      <c r="C4" s="597"/>
      <c r="D4" s="597"/>
      <c r="E4" s="597"/>
    </row>
    <row r="5" spans="1:9" x14ac:dyDescent="0.25">
      <c r="B5" s="241"/>
      <c r="C5" s="242"/>
      <c r="D5" s="53"/>
      <c r="E5" s="243"/>
    </row>
    <row r="6" spans="1:9" ht="25.5" x14ac:dyDescent="0.25">
      <c r="B6" s="122" t="s">
        <v>154</v>
      </c>
      <c r="C6" s="96" t="s">
        <v>155</v>
      </c>
      <c r="D6" s="96" t="s">
        <v>156</v>
      </c>
      <c r="E6" s="244" t="s">
        <v>157</v>
      </c>
    </row>
    <row r="7" spans="1:9" s="58" customFormat="1" ht="38.25" x14ac:dyDescent="0.25">
      <c r="B7" s="250">
        <v>1</v>
      </c>
      <c r="C7" s="251" t="s">
        <v>976</v>
      </c>
      <c r="D7" s="251" t="s">
        <v>965</v>
      </c>
      <c r="E7" s="252">
        <v>5000</v>
      </c>
    </row>
    <row r="8" spans="1:9" s="58" customFormat="1" ht="25.5" x14ac:dyDescent="0.25">
      <c r="B8" s="250">
        <v>2</v>
      </c>
      <c r="C8" s="251" t="s">
        <v>977</v>
      </c>
      <c r="D8" s="251" t="s">
        <v>966</v>
      </c>
      <c r="E8" s="252">
        <v>15000</v>
      </c>
    </row>
    <row r="9" spans="1:9" s="58" customFormat="1" ht="25.5" x14ac:dyDescent="0.25">
      <c r="B9" s="250">
        <v>3</v>
      </c>
      <c r="C9" s="239" t="s">
        <v>978</v>
      </c>
      <c r="D9" s="251" t="s">
        <v>967</v>
      </c>
      <c r="E9" s="252">
        <v>911029</v>
      </c>
      <c r="G9" s="245"/>
    </row>
    <row r="10" spans="1:9" s="58" customFormat="1" ht="38.25" x14ac:dyDescent="0.25">
      <c r="B10" s="250">
        <v>4</v>
      </c>
      <c r="C10" s="239" t="s">
        <v>979</v>
      </c>
      <c r="D10" s="251" t="s">
        <v>968</v>
      </c>
      <c r="E10" s="252">
        <v>115482</v>
      </c>
      <c r="G10" s="245"/>
      <c r="H10" s="245"/>
    </row>
    <row r="11" spans="1:9" s="58" customFormat="1" ht="38.25" x14ac:dyDescent="0.25">
      <c r="B11" s="250">
        <v>5</v>
      </c>
      <c r="C11" s="239" t="s">
        <v>980</v>
      </c>
      <c r="D11" s="251" t="s">
        <v>969</v>
      </c>
      <c r="E11" s="252">
        <v>2090</v>
      </c>
      <c r="G11" s="245"/>
      <c r="H11" s="245"/>
    </row>
    <row r="12" spans="1:9" s="58" customFormat="1" ht="25.5" x14ac:dyDescent="0.25">
      <c r="B12" s="250">
        <v>6</v>
      </c>
      <c r="C12" s="239" t="s">
        <v>981</v>
      </c>
      <c r="D12" s="251" t="s">
        <v>970</v>
      </c>
      <c r="E12" s="252">
        <v>333894</v>
      </c>
      <c r="G12" s="245"/>
      <c r="H12" s="245"/>
    </row>
    <row r="13" spans="1:9" s="58" customFormat="1" ht="25.5" x14ac:dyDescent="0.25">
      <c r="B13" s="250">
        <v>7</v>
      </c>
      <c r="C13" s="239" t="s">
        <v>979</v>
      </c>
      <c r="D13" s="251" t="s">
        <v>971</v>
      </c>
      <c r="E13" s="252">
        <v>13680</v>
      </c>
      <c r="G13" s="245"/>
      <c r="H13" s="245"/>
    </row>
    <row r="14" spans="1:9" s="58" customFormat="1" ht="25.5" x14ac:dyDescent="0.25">
      <c r="B14" s="250">
        <v>8</v>
      </c>
      <c r="C14" s="239" t="s">
        <v>979</v>
      </c>
      <c r="D14" s="251" t="s">
        <v>972</v>
      </c>
      <c r="E14" s="252">
        <v>79610</v>
      </c>
      <c r="G14" s="245"/>
      <c r="H14" s="245"/>
    </row>
    <row r="15" spans="1:9" s="58" customFormat="1" ht="38.25" x14ac:dyDescent="0.25">
      <c r="B15" s="250">
        <v>9</v>
      </c>
      <c r="C15" s="239" t="s">
        <v>980</v>
      </c>
      <c r="D15" s="251" t="s">
        <v>546</v>
      </c>
      <c r="E15" s="252">
        <v>76194</v>
      </c>
      <c r="G15" s="245"/>
      <c r="H15" s="245"/>
      <c r="I15" s="224"/>
    </row>
    <row r="16" spans="1:9" s="58" customFormat="1" ht="38.25" x14ac:dyDescent="0.25">
      <c r="B16" s="250">
        <v>10</v>
      </c>
      <c r="C16" s="239" t="s">
        <v>980</v>
      </c>
      <c r="D16" s="251" t="s">
        <v>973</v>
      </c>
      <c r="E16" s="252">
        <v>31322</v>
      </c>
      <c r="G16" s="245"/>
      <c r="H16" s="245"/>
      <c r="I16" s="224"/>
    </row>
    <row r="17" spans="2:8" s="58" customFormat="1" ht="38.25" x14ac:dyDescent="0.25">
      <c r="B17" s="250">
        <v>11</v>
      </c>
      <c r="C17" s="239" t="s">
        <v>980</v>
      </c>
      <c r="D17" s="251" t="s">
        <v>974</v>
      </c>
      <c r="E17" s="252">
        <v>45223</v>
      </c>
      <c r="G17" s="245"/>
      <c r="H17" s="245"/>
    </row>
    <row r="18" spans="2:8" s="58" customFormat="1" ht="21.75" customHeight="1" x14ac:dyDescent="0.25">
      <c r="B18" s="119" t="s">
        <v>97</v>
      </c>
      <c r="C18" s="119"/>
      <c r="D18" s="119"/>
      <c r="E18" s="246">
        <f>SUM(E7:E17)</f>
        <v>1628524</v>
      </c>
      <c r="G18" s="245"/>
      <c r="H18" s="245"/>
    </row>
    <row r="21" spans="2:8" x14ac:dyDescent="0.25">
      <c r="E21" s="247"/>
    </row>
    <row r="23" spans="2:8" x14ac:dyDescent="0.25">
      <c r="C23" s="248"/>
    </row>
    <row r="34" spans="7:7" x14ac:dyDescent="0.25">
      <c r="G34" s="596"/>
    </row>
    <row r="35" spans="7:7" x14ac:dyDescent="0.25">
      <c r="G35" s="596"/>
    </row>
    <row r="36" spans="7:7" x14ac:dyDescent="0.25">
      <c r="G36" s="596"/>
    </row>
  </sheetData>
  <mergeCells count="2">
    <mergeCell ref="G34:G36"/>
    <mergeCell ref="B4:E4"/>
  </mergeCells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E22"/>
  <sheetViews>
    <sheetView workbookViewId="0">
      <selection activeCell="B6" sqref="B6"/>
    </sheetView>
  </sheetViews>
  <sheetFormatPr defaultColWidth="17.42578125" defaultRowHeight="15" x14ac:dyDescent="0.25"/>
  <cols>
    <col min="1" max="2" width="6.7109375" style="30" customWidth="1"/>
    <col min="3" max="3" width="46.42578125" style="30" customWidth="1"/>
    <col min="4" max="4" width="13.42578125" style="30" customWidth="1"/>
    <col min="5" max="16384" width="17.42578125" style="30"/>
  </cols>
  <sheetData>
    <row r="1" spans="2:5" x14ac:dyDescent="0.25">
      <c r="B1" s="253"/>
      <c r="C1" s="253"/>
      <c r="D1" s="253"/>
    </row>
    <row r="2" spans="2:5" x14ac:dyDescent="0.25">
      <c r="B2" s="253"/>
      <c r="C2" s="253"/>
      <c r="D2" s="253"/>
    </row>
    <row r="3" spans="2:5" x14ac:dyDescent="0.25">
      <c r="B3" s="254"/>
      <c r="C3" s="253"/>
      <c r="D3" s="255" t="s">
        <v>161</v>
      </c>
    </row>
    <row r="4" spans="2:5" x14ac:dyDescent="0.25">
      <c r="B4" s="254"/>
      <c r="C4" s="253"/>
      <c r="D4" s="253"/>
    </row>
    <row r="5" spans="2:5" ht="32.25" customHeight="1" x14ac:dyDescent="0.25">
      <c r="B5" s="598" t="s">
        <v>991</v>
      </c>
      <c r="C5" s="598"/>
      <c r="D5" s="598"/>
    </row>
    <row r="6" spans="2:5" x14ac:dyDescent="0.25">
      <c r="B6" s="265"/>
      <c r="C6" s="266"/>
      <c r="D6" s="266"/>
    </row>
    <row r="7" spans="2:5" ht="29.25" customHeight="1" x14ac:dyDescent="0.25">
      <c r="B7" s="256" t="s">
        <v>154</v>
      </c>
      <c r="C7" s="257" t="s">
        <v>162</v>
      </c>
      <c r="D7" s="258" t="s">
        <v>468</v>
      </c>
    </row>
    <row r="8" spans="2:5" s="58" customFormat="1" x14ac:dyDescent="0.25">
      <c r="B8" s="267">
        <v>1</v>
      </c>
      <c r="C8" s="268" t="s">
        <v>513</v>
      </c>
      <c r="D8" s="269">
        <v>692</v>
      </c>
      <c r="E8" s="259"/>
    </row>
    <row r="9" spans="2:5" s="58" customFormat="1" x14ac:dyDescent="0.25">
      <c r="B9" s="267">
        <v>2</v>
      </c>
      <c r="C9" s="268" t="s">
        <v>609</v>
      </c>
      <c r="D9" s="269">
        <v>2336</v>
      </c>
      <c r="E9" s="259"/>
    </row>
    <row r="10" spans="2:5" s="58" customFormat="1" x14ac:dyDescent="0.25">
      <c r="B10" s="267">
        <v>3</v>
      </c>
      <c r="C10" s="268" t="s">
        <v>633</v>
      </c>
      <c r="D10" s="269">
        <v>3334</v>
      </c>
      <c r="E10" s="259"/>
    </row>
    <row r="11" spans="2:5" s="58" customFormat="1" x14ac:dyDescent="0.25">
      <c r="B11" s="267">
        <v>4</v>
      </c>
      <c r="C11" s="268" t="s">
        <v>489</v>
      </c>
      <c r="D11" s="269">
        <v>1663</v>
      </c>
      <c r="E11" s="259"/>
    </row>
    <row r="12" spans="2:5" s="58" customFormat="1" x14ac:dyDescent="0.25">
      <c r="B12" s="267">
        <v>5</v>
      </c>
      <c r="C12" s="268" t="s">
        <v>634</v>
      </c>
      <c r="D12" s="269">
        <v>2583</v>
      </c>
      <c r="E12" s="259"/>
    </row>
    <row r="13" spans="2:5" s="58" customFormat="1" x14ac:dyDescent="0.25">
      <c r="B13" s="267">
        <v>6</v>
      </c>
      <c r="C13" s="268" t="s">
        <v>610</v>
      </c>
      <c r="D13" s="269">
        <v>656</v>
      </c>
      <c r="E13" s="259"/>
    </row>
    <row r="14" spans="2:5" s="58" customFormat="1" x14ac:dyDescent="0.25">
      <c r="B14" s="267">
        <v>7</v>
      </c>
      <c r="C14" s="268" t="s">
        <v>512</v>
      </c>
      <c r="D14" s="269">
        <v>3445</v>
      </c>
      <c r="E14" s="259"/>
    </row>
    <row r="15" spans="2:5" s="58" customFormat="1" x14ac:dyDescent="0.25">
      <c r="B15" s="267">
        <v>8</v>
      </c>
      <c r="C15" s="268" t="s">
        <v>635</v>
      </c>
      <c r="D15" s="269">
        <v>2162</v>
      </c>
      <c r="E15" s="259"/>
    </row>
    <row r="16" spans="2:5" s="58" customFormat="1" x14ac:dyDescent="0.25">
      <c r="B16" s="267">
        <v>9</v>
      </c>
      <c r="C16" s="268" t="s">
        <v>490</v>
      </c>
      <c r="D16" s="269">
        <v>2593</v>
      </c>
      <c r="E16" s="260"/>
    </row>
    <row r="17" spans="2:5" s="58" customFormat="1" x14ac:dyDescent="0.25">
      <c r="B17" s="267">
        <v>10</v>
      </c>
      <c r="C17" s="268" t="s">
        <v>636</v>
      </c>
      <c r="D17" s="269">
        <v>1594</v>
      </c>
      <c r="E17" s="260"/>
    </row>
    <row r="18" spans="2:5" s="58" customFormat="1" x14ac:dyDescent="0.25">
      <c r="B18" s="267">
        <v>11</v>
      </c>
      <c r="C18" s="268" t="s">
        <v>637</v>
      </c>
      <c r="D18" s="269">
        <v>846</v>
      </c>
      <c r="E18" s="260"/>
    </row>
    <row r="19" spans="2:5" s="58" customFormat="1" x14ac:dyDescent="0.25">
      <c r="B19" s="267">
        <v>12</v>
      </c>
      <c r="C19" s="268" t="s">
        <v>638</v>
      </c>
      <c r="D19" s="269">
        <v>602</v>
      </c>
      <c r="E19" s="261"/>
    </row>
    <row r="20" spans="2:5" s="58" customFormat="1" x14ac:dyDescent="0.25">
      <c r="B20" s="267">
        <v>13</v>
      </c>
      <c r="C20" s="268" t="s">
        <v>639</v>
      </c>
      <c r="D20" s="269">
        <v>2262</v>
      </c>
      <c r="E20" s="261"/>
    </row>
    <row r="21" spans="2:5" s="58" customFormat="1" x14ac:dyDescent="0.25">
      <c r="B21" s="267">
        <v>14</v>
      </c>
      <c r="C21" s="268" t="s">
        <v>640</v>
      </c>
      <c r="D21" s="269">
        <v>2241</v>
      </c>
      <c r="E21" s="261"/>
    </row>
    <row r="22" spans="2:5" x14ac:dyDescent="0.25">
      <c r="B22" s="262"/>
      <c r="C22" s="263" t="s">
        <v>9</v>
      </c>
      <c r="D22" s="264">
        <f>SUM(D8:D21)</f>
        <v>27009</v>
      </c>
    </row>
  </sheetData>
  <mergeCells count="1">
    <mergeCell ref="B5:D5"/>
  </mergeCells>
  <pageMargins left="0.9055118110236221" right="0.43307086614173229" top="0.35433070866141736" bottom="0.15748031496062992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Počet_zamest_ZŠ</vt:lpstr>
      <vt:lpstr>Počet_žiakov_a_tried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zilkova</dc:creator>
  <cp:lastModifiedBy>Prnová Žilková Andrea, Ing.</cp:lastModifiedBy>
  <cp:lastPrinted>2023-04-04T06:01:05Z</cp:lastPrinted>
  <dcterms:created xsi:type="dcterms:W3CDTF">2012-02-23T12:08:44Z</dcterms:created>
  <dcterms:modified xsi:type="dcterms:W3CDTF">2023-04-05T07:37:00Z</dcterms:modified>
</cp:coreProperties>
</file>