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1\Záverečný účet 2021\"/>
    </mc:Choice>
  </mc:AlternateContent>
  <xr:revisionPtr revIDLastSave="0" documentId="13_ncr:1_{56693BFD-84D1-4074-8453-CB37E9802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úvahy" sheetId="1" r:id="rId1"/>
    <sheet name="MHSL" sheetId="2" r:id="rId2"/>
    <sheet name="SSMT" sheetId="3" r:id="rId3"/>
    <sheet name="ŠZMT" sheetId="4" r:id="rId4"/>
    <sheet name="Materské_školy" sheetId="5" r:id="rId5"/>
    <sheet name="Základné_školy" sheetId="6" r:id="rId6"/>
    <sheet name="Bežné_dotácie" sheetId="7" r:id="rId7"/>
    <sheet name="Kapitálové_dotácie" sheetId="8" r:id="rId8"/>
    <sheet name="Dotácie_na_šport_1" sheetId="9" r:id="rId9"/>
    <sheet name="Dotácie_na_šport_2" sheetId="10" r:id="rId10"/>
    <sheet name="Dotácie_kultúra" sheetId="11" r:id="rId11"/>
    <sheet name="Dotácie_v_soc_oblasti" sheetId="12" r:id="rId12"/>
    <sheet name="Dotácie_v_oblasti_školstva" sheetId="13" r:id="rId13"/>
    <sheet name="Dotácie_v_oblasti_ŽP" sheetId="14" r:id="rId14"/>
    <sheet name="Pohľadávky" sheetId="15" r:id="rId15"/>
    <sheet name="Prehľad_dlhu" sheetId="16" r:id="rId16"/>
    <sheet name="Vývoj_dlhovej_služby" sheetId="17" r:id="rId17"/>
    <sheet name="BV-funkčná_kl_" sheetId="18" r:id="rId18"/>
    <sheet name="KV-funkčná_kl_" sheetId="19" r:id="rId19"/>
    <sheet name="Výdavky_ek_kl_" sheetId="20" r:id="rId20"/>
    <sheet name="FO_podľa_RK" sheetId="21" r:id="rId21"/>
    <sheet name="Počet_zamest_ZŠ" sheetId="22" r:id="rId22"/>
    <sheet name="Počet_žiakov_a_tried" sheetId="23" r:id="rId23"/>
    <sheet name="Zoznam_org_" sheetId="24" r:id="rId24"/>
    <sheet name="ESA" sheetId="25" r:id="rId25"/>
  </sheets>
  <definedNames>
    <definedName name="_xlnm.Print_Area" localSheetId="6">Bežné_dotácie!$C$3:$F$56</definedName>
    <definedName name="_xlnm.Print_Area" localSheetId="17">'BV-funkčná_kl_'!$B$2:$G$50</definedName>
    <definedName name="_xlnm.Print_Area" localSheetId="10">Dotácie_kultúra!$B$1:$E$65</definedName>
    <definedName name="_xlnm.Print_Area" localSheetId="8">Dotácie_na_šport_1!$B$3:$D$46</definedName>
    <definedName name="_xlnm.Print_Area" localSheetId="9">Dotácie_na_šport_2!$B$3:$E$74</definedName>
    <definedName name="_xlnm.Print_Area" localSheetId="12">Dotácie_v_oblasti_školstva!$B$3:$E$29</definedName>
    <definedName name="_xlnm.Print_Area" localSheetId="13">Dotácie_v_oblasti_ŽP!$B$2:$E$15</definedName>
    <definedName name="_xlnm.Print_Area" localSheetId="11">Dotácie_v_soc_oblasti!$B$2:$E$23</definedName>
    <definedName name="_xlnm.Print_Area" localSheetId="24">ESA!$B$2:$D$31</definedName>
    <definedName name="_xlnm.Print_Area" localSheetId="20">FO_podľa_RK!$B$2:$F$13</definedName>
    <definedName name="_xlnm.Print_Area" localSheetId="7">Kapitálové_dotácie!$B$3:$E$24</definedName>
    <definedName name="_xlnm.Print_Area" localSheetId="18">'KV-funkčná_kl_'!$B$2:$G$37</definedName>
    <definedName name="_xlnm.Print_Area" localSheetId="4">Materské_školy!$B$2:$I$73</definedName>
    <definedName name="_xlnm.Print_Area" localSheetId="1">MHSL!$B$1:$H$69</definedName>
    <definedName name="_xlnm.Print_Area" localSheetId="21">Počet_zamest_ZŠ!$B$2:$I$21</definedName>
    <definedName name="_xlnm.Print_Area" localSheetId="22">Počet_žiakov_a_tried!$B$2:$T$25</definedName>
    <definedName name="_xlnm.Print_Area" localSheetId="14">Pohľadávky!$B$1:$E$24</definedName>
    <definedName name="_xlnm.Print_Area" localSheetId="15">Prehľad_dlhu!$B$1:$J$45</definedName>
    <definedName name="_xlnm.Print_Area" localSheetId="2">SSMT!$B$2:$G$67</definedName>
    <definedName name="_xlnm.Print_Area" localSheetId="0">Súvahy!$B$3:$L$23</definedName>
    <definedName name="_xlnm.Print_Area" localSheetId="3">ŠZMT!$B$1:$H$29</definedName>
    <definedName name="_xlnm.Print_Area" localSheetId="19">Výdavky_ek_kl_!$B$3:$F$30</definedName>
    <definedName name="_xlnm.Print_Area" localSheetId="16">Vývoj_dlhovej_služby!$B$2:$I$39</definedName>
    <definedName name="_xlnm.Print_Area" localSheetId="5">Základné_školy!$B$7:$K$358</definedName>
    <definedName name="_xlnm.Print_Area" localSheetId="23">Zoznam_org_!$B$2:$D$21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7" l="1"/>
  <c r="D10" i="25"/>
  <c r="D6" i="25" s="1"/>
  <c r="D23" i="25"/>
  <c r="D20" i="25"/>
  <c r="D26" i="25" s="1"/>
  <c r="D13" i="25"/>
  <c r="D18" i="25" l="1"/>
  <c r="D27" i="25" s="1"/>
  <c r="D17" i="25"/>
  <c r="H17" i="17"/>
  <c r="H13" i="17"/>
  <c r="G13" i="17"/>
  <c r="F22" i="20" l="1"/>
  <c r="E22" i="20"/>
  <c r="D22" i="20"/>
  <c r="J275" i="6"/>
  <c r="J273" i="6"/>
  <c r="J270" i="6"/>
  <c r="I275" i="6"/>
  <c r="I273" i="6"/>
  <c r="I270" i="6"/>
  <c r="H275" i="6"/>
  <c r="H273" i="6"/>
  <c r="H270" i="6"/>
  <c r="G277" i="6"/>
  <c r="G276" i="6"/>
  <c r="G275" i="6"/>
  <c r="G274" i="6"/>
  <c r="G273" i="6"/>
  <c r="G272" i="6"/>
  <c r="G271" i="6"/>
  <c r="G270" i="6"/>
  <c r="G268" i="6"/>
  <c r="G267" i="6"/>
  <c r="F279" i="6"/>
  <c r="E262" i="6"/>
  <c r="E259" i="6"/>
  <c r="E275" i="6"/>
  <c r="D275" i="6"/>
  <c r="E273" i="6"/>
  <c r="D273" i="6"/>
  <c r="E270" i="6"/>
  <c r="D270" i="6"/>
  <c r="I239" i="6"/>
  <c r="I238" i="6"/>
  <c r="I237" i="6"/>
  <c r="I236" i="6"/>
  <c r="I235" i="6"/>
  <c r="I234" i="6"/>
  <c r="I233" i="6"/>
  <c r="I232" i="6"/>
  <c r="I231" i="6"/>
  <c r="I229" i="6"/>
  <c r="J178" i="6"/>
  <c r="J177" i="6"/>
  <c r="J176" i="6"/>
  <c r="J175" i="6"/>
  <c r="J174" i="6"/>
  <c r="J173" i="6"/>
  <c r="J172" i="6"/>
  <c r="J171" i="6"/>
  <c r="J169" i="6"/>
  <c r="J168" i="6"/>
  <c r="I149" i="6"/>
  <c r="I148" i="6"/>
  <c r="I147" i="6"/>
  <c r="I146" i="6"/>
  <c r="I145" i="6"/>
  <c r="I144" i="6"/>
  <c r="I143" i="6"/>
  <c r="I141" i="6"/>
  <c r="I140" i="6"/>
  <c r="H142" i="6"/>
  <c r="I93" i="6"/>
  <c r="I92" i="6"/>
  <c r="I91" i="6"/>
  <c r="I90" i="6"/>
  <c r="I89" i="6"/>
  <c r="I88" i="6"/>
  <c r="I87" i="6"/>
  <c r="I86" i="6"/>
  <c r="I85" i="6"/>
  <c r="I83" i="6"/>
  <c r="I82" i="6"/>
  <c r="I62" i="6"/>
  <c r="I61" i="6"/>
  <c r="I60" i="6"/>
  <c r="I59" i="6"/>
  <c r="I58" i="6"/>
  <c r="I57" i="6"/>
  <c r="I56" i="6"/>
  <c r="I55" i="6"/>
  <c r="I54" i="6"/>
  <c r="I53" i="6"/>
  <c r="I51" i="6"/>
  <c r="I50" i="6"/>
  <c r="I30" i="6"/>
  <c r="I29" i="6"/>
  <c r="I28" i="6"/>
  <c r="I27" i="6"/>
  <c r="I26" i="6"/>
  <c r="I25" i="6"/>
  <c r="I24" i="6"/>
  <c r="I23" i="6"/>
  <c r="I21" i="6"/>
  <c r="I20" i="6"/>
  <c r="K270" i="6" l="1"/>
  <c r="K273" i="6"/>
  <c r="G68" i="2"/>
  <c r="F56" i="7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l="1"/>
  <c r="C31" i="7" s="1"/>
  <c r="E24" i="8"/>
  <c r="C33" i="7" l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E28" i="13"/>
  <c r="B26" i="10"/>
  <c r="B29" i="10"/>
  <c r="B32" i="10"/>
  <c r="B35" i="10"/>
  <c r="B38" i="10"/>
  <c r="B41" i="10"/>
  <c r="B44" i="10"/>
  <c r="B47" i="10"/>
  <c r="B50" i="10"/>
  <c r="B53" i="10"/>
  <c r="B56" i="10"/>
  <c r="B59" i="10"/>
  <c r="B62" i="10"/>
  <c r="B65" i="10"/>
  <c r="B68" i="10"/>
  <c r="B71" i="10"/>
  <c r="E52" i="11" l="1"/>
  <c r="E25" i="11"/>
  <c r="E24" i="11"/>
  <c r="E65" i="11" l="1"/>
  <c r="E33" i="3"/>
  <c r="C48" i="3" l="1"/>
  <c r="E48" i="3"/>
  <c r="F64" i="3"/>
  <c r="E64" i="3"/>
  <c r="D64" i="3"/>
  <c r="F51" i="3"/>
  <c r="G67" i="3" s="1"/>
  <c r="F48" i="3"/>
  <c r="G63" i="3"/>
  <c r="C64" i="3"/>
  <c r="E28" i="3"/>
  <c r="E7" i="3"/>
  <c r="E344" i="6"/>
  <c r="E253" i="6"/>
  <c r="H279" i="6"/>
  <c r="H278" i="6"/>
  <c r="H272" i="6"/>
  <c r="H271" i="6"/>
  <c r="H268" i="6"/>
  <c r="H267" i="6"/>
  <c r="J277" i="6"/>
  <c r="J276" i="6"/>
  <c r="J274" i="6"/>
  <c r="J272" i="6"/>
  <c r="J271" i="6"/>
  <c r="J268" i="6"/>
  <c r="J267" i="6"/>
  <c r="E279" i="6"/>
  <c r="E278" i="6"/>
  <c r="E135" i="6"/>
  <c r="E261" i="6"/>
  <c r="E107" i="6"/>
  <c r="E258" i="6"/>
  <c r="G278" i="6"/>
  <c r="G279" i="6"/>
  <c r="E78" i="6"/>
  <c r="I278" i="6"/>
  <c r="J278" i="6"/>
  <c r="I279" i="6"/>
  <c r="E257" i="6"/>
  <c r="E46" i="6"/>
  <c r="H29" i="4"/>
  <c r="D19" i="4"/>
  <c r="E19" i="4"/>
  <c r="F19" i="4"/>
  <c r="G19" i="4"/>
  <c r="C19" i="4"/>
  <c r="H20" i="4"/>
  <c r="J42" i="16"/>
  <c r="G40" i="16"/>
  <c r="H40" i="16" s="1"/>
  <c r="J40" i="16" s="1"/>
  <c r="G38" i="16"/>
  <c r="H38" i="16" s="1"/>
  <c r="J38" i="16" s="1"/>
  <c r="G36" i="16"/>
  <c r="H36" i="16" s="1"/>
  <c r="J36" i="16" s="1"/>
  <c r="G34" i="16"/>
  <c r="H34" i="16" s="1"/>
  <c r="J34" i="16" s="1"/>
  <c r="G31" i="16"/>
  <c r="H31" i="16" s="1"/>
  <c r="J31" i="16" s="1"/>
  <c r="G28" i="16"/>
  <c r="H28" i="16" s="1"/>
  <c r="J28" i="16" s="1"/>
  <c r="G25" i="16"/>
  <c r="H25" i="16" s="1"/>
  <c r="J25" i="16" s="1"/>
  <c r="G22" i="16"/>
  <c r="H22" i="16" s="1"/>
  <c r="J22" i="16" s="1"/>
  <c r="G19" i="16"/>
  <c r="H19" i="16" s="1"/>
  <c r="J19" i="16" s="1"/>
  <c r="G16" i="16"/>
  <c r="H16" i="16" s="1"/>
  <c r="J16" i="16" s="1"/>
  <c r="G13" i="16"/>
  <c r="H13" i="16" s="1"/>
  <c r="D13" i="16"/>
  <c r="H10" i="16"/>
  <c r="J10" i="16" s="1"/>
  <c r="H7" i="16"/>
  <c r="J7" i="16" s="1"/>
  <c r="F6" i="16"/>
  <c r="E6" i="16"/>
  <c r="H4" i="16"/>
  <c r="J4" i="16" s="1"/>
  <c r="K279" i="6" l="1"/>
  <c r="E136" i="6"/>
  <c r="E260" i="6"/>
  <c r="H19" i="4"/>
  <c r="J13" i="16"/>
  <c r="G17" i="17" l="1"/>
  <c r="G11" i="17"/>
  <c r="C11" i="17"/>
  <c r="D11" i="17"/>
  <c r="E11" i="17"/>
  <c r="D13" i="17"/>
  <c r="E13" i="17"/>
  <c r="D15" i="17"/>
  <c r="D17" i="17" s="1"/>
  <c r="E17" i="17"/>
  <c r="E40" i="18"/>
  <c r="E35" i="18" s="1"/>
  <c r="E27" i="19"/>
  <c r="F20" i="19"/>
  <c r="G20" i="19"/>
  <c r="E20" i="19"/>
  <c r="F13" i="19"/>
  <c r="G13" i="19"/>
  <c r="E13" i="19"/>
  <c r="F10" i="19"/>
  <c r="G10" i="19"/>
  <c r="E10" i="19"/>
  <c r="G62" i="2" l="1"/>
  <c r="G33" i="2"/>
  <c r="G42" i="2" s="1"/>
  <c r="G56" i="2"/>
  <c r="G55" i="2"/>
  <c r="E10" i="10" l="1"/>
  <c r="U18" i="23" l="1"/>
  <c r="T18" i="23"/>
  <c r="S18" i="23"/>
  <c r="R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I21" i="22"/>
  <c r="H21" i="22"/>
  <c r="G21" i="22"/>
  <c r="F21" i="22"/>
  <c r="E21" i="22"/>
  <c r="D21" i="22"/>
  <c r="C21" i="22"/>
  <c r="E74" i="10"/>
  <c r="B23" i="10"/>
  <c r="E16" i="10"/>
  <c r="D29" i="9"/>
  <c r="E11" i="1" l="1"/>
  <c r="D23" i="1"/>
  <c r="D11" i="1" l="1"/>
  <c r="D14" i="1" s="1"/>
  <c r="E254" i="6" l="1"/>
  <c r="E255" i="6"/>
  <c r="E256" i="6"/>
  <c r="C267" i="6"/>
  <c r="D267" i="6"/>
  <c r="E267" i="6"/>
  <c r="I267" i="6"/>
  <c r="C268" i="6"/>
  <c r="D268" i="6"/>
  <c r="E268" i="6"/>
  <c r="I268" i="6"/>
  <c r="C271" i="6"/>
  <c r="D271" i="6"/>
  <c r="E271" i="6"/>
  <c r="I271" i="6"/>
  <c r="C272" i="6"/>
  <c r="D272" i="6"/>
  <c r="E272" i="6"/>
  <c r="F272" i="6"/>
  <c r="I272" i="6"/>
  <c r="C274" i="6"/>
  <c r="D274" i="6"/>
  <c r="E274" i="6"/>
  <c r="H274" i="6"/>
  <c r="I274" i="6"/>
  <c r="C275" i="6"/>
  <c r="K275" i="6" s="1"/>
  <c r="D276" i="6"/>
  <c r="E276" i="6"/>
  <c r="H276" i="6"/>
  <c r="I276" i="6"/>
  <c r="D277" i="6"/>
  <c r="E277" i="6"/>
  <c r="H277" i="6"/>
  <c r="I277" i="6"/>
  <c r="D278" i="6"/>
  <c r="K278" i="6" s="1"/>
  <c r="F34" i="19"/>
  <c r="G34" i="19"/>
  <c r="E34" i="19"/>
  <c r="K271" i="6" l="1"/>
  <c r="K268" i="6"/>
  <c r="K267" i="6"/>
  <c r="K276" i="6"/>
  <c r="K272" i="6"/>
  <c r="K277" i="6"/>
  <c r="K274" i="6"/>
  <c r="E263" i="6"/>
  <c r="I228" i="6"/>
  <c r="H210" i="6"/>
  <c r="H209" i="6"/>
  <c r="H208" i="6"/>
  <c r="H207" i="6"/>
  <c r="H206" i="6"/>
  <c r="H205" i="6"/>
  <c r="H203" i="6"/>
  <c r="H202" i="6"/>
  <c r="C170" i="6"/>
  <c r="I120" i="6"/>
  <c r="I119" i="6"/>
  <c r="I118" i="6"/>
  <c r="I117" i="6"/>
  <c r="I116" i="6"/>
  <c r="I115" i="6"/>
  <c r="I114" i="6"/>
  <c r="I112" i="6"/>
  <c r="I111" i="6"/>
  <c r="G65" i="2"/>
  <c r="G64" i="2"/>
  <c r="G63" i="2"/>
  <c r="G61" i="2"/>
  <c r="G59" i="2"/>
  <c r="C179" i="6" l="1"/>
  <c r="E6" i="3" l="1"/>
  <c r="G60" i="2" l="1"/>
  <c r="I170" i="6"/>
  <c r="I179" i="6" s="1"/>
  <c r="H230" i="6"/>
  <c r="H240" i="6" s="1"/>
  <c r="E170" i="6"/>
  <c r="E179" i="6" s="1"/>
  <c r="E84" i="6"/>
  <c r="E94" i="6" s="1"/>
  <c r="H113" i="6"/>
  <c r="H121" i="6" s="1"/>
  <c r="F269" i="6" l="1"/>
  <c r="F280" i="6" s="1"/>
  <c r="E13" i="14"/>
  <c r="E7" i="21" l="1"/>
  <c r="D7" i="21"/>
  <c r="F7" i="21"/>
  <c r="F21" i="20"/>
  <c r="D21" i="20"/>
  <c r="F35" i="18"/>
  <c r="G35" i="18"/>
  <c r="F11" i="17" l="1"/>
  <c r="F13" i="17"/>
  <c r="F17" i="17"/>
  <c r="E21" i="20"/>
  <c r="E22" i="12"/>
  <c r="H269" i="6" l="1"/>
  <c r="H280" i="6" s="1"/>
  <c r="G269" i="6"/>
  <c r="D269" i="6"/>
  <c r="J269" i="6"/>
  <c r="J280" i="6" s="1"/>
  <c r="E269" i="6"/>
  <c r="E280" i="6" s="1"/>
  <c r="I269" i="6"/>
  <c r="I280" i="6" s="1"/>
  <c r="C269" i="6"/>
  <c r="C280" i="6" l="1"/>
  <c r="K269" i="6"/>
  <c r="G280" i="6"/>
  <c r="D280" i="6"/>
  <c r="K280" i="6" l="1"/>
  <c r="H52" i="6"/>
  <c r="H63" i="6" s="1"/>
  <c r="H150" i="6" l="1"/>
  <c r="C52" i="6" l="1"/>
  <c r="D52" i="6"/>
  <c r="D63" i="6" s="1"/>
  <c r="E52" i="6"/>
  <c r="E63" i="6" s="1"/>
  <c r="F52" i="6"/>
  <c r="F63" i="6" s="1"/>
  <c r="G52" i="6"/>
  <c r="G63" i="6" s="1"/>
  <c r="C84" i="6"/>
  <c r="D84" i="6"/>
  <c r="F84" i="6"/>
  <c r="F94" i="6" s="1"/>
  <c r="G84" i="6"/>
  <c r="H84" i="6"/>
  <c r="C113" i="6"/>
  <c r="D113" i="6"/>
  <c r="D121" i="6" s="1"/>
  <c r="E113" i="6"/>
  <c r="E121" i="6" s="1"/>
  <c r="F113" i="6"/>
  <c r="F121" i="6" s="1"/>
  <c r="G113" i="6"/>
  <c r="G121" i="6" s="1"/>
  <c r="C142" i="6"/>
  <c r="C150" i="6" s="1"/>
  <c r="D142" i="6"/>
  <c r="D150" i="6" s="1"/>
  <c r="E142" i="6"/>
  <c r="E150" i="6" s="1"/>
  <c r="F142" i="6"/>
  <c r="F150" i="6" s="1"/>
  <c r="G142" i="6"/>
  <c r="G150" i="6" s="1"/>
  <c r="C22" i="6"/>
  <c r="C31" i="6" s="1"/>
  <c r="D22" i="6"/>
  <c r="D31" i="6" s="1"/>
  <c r="E22" i="6"/>
  <c r="E31" i="6" s="1"/>
  <c r="F22" i="6"/>
  <c r="F31" i="6" s="1"/>
  <c r="G22" i="6"/>
  <c r="G31" i="6" s="1"/>
  <c r="H31" i="6"/>
  <c r="I31" i="6" l="1"/>
  <c r="I150" i="6"/>
  <c r="I142" i="6"/>
  <c r="I84" i="6"/>
  <c r="C63" i="6"/>
  <c r="I63" i="6" s="1"/>
  <c r="I52" i="6"/>
  <c r="I22" i="6"/>
  <c r="I113" i="6"/>
  <c r="C121" i="6"/>
  <c r="I121" i="6" s="1"/>
  <c r="H27" i="4"/>
  <c r="H26" i="4"/>
  <c r="H25" i="4"/>
  <c r="H24" i="4"/>
  <c r="H23" i="4"/>
  <c r="H22" i="4"/>
  <c r="H21" i="4"/>
  <c r="H18" i="4"/>
  <c r="H17" i="4"/>
  <c r="E33" i="2" l="1"/>
  <c r="E42" i="2" s="1"/>
  <c r="G58" i="2"/>
  <c r="G18" i="2"/>
  <c r="G27" i="2" s="1"/>
  <c r="F18" i="2"/>
  <c r="F27" i="2" s="1"/>
  <c r="E18" i="2"/>
  <c r="E27" i="2" s="1"/>
  <c r="D18" i="2"/>
  <c r="D27" i="2" s="1"/>
  <c r="C18" i="2"/>
  <c r="C27" i="2" s="1"/>
  <c r="G57" i="2" l="1"/>
  <c r="G65" i="3"/>
  <c r="G64" i="3"/>
  <c r="G62" i="3"/>
  <c r="G61" i="3"/>
  <c r="G60" i="3"/>
  <c r="G59" i="3"/>
  <c r="G58" i="3"/>
  <c r="G56" i="3"/>
  <c r="G55" i="3"/>
  <c r="F11" i="21" l="1"/>
  <c r="E11" i="21"/>
  <c r="D11" i="21"/>
  <c r="F10" i="20"/>
  <c r="F7" i="20" s="1"/>
  <c r="E10" i="20"/>
  <c r="E7" i="20" s="1"/>
  <c r="D10" i="20"/>
  <c r="D7" i="20" s="1"/>
  <c r="G27" i="19"/>
  <c r="F27" i="19"/>
  <c r="G23" i="19"/>
  <c r="F23" i="19"/>
  <c r="E23" i="19"/>
  <c r="G17" i="19"/>
  <c r="F17" i="19"/>
  <c r="E17" i="19"/>
  <c r="G8" i="19"/>
  <c r="F8" i="19"/>
  <c r="E8" i="19"/>
  <c r="G45" i="18"/>
  <c r="F45" i="18"/>
  <c r="E45" i="18"/>
  <c r="G30" i="18"/>
  <c r="F30" i="18"/>
  <c r="E30" i="18"/>
  <c r="G25" i="18"/>
  <c r="F25" i="18"/>
  <c r="E25" i="18"/>
  <c r="G22" i="18"/>
  <c r="F22" i="18"/>
  <c r="E22" i="18"/>
  <c r="G17" i="18"/>
  <c r="F17" i="18"/>
  <c r="E17" i="18"/>
  <c r="G14" i="18"/>
  <c r="F14" i="18"/>
  <c r="E14" i="18"/>
  <c r="G12" i="18"/>
  <c r="F12" i="18"/>
  <c r="E12" i="18"/>
  <c r="G7" i="18"/>
  <c r="F7" i="18"/>
  <c r="E7" i="18"/>
  <c r="D22" i="15"/>
  <c r="C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C350" i="6"/>
  <c r="C358" i="6" s="1"/>
  <c r="C324" i="6"/>
  <c r="C333" i="6" s="1"/>
  <c r="E318" i="6"/>
  <c r="G230" i="6"/>
  <c r="G240" i="6" s="1"/>
  <c r="F230" i="6"/>
  <c r="F240" i="6" s="1"/>
  <c r="E230" i="6"/>
  <c r="E240" i="6" s="1"/>
  <c r="D230" i="6"/>
  <c r="D240" i="6" s="1"/>
  <c r="C230" i="6"/>
  <c r="E224" i="6"/>
  <c r="G204" i="6"/>
  <c r="G212" i="6" s="1"/>
  <c r="F204" i="6"/>
  <c r="F212" i="6" s="1"/>
  <c r="E204" i="6"/>
  <c r="E212" i="6" s="1"/>
  <c r="D204" i="6"/>
  <c r="D212" i="6" s="1"/>
  <c r="C204" i="6"/>
  <c r="E198" i="6"/>
  <c r="H170" i="6"/>
  <c r="H179" i="6" s="1"/>
  <c r="G170" i="6"/>
  <c r="G179" i="6" s="1"/>
  <c r="F170" i="6"/>
  <c r="F179" i="6" s="1"/>
  <c r="D170" i="6"/>
  <c r="E164" i="6"/>
  <c r="H94" i="6"/>
  <c r="G94" i="6"/>
  <c r="D94" i="6"/>
  <c r="E16" i="6"/>
  <c r="G28" i="4"/>
  <c r="F28" i="4"/>
  <c r="E28" i="4"/>
  <c r="D28" i="4"/>
  <c r="E12" i="4"/>
  <c r="F57" i="3"/>
  <c r="F66" i="3" s="1"/>
  <c r="E57" i="3"/>
  <c r="E66" i="3" s="1"/>
  <c r="D57" i="3"/>
  <c r="D66" i="3" s="1"/>
  <c r="C57" i="3"/>
  <c r="C66" i="3" s="1"/>
  <c r="F41" i="3"/>
  <c r="F50" i="3" s="1"/>
  <c r="E41" i="3"/>
  <c r="E50" i="3" s="1"/>
  <c r="D41" i="3"/>
  <c r="D50" i="3" s="1"/>
  <c r="C41" i="3"/>
  <c r="E23" i="3"/>
  <c r="E20" i="3"/>
  <c r="E18" i="3"/>
  <c r="E16" i="3"/>
  <c r="E12" i="3"/>
  <c r="F57" i="2"/>
  <c r="F67" i="2" s="1"/>
  <c r="E57" i="2"/>
  <c r="E67" i="2" s="1"/>
  <c r="D57" i="2"/>
  <c r="D67" i="2" s="1"/>
  <c r="C57" i="2"/>
  <c r="C67" i="2" s="1"/>
  <c r="F33" i="2"/>
  <c r="F42" i="2" s="1"/>
  <c r="D33" i="2"/>
  <c r="D42" i="2" s="1"/>
  <c r="C33" i="2"/>
  <c r="C42" i="2" s="1"/>
  <c r="E4" i="2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L16" i="1"/>
  <c r="L15" i="1"/>
  <c r="K14" i="1"/>
  <c r="J14" i="1"/>
  <c r="I14" i="1"/>
  <c r="H14" i="1"/>
  <c r="G14" i="1"/>
  <c r="F14" i="1"/>
  <c r="L13" i="1"/>
  <c r="L12" i="1"/>
  <c r="E14" i="1"/>
  <c r="L10" i="1"/>
  <c r="L9" i="1"/>
  <c r="L8" i="1"/>
  <c r="L7" i="1"/>
  <c r="L6" i="1"/>
  <c r="I230" i="6" l="1"/>
  <c r="D179" i="6"/>
  <c r="J179" i="6" s="1"/>
  <c r="J170" i="6"/>
  <c r="G67" i="2"/>
  <c r="C240" i="6"/>
  <c r="I240" i="6" s="1"/>
  <c r="H204" i="6"/>
  <c r="F7" i="19"/>
  <c r="G7" i="19"/>
  <c r="E6" i="18"/>
  <c r="C212" i="6"/>
  <c r="H212" i="6" s="1"/>
  <c r="L11" i="1"/>
  <c r="E22" i="15"/>
  <c r="F6" i="18"/>
  <c r="L23" i="1"/>
  <c r="C50" i="3"/>
  <c r="G66" i="3" s="1"/>
  <c r="G57" i="3"/>
  <c r="E7" i="19"/>
  <c r="E5" i="3"/>
  <c r="G6" i="18"/>
  <c r="C94" i="6"/>
  <c r="I94" i="6" s="1"/>
  <c r="C28" i="4"/>
  <c r="H28" i="4" s="1"/>
  <c r="L14" i="1"/>
</calcChain>
</file>

<file path=xl/sharedStrings.xml><?xml version="1.0" encoding="utf-8"?>
<sst xmlns="http://schemas.openxmlformats.org/spreadsheetml/2006/main" count="1605" uniqueCount="971">
  <si>
    <t>Ukazovateľ</t>
  </si>
  <si>
    <t>Mesto Trenčín</t>
  </si>
  <si>
    <t>MHSL</t>
  </si>
  <si>
    <t>SSmT</t>
  </si>
  <si>
    <t>ŠZmT</t>
  </si>
  <si>
    <t>MŠ Šafárikova</t>
  </si>
  <si>
    <t>Základné školy</t>
  </si>
  <si>
    <t>Centrum voľného času</t>
  </si>
  <si>
    <t>Základná umelecká škola</t>
  </si>
  <si>
    <t>SPOLU</t>
  </si>
  <si>
    <t>1.</t>
  </si>
  <si>
    <t>Dlhodobý nehmotný majetok</t>
  </si>
  <si>
    <t>2.</t>
  </si>
  <si>
    <t>Dlhodobý hmotný majetok</t>
  </si>
  <si>
    <t>3.</t>
  </si>
  <si>
    <t>Dlhodobý finančný majetok</t>
  </si>
  <si>
    <t>4.</t>
  </si>
  <si>
    <t>Zásoby</t>
  </si>
  <si>
    <t>5.</t>
  </si>
  <si>
    <t>Zúčtovanie medzi subjektami ver.správy</t>
  </si>
  <si>
    <t>6.</t>
  </si>
  <si>
    <t>Pohľadávky</t>
  </si>
  <si>
    <t>7.</t>
  </si>
  <si>
    <t>Finančný majetok</t>
  </si>
  <si>
    <t>8.</t>
  </si>
  <si>
    <t>Náklady budúcich období</t>
  </si>
  <si>
    <t>A K T Í V A  celkom</t>
  </si>
  <si>
    <t>9.</t>
  </si>
  <si>
    <t>Oceňovacie rozdiely</t>
  </si>
  <si>
    <t>10.</t>
  </si>
  <si>
    <t>Výsledok hospodárenia (výnosy - náklady)</t>
  </si>
  <si>
    <t>11.</t>
  </si>
  <si>
    <t>Rezervy</t>
  </si>
  <si>
    <t>12.</t>
  </si>
  <si>
    <t>13.</t>
  </si>
  <si>
    <t>Dlhodobé záväzky</t>
  </si>
  <si>
    <t>14.</t>
  </si>
  <si>
    <t>Krátkodobé záväzky</t>
  </si>
  <si>
    <t>15.</t>
  </si>
  <si>
    <t>16.</t>
  </si>
  <si>
    <t>Výnosy budúcich období</t>
  </si>
  <si>
    <t>Bankové úvery a ostatné prijaté výpomoci</t>
  </si>
  <si>
    <t>P A S Í V A   celkom</t>
  </si>
  <si>
    <t>Príloha č.1</t>
  </si>
  <si>
    <t>Mestské hospodárstvo a správa lesov m.r.o.</t>
  </si>
  <si>
    <t>210: Príjmy z podnikania a vlastníctva majetku</t>
  </si>
  <si>
    <t>222: Pokuty, penále a iné sankcie</t>
  </si>
  <si>
    <t>223 001: Za predaj výrobkov, tovarov a služieb</t>
  </si>
  <si>
    <t>292 006: Z náhrad z poistného plnenia</t>
  </si>
  <si>
    <t>292 012: Z dobropisov</t>
  </si>
  <si>
    <t>292 017: Vratky</t>
  </si>
  <si>
    <t>292 027: Iné</t>
  </si>
  <si>
    <t>Výdavky</t>
  </si>
  <si>
    <t>610: Mzdy, platy, a OOV</t>
  </si>
  <si>
    <t xml:space="preserve">620: Poistné </t>
  </si>
  <si>
    <t>630: Tovary a služby</t>
  </si>
  <si>
    <t>632: Energie, voda, komun.</t>
  </si>
  <si>
    <t>633: Materiál</t>
  </si>
  <si>
    <t>634: Dopravné</t>
  </si>
  <si>
    <t>635: Rutinná a štand.údržba</t>
  </si>
  <si>
    <t>636: Nájomné</t>
  </si>
  <si>
    <t>637: Služby</t>
  </si>
  <si>
    <t>640: Transfery</t>
  </si>
  <si>
    <t>Bežné výdavky spolu</t>
  </si>
  <si>
    <t>Kapitálové výdavky spolu</t>
  </si>
  <si>
    <t>620: Poistné</t>
  </si>
  <si>
    <t>631: Cestovné náhrady</t>
  </si>
  <si>
    <t>Spolu výdavky MHSL m.r.o.</t>
  </si>
  <si>
    <t>Príloha č.2</t>
  </si>
  <si>
    <t>Sociálne služby mesta Trenčín m.r.o.</t>
  </si>
  <si>
    <t>Príjmy spolu:</t>
  </si>
  <si>
    <t>Detské jasle</t>
  </si>
  <si>
    <t>223 002: Za jasle</t>
  </si>
  <si>
    <t>223 003: Za stravné detské jasle</t>
  </si>
  <si>
    <t>223 003: Za stravné materská škola</t>
  </si>
  <si>
    <t>223 003: Za stravné zamestnanci</t>
  </si>
  <si>
    <t>Zariadenie opatrovateľskej služby</t>
  </si>
  <si>
    <t>223 001: ZOS 24 hod.starostlivosť</t>
  </si>
  <si>
    <t>223 001: Celoročný pobyt</t>
  </si>
  <si>
    <t>212 003: Z prenajatých budov, priestorov</t>
  </si>
  <si>
    <t>Opatrovateľská služba</t>
  </si>
  <si>
    <t>223 001: Opatrovateľská služba - staroba,invalitida,rozvoz stravy</t>
  </si>
  <si>
    <t>Prepravná služba</t>
  </si>
  <si>
    <t>223 001 - Prepravná služba</t>
  </si>
  <si>
    <t>Krízové centrum</t>
  </si>
  <si>
    <t>212 003 - Prenájom</t>
  </si>
  <si>
    <t>223 001 - Krízové centrum</t>
  </si>
  <si>
    <t>Zariadenie pre seniorov</t>
  </si>
  <si>
    <t>223 001: Ubytovanie a zaopatrenie</t>
  </si>
  <si>
    <t>223 001: Stravovanie</t>
  </si>
  <si>
    <t>212 003: Príjmy z prenajatých budov, priestorov (ZPS)</t>
  </si>
  <si>
    <t>Ostatné príjmy</t>
  </si>
  <si>
    <t>292 017: vratky</t>
  </si>
  <si>
    <t>292 012: dobropisy</t>
  </si>
  <si>
    <t>311: dary</t>
  </si>
  <si>
    <t>453: prostriedky z minulých rokov</t>
  </si>
  <si>
    <t>631: Cestovné</t>
  </si>
  <si>
    <t xml:space="preserve">Bežné výdavky </t>
  </si>
  <si>
    <t>Spolu</t>
  </si>
  <si>
    <t xml:space="preserve">Kapitálové výdavky </t>
  </si>
  <si>
    <t>Príloha č.3</t>
  </si>
  <si>
    <t>Školské zariadenia mesta Trenčín m.r.o.</t>
  </si>
  <si>
    <t>Príjmy</t>
  </si>
  <si>
    <t>212 003: Príjmy z prenajatých budov, priestorov a objektov</t>
  </si>
  <si>
    <t>223 001: za predaj výrobkov, tovarov a služieb</t>
  </si>
  <si>
    <t>223 002: Poplatky za jasle, MŠ a školské kluby detí</t>
  </si>
  <si>
    <t>223 003: Za stravné</t>
  </si>
  <si>
    <t>292 019: Z refundácie</t>
  </si>
  <si>
    <t>453: Prostriedky z predchádzajúcich rokov</t>
  </si>
  <si>
    <t>Príloha č.4</t>
  </si>
  <si>
    <t xml:space="preserve">V ý d a v k y    m a t e r s k ý ch  š k ô l </t>
  </si>
  <si>
    <t>09.1.1.1. Predškolská výchova s bežnou starostlivosťou</t>
  </si>
  <si>
    <t>Materská škola</t>
  </si>
  <si>
    <t>Počet detí</t>
  </si>
  <si>
    <t>Príjem</t>
  </si>
  <si>
    <t>MŠ Švermova</t>
  </si>
  <si>
    <t>MŠ Legionárska</t>
  </si>
  <si>
    <t>MŠ Považská</t>
  </si>
  <si>
    <t>MŠ M.Turkovej</t>
  </si>
  <si>
    <t>MŠ Soblahovská</t>
  </si>
  <si>
    <t>MŠ Šmidkeho</t>
  </si>
  <si>
    <t>MŠ J.Halašu</t>
  </si>
  <si>
    <t>MŠ Stromova</t>
  </si>
  <si>
    <t>MŠ Opatovská</t>
  </si>
  <si>
    <t>MŠ Kubranská</t>
  </si>
  <si>
    <t>MŠ Medňanského</t>
  </si>
  <si>
    <t>MŠ Pri Parku</t>
  </si>
  <si>
    <t>MŠ Niva</t>
  </si>
  <si>
    <t>MŠ 28. októbra</t>
  </si>
  <si>
    <t>MŠ Na dolinách</t>
  </si>
  <si>
    <t>S P O L U:</t>
  </si>
  <si>
    <t>09.6.0.1 Školské stravovanie v predškolských zariadeniach a základných školách</t>
  </si>
  <si>
    <t>Spolu výdavky materských škôl (predškolská výchova + stravovanie)</t>
  </si>
  <si>
    <t>Základná škola Novomeského</t>
  </si>
  <si>
    <t>Príloha č.5</t>
  </si>
  <si>
    <t>212 003: Z prenajatých budov, priestorov a objektov</t>
  </si>
  <si>
    <t>223 001: Réžia - cudzí stravníci</t>
  </si>
  <si>
    <t>223 002: Za jasle, materské školy a školské kluby detí</t>
  </si>
  <si>
    <t>311: Granty</t>
  </si>
  <si>
    <t>312: Transfery v rámci verejnej správy</t>
  </si>
  <si>
    <t>Základná škola Kubranská</t>
  </si>
  <si>
    <t>Základná škola Na dolinách</t>
  </si>
  <si>
    <t>Základná škola Bezruča</t>
  </si>
  <si>
    <t>Základná škola Hodžova</t>
  </si>
  <si>
    <t>636: Prenájom</t>
  </si>
  <si>
    <t>Základná škola Východná</t>
  </si>
  <si>
    <t>292 012: z dobropisov</t>
  </si>
  <si>
    <t>Základná škola Dlhé Hony</t>
  </si>
  <si>
    <t>Základná škola Veľkomoravská</t>
  </si>
  <si>
    <t>Základné školy spolu</t>
  </si>
  <si>
    <t>453: Prostriedky z minulých rokov</t>
  </si>
  <si>
    <t>Základná umelecká škola Karola Pádivého m.r.o.</t>
  </si>
  <si>
    <t>223 002: Za školy a školské zariadenia</t>
  </si>
  <si>
    <t>223 002: poplatky rodičov za letné tábory</t>
  </si>
  <si>
    <t>Príloha č.6</t>
  </si>
  <si>
    <t>P.č.</t>
  </si>
  <si>
    <t>Poskytovateľ dotácie</t>
  </si>
  <si>
    <t>Druh dotácie</t>
  </si>
  <si>
    <t>Výška dotácie v EUR</t>
  </si>
  <si>
    <t>Dotácie na školstvo</t>
  </si>
  <si>
    <t>Ostatné dotácie</t>
  </si>
  <si>
    <t xml:space="preserve"> </t>
  </si>
  <si>
    <t>Príloha č.8</t>
  </si>
  <si>
    <t>Príjemca dotácie činnosť</t>
  </si>
  <si>
    <t>Dotácie pre mládež</t>
  </si>
  <si>
    <t>Dotácie na výnimočné akcie</t>
  </si>
  <si>
    <t>Príjemca dotácie</t>
  </si>
  <si>
    <t>Účel dotácie</t>
  </si>
  <si>
    <t>Príloha č.9</t>
  </si>
  <si>
    <t xml:space="preserve">Príjemca dotácie </t>
  </si>
  <si>
    <t>Príloha č.10</t>
  </si>
  <si>
    <t>Príloha č.11</t>
  </si>
  <si>
    <t>Príjemca dotácie a názov projektu</t>
  </si>
  <si>
    <t>Príloha č.12</t>
  </si>
  <si>
    <t>Príloha č.13</t>
  </si>
  <si>
    <t>+ nárast</t>
  </si>
  <si>
    <t>- pokles</t>
  </si>
  <si>
    <t>Daň z nehnuteľností</t>
  </si>
  <si>
    <t>Daň za psa</t>
  </si>
  <si>
    <t>Daň z predaja alk. nápojov a tabak. výrobkov</t>
  </si>
  <si>
    <t>Daň z reklamy</t>
  </si>
  <si>
    <t xml:space="preserve">Daň za užívanie verejného priestranstva </t>
  </si>
  <si>
    <t>Daň za ubytovanie</t>
  </si>
  <si>
    <t>Miestny poplatok za KO a DSO</t>
  </si>
  <si>
    <t>Nájomné zmluvy</t>
  </si>
  <si>
    <t>Z predaja a nájmu bytov a nebyt. priestorov</t>
  </si>
  <si>
    <t>Pokuty</t>
  </si>
  <si>
    <t>Za znečisťovanie ovzdušia</t>
  </si>
  <si>
    <t xml:space="preserve">Z lotérií a iných podobných hier </t>
  </si>
  <si>
    <t>Neuhradené faktúry</t>
  </si>
  <si>
    <t>Príjmy budúcich období</t>
  </si>
  <si>
    <t>Ostatné pohľadávky</t>
  </si>
  <si>
    <t xml:space="preserve">Zmluva č. </t>
  </si>
  <si>
    <t>Výška poskytnutého úveru</t>
  </si>
  <si>
    <t>1.splátka úveru</t>
  </si>
  <si>
    <t>Splátky</t>
  </si>
  <si>
    <t>Splátky spolu od 1.splátky úveru</t>
  </si>
  <si>
    <t>Splatnosť úveru</t>
  </si>
  <si>
    <t xml:space="preserve">Zostatok úveru </t>
  </si>
  <si>
    <t>zo dňa</t>
  </si>
  <si>
    <t>v EUR</t>
  </si>
  <si>
    <t>Štátny fond rozvoja bývania, 61 b.j.</t>
  </si>
  <si>
    <t>309/308/2002</t>
  </si>
  <si>
    <t>mesačne vrátane úroku</t>
  </si>
  <si>
    <t>300/149/2017</t>
  </si>
  <si>
    <t>jún 2018</t>
  </si>
  <si>
    <t>vždy do 15.na účte</t>
  </si>
  <si>
    <t>2048</t>
  </si>
  <si>
    <t>trvalý príkaz v čsob</t>
  </si>
  <si>
    <t>300/202/2018</t>
  </si>
  <si>
    <t>Slovenská sporiteľňa a.s.</t>
  </si>
  <si>
    <t>1186/CC/16</t>
  </si>
  <si>
    <t>31.1.2014</t>
  </si>
  <si>
    <t>mesačne: 10 530 €</t>
  </si>
  <si>
    <t>dodatok č.1,2,3</t>
  </si>
  <si>
    <t>posledná: 10 110 €</t>
  </si>
  <si>
    <t>1190/CC/16</t>
  </si>
  <si>
    <t>31.1.2017</t>
  </si>
  <si>
    <t>mesačne: 8 334 €</t>
  </si>
  <si>
    <t>posledná: 8 254 €</t>
  </si>
  <si>
    <t>335/CC/18</t>
  </si>
  <si>
    <t>31.1.2019</t>
  </si>
  <si>
    <t>mesačne: 26.750 €</t>
  </si>
  <si>
    <t>posledná: 26.750 €</t>
  </si>
  <si>
    <t>Československá obchodná banka a.s.</t>
  </si>
  <si>
    <t>0499/15/80226</t>
  </si>
  <si>
    <t>mesačne 20.012,24 €</t>
  </si>
  <si>
    <t>posledná 20.012,24 €</t>
  </si>
  <si>
    <t>0840/14/80226</t>
  </si>
  <si>
    <t>mesačné: 5.681,33 €</t>
  </si>
  <si>
    <t>posledná: 5.681,73 €</t>
  </si>
  <si>
    <t xml:space="preserve">Tatrabanka a.s. </t>
  </si>
  <si>
    <t>S00912/2013</t>
  </si>
  <si>
    <t>mesačne: 12 500 €</t>
  </si>
  <si>
    <t>posledná: 12 500 €</t>
  </si>
  <si>
    <t>S01545/2014</t>
  </si>
  <si>
    <t>31.1.2015</t>
  </si>
  <si>
    <t>mesačne: 10 834 €</t>
  </si>
  <si>
    <t>posledná: 10 784 €</t>
  </si>
  <si>
    <t>S02531/2015</t>
  </si>
  <si>
    <t>29.1.2016</t>
  </si>
  <si>
    <t>mesačne: 15 000 €</t>
  </si>
  <si>
    <t>posledná 15 000 €</t>
  </si>
  <si>
    <t>Slovenská záručná a rozvojová banka</t>
  </si>
  <si>
    <t>282917-2017</t>
  </si>
  <si>
    <t>21.1.2018</t>
  </si>
  <si>
    <t>mesačne: 27 130 €</t>
  </si>
  <si>
    <t>posledná 27 180 €</t>
  </si>
  <si>
    <t>Príloha č. 15</t>
  </si>
  <si>
    <t>počet obyvateľov k 31.12.</t>
  </si>
  <si>
    <t>Dlhová služba v tis. €</t>
  </si>
  <si>
    <t>Dlhová služba na 1 obyvateľa v €</t>
  </si>
  <si>
    <t>Bežné príjmy v tis. €</t>
  </si>
  <si>
    <t>Podiel dlhu na bežných príjmoch predchádzajúceho roka*</t>
  </si>
  <si>
    <t>Splátky úverov a úrokov v tis. €</t>
  </si>
  <si>
    <t>Bežné príjmy v tis. € znížené o prostriedky z iných rozpočtov (platí od 2017)</t>
  </si>
  <si>
    <t>Podiel splátok úverov a úrokov na bežných príjmoch predch.roka **</t>
  </si>
  <si>
    <t xml:space="preserve">a)   celková suma dlhu ku koncu rozpočtového roka neprekročí 60% skutočných bežných príjmov predchádzajúceho rozpočtového roka a </t>
  </si>
  <si>
    <t>Príloha č.16</t>
  </si>
  <si>
    <t>Schválený rozpočet</t>
  </si>
  <si>
    <t xml:space="preserve">Upravený rozpočet </t>
  </si>
  <si>
    <t>Plnenie</t>
  </si>
  <si>
    <t>Bežné výdavky</t>
  </si>
  <si>
    <t>01</t>
  </si>
  <si>
    <t>Všeobecné verejné služby</t>
  </si>
  <si>
    <t>01.1.1.</t>
  </si>
  <si>
    <t>Obce</t>
  </si>
  <si>
    <t>01.1.2.</t>
  </si>
  <si>
    <t>Finančná a rozpočtová oblasť</t>
  </si>
  <si>
    <t>01.7.0.</t>
  </si>
  <si>
    <t>Transakcia verejného dlhu</t>
  </si>
  <si>
    <t>01.3.3.</t>
  </si>
  <si>
    <t>Iné všeobecné služby</t>
  </si>
  <si>
    <t>02</t>
  </si>
  <si>
    <t>Obrana</t>
  </si>
  <si>
    <t>02.2.0.</t>
  </si>
  <si>
    <t>Civilná obrana</t>
  </si>
  <si>
    <t>03</t>
  </si>
  <si>
    <t>Verejný poriadok</t>
  </si>
  <si>
    <t>03.1.0.</t>
  </si>
  <si>
    <t>Policajné služby</t>
  </si>
  <si>
    <t>03.2.0.</t>
  </si>
  <si>
    <t>Ochrana pred požiarmi</t>
  </si>
  <si>
    <t>04</t>
  </si>
  <si>
    <t>Ekonomická oblasť</t>
  </si>
  <si>
    <t>04.2.2.</t>
  </si>
  <si>
    <t>Lesníctvo</t>
  </si>
  <si>
    <t>04.4.3.</t>
  </si>
  <si>
    <t>Výstavba</t>
  </si>
  <si>
    <t>04.5.1.</t>
  </si>
  <si>
    <t>Správa a údržba ciest</t>
  </si>
  <si>
    <t>04.7.3.</t>
  </si>
  <si>
    <t>Cestovný ruch</t>
  </si>
  <si>
    <t>05</t>
  </si>
  <si>
    <t>Ochrana životného prostredia</t>
  </si>
  <si>
    <t>05.1.0.</t>
  </si>
  <si>
    <t>Nakladanie s odpadmi</t>
  </si>
  <si>
    <t>05.6.0.</t>
  </si>
  <si>
    <t>Ochrana ŽP inde neklasifikovaná</t>
  </si>
  <si>
    <t>06</t>
  </si>
  <si>
    <t>Bývanie a občianska vybavenosť</t>
  </si>
  <si>
    <t>06.1.0.</t>
  </si>
  <si>
    <t>Rozvoj bývania</t>
  </si>
  <si>
    <t>06.2.0.</t>
  </si>
  <si>
    <t>Rozvoj obcí</t>
  </si>
  <si>
    <t>06.4.0.</t>
  </si>
  <si>
    <t>Verejné osvetlenie</t>
  </si>
  <si>
    <t>06.6.0.</t>
  </si>
  <si>
    <t>08</t>
  </si>
  <si>
    <t>Rekreácia, kultúra, náboženstvo</t>
  </si>
  <si>
    <t>08.1.0.</t>
  </si>
  <si>
    <t>Rekreačné a športové služby</t>
  </si>
  <si>
    <t>08.2.0.</t>
  </si>
  <si>
    <t>Ostatné kultúrne služby</t>
  </si>
  <si>
    <t>08.3.0.</t>
  </si>
  <si>
    <t>TV vysielanie, hlásnik</t>
  </si>
  <si>
    <t>08.4.0.</t>
  </si>
  <si>
    <t>Obradné siene + náboženstvo</t>
  </si>
  <si>
    <t>09</t>
  </si>
  <si>
    <t>Vzdelávanie</t>
  </si>
  <si>
    <t>09.1.1.1.</t>
  </si>
  <si>
    <t>Predškolská výchova s bežnou starostl.</t>
  </si>
  <si>
    <t>09.1.2.1.</t>
  </si>
  <si>
    <t>Základné vzdelanie s bežnou starostl.</t>
  </si>
  <si>
    <t>09.2.1.1.</t>
  </si>
  <si>
    <t>Nižšie sekundárne vzdelávanie s bežnou starostlivosťou</t>
  </si>
  <si>
    <t>09.5.0.</t>
  </si>
  <si>
    <t>Vzdelávanie nedef.podľa úrovne</t>
  </si>
  <si>
    <t>09.6.0.</t>
  </si>
  <si>
    <t>Školské stravovanie</t>
  </si>
  <si>
    <t>09.6.0.1.</t>
  </si>
  <si>
    <t>09.6.0.2.</t>
  </si>
  <si>
    <t>Školské stravovanie I.stupeň</t>
  </si>
  <si>
    <t>09.6.0.3.</t>
  </si>
  <si>
    <t>Školské stravovanie II.stupeň</t>
  </si>
  <si>
    <t>09.8.0.</t>
  </si>
  <si>
    <t>Vzdelávanie inde neklasifikované</t>
  </si>
  <si>
    <t>Sociálne zabezpečenie</t>
  </si>
  <si>
    <t>10.1.2.</t>
  </si>
  <si>
    <t>Ďalšie sociálne služby -inval.a ŤZP</t>
  </si>
  <si>
    <t>10.2.0.</t>
  </si>
  <si>
    <t>Zariadenia sociálnych služieb</t>
  </si>
  <si>
    <t>10.4.0.</t>
  </si>
  <si>
    <t>Rodina a deti</t>
  </si>
  <si>
    <t>10.7.0.</t>
  </si>
  <si>
    <t>Soc.pomoc občanom v hm.a soc.núdzi</t>
  </si>
  <si>
    <t>10.9.0.</t>
  </si>
  <si>
    <t>Soc.zabezpečenie inde neklas.</t>
  </si>
  <si>
    <t>Príloha č.17</t>
  </si>
  <si>
    <t>Kapitálové výdavky</t>
  </si>
  <si>
    <t>Múzeá a galérie</t>
  </si>
  <si>
    <t>Obradné siene + nábož.</t>
  </si>
  <si>
    <t>10</t>
  </si>
  <si>
    <t>Invalidita a ťažké zdravotné postihnutie</t>
  </si>
  <si>
    <t>Príloha č.18</t>
  </si>
  <si>
    <t>Mzdy, platy, služobné príjmy  a ostatné osobné vyrovnania</t>
  </si>
  <si>
    <t xml:space="preserve">Poistné a príspevok do poisťovní </t>
  </si>
  <si>
    <t>Tovary a služby</t>
  </si>
  <si>
    <t>Cestovné náhrady</t>
  </si>
  <si>
    <t>Energie, voda a komunikácie</t>
  </si>
  <si>
    <t>Materiál</t>
  </si>
  <si>
    <t>Dopravné</t>
  </si>
  <si>
    <t>Rutinná a štandardná údržba</t>
  </si>
  <si>
    <t>Nájomné za nájom</t>
  </si>
  <si>
    <t>Služby</t>
  </si>
  <si>
    <t>Bežné transfery</t>
  </si>
  <si>
    <t>Splácanie úrokov</t>
  </si>
  <si>
    <t>Obstarávanie kapitálových aktív</t>
  </si>
  <si>
    <t>Nákup pozemkov a nehm.aktív</t>
  </si>
  <si>
    <t>Nákup budov, objektov alebo ich častí</t>
  </si>
  <si>
    <t>Nákup strojov, prístrojov, zariadení, techniky a náradia</t>
  </si>
  <si>
    <t>nákup dopravných prostriedkov</t>
  </si>
  <si>
    <t>prípravná a projektová dokumentácia</t>
  </si>
  <si>
    <t>Realizácia stavieb a ich tech.zhodnotenia</t>
  </si>
  <si>
    <t>Kapitálové transfery</t>
  </si>
  <si>
    <t>Príloha č.19</t>
  </si>
  <si>
    <t>Príjmové operácie spolu</t>
  </si>
  <si>
    <t>Výdavkové operácie spolu</t>
  </si>
  <si>
    <t>Splácanie tuzemskej istiny -  z bankových úverov dlhodobých</t>
  </si>
  <si>
    <t>Splácanie tuzemskej istiny -  z ostatných úverov, pôžičiek a finančných výpomocí dlhodobých</t>
  </si>
  <si>
    <t>Príloha č. 20</t>
  </si>
  <si>
    <t>Pedagogickí zamestnanci</t>
  </si>
  <si>
    <t>Odborní zamestnanci</t>
  </si>
  <si>
    <t>Asistenti učiteľa</t>
  </si>
  <si>
    <t>Vychovávatelia</t>
  </si>
  <si>
    <t>Nepedagogickí zamestnanci</t>
  </si>
  <si>
    <t>Zamestnanci školskej jedálne</t>
  </si>
  <si>
    <t>Spolu zamestnancov</t>
  </si>
  <si>
    <t>ZŠ Bezručova</t>
  </si>
  <si>
    <t>ZŠ Dlhé Hony</t>
  </si>
  <si>
    <t>ZŠ Hodžova</t>
  </si>
  <si>
    <t>ZŠ Kubranská</t>
  </si>
  <si>
    <t>ZŠ Na dolinách</t>
  </si>
  <si>
    <t>ZŠ Novomeského</t>
  </si>
  <si>
    <t>ZŠ Východná</t>
  </si>
  <si>
    <t>ZŠ Veľkomoravská</t>
  </si>
  <si>
    <t>ZŠ Potočná</t>
  </si>
  <si>
    <t>ZUŠ</t>
  </si>
  <si>
    <t>CVČ</t>
  </si>
  <si>
    <t>Príloha č.21</t>
  </si>
  <si>
    <t>škola/trieda</t>
  </si>
  <si>
    <t>5. - 9.r.</t>
  </si>
  <si>
    <t>spolu žiakov školy</t>
  </si>
  <si>
    <t>porovnanie s min. r.</t>
  </si>
  <si>
    <t>počet tried</t>
  </si>
  <si>
    <t xml:space="preserve">ŠKD              </t>
  </si>
  <si>
    <t>integro-     vaní žiaci</t>
  </si>
  <si>
    <t>SZP</t>
  </si>
  <si>
    <t>Bezručova</t>
  </si>
  <si>
    <t>Dlhé Hony</t>
  </si>
  <si>
    <t>Hodžova</t>
  </si>
  <si>
    <t>Kubranská</t>
  </si>
  <si>
    <t>Na dolinách</t>
  </si>
  <si>
    <t>Novomeského</t>
  </si>
  <si>
    <t>Potočná 86</t>
  </si>
  <si>
    <t>Veľkomoravská</t>
  </si>
  <si>
    <t>Východná</t>
  </si>
  <si>
    <t>Spolu žiakov v ročníku</t>
  </si>
  <si>
    <t>Počet tried</t>
  </si>
  <si>
    <t>Príloha č.22</t>
  </si>
  <si>
    <t>Rozpočtové organizácie v zriaďovateľskej pôsobnosti Mesta Trenčín:</t>
  </si>
  <si>
    <t>Dátum vzniku:</t>
  </si>
  <si>
    <t>Mestské hospodárstvo a správa lesov, Soblahovská 65, Trenčín</t>
  </si>
  <si>
    <t>Sociálne služby mesta Trenčín, Piaristická 42, Trenčín</t>
  </si>
  <si>
    <t>Školské zariadenia mesta Trenčín, Kubranská cesta 20, Trenčín</t>
  </si>
  <si>
    <t>Základná umelecká škola Karola Pádivého, Nám.SNP 2, Trenčín</t>
  </si>
  <si>
    <t>Centrum voľného času Trenčín, Východná č.9, Trenčín</t>
  </si>
  <si>
    <t>ZŠ Veľkomoravská, Veľkomoravská č.12, Trenčín</t>
  </si>
  <si>
    <t>ZŠ Dlhé Hony, Dlhé Hony č.1, Trenčín</t>
  </si>
  <si>
    <t>ZŠ Bezručova, Bezručova č.66, Trenčín</t>
  </si>
  <si>
    <t>ZŠ Hodžova, Hodžova č.37, Trenčín</t>
  </si>
  <si>
    <t>ZŠ L. Novomeského, L.Novomeského č.11, Trenčín</t>
  </si>
  <si>
    <t>ZŠ Východná, Východná č.9, Trenčín</t>
  </si>
  <si>
    <t>ZŠ Na dolinách, Na dolinách 27, Trenčín</t>
  </si>
  <si>
    <t>ZŠ Kubranská, Kubranská 80</t>
  </si>
  <si>
    <t>MŠ Šafárikova, Šafárikova 11, Trenčín</t>
  </si>
  <si>
    <t>Príloha č. 23</t>
  </si>
  <si>
    <t>Číslo riadku</t>
  </si>
  <si>
    <t>Ukazovateľ (hlavná kategória ekonomickej klasifikácie)</t>
  </si>
  <si>
    <t>PRÍJMY (100+200+300) a príjmové finančné operácie (400+500)</t>
  </si>
  <si>
    <t>Daňové príjmy (100)</t>
  </si>
  <si>
    <t>Nedaňové príjmy (200)</t>
  </si>
  <si>
    <t>Granty a transfery (300)</t>
  </si>
  <si>
    <t>Príjmové finančné operácie (400+500)</t>
  </si>
  <si>
    <t xml:space="preserve"> - príjmy z transakcií s finančnými aktívami a finančnými pasívami (400)</t>
  </si>
  <si>
    <t xml:space="preserve"> - prijaté úvery, pôžičky a návratné finančné výpomoci (500)</t>
  </si>
  <si>
    <t>VÝDAVKY (600+700) a výdavkové finančné operácie (800)</t>
  </si>
  <si>
    <t>Bežné výdavky (600)</t>
  </si>
  <si>
    <t>Kapitálové výdavky (700)</t>
  </si>
  <si>
    <t>Výdavkové finančné operácie (800)</t>
  </si>
  <si>
    <t>Prebytok (+)/schodok (-) (r.1-r.8)</t>
  </si>
  <si>
    <t>Prebytok (+)/schodok (-) po vylučení príjmových a výdavkových finančných operácií  (r.1 - r.5 - r.8 + r.11)</t>
  </si>
  <si>
    <t>Zmena stavu vybraných pohľadávok (+,-) (r.15 - r.16)</t>
  </si>
  <si>
    <t>Zmena stavu vybraných záväzkov (+,-) (r.19 - r.18)</t>
  </si>
  <si>
    <t>Zahrnutie položiek časového rozlíšenia (r.14 + r.17)</t>
  </si>
  <si>
    <t>Prebytok (+)/schodok (-) v metodike ESA 2010 (r.13 + r.20)</t>
  </si>
  <si>
    <t xml:space="preserve">V súlade s § 4, ods. 7 zákona č. 583/2004 o rozpočtových pravidlách územnej samosprávy v znení neskorších predpisov sa pre potreby vyčíslenia schodku rozpočtu obce alebo prebytku rozpočtu obce ako subjektu verejnej správy uplatňuje jednotná metodika platná pre Európsku úniu. </t>
  </si>
  <si>
    <t xml:space="preserve">Európsky systém národných a regionálnych účtov ESA 2010 je najnovší medzinárodne porovnateľný účtovný rámec EÚ pre systematický a podrobný opis ekonomiky. Je implementovaný od 1. septembra 2014 a prenos údajov z členských štátov do Eurostatu po tomto dátume sa riadi pravidlami Programu zasielania údajov ESA 2010. Štruktúra ESA 2010 je konzistentná s celosvetovými usmerneniami o národnom účtovníctve stanovenými v metodike pre systém národných účtov 2008 (SNA 2008), s výnimkou určitých rozdielov v prezentácii a vysokého stupňa presnosti niektorých pojmov ESA 2010, ktoré sa používajú na špecifické účely EÚ. </t>
  </si>
  <si>
    <t>Postup pre výpočet výsledku hospodárenia  v metodike ESA 2010 je uvedený na stránke Ministerstva financií SR.</t>
  </si>
  <si>
    <t>312 001: transfer</t>
  </si>
  <si>
    <t>536/CC/19</t>
  </si>
  <si>
    <t>31.1.2020</t>
  </si>
  <si>
    <t>posledná: 17 044 €</t>
  </si>
  <si>
    <t>Centrum voľného času, m.r.o.</t>
  </si>
  <si>
    <t xml:space="preserve"> V súlade s § 17, ods. 6 zákona č.583/2004 Z.z. o rozpočtových pravidlách územnej samosprávy a o zmene a doplnení niektorých zákonov v znení neskorších predpisov môže obec na splnenie svojich úloh prijať návratné zdroje financovania len ak:</t>
  </si>
  <si>
    <t>Zostatok prostriedkov z predchádzajúcich rokov</t>
  </si>
  <si>
    <t>2049</t>
  </si>
  <si>
    <t>mesačne: 17 084 €</t>
  </si>
  <si>
    <t>Príloha č.7</t>
  </si>
  <si>
    <t>k 31.12.2020</t>
  </si>
  <si>
    <t>Poskytnutá dotácia</t>
  </si>
  <si>
    <t>1. - 4.r. (vrátane prípravného roč.)</t>
  </si>
  <si>
    <t>Kubranská - Aprogén</t>
  </si>
  <si>
    <t>229017: Z vratiek</t>
  </si>
  <si>
    <t>223 001: Za jasle odborné činnosti</t>
  </si>
  <si>
    <t>223 001: Odborné činnosti</t>
  </si>
  <si>
    <t>292 027: manká a škody</t>
  </si>
  <si>
    <t>361/CC/20</t>
  </si>
  <si>
    <t>31.1.2021</t>
  </si>
  <si>
    <t>mesačne: 13 333 €</t>
  </si>
  <si>
    <t>posledná: 13 373 €</t>
  </si>
  <si>
    <t>Ministerstvo financií SR</t>
  </si>
  <si>
    <t>2020/128/0613</t>
  </si>
  <si>
    <t>do 31.10.2024</t>
  </si>
  <si>
    <t>ročne 320.130 €</t>
  </si>
  <si>
    <t>do 31.10.2025</t>
  </si>
  <si>
    <t>do 31.10.2026</t>
  </si>
  <si>
    <t>do 31.10.2027</t>
  </si>
  <si>
    <t>Staroba</t>
  </si>
  <si>
    <t>Ostatné kapitálové výdavky</t>
  </si>
  <si>
    <t>Bankové úvery</t>
  </si>
  <si>
    <t>Prevod prostriedkov z peňažných fondov</t>
  </si>
  <si>
    <t>Mesto Trenčín nemalo v roku 2021 zriadené príspevkové organizácie</t>
  </si>
  <si>
    <t>Prijaté bežné dotácie v roku 2021</t>
  </si>
  <si>
    <t>Prijaté kapitálové dotácie v roku 2021</t>
  </si>
  <si>
    <t>Dotácie v oblasti športu na činnosť v roku 2021</t>
  </si>
  <si>
    <t>Dotácie v oblasti športu a mládeže v roku 2021</t>
  </si>
  <si>
    <t>Dotácie v  oblasti školstva  v roku 2021</t>
  </si>
  <si>
    <t>Dotácie v  oblasti životného prostredia  v roku 2021</t>
  </si>
  <si>
    <t>Dotácie v  oblasti kultúry  v roku 2021</t>
  </si>
  <si>
    <t>Dotácie v sociálnej oblasti v roku 2021</t>
  </si>
  <si>
    <t>Prepočítaný počet zamestnancov základných škôl  v šk.roku roku 2021/2022</t>
  </si>
  <si>
    <t>stav k 15.9.2021</t>
  </si>
  <si>
    <t xml:space="preserve">POČTY ŽIAKOV A TRIED V ROČNÍKOCH V ZŠ V ŠK. ROKU 2021/2022 </t>
  </si>
  <si>
    <t>Súvaha Mesta Trenčín a mestských rozpočtových organizácií mesta  k 31.12.2021</t>
  </si>
  <si>
    <t>Nevyč.dot. 2021</t>
  </si>
  <si>
    <t>Tenisové centrum mládeže Trenčín</t>
  </si>
  <si>
    <t>Tenisový klub AS Trenčín</t>
  </si>
  <si>
    <t>Tanečný klub Dukla Trenčín</t>
  </si>
  <si>
    <t>Golfový a športový klub Trenčín</t>
  </si>
  <si>
    <t>Stolnotenisový klub Keraming Trenčín</t>
  </si>
  <si>
    <t>Laugaricio Combat Club, o.z.</t>
  </si>
  <si>
    <t>Pro sport team o.z.</t>
  </si>
  <si>
    <t>ŠPORTOVÁ AKADÉMIA TRENČÍN</t>
  </si>
  <si>
    <t>TK ASICS Trenčín</t>
  </si>
  <si>
    <t xml:space="preserve">I Ambitious </t>
  </si>
  <si>
    <t>I AMbitious Academy</t>
  </si>
  <si>
    <t xml:space="preserve">TRAKT </t>
  </si>
  <si>
    <t>KL!KR!</t>
  </si>
  <si>
    <t xml:space="preserve">Trenčianska univerzita Alexandra Dubčeka Trenčíne </t>
  </si>
  <si>
    <t>Príroda v meste - Letný denný tábor</t>
  </si>
  <si>
    <t xml:space="preserve">Silnejší slabším, o.z </t>
  </si>
  <si>
    <t>Športujeme a tvoríme bez bariér</t>
  </si>
  <si>
    <t xml:space="preserve">Vzdelávacie centrum KRTKO a jeho kamaráti </t>
  </si>
  <si>
    <t>Výnimoční mladí vo výnimočnom klube</t>
  </si>
  <si>
    <t xml:space="preserve">OZ VIEME TO LEPŠIE </t>
  </si>
  <si>
    <t>Kompostujme doma bez obáv</t>
  </si>
  <si>
    <t xml:space="preserve">Združenie občanov Istebníka a Orechového časti mesta Trenčín </t>
  </si>
  <si>
    <t>Tvorivý klub pre deti a rodiny</t>
  </si>
  <si>
    <t>LUAN, o.z.</t>
  </si>
  <si>
    <t>PREBUDENIE DRAKA 2021</t>
  </si>
  <si>
    <t>Kultúrne centrum SIHOŤ</t>
  </si>
  <si>
    <t>7. ročník Trenčín inline 2021 - Majstrovstvá Slovenska MARATÓN</t>
  </si>
  <si>
    <t>Moderná koncepcia približovania telesnej kultúry a športu deťom predškolského veku.</t>
  </si>
  <si>
    <t>IX. ročník Detská športová olympiáda 2021</t>
  </si>
  <si>
    <t>Trenčín Open 2021 – International Taekwondo WT tournament</t>
  </si>
  <si>
    <t>Benefičný beh Pro Autis 9.ročník</t>
  </si>
  <si>
    <t>Centrum včasnej intervencie Trenčín, no.</t>
  </si>
  <si>
    <t>Pohyb je pre každého</t>
  </si>
  <si>
    <t>Buď lepší,o.z.</t>
  </si>
  <si>
    <t>Buď lepší - Challenge day 11.ročník</t>
  </si>
  <si>
    <t>Honkadori Aikido Dojo Trencin o.z.</t>
  </si>
  <si>
    <t>Deň otvorených dverí Japonských bojových umení v Trenčíne</t>
  </si>
  <si>
    <t>Letci Trenčín o.z.</t>
  </si>
  <si>
    <t>PLAYERS DEVELOPMENT PROGRAM</t>
  </si>
  <si>
    <t>Memoriál Jána Cellera</t>
  </si>
  <si>
    <t>GEVORG TENNIS CLUB TRENČÍN o.z.</t>
  </si>
  <si>
    <t>NERO CUP</t>
  </si>
  <si>
    <t>DIVO občasné združenie, o.z.</t>
  </si>
  <si>
    <t>Označenie cyklistických trailov v lesoparku Brezina a ich úprava.</t>
  </si>
  <si>
    <t>Martin Vlnka</t>
  </si>
  <si>
    <t>Trenčiansky polmaratón</t>
  </si>
  <si>
    <t>Sportkemp o.z.</t>
  </si>
  <si>
    <t>Night Run Trenčín</t>
  </si>
  <si>
    <t>Trenčiansky triatlon</t>
  </si>
  <si>
    <t>Beh od hradu k hradu</t>
  </si>
  <si>
    <t>Športový klub nepočujúcich Trenčín</t>
  </si>
  <si>
    <t>14. ročníka Športového dňa nepočujúcich - memoriál Tomáša Prekopa (futsal, volejbal, bowling) v Trenčíne</t>
  </si>
  <si>
    <t>Florbalový klub AS Trenčín</t>
  </si>
  <si>
    <t>SalmingFloorballCamp - 10.ročník</t>
  </si>
  <si>
    <t>AS Trenčín, a.s.</t>
  </si>
  <si>
    <t>This is my sen</t>
  </si>
  <si>
    <t>AS Trenčín,a.s.</t>
  </si>
  <si>
    <t>Hviezdy deťom</t>
  </si>
  <si>
    <t>Laugaricio cup 2021</t>
  </si>
  <si>
    <t>Považská sokolská župa M. R. Štefánika Trenčín</t>
  </si>
  <si>
    <t>III. Sokolský športový memoriál M. R. Štefánika, Pietny akt spojený s programom, sprievod</t>
  </si>
  <si>
    <t>Občianske združenie Kolotoč pri Centre voľného času Trenčín</t>
  </si>
  <si>
    <t>Olympiáda CVČ</t>
  </si>
  <si>
    <t>Golf pre všetkých</t>
  </si>
  <si>
    <t>Trenčiansky kolkársky klub</t>
  </si>
  <si>
    <t>Turnaj mládeže 6 klubov</t>
  </si>
  <si>
    <t>Jednota SOKOL Trenčín</t>
  </si>
  <si>
    <t>3x3 basketbalový turnaj 2021 v Trenčíne</t>
  </si>
  <si>
    <t>Sokolský cyklorok 2021</t>
  </si>
  <si>
    <t>Sokolská olympiáda seniorov</t>
  </si>
  <si>
    <t>ŠK Dračia Légia 2012 Trenčín</t>
  </si>
  <si>
    <t>Trenčiansky Ypsilon 5.ročník</t>
  </si>
  <si>
    <t>Kultúrne centrum Sihoť</t>
  </si>
  <si>
    <t>Trenčianska bežecká liga</t>
  </si>
  <si>
    <t>Spojená škola internátna, Ľ. Stárka 12, Trenčín</t>
  </si>
  <si>
    <t>Letná atletická paralympiáda</t>
  </si>
  <si>
    <t>LCC Fight Night</t>
  </si>
  <si>
    <t>Usporiadanie pohára Oslobodenia mesta Trenčína s medzinárodnou účasťou</t>
  </si>
  <si>
    <t>"Vrchárska koruna Trenčianska"</t>
  </si>
  <si>
    <t>Free Trenčín</t>
  </si>
  <si>
    <t>Slovenská asociácia silných mužov</t>
  </si>
  <si>
    <t>Meč Matúša Čáka 2021</t>
  </si>
  <si>
    <t>Športový klub polície v Trenčíne</t>
  </si>
  <si>
    <t>Cross Run Opatová 2021</t>
  </si>
  <si>
    <t>hokejbalový turnaj o pohar Sihote</t>
  </si>
  <si>
    <t>Tenisový turnaj</t>
  </si>
  <si>
    <t>BABOLAT CUP</t>
  </si>
  <si>
    <t>Kanoistický klub Trenčianského telovýchovného spoluku Trenčín</t>
  </si>
  <si>
    <t>Trenčianská regata 64.ročník – kanoistických pretekov</t>
  </si>
  <si>
    <t>ŠPORTOVÝ KLUB 1. FBC TRENČÍN, o.z.</t>
  </si>
  <si>
    <t>TRENČÍN FLOORBALL GAMES 2021</t>
  </si>
  <si>
    <t>Nordic Walking Trenčín a okolie</t>
  </si>
  <si>
    <t>Kurz Nordic Walkingu pre seniorov</t>
  </si>
  <si>
    <t>Elite Fight Promotion</t>
  </si>
  <si>
    <t>Muay Thai Evening 11</t>
  </si>
  <si>
    <t>Zaži Trenčín OZ</t>
  </si>
  <si>
    <t>Športová olympiáda pre zdravotne postihnutých</t>
  </si>
  <si>
    <t>ŠPORTOVÉ LEZENIE TRENČÍN</t>
  </si>
  <si>
    <t>Olympijská 3kombinácia v lezení.</t>
  </si>
  <si>
    <t>o.z. DRAČIA LÉGIA TRENČÍN</t>
  </si>
  <si>
    <t>Dragonboat Grand Prix Trenčín / Majstrovstvá Slovenska dračích lodí - krátke trate</t>
  </si>
  <si>
    <t>Mikulášsky gól 2021</t>
  </si>
  <si>
    <t>Vystavba detskej trate pre odrazadla a BMX bicykle</t>
  </si>
  <si>
    <t>Mestská kolkárska liga</t>
  </si>
  <si>
    <t>Pro sport team o.z</t>
  </si>
  <si>
    <t>Enduro cup stred 4.ročník</t>
  </si>
  <si>
    <t>Turnaj Laugarício cup</t>
  </si>
  <si>
    <t>Súkromná základná škola pre žiakov s autizmom</t>
  </si>
  <si>
    <t>Tablety pre žiakov s autizmom</t>
  </si>
  <si>
    <t>OZ rodičov pri MŠ  ul. 28. októbra 7, v Trenčíne</t>
  </si>
  <si>
    <t>Malí záhradníci</t>
  </si>
  <si>
    <t>Galéria Miloša Alexandra Bazovského v Trenčíne</t>
  </si>
  <si>
    <t>Škola a galéria 2021</t>
  </si>
  <si>
    <t>Rada rodičovského združenia pri 7. ZŠ v Trenčíne</t>
  </si>
  <si>
    <t>Dajme vianociam nádej</t>
  </si>
  <si>
    <t>Verejná knižnica M. Rešetku v Trenčíne</t>
  </si>
  <si>
    <t>Motivačné a vzdelávacie súťaže pre deti II.</t>
  </si>
  <si>
    <t>Združenie rodičov a praiteľov MŠ Medňanského 9, Trenčín</t>
  </si>
  <si>
    <t>Fit dráha</t>
  </si>
  <si>
    <t>Rehoľa piaristov na Slovensku</t>
  </si>
  <si>
    <t>Dni Maximilliána Hella 2021</t>
  </si>
  <si>
    <t>Združenie rodičov pri MŠ J. Halašu v Trenčíne</t>
  </si>
  <si>
    <t>Keramická dielňa</t>
  </si>
  <si>
    <t>Technická škôlka</t>
  </si>
  <si>
    <t>Občianske združenie Komenský</t>
  </si>
  <si>
    <t>Interaktívna pojmová mapa v učebni informatiky</t>
  </si>
  <si>
    <t>OZ rodičov pri MŠ  Šafárikova 11, Trenčín</t>
  </si>
  <si>
    <t>Vtáčie átrium</t>
  </si>
  <si>
    <t>Trenčianske osvetové stredisko v Trenčíne</t>
  </si>
  <si>
    <t>On-line a v bezpečí</t>
  </si>
  <si>
    <t>Občianske združenie klub ŠTVORLÍSTOK Trenčín</t>
  </si>
  <si>
    <t>Čaro prírody v kolobehu času</t>
  </si>
  <si>
    <t>Združenie rodičov ZŠ Dlhé Hony Trenčín</t>
  </si>
  <si>
    <t>Školský psychológ</t>
  </si>
  <si>
    <t>Deťom, n.f.</t>
  </si>
  <si>
    <t>Vytvorenie priestoru učebne v areáli školy</t>
  </si>
  <si>
    <t>Občianske združenie Handrbolka</t>
  </si>
  <si>
    <t>Každý, kto má paru, ťahá našu káru</t>
  </si>
  <si>
    <t>Združenie rodičov a priateľov školy pri ZŠ Na dolinách 27, Trenčín</t>
  </si>
  <si>
    <t>Zlatovská letná škola</t>
  </si>
  <si>
    <t>Workshop kŕmenie vtákov v zime a stavba kŕmidiel</t>
  </si>
  <si>
    <t>Prípravný ročník - NKS</t>
  </si>
  <si>
    <t>1. ročník špeciálnej triedy - NKS</t>
  </si>
  <si>
    <t>x</t>
  </si>
  <si>
    <t>MŠ - 1 453 detí (+ 11 detí), z toho 473 predškolákov</t>
  </si>
  <si>
    <t>Tenisové centrum mládeže</t>
  </si>
  <si>
    <t>Vzpieračský klub KOFI</t>
  </si>
  <si>
    <t>TJ Ceva</t>
  </si>
  <si>
    <t>Športová Akadémia Trenčín</t>
  </si>
  <si>
    <t>Kanoistický klub TTS Trenčín</t>
  </si>
  <si>
    <t>Tanečný klub AURA DANCE</t>
  </si>
  <si>
    <t>Zo škôlky do škôlky</t>
  </si>
  <si>
    <t>Kapitálové výdavky podľa funkčnej klasifikácie k 31.12.2021</t>
  </si>
  <si>
    <t>Bežné a kapitálové výdavky podľa ekonomickej klasifikácie k 31.12.2021</t>
  </si>
  <si>
    <t>Finančné operácie podľa ekonomickej  klasifikácie k 31.12.2021</t>
  </si>
  <si>
    <t>k 31.12.2021</t>
  </si>
  <si>
    <t>Pohľadávky Mesta Trenčín k 31.12.2021</t>
  </si>
  <si>
    <t>456: Finančné operácie</t>
  </si>
  <si>
    <t>Výdavkové FO</t>
  </si>
  <si>
    <t>Bežné výdavky podľa funkčnej klasifikácie k 31.12.2021</t>
  </si>
  <si>
    <t>0.3.2.0.</t>
  </si>
  <si>
    <t>Vzdelávanie nedefinované podľa úrovne</t>
  </si>
  <si>
    <t>Vedľ.služby poskytnuté v rámci primárneho vzdelávania</t>
  </si>
  <si>
    <t>Primárne vzdelávanie s bežnou starostlivosťou</t>
  </si>
  <si>
    <t>Prehľad dlhu v zmysle § 17, ods. 6,7 zákona č. 583/2004 o rozpočtových pravidlách územnej samosprávy v znení neskorších predpisov k 31.12.2021</t>
  </si>
  <si>
    <t>Splátky od 1.1.2021 do 31.12.2021</t>
  </si>
  <si>
    <t xml:space="preserve"> k 31.12.2021 v EUR</t>
  </si>
  <si>
    <t>292 017: Z vratiek</t>
  </si>
  <si>
    <t>717: Realizácia stavieb</t>
  </si>
  <si>
    <t>341: Prostriedky z rozpočtu EÚ</t>
  </si>
  <si>
    <t>456: prijaté finančné zábezpeky</t>
  </si>
  <si>
    <t>Zimný atletický kemp</t>
  </si>
  <si>
    <t>HALA</t>
  </si>
  <si>
    <t>Bavíme sa bez bariér 3</t>
  </si>
  <si>
    <t>Punkáči deťom</t>
  </si>
  <si>
    <t>Festival Punkáči deťom 2021</t>
  </si>
  <si>
    <t>CPR Trenčín</t>
  </si>
  <si>
    <t>Debaty u Miloša</t>
  </si>
  <si>
    <t>CLOVER MEDIA s.r.o.</t>
  </si>
  <si>
    <t>Festival dychových hudieb Okolo Trenčína 2021</t>
  </si>
  <si>
    <t>Divadelná Opatová</t>
  </si>
  <si>
    <t>Fest Art Trenčín 2021</t>
  </si>
  <si>
    <t>Hospic Milosrdných sestier</t>
  </si>
  <si>
    <t>BAMBULA</t>
  </si>
  <si>
    <t>Z našej kuchyne</t>
  </si>
  <si>
    <t>Spolok Dychová hudba Textilanka</t>
  </si>
  <si>
    <t>Kultúrne leto na Zámostí 2021</t>
  </si>
  <si>
    <t>Kultúrne leto v Kubrej</t>
  </si>
  <si>
    <t>Vianočná výstava</t>
  </si>
  <si>
    <t>Stretnutie s...</t>
  </si>
  <si>
    <t>Slovenský deň kroja</t>
  </si>
  <si>
    <t>Tvorivé dielničky pre šikovné detičky, rodičov i babičky</t>
  </si>
  <si>
    <t>Projekt Slamka</t>
  </si>
  <si>
    <t>Mestské divadlo Trenčín - MDT</t>
  </si>
  <si>
    <t>TRAKT</t>
  </si>
  <si>
    <t>Ing. arch. Alexander Topilin</t>
  </si>
  <si>
    <t>Jozef Fizel na prestížnej výstave v Benátkach</t>
  </si>
  <si>
    <t>BEERFEST Trenčín 2021</t>
  </si>
  <si>
    <t>Trenčín na korze</t>
  </si>
  <si>
    <t>Magická Brezina - večerný program</t>
  </si>
  <si>
    <t>Tanečná rozprávka Vianoc 2021</t>
  </si>
  <si>
    <t>Spolu v Opatovej</t>
  </si>
  <si>
    <t>Prvý pracovný zošit detskej tanečnej školy Tancujúce tigríky</t>
  </si>
  <si>
    <t>LampART</t>
  </si>
  <si>
    <t>ArtKino Metro Trenčín</t>
  </si>
  <si>
    <t>Krojové vybavenie MSS Škrupinka</t>
  </si>
  <si>
    <t>DVD Vianočná Textilanka</t>
  </si>
  <si>
    <t>Ing. Katarina Vidal</t>
  </si>
  <si>
    <t>Tance pre radosť</t>
  </si>
  <si>
    <t>Činnosť Dogma Divadla na rok 2021</t>
  </si>
  <si>
    <t>Kreatívny priemysel, podporná činnosť a umenie nových médií</t>
  </si>
  <si>
    <t>Je lepšie tancovať ako sa len pozerať</t>
  </si>
  <si>
    <t>Milan Šedivý - TIJADEN</t>
  </si>
  <si>
    <t>Mgr. Art Zuzana Budinská ArtD.</t>
  </si>
  <si>
    <t>DFS Kornička</t>
  </si>
  <si>
    <t>SUSAN SLOVAKIA s.r.o.</t>
  </si>
  <si>
    <t>Dni Sihote Trenčín o.z.</t>
  </si>
  <si>
    <t>MP EVENT s.r.o.</t>
  </si>
  <si>
    <t>OZ Trenčianska jazzová spoločnosť FENIX</t>
  </si>
  <si>
    <t>Seniorklub Družba</t>
  </si>
  <si>
    <t>Rotary klub Trenčín</t>
  </si>
  <si>
    <t>Klub detí a mládeže Tigríky</t>
  </si>
  <si>
    <t>Trenčianske folklorne združenie Stodola</t>
  </si>
  <si>
    <t>Spoločnost pre umenie a literatúru</t>
  </si>
  <si>
    <t>FAce2bass Klub</t>
  </si>
  <si>
    <t>Komorný orchester mesta</t>
  </si>
  <si>
    <t>Veselé Zlatovce</t>
  </si>
  <si>
    <t>Nová vlna</t>
  </si>
  <si>
    <t>Škrupinka Trenčín</t>
  </si>
  <si>
    <t>Sýkorka</t>
  </si>
  <si>
    <t xml:space="preserve">Činnosť </t>
  </si>
  <si>
    <t>Slovenské mladé  - rodisko moje</t>
  </si>
  <si>
    <t>Dočasné skultúry</t>
  </si>
  <si>
    <t>Bella a cappella</t>
  </si>
  <si>
    <t>Vokálna skupina VOX - materiálne zabezpečenie</t>
  </si>
  <si>
    <t>Deň rodiny</t>
  </si>
  <si>
    <t>Dni Sihote 2021</t>
  </si>
  <si>
    <t>Re:Index</t>
  </si>
  <si>
    <t>Trenčín - kinematograf</t>
  </si>
  <si>
    <t>Otvorený kultúrny priestor 2021 Kontinuita a rozvoj</t>
  </si>
  <si>
    <t>Činnosť, nájomné a materiálové vybavenie, ......</t>
  </si>
  <si>
    <t xml:space="preserve">Činnosť Trenčianskeho evanjelického spevokolu ZVON </t>
  </si>
  <si>
    <t>XXVIII Trenčiansky jazzový festival JAZZ POD HRADOm</t>
  </si>
  <si>
    <t>Naše spevy a tance 2021</t>
  </si>
  <si>
    <t xml:space="preserve">činnosť </t>
  </si>
  <si>
    <t>Letné divadelné večery/soboty v ÁTRIU</t>
  </si>
  <si>
    <t>Vyslanci kultúry rotariánov mestu Trenčín</t>
  </si>
  <si>
    <t>činnosť</t>
  </si>
  <si>
    <t>Obuv pre členov TFZ Stodola čižmy/kapce</t>
  </si>
  <si>
    <t>Literárne soire Trenčín</t>
  </si>
  <si>
    <t>Zachovanie a rozvoj kultúrneho dedičstva a tradícií v DFS Radosť Trenčín</t>
  </si>
  <si>
    <t>Zachovanie kultúrnych tradícií</t>
  </si>
  <si>
    <t>Výstava súčasného vizuálneho umenia</t>
  </si>
  <si>
    <t>Krojová vybavenost a činnos</t>
  </si>
  <si>
    <t>Výročie obcí Istebník a Orechové</t>
  </si>
  <si>
    <t>TEDxTrenčín Salón 2021</t>
  </si>
  <si>
    <t>Letný / vianočný GALAPROGRAM  BAMBULA</t>
  </si>
  <si>
    <t>Kultúrne oslavy k 70.výročiu založenia TFK Opatová</t>
  </si>
  <si>
    <t>S tancom hudbou a spevom znelo Opatovou veselo</t>
  </si>
  <si>
    <t>Benefičný koncert</t>
  </si>
  <si>
    <t>Asociácia zväzov zdravotne postihnutých</t>
  </si>
  <si>
    <t>Organizácia postihnutých chron.chorobami</t>
  </si>
  <si>
    <t>OZ Amazonky</t>
  </si>
  <si>
    <t>Rotary Club Trenčín Laugaricio</t>
  </si>
  <si>
    <t>Silnejší - Slabším</t>
  </si>
  <si>
    <t>Slovenský zväz telesne postihnutých Prvá ZO č.17</t>
  </si>
  <si>
    <t>Bežme oproti zdraviu a inklúzii</t>
  </si>
  <si>
    <t>Doprajme deťom s autizmom aj v "korona období" aktivity, ktoré im umožnia skvalitniť ich život</t>
  </si>
  <si>
    <t>Sociálno-rekondičný pobyt pre nepočujúcich</t>
  </si>
  <si>
    <t>Centrum nepočujúcich ANEPS Trenčín</t>
  </si>
  <si>
    <t>Špecifické terapie pri rozvoji dieťaťa so zdravotným znevýhodnením</t>
  </si>
  <si>
    <t>Centrum včasnej intervencie Trenčín n.o.</t>
  </si>
  <si>
    <t>Rodinná terénna terapia 2021</t>
  </si>
  <si>
    <t>Klub abstinentov Trenčín</t>
  </si>
  <si>
    <t>Pomoc osobám v núdzi 2021</t>
  </si>
  <si>
    <t>Misia lásky o.z.</t>
  </si>
  <si>
    <t>Rekondičný pobyt pre zdravotne postihnutých v Penzióne Zora v Tatranskej Lomnici</t>
  </si>
  <si>
    <t>Kurz nordic walking zameraný na špecifické potreby onkologického pacienta</t>
  </si>
  <si>
    <t>Oslavy 100.výročia Vojtecha Zamarovského</t>
  </si>
  <si>
    <t>Rekondícia ťažko zdravotne postihnutých</t>
  </si>
  <si>
    <t>Rehabilitačno-integračný program pre členov ZO</t>
  </si>
  <si>
    <t>Činnosť a organizovanie ozdravno-rehabilitačných aktivít pre členov ZOND v Trenčíne v roku 2021 spojená s prednáškami a poradenstvom</t>
  </si>
  <si>
    <t>Dotácia na činnosť</t>
  </si>
  <si>
    <t>Sebaobhajovanie - šanca pre ľudí s mentálnym postihnutím</t>
  </si>
  <si>
    <r>
      <t xml:space="preserve">ZUŠ - 1031 žiakov (do 15 r. aj nad 15 r.), 518 individuálne; 513 skupinové vyučovanie; pokles </t>
    </r>
    <r>
      <rPr>
        <b/>
        <u/>
        <sz val="10"/>
        <color rgb="FF000000"/>
        <rFont val="Trebuchet MS"/>
        <family val="2"/>
        <charset val="238"/>
      </rPr>
      <t xml:space="preserve"> o 25 žiakov</t>
    </r>
  </si>
  <si>
    <r>
      <t xml:space="preserve">CVČ -  326, </t>
    </r>
    <r>
      <rPr>
        <b/>
        <u/>
        <sz val="10"/>
        <rFont val="Trebuchet MS"/>
        <family val="2"/>
        <charset val="238"/>
      </rPr>
      <t>pokles o 33 žiakov</t>
    </r>
  </si>
  <si>
    <r>
      <t xml:space="preserve">ŠKD - 1658 žiakov - </t>
    </r>
    <r>
      <rPr>
        <b/>
        <u/>
        <sz val="10"/>
        <rFont val="Trebuchet MS"/>
        <family val="2"/>
        <charset val="238"/>
      </rPr>
      <t>pokles o 72 detí</t>
    </r>
  </si>
  <si>
    <r>
      <t xml:space="preserve">ZŠ - 4527 žiakov - </t>
    </r>
    <r>
      <rPr>
        <b/>
        <u/>
        <sz val="10"/>
        <rFont val="Trebuchet MS"/>
        <family val="2"/>
        <charset val="238"/>
      </rPr>
      <t>o 53 viac ako vlani</t>
    </r>
  </si>
  <si>
    <t>Zaži Trenčín oz</t>
  </si>
  <si>
    <t>Vieme to lepšie</t>
  </si>
  <si>
    <t>ORNIS</t>
  </si>
  <si>
    <t>Čistá Brezina 2021</t>
  </si>
  <si>
    <t>dotácia "Záhradné átrim pre potešenie oka aj duše"</t>
  </si>
  <si>
    <t>Objavujme a chráňme, spoznávajme a skrášlujme</t>
  </si>
  <si>
    <t>Komunitný pocitový chodník a edukačná tabuľa</t>
  </si>
  <si>
    <t>Náučný chodník Trenčiansky Juh</t>
  </si>
  <si>
    <t>NFP Plán udržat.mobility funkčného územia TN</t>
  </si>
  <si>
    <t>NFP Zlepšenie envir.aspektov v meste TN-vybudov.prvkov zel.infraštr.pri regener.vnútrobloku Východná</t>
  </si>
  <si>
    <t>NFP Zelené pľúca mesta - vysoko vzrastlé a alejové stromy a kry vo verejnej zeleni v Trenčíne</t>
  </si>
  <si>
    <t>NFP Modernizácia priestorov ZŠ Kubranská</t>
  </si>
  <si>
    <t>NFP Modernizácia priestorov ZŠ Bezručova</t>
  </si>
  <si>
    <t>NFP Modernizácia priestorov ZŠ Na dolinách</t>
  </si>
  <si>
    <t>NFP Zlepšenie environmentálnych aspektov v meste Trenčín -  vybudovanie prvkov zelenej infraštruktúry pri regenerácii vnútrobloku Sihoť, vymedzený ulicami Šoltésovej, Považská a Gagarinova (Magnus)</t>
  </si>
  <si>
    <t>NFP Zelené pľúca mesta - Revitalizácia Parku ÚSPECH, Trenčín</t>
  </si>
  <si>
    <t>NFP Zvýšenie mestskej mobility budovaním siete cyklist.infraštr.v TN: Riešenie cyklodopravy, ul. Na Kamenci, od Ul.na Vinohrady po Kasárenskú</t>
  </si>
  <si>
    <t>NFP Zvýšenie mestskej mobility budovaním siete cyklist.infraštr.v TN: Vetva D - ul.Zlatovská a Prepojenie ul.Zlatovská - Hlavná NFP</t>
  </si>
  <si>
    <t>NFP Zvýšenie mestskej mobility budovaním siete cyklist.infraštr.v TN: Ul.Stárka k priemyselnému parku</t>
  </si>
  <si>
    <t>NFP Zvýšenie mestskej mobility budovaním siete cyklist.infraštr.v TN: Chodník a cyklotrasa Kasárenská</t>
  </si>
  <si>
    <t>MŠVVaŠ SR - Zlepšienie vybavenia školských jedální pri ZŠ a SŠ</t>
  </si>
  <si>
    <t>MŠVVaŠ SR - Projekt "Modernejšia škola " pre ZŠ Veľkomoravská</t>
  </si>
  <si>
    <t>Inkluzívne ihrisko Trenčín</t>
  </si>
  <si>
    <t>Grant v rámci nástroja na prepájanie Európy WiFi4EU</t>
  </si>
  <si>
    <t>Ministerstvo investícií,  regionálneho rozvoja a informatizácie SR</t>
  </si>
  <si>
    <t>Ministerstvo školstva, vedy, výskumu a športu SR</t>
  </si>
  <si>
    <t>Ministerstvo práce, sociálnych vecí a rodiny SR</t>
  </si>
  <si>
    <t>Výkonná agentúra pre inovácie a siete</t>
  </si>
  <si>
    <t>Okresný úrad Trenčín</t>
  </si>
  <si>
    <t>Dotácia na úhradu cestovných nákladov žiakov</t>
  </si>
  <si>
    <t>Dotácia na osobné náklady asistentov učiteľov</t>
  </si>
  <si>
    <t>Dotácia na vzdelávacie poukazy</t>
  </si>
  <si>
    <t>Dotácia na učebnice</t>
  </si>
  <si>
    <t>Finančné prostriedky na výchovu a vzdelávanie pre materské školy</t>
  </si>
  <si>
    <t>Príspevok na špecifiká - digitálne technológie</t>
  </si>
  <si>
    <t>Úrad práce, sociálnych vecí a rodiny SR</t>
  </si>
  <si>
    <t>Dotácia na školské potreby pre deti v hmotnej núdzi</t>
  </si>
  <si>
    <t xml:space="preserve">Ministerstvo vnútra SR </t>
  </si>
  <si>
    <t>Rozvojový projekt "Čítame radi 2"</t>
  </si>
  <si>
    <t>Rozvojový projekt "Zlepšenie vybavenie školských jedální pri ZŠ a SŠ"</t>
  </si>
  <si>
    <t>Ministerstvo vnútra</t>
  </si>
  <si>
    <t>Príspevok na na špecifiká - na osobné ochranné pomôcky a dezinfekčné prostriedky</t>
  </si>
  <si>
    <t>Projekt "Modernejšia škola", bežná dotácia</t>
  </si>
  <si>
    <t>Dotácia na zabezpečenie starostlivosti o vojnové hroby</t>
  </si>
  <si>
    <t>Ministerstvo dopravy, výstavby a regionálneho rozvoja SR</t>
  </si>
  <si>
    <t>Prenesený výkon štátnej správy ŠFRB</t>
  </si>
  <si>
    <t>Prenesený výkon štátnej správy starostlivosti o životné prostredie</t>
  </si>
  <si>
    <t>Prenesený výkon štátnej správy na úseku miest. účel.komunikácií</t>
  </si>
  <si>
    <t>Prenesený výkon štátnej správy v oblasti stav.poriadku  vr.vyvlast.</t>
  </si>
  <si>
    <t>Dotácia na financovanie soc.služby v zariadení  sociálnych služieb</t>
  </si>
  <si>
    <t>Dotácia na výživové doplnky pre klientov a zamestnancov sociálnych služieb</t>
  </si>
  <si>
    <t>Ministerstvo vnútra SR</t>
  </si>
  <si>
    <t>Prenesený výkon štátnej správy na úseku vedenia matriky</t>
  </si>
  <si>
    <t>Prenesený výkon štátnej správa na úseku registra adries</t>
  </si>
  <si>
    <t>Prenesený výkon štátnej správy na ús.hlás.pobytu obč.a reg.obyv.SR</t>
  </si>
  <si>
    <t>Prídavky na deti</t>
  </si>
  <si>
    <t>Enviromentálny fond</t>
  </si>
  <si>
    <t>Ministerstvo investícií, regionálneho rozvoj a informatizácie SR</t>
  </si>
  <si>
    <t>Zvýšenie mestskej mobility budovaním siete cyklistickej infraštruktúry v TN: Centrum sídlisko Juh 2.etapa</t>
  </si>
  <si>
    <t>Nenávratný finančný príspevok na podporu administratívnych kapacít sprostredkovateľského orgánu pre IROP Trenčín</t>
  </si>
  <si>
    <t>Ministerstvo životného prostredia SR</t>
  </si>
  <si>
    <t>Nenávratný finančný príspevok na rozvoj energetických služieb  - verejné osvetlenie v meste Trenčín</t>
  </si>
  <si>
    <t>Nenávratný finančný príspevok na rozvoj energetických služieb  - zníženie energetickej náročnosti objektov/budov v meste Trenčín</t>
  </si>
  <si>
    <t>Dobrovoľná požiarna ochrana SR</t>
  </si>
  <si>
    <t>Zabezpečenie materiálno technického vybavenie DHZO Trenčín - Opatová</t>
  </si>
  <si>
    <t>Zabezpečenie materiálno technického vybavenie DHZO Trenčín - Záblatie</t>
  </si>
  <si>
    <t>Nadácia ZSE</t>
  </si>
  <si>
    <t>Finančný príspevok na dizajnové šachové  stoly  do parku</t>
  </si>
  <si>
    <t>Obchodné domy PRIOR STRED a.s.</t>
  </si>
  <si>
    <t>Dar na poskytovanie materiálnej a sociálnej pomoci obyvateľom mesta a pomoci, ktorej účelom je ochrana zdravia v súvislosti so vznikom a trvaním krízovej situácie spôsobenej šírením ochorenia COVID - 19 na území SR.</t>
  </si>
  <si>
    <t>Trenčiansky samosprávny kraj</t>
  </si>
  <si>
    <t>Finančný príspevok z Enviromentálneho fondu</t>
  </si>
  <si>
    <t>Podpora finálnej prípravy kandidatúry EHMK 2026 Mesta Trenčín</t>
  </si>
  <si>
    <t>Metodicko-pedagogické centrum</t>
  </si>
  <si>
    <t>Bežné príjmy, príjmové finančné operácie</t>
  </si>
  <si>
    <t>Program 4.4: Verejné toalety</t>
  </si>
  <si>
    <t>Program 4.5: Prevádzka mestských trhovísk</t>
  </si>
  <si>
    <t>Program 4.7:  Miestne média</t>
  </si>
  <si>
    <t>Program 5.2: Verejné osvetlenie</t>
  </si>
  <si>
    <t>Program 6.2.1:  Správa a údržba pozemných komunikácií</t>
  </si>
  <si>
    <t>Program 8.3.4.: Plavárne</t>
  </si>
  <si>
    <t>Program 8.3.3.: Zimný štadión</t>
  </si>
  <si>
    <t>Program 8.3.5.: Mobilná ľadová plocha</t>
  </si>
  <si>
    <t>Program 8.4. Mobiliár mesta a detské ihriská</t>
  </si>
  <si>
    <t>Program 10.3. Ochrana prostredia pre život</t>
  </si>
  <si>
    <t xml:space="preserve">Program 10.1.: Verejná zeleň </t>
  </si>
  <si>
    <t>Program 10.1.Verejná zeleň - Brezina a Soblahov</t>
  </si>
  <si>
    <t>Program 10.5.: Fontány</t>
  </si>
  <si>
    <t>Program 10.6.: Podporná činnosť</t>
  </si>
  <si>
    <t>Program 11.1.: Detské jasle</t>
  </si>
  <si>
    <t>Program 11.4.1.: Nocľaháreň</t>
  </si>
  <si>
    <t>Program 11.4.2.: Nízkoprahové denné centrum</t>
  </si>
  <si>
    <t>Program 11.5.2:  Zariadenie pre seniorov</t>
  </si>
  <si>
    <t>Program 11.7.: Terénna opatrovateľská služba</t>
  </si>
  <si>
    <t>Program 11.10.: Prepravná služba</t>
  </si>
  <si>
    <t>Program 11.11.: Manažment SSMT</t>
  </si>
  <si>
    <t>Program 11.6.: Zariadenie opatr. služby</t>
  </si>
  <si>
    <t>Program 7.1.: Materské školy</t>
  </si>
  <si>
    <t>Program 7.2.: Základné školy</t>
  </si>
  <si>
    <t>Program 7.3.:  Voľno časové vzdelávanie</t>
  </si>
  <si>
    <t>Program 7.4.: Školské jedálne</t>
  </si>
  <si>
    <t>Program 7.5.: Politika vzdelávania</t>
  </si>
  <si>
    <t>Program 7.2. Základné škola</t>
  </si>
  <si>
    <t>Program 7.4. Školské jedálne</t>
  </si>
  <si>
    <t>Program 7.3. Voľnočasové vzdelávanie</t>
  </si>
  <si>
    <t>Program 7.2.</t>
  </si>
  <si>
    <t>Program 8.3.3. Zimný štadióm</t>
  </si>
  <si>
    <t>713: Nákup strojov...</t>
  </si>
  <si>
    <t xml:space="preserve">717: Realizácia stavieb </t>
  </si>
  <si>
    <t>713: Nákup strojov..</t>
  </si>
  <si>
    <t xml:space="preserve">713: Nákup strojov... </t>
  </si>
  <si>
    <t>Dotácia na mzdy, poistné, tovary a služby, bežné transfery</t>
  </si>
  <si>
    <t>Dotácia na odchodné</t>
  </si>
  <si>
    <t>Dotácia na  odmeny učiteľom</t>
  </si>
  <si>
    <t>Dotácia na dofinancovanie školských bazénov</t>
  </si>
  <si>
    <t>Dotácia na príspevok na rekreačné poukazy</t>
  </si>
  <si>
    <t>Dotácia na jazykové  kurzy pre cudzincov</t>
  </si>
  <si>
    <t>Dotácia na príspevok  na žiakov  zo sociálne znevýhodneného prostredia</t>
  </si>
  <si>
    <t>Dotácia na školský úrad</t>
  </si>
  <si>
    <t>Dotácia na mimoriadne výsledky žiakov</t>
  </si>
  <si>
    <t>Dotácia na školy v prírode</t>
  </si>
  <si>
    <t>Dotácia na lyžiarsky kurz</t>
  </si>
  <si>
    <t>Dotácia na podporu výchovy k stravovacím návykom ("obedy zadarmo")</t>
  </si>
  <si>
    <t>Refundácia projektu Pomáhajúce profesie v edukácii detí a žiakov z Metodicko - pedagogického centra</t>
  </si>
  <si>
    <t>Ministerstvo dopravy a výstavby SR</t>
  </si>
  <si>
    <t>Štatistický úrad SR</t>
  </si>
  <si>
    <t>Dotácia na elektronické sčítanie ľudu</t>
  </si>
  <si>
    <t>Refundácia finančných prostriedkov na testovanie počas pandémie COVID - 19</t>
  </si>
  <si>
    <t>NFP - Centrum kultúrno - kreatívneho potenciálu Hviezda</t>
  </si>
  <si>
    <t xml:space="preserve">Štátny fond rozvoja bývania 48 b.j. </t>
  </si>
  <si>
    <t>Štátny fond rozvoja bývania 26 b.j.</t>
  </si>
  <si>
    <t>Poskytovateľ úveru/návratnej finančnej výpomoci</t>
  </si>
  <si>
    <t xml:space="preserve">  Vývoj dlhovej služby Mesta Trenčín v rokoch  2016-2021 vo väzbe  na zákon č.583/2004 Z.z. o rozpočtových pravidlách územnej samosprávy  a o zmene a doplnení niektorých zákonov v znení neskorších predpisov </t>
  </si>
  <si>
    <r>
      <t>b) suma splátok návratných zdrojov financovania, vrátane úhrady výnosov a suma splátok záväzkov z investičných dodávateľských úverov</t>
    </r>
    <r>
      <rPr>
        <vertAlign val="superscript"/>
        <sz val="8"/>
        <color rgb="FF000000"/>
        <rFont val="Trebuchet MS"/>
        <family val="2"/>
        <charset val="238"/>
      </rPr>
      <t xml:space="preserve"> </t>
    </r>
    <r>
      <rPr>
        <sz val="8"/>
        <color rgb="FF000000"/>
        <rFont val="Trebuchet MS"/>
        <family val="2"/>
        <charset val="238"/>
      </rPr>
      <t xml:space="preserve">neprekročí v príslušnom rozpočtovom roku 25% skutočných bežných príjmov predchádzajúceho rozpočtového roka znížených o prostriedky poskytnuté v príslušnom rozpočtovom roku obci alebo vyššiemu územnému celku z rozpočtu iného subjektu verejnej správy, prostriedky poskytnuté z Európskej únie a iné prostriedky zo zahraničia alebo prostriedky získané na základe osobitného predpisu. </t>
    </r>
  </si>
  <si>
    <r>
      <t xml:space="preserve">Stav vybraných pohľadávok  </t>
    </r>
    <r>
      <rPr>
        <sz val="8"/>
        <color rgb="FF000000"/>
        <rFont val="Trebuchet MS"/>
        <family val="2"/>
        <charset val="238"/>
      </rPr>
      <t>ku koncu sledovaného obdobia</t>
    </r>
  </si>
  <si>
    <r>
      <t xml:space="preserve">Stav vybraných pohľadávok  </t>
    </r>
    <r>
      <rPr>
        <sz val="8"/>
        <color rgb="FF000000"/>
        <rFont val="Trebuchet MS"/>
        <family val="2"/>
        <charset val="238"/>
      </rPr>
      <t>k 31.12. predchádzajúceho obdobia</t>
    </r>
  </si>
  <si>
    <r>
      <t xml:space="preserve">Stav vybraných záväzkov  </t>
    </r>
    <r>
      <rPr>
        <sz val="8"/>
        <color rgb="FF000000"/>
        <rFont val="Trebuchet MS"/>
        <family val="2"/>
        <charset val="238"/>
      </rPr>
      <t>ku koncu sledovaného obdobia</t>
    </r>
  </si>
  <si>
    <r>
      <t xml:space="preserve">Stav vybraných záväzkov </t>
    </r>
    <r>
      <rPr>
        <sz val="8"/>
        <color rgb="FF000000"/>
        <rFont val="Trebuchet MS"/>
        <family val="2"/>
        <charset val="238"/>
      </rPr>
      <t>k 31.12. predchádzajúceho obdobia</t>
    </r>
  </si>
  <si>
    <t>Výsledok hospodárenia Mesta Trenčín v metodike ESA 2010 za rok 2021</t>
  </si>
  <si>
    <t>Suma 2021</t>
  </si>
  <si>
    <t>Autis o.z.</t>
  </si>
  <si>
    <t>AUTIS, o.z.</t>
  </si>
  <si>
    <t>ILYO-TAEKWONDO Trenčín, o.z.</t>
  </si>
  <si>
    <t>Autis, o.z.</t>
  </si>
  <si>
    <t>BK AS Trenčín</t>
  </si>
  <si>
    <t>Pro Sport Team, o.z.</t>
  </si>
  <si>
    <t>GEVORG TENNS Club, o.z.</t>
  </si>
  <si>
    <t>Karate klub Ekonom Trenčín, o.z.</t>
  </si>
  <si>
    <t>Badminton klub MI Trenčín</t>
  </si>
  <si>
    <t>ILYO - TEAKWONDO Trenčín, o.z.</t>
  </si>
  <si>
    <t>Telovýchovná jednota Štadion Trenčín</t>
  </si>
  <si>
    <t>Kraso Trenčín, o.z.</t>
  </si>
  <si>
    <t>Climberg športový klub</t>
  </si>
  <si>
    <t>Telovýchovná jednota Štadión Trenčín</t>
  </si>
  <si>
    <t>Občianske združenie TRENČANIA PRE TRENČÍN</t>
  </si>
  <si>
    <t>Silnejší slabším o.z.</t>
  </si>
  <si>
    <t>Folklórny súbor Úsmev</t>
  </si>
  <si>
    <t>Galeria Miloša Alexandra  Bazovského v Trenčíne</t>
  </si>
  <si>
    <t>Kolomaž (Združenie pre súčasné umenie)</t>
  </si>
  <si>
    <t>Dogma Divadlo, o.z.</t>
  </si>
  <si>
    <t>Folklórny súbor Družba</t>
  </si>
  <si>
    <t>Cirkevný zbor evanjelickej cirkvi a.v. so sídlom v Trenčíne</t>
  </si>
  <si>
    <t>Folklórny súbor Nadšenci</t>
  </si>
  <si>
    <t>TJ Družstevník Opatová</t>
  </si>
  <si>
    <t>Tanečná skupina Goonies o.z.</t>
  </si>
  <si>
    <t>Kultúrne centrum Kubra</t>
  </si>
  <si>
    <t>Detský folklórny súbor Radosť v Trenčíne</t>
  </si>
  <si>
    <t>OZ Hudobnospevácka folklorna skupina "Opatovani"</t>
  </si>
  <si>
    <t>Kultúrne centrum Opatová</t>
  </si>
  <si>
    <t>Združenie občanov Istebníka a Orechového časti mesta Trenčín</t>
  </si>
  <si>
    <t>Folklórny súbor Čákovec</t>
  </si>
  <si>
    <t>Silnejší - Slabším, o.z.</t>
  </si>
  <si>
    <t>Základná organizácia nedoslýchavých v Trenčíne</t>
  </si>
  <si>
    <t>Základná organizácia Zväz diabetikov Slovenska</t>
  </si>
  <si>
    <t>Združenie na pomoc ľuďom s mentálnym postihnutím v Trenčíne</t>
  </si>
  <si>
    <t>Slovenský zväz telesne postihnutých ZO č.57 Trenčín</t>
  </si>
  <si>
    <t>Deti v čase korony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</si>
</sst>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#,##0.00&quot; &quot;[$€-41B];[Red]&quot;-&quot;#,##0.00&quot; &quot;[$€-41B]"/>
    <numFmt numFmtId="166" formatCode="d&quot;.&quot;m&quot;.&quot;yyyy"/>
    <numFmt numFmtId="167" formatCode="#,##0.0"/>
    <numFmt numFmtId="168" formatCode="#,##0.00\ &quot;Sk&quot;"/>
    <numFmt numFmtId="169" formatCode="#,##0.00\ [$€-1];\-#,##0.00\ [$€-1]"/>
    <numFmt numFmtId="170" formatCode="#,##0.00\ [$€-1]"/>
    <numFmt numFmtId="171" formatCode="#,##0.00\ &quot;€&quot;;[Red]#,##0.00\ &quot;€&quot;"/>
    <numFmt numFmtId="172" formatCode="#,##0.00\ &quot;€&quot;"/>
  </numFmts>
  <fonts count="82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Arial"/>
      <family val="2"/>
      <charset val="238"/>
    </font>
    <font>
      <sz val="11"/>
      <color rgb="FF7030A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6"/>
      <color rgb="FF99330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3"/>
      <color rgb="FF000000"/>
      <name val="Arial"/>
      <family val="2"/>
      <charset val="238"/>
    </font>
    <font>
      <sz val="10"/>
      <color rgb="FF000000"/>
      <name val="Trebuchet MS"/>
      <family val="2"/>
      <charset val="238"/>
    </font>
    <font>
      <sz val="10"/>
      <name val="Trebuchet MS"/>
      <family val="2"/>
      <charset val="238"/>
    </font>
    <font>
      <b/>
      <sz val="15"/>
      <color rgb="FFC00000"/>
      <name val="Trebuchet MS"/>
      <family val="2"/>
      <charset val="238"/>
    </font>
    <font>
      <b/>
      <sz val="11"/>
      <color rgb="FFFFFFFF"/>
      <name val="Trebuchet MS"/>
      <family val="2"/>
      <charset val="238"/>
    </font>
    <font>
      <b/>
      <sz val="10"/>
      <color rgb="FFFFFFFF"/>
      <name val="Trebuchet MS"/>
      <family val="2"/>
      <charset val="238"/>
    </font>
    <font>
      <b/>
      <sz val="14"/>
      <color rgb="FFC00000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4"/>
      <color rgb="FF000000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10"/>
      <name val="Trebuchet MS"/>
      <family val="2"/>
      <charset val="238"/>
    </font>
    <font>
      <b/>
      <sz val="11"/>
      <name val="Trebuchet MS"/>
      <family val="2"/>
      <charset val="238"/>
    </font>
    <font>
      <b/>
      <sz val="16"/>
      <color rgb="FFC00000"/>
      <name val="Trebuchet MS"/>
      <family val="2"/>
      <charset val="238"/>
    </font>
    <font>
      <b/>
      <sz val="11"/>
      <color rgb="FF800000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9"/>
      <color rgb="FFFFFFFF"/>
      <name val="Trebuchet MS"/>
      <family val="2"/>
      <charset val="238"/>
    </font>
    <font>
      <b/>
      <sz val="16"/>
      <color rgb="FF993300"/>
      <name val="Trebuchet MS"/>
      <family val="2"/>
      <charset val="238"/>
    </font>
    <font>
      <b/>
      <sz val="12"/>
      <color rgb="FFFF0000"/>
      <name val="Trebuchet MS"/>
      <family val="2"/>
      <charset val="238"/>
    </font>
    <font>
      <b/>
      <sz val="9"/>
      <name val="Trebuchet MS"/>
      <family val="2"/>
      <charset val="238"/>
    </font>
    <font>
      <b/>
      <u/>
      <sz val="10"/>
      <color rgb="FF000000"/>
      <name val="Trebuchet MS"/>
      <family val="2"/>
      <charset val="238"/>
    </font>
    <font>
      <b/>
      <u/>
      <sz val="10"/>
      <name val="Trebuchet MS"/>
      <family val="2"/>
      <charset val="238"/>
    </font>
    <font>
      <b/>
      <sz val="11"/>
      <color rgb="FFC00000"/>
      <name val="Trebuchet MS"/>
      <family val="2"/>
      <charset val="238"/>
    </font>
    <font>
      <b/>
      <sz val="13"/>
      <color rgb="FFC00000"/>
      <name val="Trebuchet MS"/>
      <family val="2"/>
      <charset val="238"/>
    </font>
    <font>
      <b/>
      <i/>
      <sz val="9"/>
      <color rgb="FF000000"/>
      <name val="Trebuchet MS"/>
      <family val="2"/>
      <charset val="238"/>
    </font>
    <font>
      <b/>
      <sz val="14"/>
      <color theme="4" tint="-0.499984740745262"/>
      <name val="Trebuchet MS"/>
      <family val="2"/>
      <charset val="238"/>
    </font>
    <font>
      <b/>
      <sz val="9"/>
      <color theme="0"/>
      <name val="Trebuchet MS"/>
      <family val="2"/>
      <charset val="238"/>
    </font>
    <font>
      <sz val="9"/>
      <color theme="1"/>
      <name val="Trebuchet MS"/>
      <family val="2"/>
      <charset val="238"/>
    </font>
    <font>
      <sz val="8"/>
      <name val="Trebuchet MS"/>
      <family val="2"/>
      <charset val="238"/>
    </font>
    <font>
      <sz val="8"/>
      <color theme="1"/>
      <name val="Trebuchet MS"/>
      <family val="2"/>
      <charset val="238"/>
    </font>
    <font>
      <sz val="8"/>
      <color rgb="FF000000"/>
      <name val="Trebuchet MS"/>
      <family val="2"/>
      <charset val="238"/>
    </font>
    <font>
      <b/>
      <sz val="8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2"/>
      <color rgb="FFC00000"/>
      <name val="Trebuchet MS"/>
      <family val="2"/>
      <charset val="238"/>
    </font>
    <font>
      <vertAlign val="superscript"/>
      <sz val="8"/>
      <color rgb="FF000000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i/>
      <sz val="10"/>
      <color rgb="FF000000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sz val="11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color rgb="FFFFFFFF"/>
      <name val="Arial"/>
      <family val="2"/>
      <charset val="238"/>
    </font>
    <font>
      <sz val="9"/>
      <name val="Trebuchet MS"/>
      <family val="2"/>
      <charset val="238"/>
    </font>
    <font>
      <b/>
      <sz val="10"/>
      <color theme="0"/>
      <name val="Trebuchet MS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F2F2F2"/>
        <bgColor rgb="FFF2F2F2"/>
      </patternFill>
    </fill>
    <fill>
      <patternFill patternType="solid">
        <fgColor rgb="FF1F4E78"/>
        <bgColor rgb="FF1F4E78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rgb="FF366092"/>
      </patternFill>
    </fill>
    <fill>
      <patternFill patternType="solid">
        <fgColor rgb="FF1F4E78"/>
        <bgColor rgb="FF36609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8DB4E2"/>
      </patternFill>
    </fill>
    <fill>
      <patternFill patternType="solid">
        <fgColor rgb="FF366092"/>
        <bgColor rgb="FF538DD5"/>
      </patternFill>
    </fill>
    <fill>
      <patternFill patternType="solid">
        <fgColor theme="4" tint="0.79998168889431442"/>
        <bgColor rgb="FF366092"/>
      </patternFill>
    </fill>
    <fill>
      <patternFill patternType="solid">
        <fgColor rgb="FFC5D9F1"/>
        <bgColor rgb="FF8DB4E2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6" tint="0.79998168889431442"/>
        <bgColor rgb="FF366092"/>
      </patternFill>
    </fill>
    <fill>
      <patternFill patternType="solid">
        <fgColor theme="6" tint="0.79998168889431442"/>
        <bgColor rgb="FFC5D9F1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rgb="FF366092"/>
      </patternFill>
    </fill>
    <fill>
      <patternFill patternType="solid">
        <fgColor theme="3" tint="0.79998168889431442"/>
        <bgColor rgb="FFC5D9F1"/>
      </patternFill>
    </fill>
    <fill>
      <patternFill patternType="solid">
        <fgColor theme="0" tint="-4.9989318521683403E-2"/>
        <bgColor rgb="FFC5D9F1"/>
      </patternFill>
    </fill>
    <fill>
      <patternFill patternType="solid">
        <fgColor theme="0" tint="-0.14999847407452621"/>
        <bgColor rgb="FF3660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6" tint="0.59999389629810485"/>
        <bgColor rgb="FF548235"/>
      </patternFill>
    </fill>
    <fill>
      <patternFill patternType="solid">
        <fgColor theme="6" tint="0.79998168889431442"/>
        <bgColor rgb="FFA9D08E"/>
      </patternFill>
    </fill>
    <fill>
      <patternFill patternType="solid">
        <fgColor theme="6" tint="0.59999389629810485"/>
        <bgColor rgb="FF366092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double">
        <color theme="4" tint="-0.24994659260841701"/>
      </bottom>
      <diagonal/>
    </border>
  </borders>
  <cellStyleXfs count="50">
    <xf numFmtId="0" fontId="0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78">
    <xf numFmtId="0" fontId="0" fillId="0" borderId="0" xfId="0"/>
    <xf numFmtId="0" fontId="13" fillId="0" borderId="0" xfId="0" applyFont="1"/>
    <xf numFmtId="0" fontId="12" fillId="0" borderId="0" xfId="0" applyFont="1"/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3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8" fillId="0" borderId="0" xfId="0" applyNumberFormat="1" applyFont="1"/>
    <xf numFmtId="0" fontId="13" fillId="0" borderId="0" xfId="0" applyFont="1" applyAlignment="1">
      <alignment vertical="center"/>
    </xf>
    <xf numFmtId="0" fontId="20" fillId="4" borderId="0" xfId="0" applyFont="1" applyFill="1" applyAlignment="1">
      <alignment horizontal="center" vertical="center" wrapText="1"/>
    </xf>
    <xf numFmtId="3" fontId="20" fillId="4" borderId="0" xfId="0" applyNumberFormat="1" applyFont="1" applyFill="1"/>
    <xf numFmtId="3" fontId="19" fillId="4" borderId="0" xfId="0" applyNumberFormat="1" applyFont="1" applyFill="1"/>
    <xf numFmtId="0" fontId="13" fillId="4" borderId="0" xfId="0" applyFont="1" applyFill="1"/>
    <xf numFmtId="3" fontId="16" fillId="4" borderId="0" xfId="0" applyNumberFormat="1" applyFont="1" applyFill="1"/>
    <xf numFmtId="0" fontId="14" fillId="0" borderId="0" xfId="0" applyFont="1" applyAlignment="1">
      <alignment vertical="center"/>
    </xf>
    <xf numFmtId="0" fontId="2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/>
    <xf numFmtId="0" fontId="12" fillId="0" borderId="0" xfId="2" applyFont="1" applyFill="1" applyAlignment="1"/>
    <xf numFmtId="0" fontId="12" fillId="0" borderId="0" xfId="2" applyFont="1" applyFill="1" applyAlignment="1">
      <alignment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2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/>
    <xf numFmtId="3" fontId="0" fillId="0" borderId="0" xfId="0" applyNumberFormat="1"/>
    <xf numFmtId="0" fontId="0" fillId="0" borderId="0" xfId="0" applyAlignment="1">
      <alignment shrinkToFit="1"/>
    </xf>
    <xf numFmtId="165" fontId="25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7" fillId="0" borderId="0" xfId="0" applyFont="1"/>
    <xf numFmtId="3" fontId="13" fillId="0" borderId="0" xfId="0" applyNumberFormat="1" applyFont="1" applyAlignment="1">
      <alignment vertical="center"/>
    </xf>
    <xf numFmtId="0" fontId="26" fillId="0" borderId="0" xfId="0" applyFont="1" applyAlignment="1">
      <alignment vertical="center" wrapText="1"/>
    </xf>
    <xf numFmtId="166" fontId="13" fillId="0" borderId="0" xfId="0" applyNumberFormat="1" applyFont="1" applyAlignment="1">
      <alignment horizontal="left" indent="2"/>
    </xf>
    <xf numFmtId="0" fontId="0" fillId="0" borderId="0" xfId="0"/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0" fontId="12" fillId="0" borderId="0" xfId="0" applyFont="1"/>
    <xf numFmtId="0" fontId="13" fillId="0" borderId="0" xfId="1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31"/>
    <xf numFmtId="0" fontId="13" fillId="0" borderId="0" xfId="31" applyFont="1"/>
    <xf numFmtId="0" fontId="13" fillId="0" borderId="0" xfId="12" applyFont="1"/>
    <xf numFmtId="0" fontId="6" fillId="0" borderId="0" xfId="12" applyFont="1"/>
    <xf numFmtId="0" fontId="13" fillId="0" borderId="0" xfId="33" applyFont="1"/>
    <xf numFmtId="0" fontId="0" fillId="0" borderId="0" xfId="0"/>
    <xf numFmtId="0" fontId="13" fillId="0" borderId="0" xfId="36" applyFont="1"/>
    <xf numFmtId="167" fontId="13" fillId="0" borderId="0" xfId="36" applyNumberFormat="1" applyFont="1"/>
    <xf numFmtId="4" fontId="13" fillId="0" borderId="0" xfId="36" applyNumberFormat="1" applyFont="1"/>
    <xf numFmtId="0" fontId="13" fillId="0" borderId="0" xfId="37" applyFont="1"/>
    <xf numFmtId="0" fontId="13" fillId="0" borderId="0" xfId="37" applyFont="1" applyAlignment="1">
      <alignment vertical="center"/>
    </xf>
    <xf numFmtId="0" fontId="0" fillId="0" borderId="0" xfId="0"/>
    <xf numFmtId="0" fontId="0" fillId="0" borderId="0" xfId="0"/>
    <xf numFmtId="0" fontId="13" fillId="0" borderId="0" xfId="38" applyFont="1" applyAlignment="1">
      <alignment vertical="center"/>
    </xf>
    <xf numFmtId="0" fontId="23" fillId="0" borderId="0" xfId="38" applyFont="1" applyAlignment="1">
      <alignment vertical="center"/>
    </xf>
    <xf numFmtId="0" fontId="24" fillId="0" borderId="0" xfId="38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Fill="1"/>
    <xf numFmtId="0" fontId="0" fillId="0" borderId="0" xfId="0"/>
    <xf numFmtId="0" fontId="13" fillId="0" borderId="0" xfId="0" applyFont="1"/>
    <xf numFmtId="0" fontId="0" fillId="0" borderId="0" xfId="0"/>
    <xf numFmtId="0" fontId="4" fillId="0" borderId="0" xfId="37"/>
    <xf numFmtId="0" fontId="1" fillId="0" borderId="0" xfId="47"/>
    <xf numFmtId="0" fontId="12" fillId="0" borderId="0" xfId="2" applyFont="1"/>
    <xf numFmtId="0" fontId="1" fillId="0" borderId="0" xfId="48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0" fontId="28" fillId="0" borderId="0" xfId="2" applyFont="1" applyBorder="1"/>
    <xf numFmtId="0" fontId="1" fillId="0" borderId="0" xfId="4" applyFont="1"/>
    <xf numFmtId="0" fontId="12" fillId="0" borderId="0" xfId="2" applyFont="1" applyAlignment="1">
      <alignment vertical="center"/>
    </xf>
    <xf numFmtId="3" fontId="12" fillId="0" borderId="0" xfId="2" applyNumberFormat="1" applyFont="1"/>
    <xf numFmtId="0" fontId="1" fillId="0" borderId="0" xfId="49"/>
    <xf numFmtId="3" fontId="1" fillId="0" borderId="0" xfId="48" applyNumberFormat="1"/>
    <xf numFmtId="3" fontId="12" fillId="0" borderId="0" xfId="2" applyNumberFormat="1" applyFont="1" applyAlignment="1">
      <alignment vertical="center"/>
    </xf>
    <xf numFmtId="0" fontId="30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3" fillId="0" borderId="0" xfId="11" applyFont="1" applyAlignment="1">
      <alignment vertical="center"/>
    </xf>
    <xf numFmtId="0" fontId="0" fillId="0" borderId="0" xfId="0"/>
    <xf numFmtId="0" fontId="31" fillId="0" borderId="0" xfId="0" applyFont="1"/>
    <xf numFmtId="0" fontId="31" fillId="0" borderId="0" xfId="0" applyFont="1" applyAlignment="1">
      <alignment horizontal="center"/>
    </xf>
    <xf numFmtId="4" fontId="31" fillId="0" borderId="0" xfId="0" applyNumberFormat="1" applyFont="1"/>
    <xf numFmtId="4" fontId="31" fillId="0" borderId="0" xfId="0" applyNumberFormat="1" applyFont="1" applyAlignment="1">
      <alignment horizont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4" fontId="32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4" fontId="31" fillId="0" borderId="0" xfId="0" applyNumberFormat="1" applyFont="1" applyAlignment="1">
      <alignment vertical="center"/>
    </xf>
    <xf numFmtId="14" fontId="31" fillId="0" borderId="0" xfId="0" applyNumberFormat="1" applyFont="1" applyAlignment="1">
      <alignment horizontal="center"/>
    </xf>
    <xf numFmtId="0" fontId="0" fillId="0" borderId="0" xfId="0"/>
    <xf numFmtId="0" fontId="13" fillId="0" borderId="0" xfId="0" applyFont="1"/>
    <xf numFmtId="0" fontId="0" fillId="0" borderId="0" xfId="0"/>
    <xf numFmtId="172" fontId="0" fillId="0" borderId="0" xfId="0" applyNumberFormat="1"/>
    <xf numFmtId="3" fontId="27" fillId="10" borderId="0" xfId="39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33" fillId="0" borderId="0" xfId="0" applyFont="1"/>
    <xf numFmtId="0" fontId="34" fillId="0" borderId="0" xfId="0" applyFont="1"/>
    <xf numFmtId="4" fontId="34" fillId="0" borderId="0" xfId="0" applyNumberFormat="1" applyFont="1"/>
    <xf numFmtId="0" fontId="41" fillId="0" borderId="0" xfId="28" applyFont="1"/>
    <xf numFmtId="0" fontId="42" fillId="0" borderId="0" xfId="0" applyFont="1"/>
    <xf numFmtId="0" fontId="42" fillId="0" borderId="0" xfId="0" applyFont="1" applyAlignment="1">
      <alignment horizontal="center"/>
    </xf>
    <xf numFmtId="3" fontId="39" fillId="0" borderId="0" xfId="11" applyNumberFormat="1" applyFont="1" applyAlignment="1">
      <alignment horizontal="center" vertical="center"/>
    </xf>
    <xf numFmtId="0" fontId="42" fillId="0" borderId="0" xfId="11" applyFont="1"/>
    <xf numFmtId="3" fontId="42" fillId="0" borderId="0" xfId="11" applyNumberFormat="1" applyFont="1" applyAlignment="1">
      <alignment vertical="center"/>
    </xf>
    <xf numFmtId="0" fontId="44" fillId="4" borderId="0" xfId="11" applyFont="1" applyFill="1" applyAlignment="1">
      <alignment horizontal="lef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center"/>
    </xf>
    <xf numFmtId="0" fontId="34" fillId="0" borderId="0" xfId="11" applyFont="1" applyAlignment="1">
      <alignment horizontal="right" vertical="center"/>
    </xf>
    <xf numFmtId="0" fontId="39" fillId="0" borderId="0" xfId="0" applyFont="1"/>
    <xf numFmtId="0" fontId="38" fillId="8" borderId="0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3" fontId="34" fillId="10" borderId="0" xfId="0" applyNumberFormat="1" applyFont="1" applyFill="1" applyBorder="1"/>
    <xf numFmtId="3" fontId="34" fillId="10" borderId="0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3" fontId="38" fillId="8" borderId="0" xfId="0" applyNumberFormat="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/>
    <xf numFmtId="3" fontId="34" fillId="10" borderId="0" xfId="0" applyNumberFormat="1" applyFont="1" applyFill="1" applyBorder="1" applyAlignment="1">
      <alignment horizontal="right"/>
    </xf>
    <xf numFmtId="3" fontId="38" fillId="8" borderId="0" xfId="0" applyNumberFormat="1" applyFont="1" applyFill="1" applyBorder="1" applyAlignment="1">
      <alignment horizontal="right" vertical="center"/>
    </xf>
    <xf numFmtId="3" fontId="49" fillId="8" borderId="0" xfId="0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vertical="center" wrapText="1"/>
    </xf>
    <xf numFmtId="3" fontId="34" fillId="0" borderId="0" xfId="0" applyNumberFormat="1" applyFont="1" applyAlignment="1">
      <alignment horizontal="center" vertical="center" wrapText="1"/>
    </xf>
    <xf numFmtId="3" fontId="50" fillId="8" borderId="0" xfId="0" applyNumberFormat="1" applyFont="1" applyFill="1" applyBorder="1" applyAlignment="1">
      <alignment horizontal="right" vertical="center"/>
    </xf>
    <xf numFmtId="3" fontId="37" fillId="8" borderId="0" xfId="0" applyNumberFormat="1" applyFont="1" applyFill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3" fontId="40" fillId="0" borderId="0" xfId="0" applyNumberFormat="1" applyFont="1"/>
    <xf numFmtId="0" fontId="34" fillId="0" borderId="0" xfId="2" applyFont="1"/>
    <xf numFmtId="0" fontId="34" fillId="0" borderId="0" xfId="2" applyFont="1" applyAlignment="1">
      <alignment horizontal="right"/>
    </xf>
    <xf numFmtId="0" fontId="52" fillId="0" borderId="0" xfId="2" applyFont="1"/>
    <xf numFmtId="0" fontId="53" fillId="0" borderId="0" xfId="2" applyFont="1"/>
    <xf numFmtId="0" fontId="40" fillId="0" borderId="0" xfId="2" applyFont="1" applyAlignment="1">
      <alignment horizontal="center"/>
    </xf>
    <xf numFmtId="0" fontId="38" fillId="0" borderId="0" xfId="2" applyFont="1" applyBorder="1" applyAlignment="1">
      <alignment vertical="center"/>
    </xf>
    <xf numFmtId="0" fontId="41" fillId="0" borderId="0" xfId="49" applyFont="1"/>
    <xf numFmtId="0" fontId="40" fillId="0" borderId="0" xfId="2" applyFont="1" applyAlignment="1">
      <alignment horizontal="center" vertical="center"/>
    </xf>
    <xf numFmtId="3" fontId="40" fillId="0" borderId="0" xfId="2" applyNumberFormat="1" applyFont="1" applyAlignment="1">
      <alignment horizontal="right" vertical="center"/>
    </xf>
    <xf numFmtId="0" fontId="34" fillId="0" borderId="0" xfId="2" applyFont="1" applyAlignment="1">
      <alignment vertical="center"/>
    </xf>
    <xf numFmtId="3" fontId="34" fillId="0" borderId="0" xfId="2" applyNumberFormat="1" applyFont="1" applyAlignment="1">
      <alignment vertical="center"/>
    </xf>
    <xf numFmtId="3" fontId="34" fillId="0" borderId="0" xfId="2" applyNumberFormat="1" applyFont="1"/>
    <xf numFmtId="0" fontId="34" fillId="0" borderId="0" xfId="0" applyFont="1" applyAlignment="1">
      <alignment horizontal="right"/>
    </xf>
    <xf numFmtId="0" fontId="43" fillId="0" borderId="0" xfId="0" applyFont="1"/>
    <xf numFmtId="0" fontId="42" fillId="0" borderId="0" xfId="0" applyFont="1" applyAlignment="1">
      <alignment horizontal="center" vertical="center"/>
    </xf>
    <xf numFmtId="0" fontId="40" fillId="0" borderId="0" xfId="0" applyFont="1"/>
    <xf numFmtId="0" fontId="47" fillId="8" borderId="0" xfId="0" applyFont="1" applyFill="1" applyBorder="1" applyAlignment="1">
      <alignment horizontal="center" vertical="center" wrapText="1"/>
    </xf>
    <xf numFmtId="3" fontId="48" fillId="9" borderId="0" xfId="0" applyNumberFormat="1" applyFont="1" applyFill="1" applyBorder="1"/>
    <xf numFmtId="3" fontId="43" fillId="10" borderId="0" xfId="0" applyNumberFormat="1" applyFont="1" applyFill="1" applyBorder="1"/>
    <xf numFmtId="3" fontId="43" fillId="11" borderId="0" xfId="0" applyNumberFormat="1" applyFont="1" applyFill="1" applyBorder="1"/>
    <xf numFmtId="3" fontId="37" fillId="8" borderId="0" xfId="0" applyNumberFormat="1" applyFont="1" applyFill="1" applyBorder="1"/>
    <xf numFmtId="0" fontId="42" fillId="4" borderId="0" xfId="0" applyFont="1" applyFill="1"/>
    <xf numFmtId="0" fontId="42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4" fontId="35" fillId="0" borderId="0" xfId="0" applyNumberFormat="1" applyFont="1"/>
    <xf numFmtId="0" fontId="49" fillId="0" borderId="0" xfId="0" applyFont="1" applyBorder="1" applyAlignment="1">
      <alignment wrapText="1"/>
    </xf>
    <xf numFmtId="0" fontId="42" fillId="0" borderId="0" xfId="0" applyFont="1" applyAlignment="1">
      <alignment horizontal="left" vertical="center"/>
    </xf>
    <xf numFmtId="3" fontId="4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2" fillId="0" borderId="0" xfId="36" applyFont="1"/>
    <xf numFmtId="0" fontId="42" fillId="0" borderId="0" xfId="37" applyFont="1"/>
    <xf numFmtId="0" fontId="42" fillId="0" borderId="0" xfId="37" applyFont="1" applyAlignment="1">
      <alignment horizontal="right"/>
    </xf>
    <xf numFmtId="0" fontId="34" fillId="0" borderId="0" xfId="37" applyFont="1"/>
    <xf numFmtId="0" fontId="35" fillId="0" borderId="0" xfId="37" applyFont="1"/>
    <xf numFmtId="0" fontId="42" fillId="0" borderId="0" xfId="12" applyFont="1"/>
    <xf numFmtId="0" fontId="42" fillId="0" borderId="0" xfId="12" applyFont="1" applyAlignment="1">
      <alignment horizontal="center"/>
    </xf>
    <xf numFmtId="0" fontId="43" fillId="0" borderId="0" xfId="0" applyFont="1" applyAlignment="1">
      <alignment horizontal="center"/>
    </xf>
    <xf numFmtId="0" fontId="63" fillId="0" borderId="0" xfId="0" applyFont="1"/>
    <xf numFmtId="3" fontId="43" fillId="0" borderId="0" xfId="0" applyNumberFormat="1" applyFont="1"/>
    <xf numFmtId="0" fontId="13" fillId="0" borderId="0" xfId="0" applyFont="1"/>
    <xf numFmtId="0" fontId="0" fillId="0" borderId="0" xfId="0"/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Alignment="1">
      <alignment horizontal="left"/>
    </xf>
    <xf numFmtId="4" fontId="40" fillId="0" borderId="0" xfId="0" applyNumberFormat="1" applyFont="1"/>
    <xf numFmtId="0" fontId="39" fillId="0" borderId="0" xfId="0" applyFont="1" applyAlignment="1">
      <alignment vertical="center"/>
    </xf>
    <xf numFmtId="3" fontId="34" fillId="4" borderId="0" xfId="0" applyNumberFormat="1" applyFont="1" applyFill="1"/>
    <xf numFmtId="0" fontId="34" fillId="4" borderId="0" xfId="0" applyFont="1" applyFill="1"/>
    <xf numFmtId="0" fontId="55" fillId="2" borderId="9" xfId="0" applyFont="1" applyFill="1" applyBorder="1"/>
    <xf numFmtId="0" fontId="46" fillId="2" borderId="9" xfId="0" applyFont="1" applyFill="1" applyBorder="1" applyAlignment="1">
      <alignment vertical="center"/>
    </xf>
    <xf numFmtId="0" fontId="46" fillId="2" borderId="9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/>
    </xf>
    <xf numFmtId="0" fontId="55" fillId="2" borderId="9" xfId="0" applyFont="1" applyFill="1" applyBorder="1" applyAlignment="1">
      <alignment horizontal="center"/>
    </xf>
    <xf numFmtId="0" fontId="46" fillId="2" borderId="9" xfId="0" applyFont="1" applyFill="1" applyBorder="1"/>
    <xf numFmtId="3" fontId="46" fillId="2" borderId="9" xfId="0" applyNumberFormat="1" applyFont="1" applyFill="1" applyBorder="1"/>
    <xf numFmtId="0" fontId="43" fillId="0" borderId="11" xfId="0" applyFont="1" applyBorder="1" applyAlignment="1">
      <alignment horizontal="center"/>
    </xf>
    <xf numFmtId="0" fontId="43" fillId="0" borderId="11" xfId="0" applyFont="1" applyBorder="1"/>
    <xf numFmtId="3" fontId="43" fillId="0" borderId="11" xfId="0" applyNumberFormat="1" applyFont="1" applyBorder="1"/>
    <xf numFmtId="3" fontId="48" fillId="18" borderId="11" xfId="0" applyNumberFormat="1" applyFont="1" applyFill="1" applyBorder="1"/>
    <xf numFmtId="0" fontId="43" fillId="0" borderId="13" xfId="0" applyFont="1" applyBorder="1" applyAlignment="1">
      <alignment horizontal="center"/>
    </xf>
    <xf numFmtId="0" fontId="43" fillId="0" borderId="13" xfId="0" applyFont="1" applyBorder="1"/>
    <xf numFmtId="3" fontId="43" fillId="0" borderId="13" xfId="0" applyNumberFormat="1" applyFont="1" applyBorder="1"/>
    <xf numFmtId="3" fontId="48" fillId="18" borderId="13" xfId="0" applyNumberFormat="1" applyFont="1" applyFill="1" applyBorder="1"/>
    <xf numFmtId="0" fontId="43" fillId="0" borderId="14" xfId="0" applyFont="1" applyBorder="1" applyAlignment="1">
      <alignment horizontal="center"/>
    </xf>
    <xf numFmtId="0" fontId="43" fillId="0" borderId="14" xfId="0" applyFont="1" applyBorder="1"/>
    <xf numFmtId="3" fontId="43" fillId="0" borderId="14" xfId="0" applyNumberFormat="1" applyFont="1" applyBorder="1"/>
    <xf numFmtId="3" fontId="48" fillId="18" borderId="14" xfId="0" applyNumberFormat="1" applyFont="1" applyFill="1" applyBorder="1"/>
    <xf numFmtId="0" fontId="48" fillId="0" borderId="0" xfId="0" applyFont="1"/>
    <xf numFmtId="3" fontId="48" fillId="0" borderId="0" xfId="0" applyNumberFormat="1" applyFont="1"/>
    <xf numFmtId="0" fontId="43" fillId="0" borderId="11" xfId="0" applyFont="1" applyFill="1" applyBorder="1" applyAlignment="1">
      <alignment horizontal="left" wrapText="1"/>
    </xf>
    <xf numFmtId="0" fontId="43" fillId="0" borderId="11" xfId="0" applyFont="1" applyFill="1" applyBorder="1"/>
    <xf numFmtId="3" fontId="43" fillId="0" borderId="11" xfId="0" applyNumberFormat="1" applyFont="1" applyBorder="1" applyAlignment="1">
      <alignment horizontal="right"/>
    </xf>
    <xf numFmtId="46" fontId="43" fillId="0" borderId="12" xfId="0" applyNumberFormat="1" applyFont="1" applyBorder="1"/>
    <xf numFmtId="0" fontId="43" fillId="0" borderId="12" xfId="0" applyFont="1" applyBorder="1"/>
    <xf numFmtId="3" fontId="43" fillId="0" borderId="12" xfId="0" applyNumberFormat="1" applyFont="1" applyBorder="1" applyAlignment="1">
      <alignment horizontal="right"/>
    </xf>
    <xf numFmtId="0" fontId="46" fillId="2" borderId="10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left" vertical="center" wrapText="1"/>
    </xf>
    <xf numFmtId="0" fontId="48" fillId="19" borderId="11" xfId="0" applyFont="1" applyFill="1" applyBorder="1" applyAlignment="1">
      <alignment horizontal="left" vertical="center" wrapText="1"/>
    </xf>
    <xf numFmtId="3" fontId="48" fillId="19" borderId="11" xfId="0" applyNumberFormat="1" applyFont="1" applyFill="1" applyBorder="1"/>
    <xf numFmtId="0" fontId="46" fillId="0" borderId="13" xfId="0" applyFont="1" applyBorder="1" applyAlignment="1">
      <alignment horizontal="left" vertical="center" wrapText="1"/>
    </xf>
    <xf numFmtId="3" fontId="55" fillId="0" borderId="13" xfId="0" applyNumberFormat="1" applyFont="1" applyBorder="1"/>
    <xf numFmtId="3" fontId="43" fillId="4" borderId="13" xfId="0" applyNumberFormat="1" applyFont="1" applyFill="1" applyBorder="1"/>
    <xf numFmtId="0" fontId="46" fillId="2" borderId="9" xfId="0" applyFont="1" applyFill="1" applyBorder="1" applyAlignment="1">
      <alignment horizontal="left" vertical="center" wrapText="1"/>
    </xf>
    <xf numFmtId="3" fontId="46" fillId="2" borderId="9" xfId="0" applyNumberFormat="1" applyFont="1" applyFill="1" applyBorder="1" applyAlignment="1">
      <alignment vertical="center"/>
    </xf>
    <xf numFmtId="0" fontId="48" fillId="4" borderId="13" xfId="0" applyFont="1" applyFill="1" applyBorder="1" applyAlignment="1">
      <alignment horizontal="left" vertical="center" wrapText="1"/>
    </xf>
    <xf numFmtId="3" fontId="48" fillId="4" borderId="13" xfId="0" applyNumberFormat="1" applyFont="1" applyFill="1" applyBorder="1"/>
    <xf numFmtId="0" fontId="46" fillId="20" borderId="10" xfId="0" applyFont="1" applyFill="1" applyBorder="1"/>
    <xf numFmtId="3" fontId="46" fillId="20" borderId="10" xfId="0" applyNumberFormat="1" applyFont="1" applyFill="1" applyBorder="1"/>
    <xf numFmtId="3" fontId="48" fillId="0" borderId="17" xfId="0" applyNumberFormat="1" applyFont="1" applyBorder="1"/>
    <xf numFmtId="3" fontId="48" fillId="4" borderId="18" xfId="0" applyNumberFormat="1" applyFont="1" applyFill="1" applyBorder="1"/>
    <xf numFmtId="3" fontId="46" fillId="2" borderId="15" xfId="0" applyNumberFormat="1" applyFont="1" applyFill="1" applyBorder="1" applyAlignment="1">
      <alignment vertical="center"/>
    </xf>
    <xf numFmtId="3" fontId="58" fillId="21" borderId="17" xfId="0" applyNumberFormat="1" applyFont="1" applyFill="1" applyBorder="1"/>
    <xf numFmtId="0" fontId="39" fillId="0" borderId="0" xfId="11" applyFont="1" applyAlignment="1">
      <alignment horizontal="center" vertical="center"/>
    </xf>
    <xf numFmtId="0" fontId="45" fillId="4" borderId="0" xfId="11" applyFont="1" applyFill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19" fillId="0" borderId="0" xfId="0" applyFont="1"/>
    <xf numFmtId="3" fontId="19" fillId="0" borderId="0" xfId="0" applyNumberFormat="1" applyFont="1"/>
    <xf numFmtId="3" fontId="46" fillId="2" borderId="10" xfId="0" applyNumberFormat="1" applyFont="1" applyFill="1" applyBorder="1" applyAlignment="1">
      <alignment vertical="center"/>
    </xf>
    <xf numFmtId="3" fontId="48" fillId="22" borderId="11" xfId="0" applyNumberFormat="1" applyFont="1" applyFill="1" applyBorder="1" applyAlignment="1">
      <alignment horizontal="right"/>
    </xf>
    <xf numFmtId="3" fontId="43" fillId="0" borderId="11" xfId="0" applyNumberFormat="1" applyFont="1" applyBorder="1" applyAlignment="1">
      <alignment horizontal="right" vertical="center"/>
    </xf>
    <xf numFmtId="3" fontId="43" fillId="0" borderId="11" xfId="0" applyNumberFormat="1" applyFont="1" applyBorder="1" applyAlignment="1" applyProtection="1">
      <alignment horizontal="right"/>
      <protection locked="0"/>
    </xf>
    <xf numFmtId="3" fontId="43" fillId="0" borderId="12" xfId="0" applyNumberFormat="1" applyFont="1" applyBorder="1" applyAlignment="1" applyProtection="1">
      <alignment horizontal="right"/>
      <protection locked="0"/>
    </xf>
    <xf numFmtId="0" fontId="48" fillId="22" borderId="11" xfId="0" applyFont="1" applyFill="1" applyBorder="1" applyAlignment="1">
      <alignment horizontal="left" vertical="center" wrapText="1"/>
    </xf>
    <xf numFmtId="3" fontId="48" fillId="22" borderId="11" xfId="0" applyNumberFormat="1" applyFont="1" applyFill="1" applyBorder="1"/>
    <xf numFmtId="0" fontId="46" fillId="2" borderId="12" xfId="0" applyFont="1" applyFill="1" applyBorder="1" applyAlignment="1">
      <alignment horizontal="left" vertical="center" wrapText="1"/>
    </xf>
    <xf numFmtId="3" fontId="46" fillId="2" borderId="12" xfId="0" applyNumberFormat="1" applyFont="1" applyFill="1" applyBorder="1" applyAlignment="1">
      <alignment vertical="center"/>
    </xf>
    <xf numFmtId="0" fontId="48" fillId="22" borderId="13" xfId="0" applyFont="1" applyFill="1" applyBorder="1" applyAlignment="1">
      <alignment horizontal="left" vertical="center" wrapText="1"/>
    </xf>
    <xf numFmtId="3" fontId="48" fillId="22" borderId="13" xfId="0" applyNumberFormat="1" applyFont="1" applyFill="1" applyBorder="1"/>
    <xf numFmtId="0" fontId="46" fillId="2" borderId="16" xfId="0" applyFont="1" applyFill="1" applyBorder="1" applyAlignment="1">
      <alignment horizontal="center" vertical="center"/>
    </xf>
    <xf numFmtId="3" fontId="48" fillId="22" borderId="17" xfId="0" applyNumberFormat="1" applyFont="1" applyFill="1" applyBorder="1"/>
    <xf numFmtId="3" fontId="43" fillId="0" borderId="17" xfId="0" applyNumberFormat="1" applyFont="1" applyBorder="1"/>
    <xf numFmtId="3" fontId="48" fillId="22" borderId="18" xfId="0" applyNumberFormat="1" applyFont="1" applyFill="1" applyBorder="1"/>
    <xf numFmtId="0" fontId="4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43" fillId="0" borderId="11" xfId="0" applyNumberFormat="1" applyFont="1" applyBorder="1" applyAlignment="1">
      <alignment vertical="center"/>
    </xf>
    <xf numFmtId="3" fontId="48" fillId="0" borderId="11" xfId="0" applyNumberFormat="1" applyFont="1" applyBorder="1" applyAlignment="1">
      <alignment vertical="center"/>
    </xf>
    <xf numFmtId="3" fontId="48" fillId="22" borderId="11" xfId="0" applyNumberFormat="1" applyFont="1" applyFill="1" applyBorder="1" applyAlignment="1">
      <alignment vertical="center"/>
    </xf>
    <xf numFmtId="0" fontId="58" fillId="21" borderId="11" xfId="2" applyFont="1" applyFill="1" applyBorder="1" applyAlignment="1">
      <alignment horizontal="left"/>
    </xf>
    <xf numFmtId="3" fontId="48" fillId="23" borderId="11" xfId="2" applyNumberFormat="1" applyFont="1" applyFill="1" applyBorder="1" applyAlignment="1">
      <alignment horizontal="center"/>
    </xf>
    <xf numFmtId="3" fontId="48" fillId="6" borderId="11" xfId="2" applyNumberFormat="1" applyFont="1" applyFill="1" applyBorder="1" applyAlignment="1">
      <alignment horizontal="right"/>
    </xf>
    <xf numFmtId="3" fontId="66" fillId="0" borderId="11" xfId="48" applyNumberFormat="1" applyFont="1" applyBorder="1"/>
    <xf numFmtId="3" fontId="48" fillId="19" borderId="11" xfId="2" applyNumberFormat="1" applyFont="1" applyFill="1" applyBorder="1" applyAlignment="1">
      <alignment horizontal="right"/>
    </xf>
    <xf numFmtId="0" fontId="46" fillId="2" borderId="11" xfId="2" applyFont="1" applyFill="1" applyBorder="1" applyAlignment="1">
      <alignment horizontal="center" vertical="center"/>
    </xf>
    <xf numFmtId="0" fontId="58" fillId="21" borderId="9" xfId="2" applyFont="1" applyFill="1" applyBorder="1" applyAlignment="1">
      <alignment horizontal="left"/>
    </xf>
    <xf numFmtId="3" fontId="48" fillId="5" borderId="9" xfId="2" applyNumberFormat="1" applyFont="1" applyFill="1" applyBorder="1" applyAlignment="1">
      <alignment horizontal="center"/>
    </xf>
    <xf numFmtId="3" fontId="48" fillId="6" borderId="9" xfId="2" applyNumberFormat="1" applyFont="1" applyFill="1" applyBorder="1" applyAlignment="1">
      <alignment horizontal="right"/>
    </xf>
    <xf numFmtId="3" fontId="43" fillId="6" borderId="9" xfId="2" applyNumberFormat="1" applyFont="1" applyFill="1" applyBorder="1" applyAlignment="1">
      <alignment horizontal="right"/>
    </xf>
    <xf numFmtId="3" fontId="43" fillId="0" borderId="9" xfId="2" applyNumberFormat="1" applyFont="1" applyBorder="1" applyAlignment="1">
      <alignment horizontal="right"/>
    </xf>
    <xf numFmtId="3" fontId="48" fillId="19" borderId="9" xfId="2" applyNumberFormat="1" applyFont="1" applyFill="1" applyBorder="1" applyAlignment="1">
      <alignment horizontal="right"/>
    </xf>
    <xf numFmtId="0" fontId="58" fillId="21" borderId="13" xfId="2" applyFont="1" applyFill="1" applyBorder="1" applyAlignment="1">
      <alignment horizontal="left"/>
    </xf>
    <xf numFmtId="3" fontId="48" fillId="23" borderId="13" xfId="2" applyNumberFormat="1" applyFont="1" applyFill="1" applyBorder="1" applyAlignment="1">
      <alignment horizontal="center"/>
    </xf>
    <xf numFmtId="3" fontId="48" fillId="6" borderId="13" xfId="2" applyNumberFormat="1" applyFont="1" applyFill="1" applyBorder="1" applyAlignment="1">
      <alignment horizontal="right"/>
    </xf>
    <xf numFmtId="3" fontId="66" fillId="0" borderId="13" xfId="48" applyNumberFormat="1" applyFont="1" applyBorder="1"/>
    <xf numFmtId="3" fontId="48" fillId="19" borderId="13" xfId="2" applyNumberFormat="1" applyFont="1" applyFill="1" applyBorder="1" applyAlignment="1">
      <alignment horizontal="right"/>
    </xf>
    <xf numFmtId="0" fontId="43" fillId="0" borderId="0" xfId="2" applyFont="1" applyBorder="1"/>
    <xf numFmtId="0" fontId="46" fillId="2" borderId="9" xfId="2" applyFont="1" applyFill="1" applyBorder="1" applyAlignment="1">
      <alignment horizontal="center" vertical="center"/>
    </xf>
    <xf numFmtId="3" fontId="46" fillId="2" borderId="9" xfId="2" applyNumberFormat="1" applyFont="1" applyFill="1" applyBorder="1" applyAlignment="1">
      <alignment horizontal="center" vertical="center"/>
    </xf>
    <xf numFmtId="3" fontId="46" fillId="2" borderId="9" xfId="2" applyNumberFormat="1" applyFont="1" applyFill="1" applyBorder="1" applyAlignment="1">
      <alignment horizontal="right" vertical="center"/>
    </xf>
    <xf numFmtId="3" fontId="43" fillId="0" borderId="11" xfId="2" applyNumberFormat="1" applyFont="1" applyBorder="1" applyAlignment="1">
      <alignment horizontal="right"/>
    </xf>
    <xf numFmtId="3" fontId="58" fillId="19" borderId="11" xfId="2" applyNumberFormat="1" applyFont="1" applyFill="1" applyBorder="1" applyAlignment="1">
      <alignment horizontal="right"/>
    </xf>
    <xf numFmtId="3" fontId="43" fillId="0" borderId="13" xfId="2" applyNumberFormat="1" applyFont="1" applyBorder="1" applyAlignment="1">
      <alignment horizontal="right"/>
    </xf>
    <xf numFmtId="3" fontId="58" fillId="19" borderId="13" xfId="2" applyNumberFormat="1" applyFont="1" applyFill="1" applyBorder="1" applyAlignment="1">
      <alignment horizontal="right"/>
    </xf>
    <xf numFmtId="0" fontId="47" fillId="2" borderId="10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/>
    </xf>
    <xf numFmtId="0" fontId="47" fillId="2" borderId="16" xfId="0" applyFont="1" applyFill="1" applyBorder="1" applyAlignment="1">
      <alignment horizontal="center" vertical="center"/>
    </xf>
    <xf numFmtId="0" fontId="47" fillId="2" borderId="16" xfId="0" applyFont="1" applyFill="1" applyBorder="1" applyAlignment="1">
      <alignment horizontal="center" vertical="center" wrapText="1"/>
    </xf>
    <xf numFmtId="3" fontId="38" fillId="2" borderId="12" xfId="0" applyNumberFormat="1" applyFont="1" applyFill="1" applyBorder="1" applyAlignment="1">
      <alignment vertical="center"/>
    </xf>
    <xf numFmtId="0" fontId="46" fillId="2" borderId="11" xfId="0" applyFont="1" applyFill="1" applyBorder="1" applyAlignment="1">
      <alignment horizontal="left" vertical="center"/>
    </xf>
    <xf numFmtId="0" fontId="47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left" vertical="center" wrapText="1"/>
    </xf>
    <xf numFmtId="0" fontId="38" fillId="2" borderId="17" xfId="0" applyFont="1" applyFill="1" applyBorder="1" applyAlignment="1">
      <alignment horizontal="center" vertical="center"/>
    </xf>
    <xf numFmtId="3" fontId="38" fillId="2" borderId="19" xfId="0" applyNumberFormat="1" applyFont="1" applyFill="1" applyBorder="1" applyAlignment="1">
      <alignment vertical="center"/>
    </xf>
    <xf numFmtId="3" fontId="43" fillId="0" borderId="11" xfId="0" applyNumberFormat="1" applyFont="1" applyBorder="1" applyAlignment="1">
      <alignment horizontal="right" vertical="center" wrapText="1"/>
    </xf>
    <xf numFmtId="0" fontId="43" fillId="0" borderId="11" xfId="0" applyFont="1" applyFill="1" applyBorder="1" applyAlignment="1">
      <alignment horizontal="left" vertical="center" wrapText="1"/>
    </xf>
    <xf numFmtId="3" fontId="46" fillId="2" borderId="19" xfId="0" applyNumberFormat="1" applyFont="1" applyFill="1" applyBorder="1" applyAlignment="1">
      <alignment vertical="center"/>
    </xf>
    <xf numFmtId="0" fontId="65" fillId="2" borderId="12" xfId="0" applyFont="1" applyFill="1" applyBorder="1" applyAlignment="1">
      <alignment horizontal="left" vertical="center" wrapText="1"/>
    </xf>
    <xf numFmtId="3" fontId="65" fillId="2" borderId="12" xfId="0" applyNumberFormat="1" applyFont="1" applyFill="1" applyBorder="1" applyAlignment="1">
      <alignment vertical="center"/>
    </xf>
    <xf numFmtId="3" fontId="65" fillId="2" borderId="19" xfId="0" applyNumberFormat="1" applyFont="1" applyFill="1" applyBorder="1" applyAlignment="1">
      <alignment vertical="center"/>
    </xf>
    <xf numFmtId="3" fontId="43" fillId="0" borderId="1" xfId="0" applyNumberFormat="1" applyFont="1" applyBorder="1" applyAlignment="1">
      <alignment horizontal="right" vertical="center" wrapText="1"/>
    </xf>
    <xf numFmtId="3" fontId="43" fillId="0" borderId="1" xfId="0" applyNumberFormat="1" applyFont="1" applyBorder="1" applyAlignment="1">
      <alignment horizontal="right"/>
    </xf>
    <xf numFmtId="0" fontId="43" fillId="0" borderId="11" xfId="0" applyFont="1" applyFill="1" applyBorder="1" applyAlignment="1">
      <alignment horizontal="left"/>
    </xf>
    <xf numFmtId="3" fontId="43" fillId="0" borderId="7" xfId="0" applyNumberFormat="1" applyFont="1" applyBorder="1" applyAlignment="1">
      <alignment horizontal="right"/>
    </xf>
    <xf numFmtId="3" fontId="46" fillId="2" borderId="12" xfId="0" applyNumberFormat="1" applyFont="1" applyFill="1" applyBorder="1" applyAlignment="1">
      <alignment horizontal="right" vertical="center"/>
    </xf>
    <xf numFmtId="0" fontId="47" fillId="2" borderId="20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0" fontId="38" fillId="2" borderId="10" xfId="0" applyFont="1" applyFill="1" applyBorder="1" applyAlignment="1">
      <alignment horizontal="left" vertical="center"/>
    </xf>
    <xf numFmtId="0" fontId="38" fillId="2" borderId="11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left" wrapText="1"/>
    </xf>
    <xf numFmtId="0" fontId="46" fillId="2" borderId="17" xfId="0" applyFont="1" applyFill="1" applyBorder="1" applyAlignment="1">
      <alignment horizontal="center" vertical="center"/>
    </xf>
    <xf numFmtId="3" fontId="46" fillId="2" borderId="3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center" vertical="center" wrapText="1"/>
    </xf>
    <xf numFmtId="0" fontId="48" fillId="18" borderId="11" xfId="0" applyFont="1" applyFill="1" applyBorder="1" applyAlignment="1">
      <alignment horizontal="left" vertical="center" wrapText="1"/>
    </xf>
    <xf numFmtId="3" fontId="48" fillId="18" borderId="17" xfId="0" applyNumberFormat="1" applyFont="1" applyFill="1" applyBorder="1"/>
    <xf numFmtId="3" fontId="48" fillId="18" borderId="11" xfId="0" applyNumberFormat="1" applyFont="1" applyFill="1" applyBorder="1" applyAlignment="1">
      <alignment vertical="center"/>
    </xf>
    <xf numFmtId="3" fontId="48" fillId="18" borderId="17" xfId="0" applyNumberFormat="1" applyFont="1" applyFill="1" applyBorder="1" applyAlignment="1">
      <alignment vertical="center"/>
    </xf>
    <xf numFmtId="3" fontId="48" fillId="18" borderId="11" xfId="0" applyNumberFormat="1" applyFont="1" applyFill="1" applyBorder="1" applyAlignment="1">
      <alignment horizontal="right" vertical="center"/>
    </xf>
    <xf numFmtId="3" fontId="48" fillId="18" borderId="17" xfId="0" applyNumberFormat="1" applyFont="1" applyFill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3" fontId="43" fillId="0" borderId="0" xfId="0" applyNumberFormat="1" applyFont="1" applyBorder="1"/>
    <xf numFmtId="3" fontId="48" fillId="0" borderId="0" xfId="0" applyNumberFormat="1" applyFont="1" applyBorder="1"/>
    <xf numFmtId="3" fontId="46" fillId="2" borderId="12" xfId="0" applyNumberFormat="1" applyFont="1" applyFill="1" applyBorder="1"/>
    <xf numFmtId="0" fontId="46" fillId="2" borderId="10" xfId="38" applyFont="1" applyFill="1" applyBorder="1" applyAlignment="1">
      <alignment horizontal="center" vertical="center"/>
    </xf>
    <xf numFmtId="0" fontId="37" fillId="2" borderId="10" xfId="38" applyFont="1" applyFill="1" applyBorder="1" applyAlignment="1">
      <alignment vertical="center"/>
    </xf>
    <xf numFmtId="0" fontId="67" fillId="0" borderId="11" xfId="0" applyFont="1" applyBorder="1" applyAlignment="1">
      <alignment vertical="center" wrapText="1"/>
    </xf>
    <xf numFmtId="0" fontId="67" fillId="0" borderId="11" xfId="0" applyFont="1" applyBorder="1" applyAlignment="1">
      <alignment horizontal="left" vertical="center"/>
    </xf>
    <xf numFmtId="0" fontId="67" fillId="0" borderId="11" xfId="0" applyFont="1" applyBorder="1" applyAlignment="1">
      <alignment vertical="center"/>
    </xf>
    <xf numFmtId="0" fontId="67" fillId="0" borderId="11" xfId="0" applyFont="1" applyBorder="1" applyAlignment="1">
      <alignment horizontal="center" vertical="center"/>
    </xf>
    <xf numFmtId="0" fontId="13" fillId="0" borderId="0" xfId="0" applyFont="1"/>
    <xf numFmtId="0" fontId="0" fillId="0" borderId="0" xfId="0"/>
    <xf numFmtId="0" fontId="67" fillId="0" borderId="11" xfId="0" applyFont="1" applyFill="1" applyBorder="1" applyAlignment="1">
      <alignment horizontal="left" vertical="center" wrapText="1"/>
    </xf>
    <xf numFmtId="0" fontId="3" fillId="0" borderId="0" xfId="38" applyAlignment="1">
      <alignment vertical="center"/>
    </xf>
    <xf numFmtId="0" fontId="22" fillId="0" borderId="0" xfId="38" applyFont="1" applyAlignment="1">
      <alignment vertical="center"/>
    </xf>
    <xf numFmtId="0" fontId="43" fillId="0" borderId="0" xfId="38" applyFont="1" applyBorder="1" applyAlignment="1">
      <alignment horizontal="center" vertical="center"/>
    </xf>
    <xf numFmtId="0" fontId="43" fillId="0" borderId="0" xfId="38" applyFont="1" applyBorder="1" applyAlignment="1">
      <alignment vertical="center"/>
    </xf>
    <xf numFmtId="4" fontId="43" fillId="0" borderId="0" xfId="38" applyNumberFormat="1" applyFont="1" applyBorder="1" applyAlignment="1">
      <alignment vertical="center"/>
    </xf>
    <xf numFmtId="0" fontId="67" fillId="0" borderId="11" xfId="0" applyFont="1" applyFill="1" applyBorder="1" applyAlignment="1">
      <alignment vertical="center"/>
    </xf>
    <xf numFmtId="4" fontId="13" fillId="0" borderId="0" xfId="38" applyNumberFormat="1" applyFont="1" applyAlignment="1">
      <alignment vertical="center"/>
    </xf>
    <xf numFmtId="4" fontId="34" fillId="0" borderId="0" xfId="38" applyNumberFormat="1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/>
    <xf numFmtId="4" fontId="43" fillId="0" borderId="0" xfId="0" applyNumberFormat="1" applyFont="1"/>
    <xf numFmtId="4" fontId="12" fillId="0" borderId="0" xfId="0" applyNumberFormat="1" applyFont="1" applyAlignment="1">
      <alignment horizontal="right" textRotation="180"/>
    </xf>
    <xf numFmtId="4" fontId="42" fillId="0" borderId="0" xfId="11" applyNumberFormat="1" applyFont="1" applyAlignment="1">
      <alignment vertical="center"/>
    </xf>
    <xf numFmtId="3" fontId="13" fillId="0" borderId="0" xfId="11" applyNumberFormat="1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13" fillId="10" borderId="0" xfId="0" applyFont="1" applyFill="1" applyAlignment="1">
      <alignment vertical="center"/>
    </xf>
    <xf numFmtId="4" fontId="41" fillId="0" borderId="0" xfId="28" applyNumberFormat="1" applyFont="1"/>
    <xf numFmtId="4" fontId="0" fillId="0" borderId="0" xfId="0" applyNumberFormat="1"/>
    <xf numFmtId="4" fontId="42" fillId="0" borderId="0" xfId="0" applyNumberFormat="1" applyFont="1"/>
    <xf numFmtId="4" fontId="43" fillId="0" borderId="0" xfId="0" applyNumberFormat="1" applyFont="1" applyAlignment="1">
      <alignment horizontal="right"/>
    </xf>
    <xf numFmtId="4" fontId="13" fillId="0" borderId="0" xfId="12" applyNumberFormat="1" applyFont="1" applyAlignment="1">
      <alignment horizontal="right"/>
    </xf>
    <xf numFmtId="4" fontId="34" fillId="0" borderId="0" xfId="12" applyNumberFormat="1" applyFont="1" applyAlignment="1">
      <alignment horizontal="right"/>
    </xf>
    <xf numFmtId="4" fontId="42" fillId="0" borderId="0" xfId="12" applyNumberFormat="1" applyFont="1" applyAlignment="1">
      <alignment horizontal="right"/>
    </xf>
    <xf numFmtId="4" fontId="43" fillId="0" borderId="0" xfId="12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0" xfId="31" applyNumberFormat="1" applyFont="1" applyAlignment="1">
      <alignment horizontal="right"/>
    </xf>
    <xf numFmtId="4" fontId="6" fillId="0" borderId="0" xfId="12" applyNumberFormat="1" applyFont="1"/>
    <xf numFmtId="4" fontId="13" fillId="0" borderId="0" xfId="33" applyNumberFormat="1" applyFont="1" applyAlignment="1">
      <alignment horizontal="right"/>
    </xf>
    <xf numFmtId="4" fontId="6" fillId="0" borderId="0" xfId="31" applyNumberFormat="1"/>
    <xf numFmtId="0" fontId="67" fillId="0" borderId="11" xfId="0" applyFont="1" applyBorder="1" applyAlignment="1">
      <alignment horizontal="center"/>
    </xf>
    <xf numFmtId="14" fontId="67" fillId="0" borderId="11" xfId="0" applyNumberFormat="1" applyFont="1" applyBorder="1" applyAlignment="1">
      <alignment horizontal="center"/>
    </xf>
    <xf numFmtId="4" fontId="67" fillId="0" borderId="11" xfId="0" applyNumberFormat="1" applyFont="1" applyBorder="1" applyAlignment="1">
      <alignment horizontal="center"/>
    </xf>
    <xf numFmtId="168" fontId="67" fillId="0" borderId="11" xfId="0" applyNumberFormat="1" applyFont="1" applyBorder="1" applyAlignment="1">
      <alignment horizontal="center"/>
    </xf>
    <xf numFmtId="169" fontId="67" fillId="0" borderId="11" xfId="0" applyNumberFormat="1" applyFont="1" applyBorder="1" applyAlignment="1">
      <alignment horizontal="center"/>
    </xf>
    <xf numFmtId="170" fontId="67" fillId="0" borderId="11" xfId="0" applyNumberFormat="1" applyFont="1" applyBorder="1" applyAlignment="1">
      <alignment horizontal="center"/>
    </xf>
    <xf numFmtId="49" fontId="67" fillId="0" borderId="11" xfId="0" applyNumberFormat="1" applyFont="1" applyBorder="1" applyAlignment="1">
      <alignment horizontal="center"/>
    </xf>
    <xf numFmtId="171" fontId="67" fillId="0" borderId="11" xfId="0" applyNumberFormat="1" applyFont="1" applyBorder="1" applyAlignment="1">
      <alignment horizontal="center"/>
    </xf>
    <xf numFmtId="14" fontId="67" fillId="0" borderId="11" xfId="0" applyNumberFormat="1" applyFont="1" applyBorder="1" applyAlignment="1">
      <alignment horizontal="center" vertical="center"/>
    </xf>
    <xf numFmtId="170" fontId="67" fillId="0" borderId="11" xfId="0" applyNumberFormat="1" applyFont="1" applyBorder="1" applyAlignment="1">
      <alignment horizontal="center" vertical="center"/>
    </xf>
    <xf numFmtId="14" fontId="67" fillId="0" borderId="14" xfId="0" applyNumberFormat="1" applyFont="1" applyBorder="1" applyAlignment="1">
      <alignment horizontal="center"/>
    </xf>
    <xf numFmtId="49" fontId="67" fillId="0" borderId="14" xfId="0" applyNumberFormat="1" applyFont="1" applyBorder="1" applyAlignment="1">
      <alignment horizontal="center"/>
    </xf>
    <xf numFmtId="4" fontId="70" fillId="0" borderId="14" xfId="0" applyNumberFormat="1" applyFont="1" applyBorder="1" applyAlignment="1">
      <alignment horizontal="center"/>
    </xf>
    <xf numFmtId="0" fontId="67" fillId="0" borderId="21" xfId="0" applyFont="1" applyBorder="1" applyAlignment="1">
      <alignment horizontal="center"/>
    </xf>
    <xf numFmtId="14" fontId="67" fillId="0" borderId="21" xfId="0" applyNumberFormat="1" applyFont="1" applyBorder="1" applyAlignment="1">
      <alignment horizontal="center"/>
    </xf>
    <xf numFmtId="4" fontId="67" fillId="0" borderId="21" xfId="0" applyNumberFormat="1" applyFont="1" applyBorder="1" applyAlignment="1">
      <alignment horizontal="center"/>
    </xf>
    <xf numFmtId="14" fontId="67" fillId="0" borderId="22" xfId="0" applyNumberFormat="1" applyFont="1" applyBorder="1" applyAlignment="1">
      <alignment horizontal="center"/>
    </xf>
    <xf numFmtId="169" fontId="67" fillId="0" borderId="22" xfId="0" applyNumberFormat="1" applyFont="1" applyBorder="1" applyAlignment="1">
      <alignment horizontal="center"/>
    </xf>
    <xf numFmtId="170" fontId="67" fillId="0" borderId="22" xfId="0" applyNumberFormat="1" applyFont="1" applyBorder="1" applyAlignment="1">
      <alignment horizontal="center"/>
    </xf>
    <xf numFmtId="14" fontId="67" fillId="0" borderId="13" xfId="0" applyNumberFormat="1" applyFont="1" applyBorder="1" applyAlignment="1">
      <alignment horizontal="center"/>
    </xf>
    <xf numFmtId="170" fontId="67" fillId="0" borderId="13" xfId="0" applyNumberFormat="1" applyFont="1" applyBorder="1" applyAlignment="1">
      <alignment horizontal="center"/>
    </xf>
    <xf numFmtId="4" fontId="67" fillId="0" borderId="13" xfId="0" applyNumberFormat="1" applyFont="1" applyBorder="1" applyAlignment="1">
      <alignment horizontal="center"/>
    </xf>
    <xf numFmtId="49" fontId="67" fillId="0" borderId="21" xfId="0" applyNumberFormat="1" applyFont="1" applyBorder="1" applyAlignment="1">
      <alignment horizontal="center"/>
    </xf>
    <xf numFmtId="4" fontId="70" fillId="0" borderId="21" xfId="0" applyNumberFormat="1" applyFont="1" applyBorder="1" applyAlignment="1">
      <alignment horizontal="center"/>
    </xf>
    <xf numFmtId="4" fontId="67" fillId="0" borderId="22" xfId="0" applyNumberFormat="1" applyFont="1" applyBorder="1" applyAlignment="1">
      <alignment horizontal="center"/>
    </xf>
    <xf numFmtId="14" fontId="67" fillId="0" borderId="14" xfId="0" applyNumberFormat="1" applyFont="1" applyBorder="1" applyAlignment="1">
      <alignment horizontal="center" vertical="center"/>
    </xf>
    <xf numFmtId="14" fontId="67" fillId="0" borderId="13" xfId="0" applyNumberFormat="1" applyFont="1" applyBorder="1" applyAlignment="1">
      <alignment horizontal="center" vertical="center"/>
    </xf>
    <xf numFmtId="170" fontId="67" fillId="0" borderId="13" xfId="0" applyNumberFormat="1" applyFont="1" applyBorder="1" applyAlignment="1">
      <alignment horizontal="center" vertical="center"/>
    </xf>
    <xf numFmtId="49" fontId="67" fillId="0" borderId="14" xfId="0" applyNumberFormat="1" applyFont="1" applyBorder="1" applyAlignment="1">
      <alignment horizontal="center" vertical="center"/>
    </xf>
    <xf numFmtId="4" fontId="70" fillId="0" borderId="14" xfId="0" applyNumberFormat="1" applyFont="1" applyBorder="1" applyAlignment="1">
      <alignment horizontal="center" vertical="center"/>
    </xf>
    <xf numFmtId="14" fontId="67" fillId="0" borderId="21" xfId="0" applyNumberFormat="1" applyFont="1" applyBorder="1" applyAlignment="1">
      <alignment horizontal="center" vertical="center"/>
    </xf>
    <xf numFmtId="49" fontId="67" fillId="0" borderId="21" xfId="0" applyNumberFormat="1" applyFont="1" applyBorder="1" applyAlignment="1">
      <alignment horizontal="center" vertical="center"/>
    </xf>
    <xf numFmtId="4" fontId="70" fillId="0" borderId="21" xfId="0" applyNumberFormat="1" applyFont="1" applyBorder="1" applyAlignment="1">
      <alignment horizontal="center" vertical="center"/>
    </xf>
    <xf numFmtId="14" fontId="67" fillId="0" borderId="22" xfId="0" applyNumberFormat="1" applyFont="1" applyBorder="1" applyAlignment="1">
      <alignment horizontal="center" vertical="center"/>
    </xf>
    <xf numFmtId="170" fontId="67" fillId="0" borderId="22" xfId="0" applyNumberFormat="1" applyFont="1" applyBorder="1" applyAlignment="1">
      <alignment horizontal="center" vertical="center"/>
    </xf>
    <xf numFmtId="4" fontId="67" fillId="0" borderId="22" xfId="0" applyNumberFormat="1" applyFont="1" applyBorder="1" applyAlignment="1">
      <alignment horizontal="center" vertical="center"/>
    </xf>
    <xf numFmtId="4" fontId="67" fillId="0" borderId="13" xfId="0" applyNumberFormat="1" applyFont="1" applyBorder="1" applyAlignment="1">
      <alignment horizontal="center" vertical="center"/>
    </xf>
    <xf numFmtId="170" fontId="67" fillId="0" borderId="21" xfId="0" applyNumberFormat="1" applyFont="1" applyBorder="1" applyAlignment="1">
      <alignment horizontal="center" vertical="center"/>
    </xf>
    <xf numFmtId="0" fontId="71" fillId="0" borderId="0" xfId="0" applyFont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34" fillId="0" borderId="0" xfId="0" applyFont="1" applyAlignment="1">
      <alignment vertical="top"/>
    </xf>
    <xf numFmtId="0" fontId="72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54" fillId="0" borderId="0" xfId="0" applyFont="1"/>
    <xf numFmtId="10" fontId="42" fillId="0" borderId="0" xfId="0" applyNumberFormat="1" applyFont="1" applyAlignment="1">
      <alignment horizontal="right"/>
    </xf>
    <xf numFmtId="0" fontId="69" fillId="0" borderId="0" xfId="0" applyFont="1" applyAlignment="1">
      <alignment wrapText="1"/>
    </xf>
    <xf numFmtId="0" fontId="74" fillId="0" borderId="0" xfId="0" applyFont="1"/>
    <xf numFmtId="0" fontId="69" fillId="0" borderId="0" xfId="0" applyFont="1" applyAlignment="1">
      <alignment vertical="center" wrapText="1"/>
    </xf>
    <xf numFmtId="0" fontId="42" fillId="0" borderId="0" xfId="0" applyFont="1" applyFill="1"/>
    <xf numFmtId="0" fontId="34" fillId="0" borderId="0" xfId="0" applyFont="1" applyAlignment="1">
      <alignment horizontal="justify" vertical="center"/>
    </xf>
    <xf numFmtId="0" fontId="42" fillId="0" borderId="0" xfId="0" applyFont="1" applyFill="1" applyAlignment="1">
      <alignment horizontal="center"/>
    </xf>
    <xf numFmtId="0" fontId="40" fillId="0" borderId="0" xfId="0" applyFont="1" applyAlignment="1">
      <alignment horizontal="justify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0" applyFont="1" applyBorder="1"/>
    <xf numFmtId="0" fontId="34" fillId="0" borderId="11" xfId="0" applyFont="1" applyBorder="1" applyAlignment="1">
      <alignment horizontal="left"/>
    </xf>
    <xf numFmtId="0" fontId="34" fillId="0" borderId="11" xfId="0" applyFont="1" applyBorder="1" applyAlignment="1">
      <alignment horizontal="left" indent="2"/>
    </xf>
    <xf numFmtId="0" fontId="34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left"/>
    </xf>
    <xf numFmtId="0" fontId="34" fillId="0" borderId="11" xfId="0" applyFont="1" applyBorder="1" applyAlignment="1">
      <alignment horizontal="center"/>
    </xf>
    <xf numFmtId="166" fontId="34" fillId="0" borderId="11" xfId="0" applyNumberFormat="1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3" fontId="43" fillId="0" borderId="11" xfId="37" applyNumberFormat="1" applyFont="1" applyBorder="1" applyAlignment="1">
      <alignment horizontal="center" vertical="center"/>
    </xf>
    <xf numFmtId="0" fontId="43" fillId="0" borderId="11" xfId="37" applyFont="1" applyBorder="1" applyAlignment="1">
      <alignment horizontal="center" vertical="center"/>
    </xf>
    <xf numFmtId="3" fontId="43" fillId="0" borderId="11" xfId="37" applyNumberFormat="1" applyFont="1" applyBorder="1" applyAlignment="1" applyProtection="1">
      <alignment horizontal="center" vertical="center"/>
      <protection hidden="1"/>
    </xf>
    <xf numFmtId="3" fontId="43" fillId="0" borderId="12" xfId="37" applyNumberFormat="1" applyFont="1" applyBorder="1" applyAlignment="1">
      <alignment horizontal="center" vertical="center"/>
    </xf>
    <xf numFmtId="3" fontId="48" fillId="0" borderId="12" xfId="37" applyNumberFormat="1" applyFont="1" applyBorder="1" applyAlignment="1">
      <alignment horizontal="center" vertical="center"/>
    </xf>
    <xf numFmtId="3" fontId="48" fillId="4" borderId="12" xfId="37" applyNumberFormat="1" applyFont="1" applyFill="1" applyBorder="1" applyAlignment="1">
      <alignment horizontal="center" vertical="center"/>
    </xf>
    <xf numFmtId="0" fontId="43" fillId="0" borderId="12" xfId="37" applyFont="1" applyBorder="1" applyAlignment="1">
      <alignment horizontal="center" vertical="center"/>
    </xf>
    <xf numFmtId="0" fontId="58" fillId="24" borderId="10" xfId="37" applyFont="1" applyFill="1" applyBorder="1" applyAlignment="1">
      <alignment vertical="center"/>
    </xf>
    <xf numFmtId="0" fontId="58" fillId="24" borderId="11" xfId="37" applyFont="1" applyFill="1" applyBorder="1" applyAlignment="1">
      <alignment vertical="center"/>
    </xf>
    <xf numFmtId="0" fontId="58" fillId="24" borderId="11" xfId="37" applyFont="1" applyFill="1" applyBorder="1" applyAlignment="1">
      <alignment vertical="center" wrapText="1"/>
    </xf>
    <xf numFmtId="0" fontId="58" fillId="24" borderId="12" xfId="37" applyFont="1" applyFill="1" applyBorder="1" applyAlignment="1">
      <alignment vertical="center"/>
    </xf>
    <xf numFmtId="3" fontId="48" fillId="25" borderId="11" xfId="37" applyNumberFormat="1" applyFont="1" applyFill="1" applyBorder="1" applyAlignment="1">
      <alignment horizontal="center" vertical="center"/>
    </xf>
    <xf numFmtId="3" fontId="48" fillId="25" borderId="12" xfId="37" applyNumberFormat="1" applyFont="1" applyFill="1" applyBorder="1" applyAlignment="1">
      <alignment horizontal="center" vertical="center"/>
    </xf>
    <xf numFmtId="3" fontId="76" fillId="25" borderId="11" xfId="37" applyNumberFormat="1" applyFont="1" applyFill="1" applyBorder="1" applyAlignment="1">
      <alignment horizontal="center" vertical="center"/>
    </xf>
    <xf numFmtId="0" fontId="48" fillId="25" borderId="11" xfId="37" applyFont="1" applyFill="1" applyBorder="1" applyAlignment="1">
      <alignment horizontal="center" vertical="center"/>
    </xf>
    <xf numFmtId="3" fontId="43" fillId="26" borderId="11" xfId="37" applyNumberFormat="1" applyFont="1" applyFill="1" applyBorder="1" applyAlignment="1">
      <alignment horizontal="center" vertical="center"/>
    </xf>
    <xf numFmtId="0" fontId="70" fillId="24" borderId="10" xfId="37" applyFont="1" applyFill="1" applyBorder="1" applyAlignment="1">
      <alignment horizontal="center" vertical="center" wrapText="1"/>
    </xf>
    <xf numFmtId="0" fontId="70" fillId="24" borderId="10" xfId="37" applyFont="1" applyFill="1" applyBorder="1" applyAlignment="1">
      <alignment horizontal="center" vertical="center"/>
    </xf>
    <xf numFmtId="2" fontId="35" fillId="4" borderId="11" xfId="2" applyNumberFormat="1" applyFont="1" applyFill="1" applyBorder="1" applyAlignment="1">
      <alignment horizontal="center" vertical="center"/>
    </xf>
    <xf numFmtId="4" fontId="35" fillId="4" borderId="11" xfId="2" applyNumberFormat="1" applyFont="1" applyFill="1" applyBorder="1" applyAlignment="1">
      <alignment horizontal="center" vertical="center"/>
    </xf>
    <xf numFmtId="4" fontId="35" fillId="4" borderId="11" xfId="2" applyNumberFormat="1" applyFont="1" applyFill="1" applyBorder="1" applyAlignment="1">
      <alignment horizontal="center"/>
    </xf>
    <xf numFmtId="0" fontId="35" fillId="4" borderId="11" xfId="2" applyNumberFormat="1" applyFont="1" applyFill="1" applyBorder="1" applyAlignment="1">
      <alignment horizontal="center"/>
    </xf>
    <xf numFmtId="0" fontId="49" fillId="27" borderId="11" xfId="2" applyFont="1" applyFill="1" applyBorder="1" applyAlignment="1">
      <alignment horizontal="left"/>
    </xf>
    <xf numFmtId="0" fontId="49" fillId="27" borderId="12" xfId="2" applyFont="1" applyFill="1" applyBorder="1" applyAlignment="1">
      <alignment horizontal="center" vertical="center"/>
    </xf>
    <xf numFmtId="4" fontId="35" fillId="28" borderId="11" xfId="2" applyNumberFormat="1" applyFont="1" applyFill="1" applyBorder="1" applyAlignment="1">
      <alignment horizontal="center"/>
    </xf>
    <xf numFmtId="4" fontId="49" fillId="27" borderId="12" xfId="2" applyNumberFormat="1" applyFont="1" applyFill="1" applyBorder="1" applyAlignment="1">
      <alignment horizontal="center" vertical="center"/>
    </xf>
    <xf numFmtId="2" fontId="49" fillId="27" borderId="12" xfId="2" applyNumberFormat="1" applyFont="1" applyFill="1" applyBorder="1" applyAlignment="1">
      <alignment horizontal="center" vertical="center"/>
    </xf>
    <xf numFmtId="0" fontId="49" fillId="27" borderId="10" xfId="0" applyFont="1" applyFill="1" applyBorder="1" applyAlignment="1">
      <alignment horizontal="center" vertical="center" wrapText="1"/>
    </xf>
    <xf numFmtId="0" fontId="50" fillId="27" borderId="11" xfId="0" applyFont="1" applyFill="1" applyBorder="1" applyAlignment="1">
      <alignment horizontal="center" vertical="center"/>
    </xf>
    <xf numFmtId="0" fontId="50" fillId="27" borderId="11" xfId="0" applyFont="1" applyFill="1" applyBorder="1" applyAlignment="1">
      <alignment vertical="center"/>
    </xf>
    <xf numFmtId="3" fontId="50" fillId="27" borderId="11" xfId="0" applyNumberFormat="1" applyFont="1" applyFill="1" applyBorder="1" applyAlignment="1">
      <alignment horizontal="right" vertical="center"/>
    </xf>
    <xf numFmtId="3" fontId="35" fillId="0" borderId="11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3" fontId="35" fillId="0" borderId="11" xfId="0" applyNumberFormat="1" applyFont="1" applyBorder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left" vertical="center" wrapText="1"/>
    </xf>
    <xf numFmtId="3" fontId="35" fillId="0" borderId="12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left" vertical="center" wrapText="1"/>
    </xf>
    <xf numFmtId="3" fontId="35" fillId="0" borderId="12" xfId="0" applyNumberFormat="1" applyFont="1" applyBorder="1" applyAlignment="1">
      <alignment horizontal="right" vertical="center"/>
    </xf>
    <xf numFmtId="0" fontId="34" fillId="0" borderId="11" xfId="0" applyFont="1" applyBorder="1" applyAlignment="1">
      <alignment vertical="top" wrapText="1"/>
    </xf>
    <xf numFmtId="3" fontId="34" fillId="0" borderId="11" xfId="0" applyNumberFormat="1" applyFont="1" applyBorder="1" applyAlignment="1">
      <alignment horizontal="right" vertical="center"/>
    </xf>
    <xf numFmtId="0" fontId="35" fillId="0" borderId="11" xfId="0" applyFont="1" applyBorder="1" applyAlignment="1">
      <alignment vertical="top" wrapText="1"/>
    </xf>
    <xf numFmtId="0" fontId="49" fillId="29" borderId="11" xfId="0" applyFont="1" applyFill="1" applyBorder="1" applyAlignment="1">
      <alignment horizontal="center" vertical="center"/>
    </xf>
    <xf numFmtId="0" fontId="49" fillId="29" borderId="11" xfId="0" applyFont="1" applyFill="1" applyBorder="1" applyAlignment="1">
      <alignment vertical="top" wrapText="1"/>
    </xf>
    <xf numFmtId="3" fontId="49" fillId="29" borderId="11" xfId="0" applyNumberFormat="1" applyFont="1" applyFill="1" applyBorder="1" applyAlignment="1">
      <alignment vertical="center"/>
    </xf>
    <xf numFmtId="3" fontId="49" fillId="29" borderId="11" xfId="0" applyNumberFormat="1" applyFont="1" applyFill="1" applyBorder="1" applyAlignment="1">
      <alignment horizontal="right" vertical="center"/>
    </xf>
    <xf numFmtId="0" fontId="50" fillId="30" borderId="10" xfId="0" applyFont="1" applyFill="1" applyBorder="1" applyAlignment="1">
      <alignment horizontal="center" vertical="center" wrapText="1"/>
    </xf>
    <xf numFmtId="0" fontId="50" fillId="30" borderId="11" xfId="0" applyFont="1" applyFill="1" applyBorder="1" applyAlignment="1">
      <alignment horizontal="center" vertical="center"/>
    </xf>
    <xf numFmtId="0" fontId="50" fillId="30" borderId="11" xfId="0" applyFont="1" applyFill="1" applyBorder="1" applyAlignment="1">
      <alignment vertical="center" wrapText="1"/>
    </xf>
    <xf numFmtId="3" fontId="50" fillId="30" borderId="11" xfId="0" applyNumberFormat="1" applyFont="1" applyFill="1" applyBorder="1" applyAlignment="1">
      <alignment horizontal="right" vertical="center"/>
    </xf>
    <xf numFmtId="0" fontId="37" fillId="30" borderId="11" xfId="0" applyFont="1" applyFill="1" applyBorder="1" applyAlignment="1">
      <alignment horizontal="center" vertical="center"/>
    </xf>
    <xf numFmtId="0" fontId="40" fillId="29" borderId="11" xfId="0" applyFont="1" applyFill="1" applyBorder="1" applyAlignment="1">
      <alignment horizontal="center" vertical="center"/>
    </xf>
    <xf numFmtId="0" fontId="49" fillId="29" borderId="11" xfId="0" applyFont="1" applyFill="1" applyBorder="1" applyAlignment="1">
      <alignment vertical="center" wrapText="1"/>
    </xf>
    <xf numFmtId="0" fontId="40" fillId="31" borderId="12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vertical="top" wrapText="1"/>
    </xf>
    <xf numFmtId="3" fontId="40" fillId="31" borderId="12" xfId="0" applyNumberFormat="1" applyFont="1" applyFill="1" applyBorder="1" applyAlignment="1">
      <alignment horizontal="right" vertical="center"/>
    </xf>
    <xf numFmtId="49" fontId="35" fillId="0" borderId="11" xfId="0" applyNumberFormat="1" applyFont="1" applyBorder="1" applyAlignment="1">
      <alignment vertical="top" wrapText="1"/>
    </xf>
    <xf numFmtId="0" fontId="35" fillId="0" borderId="11" xfId="0" applyFont="1" applyBorder="1" applyAlignment="1">
      <alignment horizontal="center" vertical="center" wrapText="1"/>
    </xf>
    <xf numFmtId="3" fontId="35" fillId="0" borderId="11" xfId="0" applyNumberFormat="1" applyFont="1" applyBorder="1" applyAlignment="1">
      <alignment vertical="center"/>
    </xf>
    <xf numFmtId="49" fontId="35" fillId="0" borderId="11" xfId="0" applyNumberFormat="1" applyFont="1" applyBorder="1" applyAlignment="1">
      <alignment vertical="center" wrapText="1"/>
    </xf>
    <xf numFmtId="3" fontId="35" fillId="0" borderId="11" xfId="0" applyNumberFormat="1" applyFont="1" applyBorder="1"/>
    <xf numFmtId="49" fontId="35" fillId="0" borderId="11" xfId="0" applyNumberFormat="1" applyFont="1" applyBorder="1" applyAlignment="1">
      <alignment horizontal="left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1" xfId="0" applyFont="1" applyFill="1" applyBorder="1" applyAlignment="1">
      <alignment vertical="center" wrapText="1"/>
    </xf>
    <xf numFmtId="49" fontId="35" fillId="0" borderId="12" xfId="0" applyNumberFormat="1" applyFont="1" applyBorder="1" applyAlignment="1">
      <alignment vertical="top" wrapText="1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9" fontId="35" fillId="0" borderId="11" xfId="0" applyNumberFormat="1" applyFont="1" applyBorder="1" applyAlignment="1">
      <alignment horizontal="left" vertical="center" wrapText="1"/>
    </xf>
    <xf numFmtId="49" fontId="49" fillId="4" borderId="11" xfId="0" applyNumberFormat="1" applyFont="1" applyFill="1" applyBorder="1" applyAlignment="1">
      <alignment vertical="center" wrapText="1"/>
    </xf>
    <xf numFmtId="49" fontId="35" fillId="0" borderId="12" xfId="0" applyNumberFormat="1" applyFont="1" applyBorder="1" applyAlignment="1">
      <alignment vertical="center" wrapText="1"/>
    </xf>
    <xf numFmtId="0" fontId="49" fillId="30" borderId="10" xfId="0" applyFont="1" applyFill="1" applyBorder="1" applyAlignment="1">
      <alignment horizontal="center" vertical="center" wrapText="1"/>
    </xf>
    <xf numFmtId="3" fontId="78" fillId="30" borderId="11" xfId="0" applyNumberFormat="1" applyFont="1" applyFill="1" applyBorder="1" applyAlignment="1">
      <alignment vertical="center"/>
    </xf>
    <xf numFmtId="49" fontId="49" fillId="29" borderId="11" xfId="0" applyNumberFormat="1" applyFont="1" applyFill="1" applyBorder="1" applyAlignment="1">
      <alignment vertical="top" wrapText="1"/>
    </xf>
    <xf numFmtId="3" fontId="49" fillId="29" borderId="11" xfId="0" applyNumberFormat="1" applyFont="1" applyFill="1" applyBorder="1"/>
    <xf numFmtId="49" fontId="49" fillId="29" borderId="11" xfId="0" applyNumberFormat="1" applyFont="1" applyFill="1" applyBorder="1" applyAlignment="1">
      <alignment vertical="center" wrapText="1"/>
    </xf>
    <xf numFmtId="0" fontId="13" fillId="0" borderId="0" xfId="0" applyFont="1"/>
    <xf numFmtId="4" fontId="67" fillId="0" borderId="11" xfId="0" applyNumberFormat="1" applyFont="1" applyBorder="1" applyAlignment="1">
      <alignment horizontal="right" vertical="center" wrapText="1"/>
    </xf>
    <xf numFmtId="0" fontId="69" fillId="0" borderId="11" xfId="0" applyFont="1" applyBorder="1" applyAlignment="1">
      <alignment horizontal="center" vertical="center" wrapText="1"/>
    </xf>
    <xf numFmtId="0" fontId="67" fillId="0" borderId="11" xfId="0" applyFont="1" applyFill="1" applyBorder="1" applyAlignment="1">
      <alignment vertical="center" wrapText="1"/>
    </xf>
    <xf numFmtId="0" fontId="38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vertical="center"/>
    </xf>
    <xf numFmtId="4" fontId="38" fillId="2" borderId="10" xfId="0" applyNumberFormat="1" applyFont="1" applyFill="1" applyBorder="1" applyAlignment="1">
      <alignment horizontal="center" vertical="center" wrapText="1"/>
    </xf>
    <xf numFmtId="0" fontId="79" fillId="2" borderId="12" xfId="0" applyFont="1" applyFill="1" applyBorder="1" applyAlignment="1">
      <alignment vertical="center"/>
    </xf>
    <xf numFmtId="0" fontId="38" fillId="2" borderId="12" xfId="0" applyFont="1" applyFill="1" applyBorder="1" applyAlignment="1">
      <alignment vertical="center"/>
    </xf>
    <xf numFmtId="4" fontId="38" fillId="2" borderId="12" xfId="0" applyNumberFormat="1" applyFont="1" applyFill="1" applyBorder="1" applyAlignment="1">
      <alignment vertical="center"/>
    </xf>
    <xf numFmtId="0" fontId="38" fillId="2" borderId="10" xfId="11" applyFont="1" applyFill="1" applyBorder="1" applyAlignment="1">
      <alignment horizontal="center" vertical="center"/>
    </xf>
    <xf numFmtId="0" fontId="38" fillId="2" borderId="10" xfId="11" applyFont="1" applyFill="1" applyBorder="1" applyAlignment="1">
      <alignment vertical="center"/>
    </xf>
    <xf numFmtId="0" fontId="38" fillId="2" borderId="10" xfId="12" applyFont="1" applyFill="1" applyBorder="1" applyAlignment="1">
      <alignment horizontal="center" vertical="center" wrapText="1"/>
    </xf>
    <xf numFmtId="0" fontId="43" fillId="0" borderId="11" xfId="11" applyFont="1" applyBorder="1" applyAlignment="1">
      <alignment horizontal="center"/>
    </xf>
    <xf numFmtId="0" fontId="80" fillId="10" borderId="11" xfId="0" applyFont="1" applyFill="1" applyBorder="1" applyAlignment="1">
      <alignment horizontal="left"/>
    </xf>
    <xf numFmtId="4" fontId="80" fillId="10" borderId="11" xfId="0" applyNumberFormat="1" applyFont="1" applyFill="1" applyBorder="1"/>
    <xf numFmtId="0" fontId="34" fillId="32" borderId="12" xfId="11" applyFont="1" applyFill="1" applyBorder="1"/>
    <xf numFmtId="0" fontId="38" fillId="2" borderId="12" xfId="11" applyFont="1" applyFill="1" applyBorder="1" applyAlignment="1">
      <alignment vertical="center"/>
    </xf>
    <xf numFmtId="4" fontId="38" fillId="2" borderId="12" xfId="11" applyNumberFormat="1" applyFont="1" applyFill="1" applyBorder="1" applyAlignment="1">
      <alignment horizontal="right" vertical="center"/>
    </xf>
    <xf numFmtId="0" fontId="43" fillId="0" borderId="11" xfId="11" applyFont="1" applyBorder="1" applyAlignment="1">
      <alignment horizontal="center" vertical="center"/>
    </xf>
    <xf numFmtId="0" fontId="80" fillId="0" borderId="11" xfId="0" applyFont="1" applyBorder="1" applyAlignment="1">
      <alignment horizontal="left" vertical="center" wrapText="1"/>
    </xf>
    <xf numFmtId="0" fontId="43" fillId="0" borderId="11" xfId="11" applyFont="1" applyBorder="1" applyAlignment="1">
      <alignment vertical="center"/>
    </xf>
    <xf numFmtId="4" fontId="80" fillId="0" borderId="11" xfId="0" applyNumberFormat="1" applyFont="1" applyBorder="1" applyAlignment="1">
      <alignment horizontal="right" vertical="center" wrapText="1"/>
    </xf>
    <xf numFmtId="0" fontId="43" fillId="0" borderId="11" xfId="11" applyFont="1" applyBorder="1" applyAlignment="1">
      <alignment vertical="center" wrapText="1"/>
    </xf>
    <xf numFmtId="0" fontId="38" fillId="2" borderId="12" xfId="11" applyFont="1" applyFill="1" applyBorder="1" applyAlignment="1">
      <alignment horizontal="left" vertical="center"/>
    </xf>
    <xf numFmtId="0" fontId="81" fillId="2" borderId="12" xfId="1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" fontId="38" fillId="2" borderId="10" xfId="12" applyNumberFormat="1" applyFont="1" applyFill="1" applyBorder="1" applyAlignment="1">
      <alignment horizontal="center" vertical="center" wrapText="1"/>
    </xf>
    <xf numFmtId="0" fontId="80" fillId="10" borderId="11" xfId="11" applyFont="1" applyFill="1" applyBorder="1" applyAlignment="1">
      <alignment horizontal="center" vertical="center" wrapText="1"/>
    </xf>
    <xf numFmtId="0" fontId="80" fillId="10" borderId="11" xfId="0" applyFont="1" applyFill="1" applyBorder="1" applyAlignment="1">
      <alignment vertical="center" wrapText="1"/>
    </xf>
    <xf numFmtId="4" fontId="80" fillId="10" borderId="11" xfId="0" applyNumberFormat="1" applyFont="1" applyFill="1" applyBorder="1" applyAlignment="1">
      <alignment vertical="center"/>
    </xf>
    <xf numFmtId="0" fontId="80" fillId="10" borderId="11" xfId="0" applyFont="1" applyFill="1" applyBorder="1" applyAlignment="1">
      <alignment horizontal="left" vertical="center" wrapText="1"/>
    </xf>
    <xf numFmtId="0" fontId="46" fillId="2" borderId="10" xfId="0" applyFont="1" applyFill="1" applyBorder="1" applyAlignment="1">
      <alignment vertical="center"/>
    </xf>
    <xf numFmtId="0" fontId="46" fillId="2" borderId="12" xfId="0" applyFont="1" applyFill="1" applyBorder="1" applyAlignment="1">
      <alignment vertical="center"/>
    </xf>
    <xf numFmtId="0" fontId="49" fillId="33" borderId="10" xfId="0" applyFont="1" applyFill="1" applyBorder="1" applyAlignment="1">
      <alignment horizontal="center" vertical="center" wrapText="1"/>
    </xf>
    <xf numFmtId="0" fontId="49" fillId="33" borderId="10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/>
    </xf>
    <xf numFmtId="0" fontId="40" fillId="34" borderId="11" xfId="0" applyFont="1" applyFill="1" applyBorder="1" applyAlignment="1">
      <alignment vertical="center"/>
    </xf>
    <xf numFmtId="3" fontId="40" fillId="34" borderId="11" xfId="0" applyNumberFormat="1" applyFont="1" applyFill="1" applyBorder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5" fillId="33" borderId="11" xfId="0" applyFont="1" applyFill="1" applyBorder="1" applyAlignment="1">
      <alignment horizontal="center" vertical="center"/>
    </xf>
    <xf numFmtId="0" fontId="49" fillId="33" borderId="11" xfId="0" applyFont="1" applyFill="1" applyBorder="1" applyAlignment="1">
      <alignment vertical="center"/>
    </xf>
    <xf numFmtId="3" fontId="49" fillId="33" borderId="11" xfId="0" applyNumberFormat="1" applyFont="1" applyFill="1" applyBorder="1" applyAlignment="1">
      <alignment horizontal="right" vertical="center"/>
    </xf>
    <xf numFmtId="0" fontId="49" fillId="33" borderId="11" xfId="0" applyFont="1" applyFill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1" xfId="0" applyFont="1" applyBorder="1" applyAlignment="1">
      <alignment vertical="center"/>
    </xf>
    <xf numFmtId="0" fontId="75" fillId="34" borderId="11" xfId="0" applyFont="1" applyFill="1" applyBorder="1" applyAlignment="1">
      <alignment vertical="center"/>
    </xf>
    <xf numFmtId="3" fontId="75" fillId="34" borderId="11" xfId="0" applyNumberFormat="1" applyFont="1" applyFill="1" applyBorder="1" applyAlignment="1">
      <alignment horizontal="right" vertical="center"/>
    </xf>
    <xf numFmtId="0" fontId="50" fillId="33" borderId="12" xfId="0" applyFont="1" applyFill="1" applyBorder="1" applyAlignment="1">
      <alignment horizontal="center" vertical="center"/>
    </xf>
    <xf numFmtId="3" fontId="50" fillId="33" borderId="12" xfId="0" applyNumberFormat="1" applyFont="1" applyFill="1" applyBorder="1" applyAlignment="1">
      <alignment horizontal="right" vertical="center"/>
    </xf>
    <xf numFmtId="164" fontId="46" fillId="7" borderId="10" xfId="28" applyNumberFormat="1" applyFont="1" applyFill="1" applyBorder="1" applyAlignment="1">
      <alignment horizontal="center" vertical="center"/>
    </xf>
    <xf numFmtId="0" fontId="46" fillId="7" borderId="10" xfId="28" applyFont="1" applyFill="1" applyBorder="1" applyAlignment="1">
      <alignment horizontal="center" vertical="center"/>
    </xf>
    <xf numFmtId="4" fontId="46" fillId="16" borderId="10" xfId="12" applyNumberFormat="1" applyFont="1" applyFill="1" applyBorder="1" applyAlignment="1">
      <alignment horizontal="center" vertical="center" wrapText="1"/>
    </xf>
    <xf numFmtId="0" fontId="80" fillId="10" borderId="11" xfId="28" applyFont="1" applyFill="1" applyBorder="1" applyAlignment="1">
      <alignment horizontal="center" vertical="center"/>
    </xf>
    <xf numFmtId="0" fontId="80" fillId="10" borderId="11" xfId="0" applyFont="1" applyFill="1" applyBorder="1" applyAlignment="1">
      <alignment horizontal="left" wrapText="1"/>
    </xf>
    <xf numFmtId="0" fontId="80" fillId="10" borderId="11" xfId="0" applyFont="1" applyFill="1" applyBorder="1" applyAlignment="1">
      <alignment horizontal="left" vertical="center"/>
    </xf>
    <xf numFmtId="0" fontId="46" fillId="7" borderId="12" xfId="28" applyFont="1" applyFill="1" applyBorder="1" applyAlignment="1">
      <alignment horizontal="left" vertical="center" wrapText="1"/>
    </xf>
    <xf numFmtId="3" fontId="46" fillId="7" borderId="12" xfId="28" applyNumberFormat="1" applyFont="1" applyFill="1" applyBorder="1" applyAlignment="1">
      <alignment vertical="center"/>
    </xf>
    <xf numFmtId="4" fontId="46" fillId="7" borderId="12" xfId="28" applyNumberFormat="1" applyFont="1" applyFill="1" applyBorder="1" applyAlignment="1">
      <alignment vertical="center"/>
    </xf>
    <xf numFmtId="0" fontId="46" fillId="2" borderId="10" xfId="0" applyFont="1" applyFill="1" applyBorder="1" applyAlignment="1">
      <alignment horizontal="center" vertical="center"/>
    </xf>
    <xf numFmtId="4" fontId="46" fillId="2" borderId="10" xfId="12" applyNumberFormat="1" applyFont="1" applyFill="1" applyBorder="1" applyAlignment="1">
      <alignment horizontal="center" vertical="center" wrapText="1"/>
    </xf>
    <xf numFmtId="0" fontId="43" fillId="10" borderId="11" xfId="0" applyFont="1" applyFill="1" applyBorder="1" applyAlignment="1">
      <alignment horizontal="center" vertical="center"/>
    </xf>
    <xf numFmtId="0" fontId="43" fillId="10" borderId="11" xfId="0" applyFont="1" applyFill="1" applyBorder="1" applyAlignment="1">
      <alignment vertical="center" wrapText="1"/>
    </xf>
    <xf numFmtId="4" fontId="46" fillId="2" borderId="12" xfId="0" applyNumberFormat="1" applyFont="1" applyFill="1" applyBorder="1" applyAlignment="1">
      <alignment horizontal="right" vertical="center"/>
    </xf>
    <xf numFmtId="0" fontId="46" fillId="2" borderId="10" xfId="12" applyFont="1" applyFill="1" applyBorder="1" applyAlignment="1">
      <alignment horizontal="center" vertical="center"/>
    </xf>
    <xf numFmtId="0" fontId="46" fillId="2" borderId="10" xfId="12" applyFont="1" applyFill="1" applyBorder="1" applyAlignment="1">
      <alignment vertical="center"/>
    </xf>
    <xf numFmtId="0" fontId="43" fillId="0" borderId="11" xfId="12" applyFont="1" applyBorder="1" applyAlignment="1">
      <alignment horizontal="center" vertical="center" wrapText="1"/>
    </xf>
    <xf numFmtId="0" fontId="66" fillId="0" borderId="11" xfId="0" applyFont="1" applyBorder="1" applyAlignment="1">
      <alignment horizontal="left" vertical="center"/>
    </xf>
    <xf numFmtId="0" fontId="66" fillId="0" borderId="11" xfId="0" applyFont="1" applyBorder="1" applyAlignment="1">
      <alignment vertical="center"/>
    </xf>
    <xf numFmtId="4" fontId="66" fillId="0" borderId="11" xfId="0" applyNumberFormat="1" applyFont="1" applyBorder="1" applyAlignment="1">
      <alignment horizontal="right" vertical="center"/>
    </xf>
    <xf numFmtId="0" fontId="66" fillId="0" borderId="11" xfId="0" applyFont="1" applyBorder="1" applyAlignment="1">
      <alignment horizontal="left" vertical="center" wrapText="1"/>
    </xf>
    <xf numFmtId="0" fontId="66" fillId="0" borderId="11" xfId="0" applyFont="1" applyBorder="1" applyAlignment="1">
      <alignment vertical="center" wrapText="1"/>
    </xf>
    <xf numFmtId="4" fontId="66" fillId="0" borderId="11" xfId="0" applyNumberFormat="1" applyFont="1" applyBorder="1" applyAlignment="1">
      <alignment horizontal="right" vertical="center" wrapText="1"/>
    </xf>
    <xf numFmtId="0" fontId="43" fillId="0" borderId="11" xfId="0" applyFont="1" applyBorder="1" applyAlignment="1">
      <alignment vertical="center"/>
    </xf>
    <xf numFmtId="0" fontId="46" fillId="2" borderId="12" xfId="12" applyFont="1" applyFill="1" applyBorder="1" applyAlignment="1">
      <alignment horizontal="left" vertical="center"/>
    </xf>
    <xf numFmtId="4" fontId="46" fillId="2" borderId="12" xfId="12" applyNumberFormat="1" applyFont="1" applyFill="1" applyBorder="1" applyAlignment="1">
      <alignment horizontal="right" vertical="center"/>
    </xf>
    <xf numFmtId="0" fontId="43" fillId="0" borderId="11" xfId="12" applyFont="1" applyBorder="1" applyAlignment="1">
      <alignment horizontal="center" vertical="center"/>
    </xf>
    <xf numFmtId="49" fontId="80" fillId="10" borderId="11" xfId="0" applyNumberFormat="1" applyFont="1" applyFill="1" applyBorder="1" applyAlignment="1">
      <alignment horizontal="left"/>
    </xf>
    <xf numFmtId="49" fontId="46" fillId="2" borderId="10" xfId="0" applyNumberFormat="1" applyFont="1" applyFill="1" applyBorder="1" applyAlignment="1">
      <alignment horizontal="center"/>
    </xf>
    <xf numFmtId="49" fontId="46" fillId="2" borderId="11" xfId="0" applyNumberFormat="1" applyFont="1" applyFill="1" applyBorder="1" applyAlignment="1">
      <alignment horizontal="center"/>
    </xf>
    <xf numFmtId="0" fontId="48" fillId="3" borderId="11" xfId="0" applyFont="1" applyFill="1" applyBorder="1" applyAlignment="1">
      <alignment horizontal="justify" vertical="top" wrapText="1"/>
    </xf>
    <xf numFmtId="3" fontId="43" fillId="0" borderId="11" xfId="0" applyNumberFormat="1" applyFont="1" applyBorder="1" applyAlignment="1">
      <alignment horizontal="right" vertical="top" wrapText="1"/>
    </xf>
    <xf numFmtId="0" fontId="48" fillId="3" borderId="11" xfId="0" applyFont="1" applyFill="1" applyBorder="1" applyAlignment="1">
      <alignment horizontal="justify" vertical="center" wrapText="1"/>
    </xf>
    <xf numFmtId="0" fontId="46" fillId="2" borderId="12" xfId="0" applyFont="1" applyFill="1" applyBorder="1" applyAlignment="1">
      <alignment horizontal="justify" vertical="center" wrapText="1"/>
    </xf>
    <xf numFmtId="3" fontId="46" fillId="2" borderId="12" xfId="0" applyNumberFormat="1" applyFont="1" applyFill="1" applyBorder="1" applyAlignment="1">
      <alignment horizontal="right" vertical="center" wrapText="1"/>
    </xf>
    <xf numFmtId="0" fontId="48" fillId="0" borderId="11" xfId="0" applyFont="1" applyBorder="1"/>
    <xf numFmtId="3" fontId="43" fillId="4" borderId="11" xfId="0" applyNumberFormat="1" applyFont="1" applyFill="1" applyBorder="1" applyAlignment="1">
      <alignment horizontal="right"/>
    </xf>
    <xf numFmtId="3" fontId="43" fillId="12" borderId="11" xfId="0" applyNumberFormat="1" applyFont="1" applyFill="1" applyBorder="1" applyAlignment="1">
      <alignment horizontal="right"/>
    </xf>
    <xf numFmtId="3" fontId="43" fillId="0" borderId="11" xfId="0" applyNumberFormat="1" applyFont="1" applyFill="1" applyBorder="1" applyAlignment="1">
      <alignment horizontal="right"/>
    </xf>
    <xf numFmtId="3" fontId="48" fillId="0" borderId="11" xfId="0" applyNumberFormat="1" applyFont="1" applyBorder="1" applyAlignment="1">
      <alignment horizontal="right"/>
    </xf>
    <xf numFmtId="3" fontId="48" fillId="4" borderId="11" xfId="0" applyNumberFormat="1" applyFont="1" applyFill="1" applyBorder="1" applyAlignment="1">
      <alignment horizontal="right"/>
    </xf>
    <xf numFmtId="3" fontId="48" fillId="12" borderId="11" xfId="0" applyNumberFormat="1" applyFont="1" applyFill="1" applyBorder="1" applyAlignment="1">
      <alignment horizontal="right"/>
    </xf>
    <xf numFmtId="3" fontId="48" fillId="0" borderId="11" xfId="0" applyNumberFormat="1" applyFont="1" applyFill="1" applyBorder="1" applyAlignment="1">
      <alignment horizontal="right"/>
    </xf>
    <xf numFmtId="0" fontId="48" fillId="0" borderId="11" xfId="0" applyFont="1" applyBorder="1" applyAlignment="1">
      <alignment wrapText="1"/>
    </xf>
    <xf numFmtId="10" fontId="48" fillId="0" borderId="11" xfId="0" applyNumberFormat="1" applyFont="1" applyBorder="1" applyAlignment="1">
      <alignment horizontal="right" vertical="center"/>
    </xf>
    <xf numFmtId="10" fontId="48" fillId="4" borderId="11" xfId="0" applyNumberFormat="1" applyFont="1" applyFill="1" applyBorder="1" applyAlignment="1">
      <alignment horizontal="right" vertical="center"/>
    </xf>
    <xf numFmtId="10" fontId="48" fillId="12" borderId="11" xfId="0" applyNumberFormat="1" applyFont="1" applyFill="1" applyBorder="1" applyAlignment="1">
      <alignment horizontal="right" vertical="center"/>
    </xf>
    <xf numFmtId="10" fontId="48" fillId="0" borderId="11" xfId="0" applyNumberFormat="1" applyFont="1" applyFill="1" applyBorder="1" applyAlignment="1">
      <alignment horizontal="right" vertical="center"/>
    </xf>
    <xf numFmtId="3" fontId="48" fillId="4" borderId="11" xfId="0" applyNumberFormat="1" applyFont="1" applyFill="1" applyBorder="1" applyAlignment="1">
      <alignment horizontal="right" vertical="center"/>
    </xf>
    <xf numFmtId="3" fontId="48" fillId="12" borderId="11" xfId="0" applyNumberFormat="1" applyFont="1" applyFill="1" applyBorder="1" applyAlignment="1">
      <alignment horizontal="right" vertical="center"/>
    </xf>
    <xf numFmtId="3" fontId="48" fillId="0" borderId="11" xfId="0" applyNumberFormat="1" applyFont="1" applyFill="1" applyBorder="1" applyAlignment="1">
      <alignment horizontal="right" vertical="center"/>
    </xf>
    <xf numFmtId="0" fontId="48" fillId="0" borderId="12" xfId="0" applyFont="1" applyBorder="1" applyAlignment="1">
      <alignment vertical="center" wrapText="1"/>
    </xf>
    <xf numFmtId="10" fontId="48" fillId="0" borderId="12" xfId="0" applyNumberFormat="1" applyFont="1" applyBorder="1" applyAlignment="1">
      <alignment horizontal="right" vertical="center"/>
    </xf>
    <xf numFmtId="10" fontId="48" fillId="12" borderId="12" xfId="0" applyNumberFormat="1" applyFont="1" applyFill="1" applyBorder="1" applyAlignment="1">
      <alignment horizontal="right" vertical="center"/>
    </xf>
    <xf numFmtId="10" fontId="48" fillId="0" borderId="12" xfId="0" applyNumberFormat="1" applyFont="1" applyFill="1" applyBorder="1" applyAlignment="1">
      <alignment horizontal="right" vertical="center"/>
    </xf>
    <xf numFmtId="0" fontId="69" fillId="0" borderId="0" xfId="0" applyFont="1" applyAlignment="1"/>
    <xf numFmtId="0" fontId="49" fillId="35" borderId="10" xfId="0" applyFont="1" applyFill="1" applyBorder="1" applyAlignment="1">
      <alignment horizontal="center" vertical="center" wrapText="1"/>
    </xf>
    <xf numFmtId="3" fontId="78" fillId="35" borderId="11" xfId="0" applyNumberFormat="1" applyFont="1" applyFill="1" applyBorder="1" applyAlignment="1">
      <alignment vertical="center"/>
    </xf>
    <xf numFmtId="49" fontId="49" fillId="25" borderId="11" xfId="0" applyNumberFormat="1" applyFont="1" applyFill="1" applyBorder="1" applyAlignment="1">
      <alignment vertical="center" wrapText="1"/>
    </xf>
    <xf numFmtId="3" fontId="49" fillId="25" borderId="11" xfId="0" applyNumberFormat="1" applyFont="1" applyFill="1" applyBorder="1" applyAlignment="1">
      <alignment vertical="center"/>
    </xf>
    <xf numFmtId="0" fontId="80" fillId="35" borderId="10" xfId="0" applyFont="1" applyFill="1" applyBorder="1"/>
    <xf numFmtId="0" fontId="58" fillId="35" borderId="10" xfId="0" applyFont="1" applyFill="1" applyBorder="1" applyAlignment="1">
      <alignment horizontal="center"/>
    </xf>
    <xf numFmtId="3" fontId="43" fillId="36" borderId="11" xfId="0" applyNumberFormat="1" applyFont="1" applyFill="1" applyBorder="1" applyAlignment="1">
      <alignment horizontal="right"/>
    </xf>
    <xf numFmtId="3" fontId="48" fillId="36" borderId="11" xfId="0" applyNumberFormat="1" applyFont="1" applyFill="1" applyBorder="1" applyAlignment="1">
      <alignment horizontal="right"/>
    </xf>
    <xf numFmtId="10" fontId="48" fillId="36" borderId="11" xfId="0" applyNumberFormat="1" applyFont="1" applyFill="1" applyBorder="1" applyAlignment="1">
      <alignment horizontal="right" vertical="center"/>
    </xf>
    <xf numFmtId="3" fontId="48" fillId="36" borderId="11" xfId="0" applyNumberFormat="1" applyFont="1" applyFill="1" applyBorder="1" applyAlignment="1">
      <alignment horizontal="right" vertical="center"/>
    </xf>
    <xf numFmtId="10" fontId="48" fillId="36" borderId="12" xfId="0" applyNumberFormat="1" applyFont="1" applyFill="1" applyBorder="1" applyAlignment="1">
      <alignment horizontal="right" vertical="center"/>
    </xf>
    <xf numFmtId="0" fontId="70" fillId="37" borderId="10" xfId="0" applyFont="1" applyFill="1" applyBorder="1" applyAlignment="1">
      <alignment horizontal="center" vertical="center"/>
    </xf>
    <xf numFmtId="4" fontId="70" fillId="37" borderId="10" xfId="0" applyNumberFormat="1" applyFont="1" applyFill="1" applyBorder="1" applyAlignment="1">
      <alignment horizontal="center" vertical="center" wrapText="1"/>
    </xf>
    <xf numFmtId="0" fontId="70" fillId="37" borderId="13" xfId="0" applyFont="1" applyFill="1" applyBorder="1" applyAlignment="1">
      <alignment horizontal="center" vertical="center"/>
    </xf>
    <xf numFmtId="4" fontId="70" fillId="37" borderId="13" xfId="0" applyNumberFormat="1" applyFont="1" applyFill="1" applyBorder="1" applyAlignment="1">
      <alignment horizontal="center" vertical="center"/>
    </xf>
    <xf numFmtId="4" fontId="70" fillId="37" borderId="13" xfId="0" applyNumberFormat="1" applyFont="1" applyFill="1" applyBorder="1" applyAlignment="1">
      <alignment horizontal="center" vertical="center" wrapText="1"/>
    </xf>
    <xf numFmtId="4" fontId="46" fillId="2" borderId="10" xfId="38" applyNumberFormat="1" applyFont="1" applyFill="1" applyBorder="1" applyAlignment="1">
      <alignment horizontal="center" vertical="center" wrapText="1"/>
    </xf>
    <xf numFmtId="4" fontId="45" fillId="3" borderId="11" xfId="38" applyNumberFormat="1" applyFont="1" applyFill="1" applyBorder="1" applyAlignment="1">
      <alignment vertical="center"/>
    </xf>
    <xf numFmtId="4" fontId="67" fillId="0" borderId="11" xfId="38" applyNumberFormat="1" applyFont="1" applyBorder="1" applyAlignment="1">
      <alignment vertical="center"/>
    </xf>
    <xf numFmtId="4" fontId="35" fillId="17" borderId="11" xfId="38" applyNumberFormat="1" applyFont="1" applyFill="1" applyBorder="1" applyAlignment="1">
      <alignment vertical="center"/>
    </xf>
    <xf numFmtId="4" fontId="68" fillId="0" borderId="11" xfId="38" applyNumberFormat="1" applyFont="1" applyBorder="1" applyAlignment="1">
      <alignment vertical="center"/>
    </xf>
    <xf numFmtId="4" fontId="68" fillId="0" borderId="11" xfId="38" applyNumberFormat="1" applyFont="1" applyBorder="1" applyAlignment="1">
      <alignment horizontal="right" vertical="center"/>
    </xf>
    <xf numFmtId="4" fontId="67" fillId="0" borderId="11" xfId="38" applyNumberFormat="1" applyFont="1" applyFill="1" applyBorder="1" applyAlignment="1">
      <alignment vertical="center"/>
    </xf>
    <xf numFmtId="4" fontId="38" fillId="2" borderId="12" xfId="38" applyNumberFormat="1" applyFont="1" applyFill="1" applyBorder="1" applyAlignment="1">
      <alignment vertical="center"/>
    </xf>
    <xf numFmtId="0" fontId="64" fillId="0" borderId="0" xfId="0" applyFont="1" applyAlignment="1">
      <alignment horizontal="center" wrapText="1"/>
    </xf>
    <xf numFmtId="0" fontId="43" fillId="0" borderId="11" xfId="0" applyFont="1" applyFill="1" applyBorder="1"/>
    <xf numFmtId="0" fontId="51" fillId="0" borderId="0" xfId="0" applyFont="1" applyAlignment="1">
      <alignment horizontal="center"/>
    </xf>
    <xf numFmtId="0" fontId="43" fillId="0" borderId="11" xfId="0" applyFont="1" applyFill="1" applyBorder="1" applyAlignment="1">
      <alignment horizontal="left" wrapText="1"/>
    </xf>
    <xf numFmtId="0" fontId="43" fillId="0" borderId="12" xfId="0" applyFont="1" applyFill="1" applyBorder="1" applyAlignment="1" applyProtection="1">
      <alignment horizontal="left"/>
      <protection locked="0"/>
    </xf>
    <xf numFmtId="0" fontId="43" fillId="0" borderId="11" xfId="0" applyFont="1" applyFill="1" applyBorder="1" applyAlignment="1">
      <alignment horizontal="left"/>
    </xf>
    <xf numFmtId="0" fontId="43" fillId="0" borderId="11" xfId="0" applyFont="1" applyFill="1" applyBorder="1" applyAlignment="1" applyProtection="1">
      <alignment horizontal="left"/>
      <protection locked="0"/>
    </xf>
    <xf numFmtId="0" fontId="48" fillId="22" borderId="11" xfId="0" applyFont="1" applyFill="1" applyBorder="1" applyAlignment="1">
      <alignment horizontal="left"/>
    </xf>
    <xf numFmtId="3" fontId="43" fillId="0" borderId="11" xfId="0" applyNumberFormat="1" applyFont="1" applyFill="1" applyBorder="1" applyAlignment="1">
      <alignment horizontal="left" wrapText="1"/>
    </xf>
    <xf numFmtId="0" fontId="39" fillId="0" borderId="0" xfId="0" applyFont="1" applyAlignment="1">
      <alignment horizontal="center" vertical="center"/>
    </xf>
    <xf numFmtId="0" fontId="46" fillId="2" borderId="10" xfId="0" applyFont="1" applyFill="1" applyBorder="1" applyAlignment="1">
      <alignment vertical="center"/>
    </xf>
    <xf numFmtId="0" fontId="46" fillId="2" borderId="12" xfId="0" applyFont="1" applyFill="1" applyBorder="1" applyAlignment="1">
      <alignment vertical="center"/>
    </xf>
    <xf numFmtId="0" fontId="39" fillId="0" borderId="0" xfId="0" applyFont="1" applyAlignment="1">
      <alignment horizontal="center"/>
    </xf>
    <xf numFmtId="0" fontId="46" fillId="2" borderId="10" xfId="0" applyFont="1" applyFill="1" applyBorder="1" applyAlignment="1">
      <alignment horizontal="left" vertical="center"/>
    </xf>
    <xf numFmtId="0" fontId="52" fillId="0" borderId="0" xfId="2" applyFont="1" applyAlignment="1">
      <alignment horizontal="center"/>
    </xf>
    <xf numFmtId="0" fontId="46" fillId="2" borderId="10" xfId="2" applyFont="1" applyFill="1" applyBorder="1" applyAlignment="1">
      <alignment horizontal="center" vertical="center" wrapText="1"/>
    </xf>
    <xf numFmtId="0" fontId="46" fillId="2" borderId="11" xfId="2" applyFont="1" applyFill="1" applyBorder="1" applyAlignment="1">
      <alignment horizontal="center" vertical="center" wrapText="1"/>
    </xf>
    <xf numFmtId="0" fontId="46" fillId="2" borderId="10" xfId="2" applyFont="1" applyFill="1" applyBorder="1" applyAlignment="1">
      <alignment horizontal="center" vertical="center"/>
    </xf>
    <xf numFmtId="0" fontId="51" fillId="0" borderId="0" xfId="2" applyFont="1" applyAlignment="1">
      <alignment horizontal="center"/>
    </xf>
    <xf numFmtId="0" fontId="46" fillId="13" borderId="10" xfId="2" applyFont="1" applyFill="1" applyBorder="1" applyAlignment="1">
      <alignment horizontal="left" vertical="center" wrapText="1"/>
    </xf>
    <xf numFmtId="0" fontId="46" fillId="13" borderId="11" xfId="2" applyFont="1" applyFill="1" applyBorder="1" applyAlignment="1">
      <alignment horizontal="left" vertical="center" wrapText="1"/>
    </xf>
    <xf numFmtId="0" fontId="46" fillId="13" borderId="10" xfId="2" applyFont="1" applyFill="1" applyBorder="1" applyAlignment="1">
      <alignment horizontal="center" vertical="center" wrapText="1"/>
    </xf>
    <xf numFmtId="0" fontId="46" fillId="13" borderId="11" xfId="2" applyFont="1" applyFill="1" applyBorder="1" applyAlignment="1">
      <alignment horizontal="center" vertical="center" wrapText="1"/>
    </xf>
    <xf numFmtId="0" fontId="65" fillId="14" borderId="10" xfId="2" applyFont="1" applyFill="1" applyBorder="1" applyAlignment="1">
      <alignment horizontal="center"/>
    </xf>
    <xf numFmtId="0" fontId="46" fillId="13" borderId="11" xfId="2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left" vertical="center" wrapText="1"/>
    </xf>
    <xf numFmtId="0" fontId="43" fillId="0" borderId="11" xfId="0" applyFont="1" applyBorder="1" applyAlignment="1">
      <alignment horizontal="left"/>
    </xf>
    <xf numFmtId="0" fontId="46" fillId="2" borderId="12" xfId="0" applyFont="1" applyFill="1" applyBorder="1"/>
    <xf numFmtId="0" fontId="46" fillId="2" borderId="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wrapText="1"/>
    </xf>
    <xf numFmtId="0" fontId="43" fillId="0" borderId="1" xfId="0" applyFont="1" applyFill="1" applyBorder="1" applyAlignment="1">
      <alignment horizontal="left" wrapText="1"/>
    </xf>
    <xf numFmtId="0" fontId="43" fillId="0" borderId="1" xfId="0" applyFont="1" applyFill="1" applyBorder="1" applyAlignment="1">
      <alignment horizontal="left" vertical="center" wrapText="1"/>
    </xf>
    <xf numFmtId="0" fontId="46" fillId="2" borderId="3" xfId="0" applyFont="1" applyFill="1" applyBorder="1" applyAlignment="1">
      <alignment vertical="center"/>
    </xf>
    <xf numFmtId="0" fontId="40" fillId="3" borderId="11" xfId="38" applyFont="1" applyFill="1" applyBorder="1" applyAlignment="1">
      <alignment horizontal="center" vertical="center"/>
    </xf>
    <xf numFmtId="0" fontId="3" fillId="0" borderId="0" xfId="38" applyAlignment="1">
      <alignment vertical="center"/>
    </xf>
    <xf numFmtId="0" fontId="38" fillId="2" borderId="12" xfId="38" applyFont="1" applyFill="1" applyBorder="1" applyAlignment="1">
      <alignment vertical="center"/>
    </xf>
    <xf numFmtId="0" fontId="49" fillId="17" borderId="11" xfId="0" applyFont="1" applyFill="1" applyBorder="1" applyAlignment="1">
      <alignment horizontal="center" vertical="center"/>
    </xf>
    <xf numFmtId="0" fontId="39" fillId="0" borderId="0" xfId="38" applyFont="1" applyAlignment="1">
      <alignment horizontal="center" vertical="center"/>
    </xf>
    <xf numFmtId="0" fontId="13" fillId="0" borderId="0" xfId="0" applyFont="1"/>
    <xf numFmtId="0" fontId="62" fillId="0" borderId="0" xfId="0" applyFont="1" applyAlignment="1">
      <alignment horizontal="center"/>
    </xf>
    <xf numFmtId="0" fontId="39" fillId="0" borderId="0" xfId="11" applyFont="1" applyAlignment="1">
      <alignment horizontal="center" vertical="center" wrapText="1"/>
    </xf>
    <xf numFmtId="0" fontId="39" fillId="0" borderId="0" xfId="11" applyFont="1" applyAlignment="1">
      <alignment horizontal="center" vertical="center"/>
    </xf>
    <xf numFmtId="0" fontId="45" fillId="4" borderId="0" xfId="11" applyFont="1" applyFill="1" applyAlignment="1">
      <alignment horizontal="left" vertical="center"/>
    </xf>
    <xf numFmtId="0" fontId="0" fillId="0" borderId="0" xfId="0"/>
    <xf numFmtId="3" fontId="41" fillId="0" borderId="0" xfId="28" applyNumberFormat="1" applyFont="1" applyAlignment="1">
      <alignment horizontal="right"/>
    </xf>
    <xf numFmtId="0" fontId="41" fillId="0" borderId="0" xfId="28" applyFont="1"/>
    <xf numFmtId="0" fontId="39" fillId="0" borderId="0" xfId="28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12" applyFont="1" applyAlignment="1">
      <alignment horizontal="center" vertical="center"/>
    </xf>
    <xf numFmtId="0" fontId="46" fillId="2" borderId="12" xfId="12" applyFont="1" applyFill="1" applyBorder="1" applyAlignment="1">
      <alignment horizontal="left" vertical="center"/>
    </xf>
    <xf numFmtId="0" fontId="43" fillId="0" borderId="11" xfId="12" applyFont="1" applyBorder="1" applyAlignment="1">
      <alignment horizontal="center" vertical="center" wrapText="1"/>
    </xf>
    <xf numFmtId="0" fontId="66" fillId="0" borderId="11" xfId="0" applyFont="1" applyBorder="1" applyAlignment="1">
      <alignment horizontal="left" vertical="center" wrapText="1"/>
    </xf>
    <xf numFmtId="4" fontId="66" fillId="0" borderId="11" xfId="0" applyNumberFormat="1" applyFont="1" applyBorder="1" applyAlignment="1">
      <alignment horizontal="right" vertical="center" wrapText="1"/>
    </xf>
    <xf numFmtId="0" fontId="46" fillId="2" borderId="10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4" fontId="46" fillId="2" borderId="10" xfId="0" applyNumberFormat="1" applyFont="1" applyFill="1" applyBorder="1" applyAlignment="1">
      <alignment horizontal="center" vertical="center"/>
    </xf>
    <xf numFmtId="4" fontId="46" fillId="2" borderId="11" xfId="0" applyNumberFormat="1" applyFont="1" applyFill="1" applyBorder="1" applyAlignment="1">
      <alignment horizontal="center" vertical="center"/>
    </xf>
    <xf numFmtId="14" fontId="67" fillId="0" borderId="21" xfId="0" applyNumberFormat="1" applyFont="1" applyBorder="1" applyAlignment="1">
      <alignment horizontal="center" vertical="center"/>
    </xf>
    <xf numFmtId="14" fontId="67" fillId="0" borderId="22" xfId="0" applyNumberFormat="1" applyFont="1" applyBorder="1" applyAlignment="1">
      <alignment horizontal="center" vertical="center"/>
    </xf>
    <xf numFmtId="4" fontId="70" fillId="10" borderId="21" xfId="0" applyNumberFormat="1" applyFont="1" applyFill="1" applyBorder="1" applyAlignment="1">
      <alignment horizontal="right" vertical="center"/>
    </xf>
    <xf numFmtId="4" fontId="70" fillId="10" borderId="22" xfId="0" applyNumberFormat="1" applyFont="1" applyFill="1" applyBorder="1" applyAlignment="1">
      <alignment horizontal="right" vertical="center"/>
    </xf>
    <xf numFmtId="4" fontId="67" fillId="0" borderId="14" xfId="0" applyNumberFormat="1" applyFont="1" applyBorder="1" applyAlignment="1">
      <alignment horizontal="right" vertical="center"/>
    </xf>
    <xf numFmtId="4" fontId="67" fillId="0" borderId="13" xfId="0" applyNumberFormat="1" applyFont="1" applyBorder="1" applyAlignment="1">
      <alignment horizontal="right" vertical="center"/>
    </xf>
    <xf numFmtId="4" fontId="67" fillId="0" borderId="14" xfId="0" applyNumberFormat="1" applyFont="1" applyBorder="1" applyAlignment="1">
      <alignment horizontal="right" vertical="center" wrapText="1"/>
    </xf>
    <xf numFmtId="4" fontId="67" fillId="0" borderId="13" xfId="0" applyNumberFormat="1" applyFont="1" applyBorder="1" applyAlignment="1">
      <alignment horizontal="right" vertical="center" wrapText="1"/>
    </xf>
    <xf numFmtId="14" fontId="67" fillId="0" borderId="14" xfId="0" applyNumberFormat="1" applyFont="1" applyBorder="1" applyAlignment="1">
      <alignment horizontal="center" vertical="center"/>
    </xf>
    <xf numFmtId="14" fontId="67" fillId="0" borderId="13" xfId="0" applyNumberFormat="1" applyFont="1" applyBorder="1" applyAlignment="1">
      <alignment horizontal="center" vertical="center"/>
    </xf>
    <xf numFmtId="4" fontId="70" fillId="10" borderId="14" xfId="0" applyNumberFormat="1" applyFont="1" applyFill="1" applyBorder="1" applyAlignment="1">
      <alignment horizontal="right" vertical="center"/>
    </xf>
    <xf numFmtId="4" fontId="70" fillId="10" borderId="13" xfId="0" applyNumberFormat="1" applyFont="1" applyFill="1" applyBorder="1" applyAlignment="1">
      <alignment horizontal="right" vertical="center"/>
    </xf>
    <xf numFmtId="0" fontId="70" fillId="0" borderId="21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22" xfId="0" applyFont="1" applyBorder="1" applyAlignment="1">
      <alignment horizontal="center" vertical="center" wrapText="1"/>
    </xf>
    <xf numFmtId="4" fontId="70" fillId="0" borderId="21" xfId="0" applyNumberFormat="1" applyFont="1" applyBorder="1" applyAlignment="1">
      <alignment horizontal="center" vertical="center"/>
    </xf>
    <xf numFmtId="4" fontId="70" fillId="0" borderId="11" xfId="0" applyNumberFormat="1" applyFont="1" applyBorder="1" applyAlignment="1">
      <alignment horizontal="center" vertical="center"/>
    </xf>
    <xf numFmtId="4" fontId="70" fillId="0" borderId="22" xfId="0" applyNumberFormat="1" applyFont="1" applyBorder="1" applyAlignment="1">
      <alignment horizontal="center" vertical="center"/>
    </xf>
    <xf numFmtId="4" fontId="67" fillId="0" borderId="21" xfId="0" applyNumberFormat="1" applyFont="1" applyBorder="1" applyAlignment="1">
      <alignment horizontal="right" vertical="center" wrapText="1"/>
    </xf>
    <xf numFmtId="4" fontId="67" fillId="0" borderId="11" xfId="0" applyNumberFormat="1" applyFont="1" applyBorder="1" applyAlignment="1">
      <alignment horizontal="right" vertical="center" wrapText="1"/>
    </xf>
    <xf numFmtId="4" fontId="67" fillId="0" borderId="22" xfId="0" applyNumberFormat="1" applyFont="1" applyBorder="1" applyAlignment="1">
      <alignment horizontal="right" vertical="center" wrapText="1"/>
    </xf>
    <xf numFmtId="4" fontId="67" fillId="0" borderId="21" xfId="0" applyNumberFormat="1" applyFont="1" applyBorder="1" applyAlignment="1">
      <alignment horizontal="right" vertical="center"/>
    </xf>
    <xf numFmtId="4" fontId="67" fillId="0" borderId="11" xfId="0" applyNumberFormat="1" applyFont="1" applyBorder="1" applyAlignment="1">
      <alignment horizontal="right" vertical="center"/>
    </xf>
    <xf numFmtId="4" fontId="67" fillId="0" borderId="22" xfId="0" applyNumberFormat="1" applyFont="1" applyBorder="1" applyAlignment="1">
      <alignment horizontal="right" vertical="center"/>
    </xf>
    <xf numFmtId="14" fontId="67" fillId="0" borderId="11" xfId="0" applyNumberFormat="1" applyFont="1" applyBorder="1" applyAlignment="1">
      <alignment horizontal="center" vertical="center"/>
    </xf>
    <xf numFmtId="4" fontId="70" fillId="10" borderId="11" xfId="0" applyNumberFormat="1" applyFont="1" applyFill="1" applyBorder="1" applyAlignment="1">
      <alignment horizontal="right" vertical="center"/>
    </xf>
    <xf numFmtId="0" fontId="70" fillId="0" borderId="21" xfId="0" applyFont="1" applyBorder="1" applyAlignment="1">
      <alignment horizontal="left" vertical="center"/>
    </xf>
    <xf numFmtId="0" fontId="70" fillId="0" borderId="22" xfId="0" applyFont="1" applyBorder="1" applyAlignment="1">
      <alignment horizontal="left" vertical="center"/>
    </xf>
    <xf numFmtId="0" fontId="70" fillId="0" borderId="21" xfId="0" applyFont="1" applyBorder="1" applyAlignment="1">
      <alignment horizontal="left" vertical="center" wrapText="1"/>
    </xf>
    <xf numFmtId="0" fontId="70" fillId="0" borderId="11" xfId="0" applyFont="1" applyBorder="1" applyAlignment="1">
      <alignment horizontal="left" vertical="center" wrapText="1"/>
    </xf>
    <xf numFmtId="0" fontId="70" fillId="0" borderId="22" xfId="0" applyFont="1" applyBorder="1" applyAlignment="1">
      <alignment horizontal="left" vertical="center" wrapText="1"/>
    </xf>
    <xf numFmtId="0" fontId="70" fillId="0" borderId="14" xfId="0" applyFont="1" applyBorder="1" applyAlignment="1">
      <alignment horizontal="left" vertical="center" wrapText="1"/>
    </xf>
    <xf numFmtId="0" fontId="70" fillId="0" borderId="13" xfId="0" applyFont="1" applyBorder="1" applyAlignment="1">
      <alignment horizontal="left" vertical="center" wrapText="1"/>
    </xf>
    <xf numFmtId="4" fontId="70" fillId="0" borderId="21" xfId="0" applyNumberFormat="1" applyFont="1" applyBorder="1" applyAlignment="1">
      <alignment horizontal="right" vertical="center"/>
    </xf>
    <xf numFmtId="4" fontId="70" fillId="0" borderId="11" xfId="0" applyNumberFormat="1" applyFont="1" applyBorder="1" applyAlignment="1">
      <alignment horizontal="right" vertical="center"/>
    </xf>
    <xf numFmtId="0" fontId="49" fillId="0" borderId="0" xfId="0" applyFont="1" applyBorder="1" applyAlignment="1">
      <alignment horizontal="center" vertical="center" wrapText="1"/>
    </xf>
    <xf numFmtId="49" fontId="67" fillId="0" borderId="11" xfId="0" applyNumberFormat="1" applyFont="1" applyBorder="1" applyAlignment="1">
      <alignment horizontal="center" vertical="center"/>
    </xf>
    <xf numFmtId="49" fontId="67" fillId="0" borderId="22" xfId="0" applyNumberFormat="1" applyFont="1" applyBorder="1" applyAlignment="1">
      <alignment horizontal="center" vertical="center"/>
    </xf>
    <xf numFmtId="4" fontId="70" fillId="0" borderId="22" xfId="0" applyNumberFormat="1" applyFont="1" applyBorder="1" applyAlignment="1">
      <alignment horizontal="right" vertical="center"/>
    </xf>
    <xf numFmtId="0" fontId="31" fillId="10" borderId="0" xfId="0" applyFont="1" applyFill="1" applyBorder="1" applyAlignment="1">
      <alignment horizontal="center" vertical="center"/>
    </xf>
    <xf numFmtId="4" fontId="70" fillId="37" borderId="10" xfId="0" applyNumberFormat="1" applyFont="1" applyFill="1" applyBorder="1" applyAlignment="1">
      <alignment horizontal="center" vertical="center" wrapText="1"/>
    </xf>
    <xf numFmtId="4" fontId="70" fillId="37" borderId="13" xfId="0" applyNumberFormat="1" applyFont="1" applyFill="1" applyBorder="1" applyAlignment="1">
      <alignment horizontal="center" vertical="center" wrapText="1"/>
    </xf>
    <xf numFmtId="4" fontId="70" fillId="37" borderId="10" xfId="0" applyNumberFormat="1" applyFont="1" applyFill="1" applyBorder="1" applyAlignment="1">
      <alignment horizontal="center" vertical="center"/>
    </xf>
    <xf numFmtId="4" fontId="70" fillId="37" borderId="13" xfId="0" applyNumberFormat="1" applyFont="1" applyFill="1" applyBorder="1" applyAlignment="1">
      <alignment horizontal="center" vertical="center"/>
    </xf>
    <xf numFmtId="14" fontId="70" fillId="37" borderId="10" xfId="0" applyNumberFormat="1" applyFont="1" applyFill="1" applyBorder="1" applyAlignment="1">
      <alignment horizontal="center" vertical="center" wrapText="1"/>
    </xf>
    <xf numFmtId="14" fontId="70" fillId="37" borderId="13" xfId="0" applyNumberFormat="1" applyFont="1" applyFill="1" applyBorder="1" applyAlignment="1">
      <alignment horizontal="center" vertical="center" wrapText="1"/>
    </xf>
    <xf numFmtId="49" fontId="67" fillId="0" borderId="21" xfId="0" applyNumberFormat="1" applyFont="1" applyBorder="1" applyAlignment="1">
      <alignment horizontal="center" vertical="center"/>
    </xf>
    <xf numFmtId="4" fontId="67" fillId="0" borderId="21" xfId="0" applyNumberFormat="1" applyFont="1" applyBorder="1" applyAlignment="1">
      <alignment vertical="center"/>
    </xf>
    <xf numFmtId="4" fontId="67" fillId="0" borderId="22" xfId="0" applyNumberFormat="1" applyFont="1" applyBorder="1" applyAlignment="1">
      <alignment vertical="center"/>
    </xf>
    <xf numFmtId="0" fontId="70" fillId="0" borderId="14" xfId="0" applyFont="1" applyBorder="1" applyAlignment="1">
      <alignment horizontal="left" vertical="center"/>
    </xf>
    <xf numFmtId="0" fontId="70" fillId="0" borderId="13" xfId="0" applyFont="1" applyBorder="1" applyAlignment="1">
      <alignment horizontal="left" vertical="center"/>
    </xf>
    <xf numFmtId="0" fontId="70" fillId="37" borderId="10" xfId="0" applyFont="1" applyFill="1" applyBorder="1" applyAlignment="1">
      <alignment horizontal="center" vertical="center" wrapText="1"/>
    </xf>
    <xf numFmtId="0" fontId="70" fillId="37" borderId="13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69" fillId="0" borderId="0" xfId="0" applyFont="1" applyAlignment="1">
      <alignment horizontal="left" wrapText="1"/>
    </xf>
    <xf numFmtId="0" fontId="69" fillId="0" borderId="0" xfId="0" applyFont="1" applyAlignment="1">
      <alignment horizontal="left" vertical="center" wrapText="1"/>
    </xf>
    <xf numFmtId="0" fontId="49" fillId="25" borderId="11" xfId="0" applyFont="1" applyFill="1" applyBorder="1" applyAlignment="1">
      <alignment vertical="center" wrapText="1"/>
    </xf>
    <xf numFmtId="0" fontId="49" fillId="35" borderId="10" xfId="0" applyFont="1" applyFill="1" applyBorder="1" applyAlignment="1">
      <alignment horizontal="center" vertical="center" wrapText="1"/>
    </xf>
    <xf numFmtId="0" fontId="78" fillId="35" borderId="11" xfId="0" applyFont="1" applyFill="1" applyBorder="1" applyAlignment="1">
      <alignment vertical="center" wrapText="1"/>
    </xf>
    <xf numFmtId="0" fontId="49" fillId="29" borderId="11" xfId="0" applyFont="1" applyFill="1" applyBorder="1" applyAlignment="1">
      <alignment vertical="top" wrapText="1"/>
    </xf>
    <xf numFmtId="0" fontId="49" fillId="29" borderId="11" xfId="0" applyFont="1" applyFill="1" applyBorder="1" applyAlignment="1">
      <alignment vertical="center" wrapText="1"/>
    </xf>
    <xf numFmtId="0" fontId="49" fillId="30" borderId="10" xfId="0" applyFont="1" applyFill="1" applyBorder="1" applyAlignment="1">
      <alignment horizontal="center" vertical="center" wrapText="1"/>
    </xf>
    <xf numFmtId="0" fontId="78" fillId="30" borderId="11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77" fillId="30" borderId="10" xfId="0" applyFont="1" applyFill="1" applyBorder="1"/>
    <xf numFmtId="0" fontId="49" fillId="27" borderId="10" xfId="0" applyFont="1" applyFill="1" applyBorder="1" applyAlignment="1">
      <alignment horizontal="center" vertical="center" wrapText="1"/>
    </xf>
    <xf numFmtId="0" fontId="4" fillId="0" borderId="0" xfId="36"/>
    <xf numFmtId="0" fontId="39" fillId="0" borderId="0" xfId="36" applyFont="1" applyAlignment="1">
      <alignment horizontal="center"/>
    </xf>
    <xf numFmtId="0" fontId="35" fillId="27" borderId="10" xfId="36" applyFont="1" applyFill="1" applyBorder="1"/>
    <xf numFmtId="0" fontId="35" fillId="27" borderId="11" xfId="36" applyFont="1" applyFill="1" applyBorder="1"/>
    <xf numFmtId="0" fontId="58" fillId="27" borderId="10" xfId="2" applyFont="1" applyFill="1" applyBorder="1" applyAlignment="1">
      <alignment horizontal="center" vertical="center" wrapText="1"/>
    </xf>
    <xf numFmtId="0" fontId="58" fillId="27" borderId="11" xfId="2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/>
    </xf>
    <xf numFmtId="0" fontId="35" fillId="0" borderId="0" xfId="37" applyFont="1"/>
    <xf numFmtId="0" fontId="41" fillId="0" borderId="0" xfId="37" applyFont="1"/>
    <xf numFmtId="0" fontId="54" fillId="0" borderId="0" xfId="37" applyFont="1" applyBorder="1" applyAlignment="1">
      <alignment horizontal="right"/>
    </xf>
    <xf numFmtId="0" fontId="57" fillId="15" borderId="9" xfId="37" applyFont="1" applyFill="1" applyBorder="1" applyAlignment="1">
      <alignment horizontal="center"/>
    </xf>
    <xf numFmtId="0" fontId="41" fillId="0" borderId="0" xfId="37" applyFont="1" applyBorder="1"/>
    <xf numFmtId="0" fontId="34" fillId="0" borderId="0" xfId="37" applyFont="1" applyAlignment="1">
      <alignment wrapText="1"/>
    </xf>
    <xf numFmtId="0" fontId="61" fillId="0" borderId="10" xfId="0" applyFont="1" applyFill="1" applyBorder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</cellXfs>
  <cellStyles count="50">
    <cellStyle name="Excel Built-in Normal" xfId="1" xr:uid="{00000000-0005-0000-0000-000000000000}"/>
    <cellStyle name="Excel Built-in Normal 1" xfId="2" xr:uid="{00000000-0005-0000-0000-000001000000}"/>
    <cellStyle name="Normálna" xfId="0" builtinId="0" customBuiltin="1"/>
    <cellStyle name="Normálna 10" xfId="3" xr:uid="{00000000-0005-0000-0000-000002000000}"/>
    <cellStyle name="Normálna 11" xfId="26" xr:uid="{00000000-0005-0000-0000-000003000000}"/>
    <cellStyle name="Normálna 11 2" xfId="31" xr:uid="{C99B6DC4-8A46-4F52-8B57-6BC77BEA40A9}"/>
    <cellStyle name="Normálna 11 2 2" xfId="49" xr:uid="{63B7CA4C-4376-4865-9F18-24C5BC316515}"/>
    <cellStyle name="Normálna 12" xfId="27" xr:uid="{00000000-0005-0000-0000-000004000000}"/>
    <cellStyle name="Normálna 12 2" xfId="33" xr:uid="{F76B0DB6-DE57-4FB6-A380-38D9C8053ADB}"/>
    <cellStyle name="Normálna 12 3" xfId="35" xr:uid="{53BDB5A8-E057-41E5-8C19-BA944CC18181}"/>
    <cellStyle name="Normálna 13" xfId="28" xr:uid="{00000000-0005-0000-0000-000005000000}"/>
    <cellStyle name="Normálna 13 2" xfId="32" xr:uid="{B7244BA8-F247-498E-ADE2-E6227A7321F5}"/>
    <cellStyle name="Normálna 14" xfId="29" xr:uid="{00000000-0005-0000-0000-000006000000}"/>
    <cellStyle name="Normálna 14 2" xfId="37" xr:uid="{CD9F5E34-AE75-429D-8E4C-EA3DF7427BD4}"/>
    <cellStyle name="Normálna 15" xfId="30" xr:uid="{615BB169-64E3-4092-AAFD-954A29086734}"/>
    <cellStyle name="Normálna 15 2" xfId="48" xr:uid="{842C2B17-0730-4B54-85B7-8845130268AF}"/>
    <cellStyle name="Normálna 16" xfId="34" xr:uid="{9B70B4CE-FF5F-4D81-8430-FB0FCE99C7AD}"/>
    <cellStyle name="Normálna 17" xfId="36" xr:uid="{2C1FE4FB-F292-4FB3-AD4C-E1E3C80D4675}"/>
    <cellStyle name="Normálna 18" xfId="38" xr:uid="{47CD9248-9CB7-4997-9E44-F50CA93712B4}"/>
    <cellStyle name="Normálna 19" xfId="39" xr:uid="{F4DC07EE-CB9E-4E25-A3A5-ED9446A66BB6}"/>
    <cellStyle name="Normálna 2" xfId="4" xr:uid="{00000000-0005-0000-0000-000007000000}"/>
    <cellStyle name="Normálna 2 2" xfId="40" xr:uid="{64231CB5-8033-4EED-838E-5733A807E390}"/>
    <cellStyle name="Normálna 20" xfId="47" xr:uid="{DEF4DD9F-BF6B-4D97-A0CA-DD9195F552DB}"/>
    <cellStyle name="Normálna 3" xfId="5" xr:uid="{00000000-0005-0000-0000-000008000000}"/>
    <cellStyle name="Normálna 3 2" xfId="6" xr:uid="{00000000-0005-0000-0000-000009000000}"/>
    <cellStyle name="Normálna 3 3" xfId="7" xr:uid="{00000000-0005-0000-0000-00000A000000}"/>
    <cellStyle name="Normálna 4" xfId="8" xr:uid="{00000000-0005-0000-0000-00000B000000}"/>
    <cellStyle name="Normálna 5" xfId="9" xr:uid="{00000000-0005-0000-0000-00000C000000}"/>
    <cellStyle name="Normálna 6" xfId="10" xr:uid="{00000000-0005-0000-0000-00000D000000}"/>
    <cellStyle name="Normálna 7" xfId="11" xr:uid="{00000000-0005-0000-0000-00000E000000}"/>
    <cellStyle name="Normálna 8" xfId="12" xr:uid="{00000000-0005-0000-0000-00000F000000}"/>
    <cellStyle name="Normálna 9" xfId="13" xr:uid="{00000000-0005-0000-0000-000010000000}"/>
    <cellStyle name="normálne 2" xfId="14" xr:uid="{00000000-0005-0000-0000-000012000000}"/>
    <cellStyle name="normálne 2 2" xfId="15" xr:uid="{00000000-0005-0000-0000-000013000000}"/>
    <cellStyle name="normálne 2 2 2" xfId="16" xr:uid="{00000000-0005-0000-0000-000014000000}"/>
    <cellStyle name="normálne 2 2 2 2" xfId="17" xr:uid="{00000000-0005-0000-0000-000015000000}"/>
    <cellStyle name="normálne 2 2 2 3" xfId="18" xr:uid="{00000000-0005-0000-0000-000016000000}"/>
    <cellStyle name="normálne 2 2 3" xfId="19" xr:uid="{00000000-0005-0000-0000-000017000000}"/>
    <cellStyle name="normálne 2 2 4" xfId="20" xr:uid="{00000000-0005-0000-0000-000018000000}"/>
    <cellStyle name="normálne 2 3" xfId="21" xr:uid="{00000000-0005-0000-0000-000019000000}"/>
    <cellStyle name="normálne 2 4" xfId="22" xr:uid="{00000000-0005-0000-0000-00001A000000}"/>
    <cellStyle name="Normálne 2 5" xfId="41" xr:uid="{87C0D2E2-9EC0-4FF4-A1D3-D34556C7302A}"/>
    <cellStyle name="Normálne 2 6" xfId="43" xr:uid="{5D7B5AEE-5122-4523-8563-D45902C8A199}"/>
    <cellStyle name="Normálne 2 7" xfId="45" xr:uid="{8B57D4F4-C6D7-405E-9DDD-CC3C8D7EBE01}"/>
    <cellStyle name="normálne 3" xfId="23" xr:uid="{00000000-0005-0000-0000-00001B000000}"/>
    <cellStyle name="normálne 3 2" xfId="24" xr:uid="{00000000-0005-0000-0000-00001C000000}"/>
    <cellStyle name="normálne 3 3" xfId="25" xr:uid="{00000000-0005-0000-0000-00001D000000}"/>
    <cellStyle name="Normálne 3 4" xfId="42" xr:uid="{43BF8765-F3DE-4777-AE79-BA07702FEA76}"/>
    <cellStyle name="Normálne 3 5" xfId="44" xr:uid="{477C9CBC-EC7F-41E2-A0B7-74D504C6682B}"/>
    <cellStyle name="Normálne 3 6" xfId="46" xr:uid="{82B2E588-C5B5-47C9-8319-43128496CB6E}"/>
  </cellStyles>
  <dxfs count="0"/>
  <tableStyles count="0" defaultTableStyle="TableStyleMedium2" defaultPivotStyle="PivotStyleLight16"/>
  <colors>
    <mruColors>
      <color rgb="FF366092"/>
      <color rgb="FFC5D9F1"/>
      <color rgb="FF1F4E78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sk-SK" sz="1800" b="1" i="0" u="none" strike="noStrike" kern="1200" baseline="0">
                <a:solidFill>
                  <a:srgbClr val="404040"/>
                </a:solidFill>
                <a:latin typeface="Calibri"/>
                <a:ea typeface="+mn-ea"/>
                <a:cs typeface="+mn-cs"/>
              </a:defRPr>
            </a:pPr>
            <a:r>
              <a:rPr lang="sk-SK" sz="1800" b="1" i="0" u="none" strike="noStrike" kern="1200" cap="none" spc="0" baseline="0">
                <a:solidFill>
                  <a:srgbClr val="404040"/>
                </a:solidFill>
                <a:uFillTx/>
                <a:latin typeface="Calibri"/>
              </a:rPr>
              <a:t>Vývoj dlhovej služby Mesta Trenčín  </a:t>
            </a:r>
            <a:br>
              <a:rPr lang="sk-SK" sz="1800" b="1" i="0" u="none" strike="noStrike" kern="1200" cap="none" spc="0" baseline="0">
                <a:solidFill>
                  <a:srgbClr val="404040"/>
                </a:solidFill>
                <a:uFillTx/>
                <a:latin typeface="Calibri"/>
              </a:rPr>
            </a:br>
            <a:r>
              <a:rPr lang="sk-SK" sz="1800" b="1" i="0" u="none" strike="noStrike" kern="1200" cap="none" spc="0" baseline="0">
                <a:solidFill>
                  <a:srgbClr val="404040"/>
                </a:solidFill>
                <a:uFillTx/>
                <a:latin typeface="Calibri"/>
              </a:rPr>
              <a:t>v  rokoch 2016 - 2021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sk-SK" sz="1800" b="1" i="0" u="none" strike="noStrike" kern="1200" baseline="0">
              <a:solidFill>
                <a:srgbClr val="404040"/>
              </a:solidFill>
              <a:latin typeface="Calibri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Vývoj_dlhovej_služby!$C$7:$H$7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Vývoj_dlhovej_služby!$C$10:$H$10</c:f>
              <c:numCache>
                <c:formatCode>#,##0</c:formatCode>
                <c:ptCount val="6"/>
                <c:pt idx="0">
                  <c:v>12053</c:v>
                </c:pt>
                <c:pt idx="1">
                  <c:v>12394</c:v>
                </c:pt>
                <c:pt idx="2">
                  <c:v>13381</c:v>
                </c:pt>
                <c:pt idx="3">
                  <c:v>12837</c:v>
                </c:pt>
                <c:pt idx="4">
                  <c:v>13686</c:v>
                </c:pt>
                <c:pt idx="5">
                  <c:v>11680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8-4F0F-A770-B95BA199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39008"/>
        <c:axId val="94937472"/>
      </c:areaChart>
      <c:valAx>
        <c:axId val="9493747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BFBFBF">
                  <a:alpha val="36000"/>
                </a:srgb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sk-SK" sz="900" b="0" i="0" u="none" strike="noStrike" kern="1200" baseline="0">
                <a:solidFill>
                  <a:srgbClr val="404040"/>
                </a:solidFill>
                <a:latin typeface="Calibri"/>
                <a:ea typeface="+mn-ea"/>
                <a:cs typeface="+mn-cs"/>
              </a:defRPr>
            </a:pPr>
            <a:endParaRPr lang="sk-SK"/>
          </a:p>
        </c:txPr>
        <c:crossAx val="94939008"/>
        <c:crosses val="autoZero"/>
        <c:crossBetween val="midCat"/>
      </c:valAx>
      <c:catAx>
        <c:axId val="949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46" cap="flat" cmpd="sng" algn="ctr">
            <a:solidFill>
              <a:srgbClr val="404040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sk-SK" sz="900" b="0" i="0" u="none" strike="noStrike" kern="1200" cap="all" baseline="0">
                <a:solidFill>
                  <a:srgbClr val="404040"/>
                </a:solidFill>
                <a:latin typeface="Calibri"/>
                <a:ea typeface="+mn-ea"/>
                <a:cs typeface="+mn-cs"/>
              </a:defRPr>
            </a:pPr>
            <a:endParaRPr lang="sk-SK"/>
          </a:p>
        </c:txPr>
        <c:crossAx val="9493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rgbClr val="FFFFFF"/>
        </a:gs>
        <a:gs pos="100000">
          <a:srgbClr val="FFFFFF"/>
        </a:gs>
      </a:gsLst>
      <a:path path="circle">
        <a:fillToRect l="50000" t="-80000" r="50000" b="180000"/>
      </a:path>
    </a:gradFill>
    <a:ln w="9528" cap="flat" cmpd="sng" algn="ctr">
      <a:solidFill>
        <a:srgbClr val="BFBFBF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sk-SK" sz="900" b="0" i="0" u="none" strike="noStrike" kern="1200" baseline="0">
          <a:solidFill>
            <a:srgbClr val="000000"/>
          </a:solidFill>
          <a:latin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302922</xdr:colOff>
      <xdr:row>21</xdr:row>
      <xdr:rowOff>0</xdr:rowOff>
    </xdr:from>
    <xdr:ext cx="184727" cy="937625"/>
    <xdr:sp macro="" textlink="">
      <xdr:nvSpPr>
        <xdr:cNvPr id="3" name="Obdĺžnik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85372" y="20219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7" name="Obdĺžnik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2285372" y="56959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6" name="Obdĺžnik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2285372" y="55054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26</xdr:row>
      <xdr:rowOff>2670</xdr:rowOff>
    </xdr:from>
    <xdr:ext cx="184727" cy="937625"/>
    <xdr:sp macro="" textlink="">
      <xdr:nvSpPr>
        <xdr:cNvPr id="5" name="Obdĺžni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285372" y="310782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9" name="Obdĺžnik 6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4036722" y="10477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24</xdr:row>
      <xdr:rowOff>2670</xdr:rowOff>
    </xdr:from>
    <xdr:ext cx="184727" cy="937625"/>
    <xdr:sp macro="" textlink="">
      <xdr:nvSpPr>
        <xdr:cNvPr id="4" name="Obdĺžnik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5372" y="27458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32</xdr:row>
      <xdr:rowOff>0</xdr:rowOff>
    </xdr:from>
    <xdr:ext cx="184727" cy="937625"/>
    <xdr:sp macro="" textlink="">
      <xdr:nvSpPr>
        <xdr:cNvPr id="8" name="Obdĺžnik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4036722" y="10287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21</xdr:row>
      <xdr:rowOff>0</xdr:rowOff>
    </xdr:from>
    <xdr:ext cx="184727" cy="937625"/>
    <xdr:sp macro="" textlink="">
      <xdr:nvSpPr>
        <xdr:cNvPr id="10" name="Obdĺžnik 9">
          <a:extLst>
            <a:ext uri="{FF2B5EF4-FFF2-40B4-BE49-F238E27FC236}">
              <a16:creationId xmlns:a16="http://schemas.microsoft.com/office/drawing/2014/main" id="{AC7C81F1-C85C-4A08-86BC-593BDF5F0981}"/>
            </a:ext>
          </a:extLst>
        </xdr:cNvPr>
        <xdr:cNvSpPr/>
      </xdr:nvSpPr>
      <xdr:spPr>
        <a:xfrm>
          <a:off x="4122447" y="4762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608143B9-578F-4484-93B8-F14A690818E8}"/>
            </a:ext>
          </a:extLst>
        </xdr:cNvPr>
        <xdr:cNvSpPr/>
      </xdr:nvSpPr>
      <xdr:spPr>
        <a:xfrm>
          <a:off x="4122447" y="8191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12" name="Obdĺžnik 4">
          <a:extLst>
            <a:ext uri="{FF2B5EF4-FFF2-40B4-BE49-F238E27FC236}">
              <a16:creationId xmlns:a16="http://schemas.microsoft.com/office/drawing/2014/main" id="{02AE5365-4636-4F0B-BBC2-8F469B1DB212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26</xdr:row>
      <xdr:rowOff>2670</xdr:rowOff>
    </xdr:from>
    <xdr:ext cx="184727" cy="937625"/>
    <xdr:sp macro="" textlink="">
      <xdr:nvSpPr>
        <xdr:cNvPr id="13" name="Obdĺžnik 5">
          <a:extLst>
            <a:ext uri="{FF2B5EF4-FFF2-40B4-BE49-F238E27FC236}">
              <a16:creationId xmlns:a16="http://schemas.microsoft.com/office/drawing/2014/main" id="{54B1051C-40A5-44DB-A026-20D99D87E6B1}"/>
            </a:ext>
          </a:extLst>
        </xdr:cNvPr>
        <xdr:cNvSpPr/>
      </xdr:nvSpPr>
      <xdr:spPr>
        <a:xfrm>
          <a:off x="4122447" y="62891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14" name="Obdĺžnik 6">
          <a:extLst>
            <a:ext uri="{FF2B5EF4-FFF2-40B4-BE49-F238E27FC236}">
              <a16:creationId xmlns:a16="http://schemas.microsoft.com/office/drawing/2014/main" id="{564DEB23-B9EF-415F-A508-90E15EAB4A6D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24</xdr:row>
      <xdr:rowOff>2670</xdr:rowOff>
    </xdr:from>
    <xdr:ext cx="184727" cy="937625"/>
    <xdr:sp macro="" textlink="">
      <xdr:nvSpPr>
        <xdr:cNvPr id="15" name="Obdĺžnik 7">
          <a:extLst>
            <a:ext uri="{FF2B5EF4-FFF2-40B4-BE49-F238E27FC236}">
              <a16:creationId xmlns:a16="http://schemas.microsoft.com/office/drawing/2014/main" id="{7978C585-38E1-48D3-871B-8E1618664850}"/>
            </a:ext>
          </a:extLst>
        </xdr:cNvPr>
        <xdr:cNvSpPr/>
      </xdr:nvSpPr>
      <xdr:spPr>
        <a:xfrm>
          <a:off x="4122447" y="57176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32</xdr:row>
      <xdr:rowOff>0</xdr:rowOff>
    </xdr:from>
    <xdr:ext cx="184727" cy="937625"/>
    <xdr:sp macro="" textlink="">
      <xdr:nvSpPr>
        <xdr:cNvPr id="16" name="Obdĺžnik 8">
          <a:extLst>
            <a:ext uri="{FF2B5EF4-FFF2-40B4-BE49-F238E27FC236}">
              <a16:creationId xmlns:a16="http://schemas.microsoft.com/office/drawing/2014/main" id="{7F774068-E052-4194-B5A2-1DA4155A4ADC}"/>
            </a:ext>
          </a:extLst>
        </xdr:cNvPr>
        <xdr:cNvSpPr/>
      </xdr:nvSpPr>
      <xdr:spPr>
        <a:xfrm>
          <a:off x="4122447" y="7620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23</xdr:row>
      <xdr:rowOff>95253</xdr:rowOff>
    </xdr:from>
    <xdr:ext cx="5648325" cy="2928932"/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6"/>
  <sheetViews>
    <sheetView tabSelected="1" workbookViewId="0"/>
  </sheetViews>
  <sheetFormatPr defaultRowHeight="14.25" x14ac:dyDescent="0.2"/>
  <cols>
    <col min="1" max="1" width="1.85546875" style="1" customWidth="1"/>
    <col min="2" max="2" width="4.140625" style="1" customWidth="1"/>
    <col min="3" max="3" width="35.5703125" style="1" customWidth="1"/>
    <col min="4" max="4" width="14.140625" style="1" customWidth="1"/>
    <col min="5" max="5" width="11.5703125" style="1" customWidth="1"/>
    <col min="6" max="6" width="8.7109375" style="1" customWidth="1"/>
    <col min="7" max="7" width="10.42578125" style="1" customWidth="1"/>
    <col min="8" max="8" width="11.85546875" style="1" customWidth="1"/>
    <col min="9" max="9" width="12.28515625" style="1" customWidth="1"/>
    <col min="10" max="10" width="10.140625" style="1" customWidth="1"/>
    <col min="11" max="11" width="10.85546875" style="1" customWidth="1"/>
    <col min="12" max="12" width="12.42578125" style="1" customWidth="1"/>
    <col min="13" max="13" width="9.140625" style="1" customWidth="1"/>
    <col min="14" max="16384" width="9.140625" style="1"/>
  </cols>
  <sheetData>
    <row r="3" spans="2:12" ht="18.75" customHeight="1" x14ac:dyDescent="0.3">
      <c r="B3" s="113"/>
      <c r="C3" s="638" t="s">
        <v>504</v>
      </c>
      <c r="D3" s="638"/>
      <c r="E3" s="638"/>
      <c r="F3" s="638"/>
      <c r="G3" s="638"/>
      <c r="H3" s="638"/>
      <c r="I3" s="638"/>
      <c r="J3" s="638"/>
      <c r="K3" s="638"/>
      <c r="L3" s="113"/>
    </row>
    <row r="4" spans="2:12" ht="16.5" x14ac:dyDescent="0.3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45" x14ac:dyDescent="0.35">
      <c r="B5" s="192"/>
      <c r="C5" s="193" t="s">
        <v>0</v>
      </c>
      <c r="D5" s="194" t="s">
        <v>1</v>
      </c>
      <c r="E5" s="194" t="s">
        <v>2</v>
      </c>
      <c r="F5" s="194" t="s">
        <v>3</v>
      </c>
      <c r="G5" s="194" t="s">
        <v>4</v>
      </c>
      <c r="H5" s="194" t="s">
        <v>5</v>
      </c>
      <c r="I5" s="194" t="s">
        <v>6</v>
      </c>
      <c r="J5" s="194" t="s">
        <v>7</v>
      </c>
      <c r="K5" s="194" t="s">
        <v>8</v>
      </c>
      <c r="L5" s="195" t="s">
        <v>9</v>
      </c>
    </row>
    <row r="6" spans="2:12" ht="16.5" x14ac:dyDescent="0.35">
      <c r="B6" s="207" t="s">
        <v>10</v>
      </c>
      <c r="C6" s="208" t="s">
        <v>11</v>
      </c>
      <c r="D6" s="209">
        <v>149899.79</v>
      </c>
      <c r="E6" s="209">
        <v>2000</v>
      </c>
      <c r="F6" s="209">
        <v>0</v>
      </c>
      <c r="G6" s="209">
        <v>0</v>
      </c>
      <c r="H6" s="209">
        <v>0</v>
      </c>
      <c r="I6" s="209">
        <v>0</v>
      </c>
      <c r="J6" s="209">
        <v>0</v>
      </c>
      <c r="K6" s="209">
        <v>0</v>
      </c>
      <c r="L6" s="210">
        <f t="shared" ref="L6:L23" si="0">D6+E6+F6+G6+H6+I6+J6+K6</f>
        <v>151899.79</v>
      </c>
    </row>
    <row r="7" spans="2:12" ht="16.5" x14ac:dyDescent="0.35">
      <c r="B7" s="199" t="s">
        <v>12</v>
      </c>
      <c r="C7" s="200" t="s">
        <v>13</v>
      </c>
      <c r="D7" s="201">
        <v>150972366.81</v>
      </c>
      <c r="E7" s="201">
        <v>62714058.130000003</v>
      </c>
      <c r="F7" s="201">
        <v>510876.06</v>
      </c>
      <c r="G7" s="201">
        <v>5002864.78</v>
      </c>
      <c r="H7" s="201">
        <v>1461731.47</v>
      </c>
      <c r="I7" s="201">
        <v>9235386.1699999999</v>
      </c>
      <c r="J7" s="201">
        <v>6873.96</v>
      </c>
      <c r="K7" s="201">
        <v>374170.7</v>
      </c>
      <c r="L7" s="202">
        <f t="shared" si="0"/>
        <v>230278328.07999998</v>
      </c>
    </row>
    <row r="8" spans="2:12" ht="16.5" x14ac:dyDescent="0.35">
      <c r="B8" s="199" t="s">
        <v>14</v>
      </c>
      <c r="C8" s="200" t="s">
        <v>15</v>
      </c>
      <c r="D8" s="201">
        <v>16091773.390000001</v>
      </c>
      <c r="E8" s="201">
        <v>0</v>
      </c>
      <c r="F8" s="201">
        <v>0</v>
      </c>
      <c r="G8" s="201">
        <v>0</v>
      </c>
      <c r="H8" s="201">
        <v>0</v>
      </c>
      <c r="I8" s="201">
        <v>0</v>
      </c>
      <c r="J8" s="201">
        <v>0</v>
      </c>
      <c r="K8" s="201">
        <v>0</v>
      </c>
      <c r="L8" s="202">
        <f t="shared" si="0"/>
        <v>16091773.390000001</v>
      </c>
    </row>
    <row r="9" spans="2:12" ht="16.5" x14ac:dyDescent="0.35">
      <c r="B9" s="199" t="s">
        <v>16</v>
      </c>
      <c r="C9" s="200" t="s">
        <v>17</v>
      </c>
      <c r="D9" s="201">
        <v>26717.53</v>
      </c>
      <c r="E9" s="201">
        <v>29734.12</v>
      </c>
      <c r="F9" s="201">
        <v>14817.56</v>
      </c>
      <c r="G9" s="201">
        <v>6962.04</v>
      </c>
      <c r="H9" s="201">
        <v>0</v>
      </c>
      <c r="I9" s="201">
        <v>26652.11</v>
      </c>
      <c r="J9" s="201">
        <v>0</v>
      </c>
      <c r="K9" s="201">
        <v>0</v>
      </c>
      <c r="L9" s="202">
        <f t="shared" si="0"/>
        <v>104883.35999999999</v>
      </c>
    </row>
    <row r="10" spans="2:12" ht="16.5" x14ac:dyDescent="0.35">
      <c r="B10" s="199" t="s">
        <v>18</v>
      </c>
      <c r="C10" s="200" t="s">
        <v>19</v>
      </c>
      <c r="D10" s="201">
        <v>79355074.969999999</v>
      </c>
      <c r="E10" s="201">
        <v>0</v>
      </c>
      <c r="F10" s="201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0</v>
      </c>
      <c r="L10" s="202">
        <f t="shared" si="0"/>
        <v>79355074.969999999</v>
      </c>
    </row>
    <row r="11" spans="2:12" ht="16.5" x14ac:dyDescent="0.35">
      <c r="B11" s="199" t="s">
        <v>20</v>
      </c>
      <c r="C11" s="200" t="s">
        <v>21</v>
      </c>
      <c r="D11" s="201">
        <f>450743.31+900529.47</f>
        <v>1351272.78</v>
      </c>
      <c r="E11" s="201">
        <f>565.55+22084.51</f>
        <v>22650.059999999998</v>
      </c>
      <c r="F11" s="201">
        <v>92389.83</v>
      </c>
      <c r="G11" s="201">
        <v>338.8</v>
      </c>
      <c r="H11" s="201">
        <v>0</v>
      </c>
      <c r="I11" s="201">
        <v>2881.07</v>
      </c>
      <c r="J11" s="201">
        <v>0</v>
      </c>
      <c r="K11" s="201">
        <v>5381</v>
      </c>
      <c r="L11" s="202">
        <f t="shared" si="0"/>
        <v>1474913.5400000003</v>
      </c>
    </row>
    <row r="12" spans="2:12" ht="16.5" x14ac:dyDescent="0.35">
      <c r="B12" s="199" t="s">
        <v>22</v>
      </c>
      <c r="C12" s="200" t="s">
        <v>23</v>
      </c>
      <c r="D12" s="201">
        <v>15054916.300000001</v>
      </c>
      <c r="E12" s="201">
        <v>27627.89</v>
      </c>
      <c r="F12" s="201">
        <v>90438.23</v>
      </c>
      <c r="G12" s="201">
        <v>15859.76</v>
      </c>
      <c r="H12" s="201">
        <v>2535.9499999999998</v>
      </c>
      <c r="I12" s="201">
        <v>1315867.51</v>
      </c>
      <c r="J12" s="201">
        <v>2611.6</v>
      </c>
      <c r="K12" s="201">
        <v>16254.28</v>
      </c>
      <c r="L12" s="202">
        <f t="shared" si="0"/>
        <v>16526111.52</v>
      </c>
    </row>
    <row r="13" spans="2:12" ht="16.5" x14ac:dyDescent="0.35">
      <c r="B13" s="203" t="s">
        <v>24</v>
      </c>
      <c r="C13" s="204" t="s">
        <v>25</v>
      </c>
      <c r="D13" s="205">
        <v>36181.32</v>
      </c>
      <c r="E13" s="205">
        <v>3586.5</v>
      </c>
      <c r="F13" s="205">
        <v>8305.8700000000008</v>
      </c>
      <c r="G13" s="205">
        <v>147015.10999999999</v>
      </c>
      <c r="H13" s="205">
        <v>8731.23</v>
      </c>
      <c r="I13" s="205">
        <v>183845.45</v>
      </c>
      <c r="J13" s="205">
        <v>656.64</v>
      </c>
      <c r="K13" s="205">
        <v>511.38</v>
      </c>
      <c r="L13" s="206">
        <f t="shared" si="0"/>
        <v>388833.5</v>
      </c>
    </row>
    <row r="14" spans="2:12" customFormat="1" ht="16.5" x14ac:dyDescent="0.35">
      <c r="B14" s="196"/>
      <c r="C14" s="197" t="s">
        <v>26</v>
      </c>
      <c r="D14" s="198">
        <f>SUM(D6:D13)</f>
        <v>263038202.89000002</v>
      </c>
      <c r="E14" s="198">
        <f t="shared" ref="E14:K14" si="1">SUM(E6:E13)</f>
        <v>62799656.700000003</v>
      </c>
      <c r="F14" s="198">
        <f t="shared" si="1"/>
        <v>716827.54999999993</v>
      </c>
      <c r="G14" s="198">
        <f t="shared" si="1"/>
        <v>5173040.49</v>
      </c>
      <c r="H14" s="198">
        <f t="shared" si="1"/>
        <v>1472998.65</v>
      </c>
      <c r="I14" s="198">
        <f t="shared" si="1"/>
        <v>10764632.309999999</v>
      </c>
      <c r="J14" s="198">
        <f t="shared" si="1"/>
        <v>10142.199999999999</v>
      </c>
      <c r="K14" s="198">
        <f t="shared" si="1"/>
        <v>396317.36000000004</v>
      </c>
      <c r="L14" s="198">
        <f t="shared" si="0"/>
        <v>344371818.15000004</v>
      </c>
    </row>
    <row r="15" spans="2:12" customFormat="1" ht="16.5" x14ac:dyDescent="0.35">
      <c r="B15" s="207" t="s">
        <v>27</v>
      </c>
      <c r="C15" s="208" t="s">
        <v>28</v>
      </c>
      <c r="D15" s="209">
        <v>-1459420.72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09">
        <v>0</v>
      </c>
      <c r="L15" s="210">
        <f t="shared" si="0"/>
        <v>-1459420.72</v>
      </c>
    </row>
    <row r="16" spans="2:12" customFormat="1" ht="16.5" x14ac:dyDescent="0.35">
      <c r="B16" s="199" t="s">
        <v>29</v>
      </c>
      <c r="C16" s="200" t="s">
        <v>30</v>
      </c>
      <c r="D16" s="201">
        <v>185160460.96000001</v>
      </c>
      <c r="E16" s="201">
        <v>-147240.04</v>
      </c>
      <c r="F16" s="201">
        <v>-242376.45</v>
      </c>
      <c r="G16" s="201">
        <v>-341079.47</v>
      </c>
      <c r="H16" s="201">
        <v>-30377.45</v>
      </c>
      <c r="I16" s="201">
        <v>-163412.69</v>
      </c>
      <c r="J16" s="201">
        <v>-12146.3</v>
      </c>
      <c r="K16" s="201">
        <v>-74282.649999999994</v>
      </c>
      <c r="L16" s="202">
        <f t="shared" si="0"/>
        <v>184149545.91000003</v>
      </c>
    </row>
    <row r="17" spans="2:12" customFormat="1" ht="16.5" x14ac:dyDescent="0.35">
      <c r="B17" s="199" t="s">
        <v>31</v>
      </c>
      <c r="C17" s="200" t="s">
        <v>32</v>
      </c>
      <c r="D17" s="201">
        <v>1096660.8</v>
      </c>
      <c r="E17" s="201">
        <v>9244.08</v>
      </c>
      <c r="F17" s="201">
        <v>10804.42</v>
      </c>
      <c r="G17" s="201">
        <v>98238.1</v>
      </c>
      <c r="H17" s="201">
        <v>2235.44</v>
      </c>
      <c r="I17" s="201">
        <v>12619.44</v>
      </c>
      <c r="J17" s="201">
        <v>307.66000000000003</v>
      </c>
      <c r="K17" s="201">
        <v>3600</v>
      </c>
      <c r="L17" s="202">
        <f t="shared" si="0"/>
        <v>1233709.94</v>
      </c>
    </row>
    <row r="18" spans="2:12" customFormat="1" ht="16.5" x14ac:dyDescent="0.35">
      <c r="B18" s="199" t="s">
        <v>33</v>
      </c>
      <c r="C18" s="200" t="s">
        <v>19</v>
      </c>
      <c r="D18" s="201">
        <v>765340.58</v>
      </c>
      <c r="E18" s="201">
        <v>62738708.189999998</v>
      </c>
      <c r="F18" s="201">
        <v>580938.71</v>
      </c>
      <c r="G18" s="201">
        <v>5002864.78</v>
      </c>
      <c r="H18" s="201">
        <v>1461731.47</v>
      </c>
      <c r="I18" s="201">
        <v>9189795.6699999999</v>
      </c>
      <c r="J18" s="201">
        <v>6873.96</v>
      </c>
      <c r="K18" s="201">
        <v>374170.7</v>
      </c>
      <c r="L18" s="202">
        <f t="shared" si="0"/>
        <v>80120424.059999987</v>
      </c>
    </row>
    <row r="19" spans="2:12" customFormat="1" ht="16.5" x14ac:dyDescent="0.35">
      <c r="B19" s="199" t="s">
        <v>34</v>
      </c>
      <c r="C19" s="200" t="s">
        <v>35</v>
      </c>
      <c r="D19" s="201">
        <v>2950062.22</v>
      </c>
      <c r="E19" s="201">
        <v>23668.97</v>
      </c>
      <c r="F19" s="201">
        <v>9754.4699999999993</v>
      </c>
      <c r="G19" s="201">
        <v>14392.76</v>
      </c>
      <c r="H19" s="201">
        <v>2535.9499999999998</v>
      </c>
      <c r="I19" s="201">
        <v>60446.559999999998</v>
      </c>
      <c r="J19" s="201">
        <v>2634.69</v>
      </c>
      <c r="K19" s="201">
        <v>6110.28</v>
      </c>
      <c r="L19" s="202">
        <f t="shared" si="0"/>
        <v>3069605.9000000004</v>
      </c>
    </row>
    <row r="20" spans="2:12" customFormat="1" ht="16.5" x14ac:dyDescent="0.35">
      <c r="B20" s="199" t="s">
        <v>36</v>
      </c>
      <c r="C20" s="200" t="s">
        <v>37</v>
      </c>
      <c r="D20" s="201">
        <v>2345425.58</v>
      </c>
      <c r="E20" s="201">
        <v>174641.44</v>
      </c>
      <c r="F20" s="201">
        <v>334599.98</v>
      </c>
      <c r="G20" s="201">
        <v>380550.58</v>
      </c>
      <c r="H20" s="201">
        <v>34323.24</v>
      </c>
      <c r="I20" s="201">
        <v>1598686.29</v>
      </c>
      <c r="J20" s="201">
        <v>12472.19</v>
      </c>
      <c r="K20" s="201">
        <v>86719.03</v>
      </c>
      <c r="L20" s="202">
        <f t="shared" si="0"/>
        <v>4967418.330000001</v>
      </c>
    </row>
    <row r="21" spans="2:12" customFormat="1" ht="16.5" x14ac:dyDescent="0.35">
      <c r="B21" s="199" t="s">
        <v>38</v>
      </c>
      <c r="C21" s="200" t="s">
        <v>40</v>
      </c>
      <c r="D21" s="201">
        <v>60499518.770000003</v>
      </c>
      <c r="E21" s="201">
        <v>634.05999999999995</v>
      </c>
      <c r="F21" s="201">
        <v>23106.42</v>
      </c>
      <c r="G21" s="201">
        <v>18073.740000000002</v>
      </c>
      <c r="H21" s="201">
        <v>2550</v>
      </c>
      <c r="I21" s="201">
        <v>66497.039999999994</v>
      </c>
      <c r="J21" s="201">
        <v>0</v>
      </c>
      <c r="K21" s="201">
        <v>0</v>
      </c>
      <c r="L21" s="202">
        <f t="shared" si="0"/>
        <v>60610380.030000009</v>
      </c>
    </row>
    <row r="22" spans="2:12" customFormat="1" ht="16.5" x14ac:dyDescent="0.35">
      <c r="B22" s="203" t="s">
        <v>39</v>
      </c>
      <c r="C22" s="204" t="s">
        <v>41</v>
      </c>
      <c r="D22" s="205">
        <v>11680154.699999999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6">
        <f t="shared" si="0"/>
        <v>11680154.699999999</v>
      </c>
    </row>
    <row r="23" spans="2:12" customFormat="1" ht="16.5" x14ac:dyDescent="0.35">
      <c r="B23" s="196"/>
      <c r="C23" s="197" t="s">
        <v>42</v>
      </c>
      <c r="D23" s="198">
        <f>SUM(D15:D22)</f>
        <v>263038202.89000005</v>
      </c>
      <c r="E23" s="198">
        <f t="shared" ref="E23:K23" si="2">SUM(E15:E22)</f>
        <v>62799656.699999996</v>
      </c>
      <c r="F23" s="198">
        <f t="shared" si="2"/>
        <v>716827.54999999993</v>
      </c>
      <c r="G23" s="198">
        <f t="shared" si="2"/>
        <v>5173040.49</v>
      </c>
      <c r="H23" s="198">
        <f t="shared" si="2"/>
        <v>1472998.65</v>
      </c>
      <c r="I23" s="198">
        <f t="shared" si="2"/>
        <v>10764632.309999999</v>
      </c>
      <c r="J23" s="198">
        <f t="shared" si="2"/>
        <v>10142.200000000001</v>
      </c>
      <c r="K23" s="198">
        <f t="shared" si="2"/>
        <v>396317.3600000001</v>
      </c>
      <c r="L23" s="198">
        <f t="shared" si="0"/>
        <v>344371818.15000004</v>
      </c>
    </row>
    <row r="26" spans="2:12" x14ac:dyDescent="0.2">
      <c r="D26" s="6"/>
    </row>
  </sheetData>
  <mergeCells count="1">
    <mergeCell ref="C3:K3"/>
  </mergeCells>
  <pageMargins left="0.59055118110236227" right="0.11811023622047245" top="0.74803149606299213" bottom="0.74803149606299213" header="0.31496062992125984" footer="0.31496062992125984"/>
  <pageSetup paperSize="9" scale="9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4"/>
  <sheetViews>
    <sheetView workbookViewId="0"/>
  </sheetViews>
  <sheetFormatPr defaultColWidth="9.140625" defaultRowHeight="14.25" x14ac:dyDescent="0.25"/>
  <cols>
    <col min="1" max="1" width="9.140625" style="10"/>
    <col min="2" max="2" width="6.85546875" style="10" customWidth="1"/>
    <col min="3" max="3" width="38.28515625" style="10" customWidth="1"/>
    <col min="4" max="4" width="44" style="10" customWidth="1"/>
    <col min="5" max="5" width="12.140625" style="36" customWidth="1"/>
    <col min="6" max="6" width="4.42578125" style="10" customWidth="1"/>
    <col min="7" max="7" width="10.140625" style="10" customWidth="1"/>
    <col min="8" max="8" width="35.28515625" style="10" customWidth="1"/>
    <col min="9" max="9" width="49.7109375" style="10" customWidth="1"/>
    <col min="10" max="16384" width="9.140625" style="10"/>
  </cols>
  <sheetData>
    <row r="1" spans="1:10" s="69" customFormat="1" ht="15" x14ac:dyDescent="0.25">
      <c r="A1" s="10"/>
      <c r="B1" s="90"/>
      <c r="C1" s="90"/>
      <c r="D1" s="90"/>
      <c r="E1" s="353"/>
      <c r="F1" s="90"/>
      <c r="G1" s="90"/>
      <c r="H1" s="90"/>
      <c r="I1" s="90"/>
    </row>
    <row r="2" spans="1:10" s="69" customFormat="1" ht="15" x14ac:dyDescent="0.25">
      <c r="A2" s="10"/>
      <c r="B2" s="90"/>
      <c r="C2" s="90"/>
      <c r="D2" s="90"/>
      <c r="E2" s="353"/>
      <c r="F2" s="90"/>
      <c r="G2" s="90"/>
      <c r="H2" s="90"/>
      <c r="I2" s="90"/>
    </row>
    <row r="3" spans="1:10" s="69" customFormat="1" ht="18.75" x14ac:dyDescent="0.25">
      <c r="A3" s="10"/>
      <c r="B3" s="680" t="s">
        <v>496</v>
      </c>
      <c r="C3" s="680"/>
      <c r="D3" s="680"/>
      <c r="E3" s="680"/>
      <c r="F3" s="90"/>
      <c r="G3" s="90"/>
      <c r="H3" s="90"/>
      <c r="I3" s="90"/>
    </row>
    <row r="4" spans="1:10" s="69" customFormat="1" ht="11.25" customHeight="1" x14ac:dyDescent="0.25">
      <c r="A4" s="10"/>
      <c r="B4" s="236"/>
      <c r="C4" s="236"/>
      <c r="D4" s="236"/>
      <c r="E4" s="115"/>
      <c r="F4" s="90"/>
      <c r="G4" s="90"/>
      <c r="H4" s="90"/>
      <c r="I4" s="90"/>
    </row>
    <row r="5" spans="1:10" s="69" customFormat="1" ht="18.75" x14ac:dyDescent="0.25">
      <c r="A5" s="10"/>
      <c r="B5" s="681" t="s">
        <v>164</v>
      </c>
      <c r="C5" s="681"/>
      <c r="D5" s="236"/>
      <c r="E5" s="115"/>
      <c r="F5" s="90"/>
      <c r="G5" s="90"/>
      <c r="H5" s="10"/>
      <c r="I5" s="10"/>
      <c r="J5" s="10"/>
    </row>
    <row r="6" spans="1:10" s="69" customFormat="1" ht="6" customHeight="1" x14ac:dyDescent="0.25">
      <c r="A6" s="10"/>
      <c r="B6" s="119"/>
      <c r="C6" s="119"/>
      <c r="D6" s="119"/>
      <c r="E6" s="117"/>
      <c r="F6" s="90"/>
      <c r="G6" s="90"/>
      <c r="H6" s="10"/>
      <c r="I6" s="10"/>
      <c r="J6" s="10"/>
    </row>
    <row r="7" spans="1:10" s="69" customFormat="1" ht="30" x14ac:dyDescent="0.25">
      <c r="A7" s="10"/>
      <c r="B7" s="518" t="s">
        <v>155</v>
      </c>
      <c r="C7" s="519" t="s">
        <v>166</v>
      </c>
      <c r="D7" s="519" t="s">
        <v>167</v>
      </c>
      <c r="E7" s="520" t="s">
        <v>470</v>
      </c>
      <c r="F7" s="90"/>
      <c r="G7" s="90"/>
      <c r="H7" s="10"/>
      <c r="I7" s="10"/>
      <c r="J7" s="10"/>
    </row>
    <row r="8" spans="1:10" ht="15" x14ac:dyDescent="0.25">
      <c r="B8" s="527">
        <v>1</v>
      </c>
      <c r="C8" s="528" t="s">
        <v>515</v>
      </c>
      <c r="D8" s="529" t="s">
        <v>516</v>
      </c>
      <c r="E8" s="530">
        <v>3000</v>
      </c>
      <c r="F8" s="90"/>
      <c r="G8" s="90"/>
    </row>
    <row r="9" spans="1:10" ht="15" x14ac:dyDescent="0.25">
      <c r="B9" s="527">
        <v>2</v>
      </c>
      <c r="C9" s="528" t="s">
        <v>517</v>
      </c>
      <c r="D9" s="529" t="s">
        <v>518</v>
      </c>
      <c r="E9" s="530">
        <v>2955</v>
      </c>
      <c r="F9" s="90"/>
      <c r="G9" s="90"/>
    </row>
    <row r="10" spans="1:10" ht="30" x14ac:dyDescent="0.25">
      <c r="B10" s="527">
        <v>3</v>
      </c>
      <c r="C10" s="528" t="s">
        <v>519</v>
      </c>
      <c r="D10" s="531" t="s">
        <v>520</v>
      </c>
      <c r="E10" s="530">
        <f>1971-110.99</f>
        <v>1860.01</v>
      </c>
      <c r="F10" s="90"/>
      <c r="G10" s="90"/>
    </row>
    <row r="11" spans="1:10" ht="15" x14ac:dyDescent="0.25">
      <c r="B11" s="527">
        <v>4</v>
      </c>
      <c r="C11" s="528" t="s">
        <v>521</v>
      </c>
      <c r="D11" s="529" t="s">
        <v>522</v>
      </c>
      <c r="E11" s="530">
        <v>1330</v>
      </c>
      <c r="F11" s="90"/>
      <c r="G11" s="90"/>
    </row>
    <row r="12" spans="1:10" ht="15" x14ac:dyDescent="0.25">
      <c r="B12" s="527">
        <v>5</v>
      </c>
      <c r="C12" s="528" t="s">
        <v>523</v>
      </c>
      <c r="D12" s="529" t="s">
        <v>524</v>
      </c>
      <c r="E12" s="530">
        <v>770</v>
      </c>
      <c r="F12" s="90"/>
      <c r="G12" s="90"/>
    </row>
    <row r="13" spans="1:10" ht="15" x14ac:dyDescent="0.25">
      <c r="B13" s="527">
        <v>6</v>
      </c>
      <c r="C13" s="528" t="s">
        <v>525</v>
      </c>
      <c r="D13" s="529" t="s">
        <v>526</v>
      </c>
      <c r="E13" s="530">
        <v>750</v>
      </c>
      <c r="F13" s="90"/>
      <c r="G13" s="90"/>
    </row>
    <row r="14" spans="1:10" ht="15" x14ac:dyDescent="0.25">
      <c r="B14" s="527">
        <v>7</v>
      </c>
      <c r="C14" s="528" t="s">
        <v>935</v>
      </c>
      <c r="D14" s="529" t="s">
        <v>657</v>
      </c>
      <c r="E14" s="530">
        <v>1036</v>
      </c>
      <c r="F14" s="90"/>
      <c r="G14" s="90"/>
    </row>
    <row r="15" spans="1:10" ht="30" x14ac:dyDescent="0.25">
      <c r="B15" s="527">
        <v>8</v>
      </c>
      <c r="C15" s="528" t="s">
        <v>527</v>
      </c>
      <c r="D15" s="531" t="s">
        <v>528</v>
      </c>
      <c r="E15" s="530">
        <v>600</v>
      </c>
      <c r="F15" s="90"/>
      <c r="G15" s="90"/>
    </row>
    <row r="16" spans="1:10" ht="16.5" customHeight="1" x14ac:dyDescent="0.25">
      <c r="B16" s="532"/>
      <c r="C16" s="533" t="s">
        <v>9</v>
      </c>
      <c r="D16" s="532"/>
      <c r="E16" s="526">
        <f>SUM(E8:E15)</f>
        <v>12301.01</v>
      </c>
      <c r="F16" s="90"/>
      <c r="G16" s="353"/>
      <c r="H16" s="36"/>
    </row>
    <row r="17" spans="1:10" s="69" customFormat="1" ht="16.5" x14ac:dyDescent="0.25">
      <c r="A17" s="10"/>
      <c r="B17" s="119"/>
      <c r="C17" s="119"/>
      <c r="D17" s="119"/>
      <c r="E17" s="352"/>
      <c r="F17" s="90"/>
      <c r="G17" s="353"/>
      <c r="H17" s="10"/>
      <c r="I17" s="10"/>
      <c r="J17" s="10"/>
    </row>
    <row r="18" spans="1:10" ht="19.5" customHeight="1" x14ac:dyDescent="0.25">
      <c r="B18" s="237" t="s">
        <v>165</v>
      </c>
      <c r="C18" s="118"/>
      <c r="D18" s="119"/>
      <c r="E18" s="354"/>
      <c r="F18" s="90"/>
      <c r="G18" s="90"/>
    </row>
    <row r="19" spans="1:10" ht="6.75" customHeight="1" x14ac:dyDescent="0.25">
      <c r="B19" s="119"/>
      <c r="C19" s="119"/>
      <c r="D19" s="119"/>
      <c r="E19" s="354"/>
      <c r="F19" s="90"/>
      <c r="G19" s="90"/>
    </row>
    <row r="20" spans="1:10" ht="33" customHeight="1" x14ac:dyDescent="0.25">
      <c r="B20" s="518" t="s">
        <v>155</v>
      </c>
      <c r="C20" s="519" t="s">
        <v>166</v>
      </c>
      <c r="D20" s="519" t="s">
        <v>167</v>
      </c>
      <c r="E20" s="535" t="s">
        <v>470</v>
      </c>
      <c r="F20" s="90"/>
      <c r="G20" s="90"/>
    </row>
    <row r="21" spans="1:10" ht="24.75" customHeight="1" x14ac:dyDescent="0.25">
      <c r="B21" s="536">
        <v>1</v>
      </c>
      <c r="C21" s="537" t="s">
        <v>529</v>
      </c>
      <c r="D21" s="537" t="s">
        <v>530</v>
      </c>
      <c r="E21" s="538">
        <v>500</v>
      </c>
      <c r="F21" s="90"/>
      <c r="G21" s="90"/>
    </row>
    <row r="22" spans="1:10" ht="30" x14ac:dyDescent="0.25">
      <c r="B22" s="536">
        <v>2</v>
      </c>
      <c r="C22" s="537" t="s">
        <v>531</v>
      </c>
      <c r="D22" s="537" t="s">
        <v>532</v>
      </c>
      <c r="E22" s="538">
        <v>1200</v>
      </c>
      <c r="F22" s="90"/>
      <c r="G22" s="90"/>
    </row>
    <row r="23" spans="1:10" ht="30" x14ac:dyDescent="0.25">
      <c r="B23" s="536">
        <f t="shared" ref="B23:B71" si="0">B22+1</f>
        <v>3</v>
      </c>
      <c r="C23" s="537" t="s">
        <v>506</v>
      </c>
      <c r="D23" s="537" t="s">
        <v>533</v>
      </c>
      <c r="E23" s="538">
        <v>1500</v>
      </c>
      <c r="F23" s="90"/>
      <c r="G23" s="90"/>
    </row>
    <row r="24" spans="1:10" ht="15" x14ac:dyDescent="0.25">
      <c r="B24" s="536">
        <v>3</v>
      </c>
      <c r="C24" s="537" t="s">
        <v>506</v>
      </c>
      <c r="D24" s="537" t="s">
        <v>534</v>
      </c>
      <c r="E24" s="538">
        <v>1000</v>
      </c>
      <c r="F24" s="90"/>
      <c r="G24" s="90"/>
    </row>
    <row r="25" spans="1:10" ht="30" x14ac:dyDescent="0.25">
      <c r="B25" s="536">
        <v>4</v>
      </c>
      <c r="C25" s="537" t="s">
        <v>936</v>
      </c>
      <c r="D25" s="537" t="s">
        <v>535</v>
      </c>
      <c r="E25" s="538">
        <v>1000</v>
      </c>
      <c r="F25" s="90"/>
      <c r="G25" s="90"/>
    </row>
    <row r="26" spans="1:10" ht="15" x14ac:dyDescent="0.25">
      <c r="B26" s="536">
        <f t="shared" si="0"/>
        <v>5</v>
      </c>
      <c r="C26" s="537" t="s">
        <v>937</v>
      </c>
      <c r="D26" s="537" t="s">
        <v>536</v>
      </c>
      <c r="E26" s="538">
        <v>400</v>
      </c>
      <c r="F26" s="90"/>
      <c r="G26" s="90"/>
    </row>
    <row r="27" spans="1:10" ht="15" x14ac:dyDescent="0.25">
      <c r="B27" s="536">
        <v>5</v>
      </c>
      <c r="C27" s="537" t="s">
        <v>537</v>
      </c>
      <c r="D27" s="537" t="s">
        <v>538</v>
      </c>
      <c r="E27" s="538">
        <v>400</v>
      </c>
      <c r="F27" s="90"/>
      <c r="G27" s="90"/>
    </row>
    <row r="28" spans="1:10" ht="15" x14ac:dyDescent="0.25">
      <c r="B28" s="536">
        <v>6</v>
      </c>
      <c r="C28" s="537" t="s">
        <v>539</v>
      </c>
      <c r="D28" s="537" t="s">
        <v>540</v>
      </c>
      <c r="E28" s="538">
        <v>800</v>
      </c>
      <c r="F28" s="90"/>
      <c r="G28" s="90"/>
    </row>
    <row r="29" spans="1:10" ht="30" x14ac:dyDescent="0.25">
      <c r="B29" s="536">
        <f t="shared" si="0"/>
        <v>7</v>
      </c>
      <c r="C29" s="537" t="s">
        <v>541</v>
      </c>
      <c r="D29" s="537" t="s">
        <v>542</v>
      </c>
      <c r="E29" s="538">
        <v>500</v>
      </c>
      <c r="F29" s="90"/>
      <c r="G29" s="90"/>
      <c r="H29" s="90"/>
      <c r="I29" s="90"/>
    </row>
    <row r="30" spans="1:10" ht="15" x14ac:dyDescent="0.25">
      <c r="B30" s="536">
        <v>7</v>
      </c>
      <c r="C30" s="537" t="s">
        <v>543</v>
      </c>
      <c r="D30" s="537" t="s">
        <v>544</v>
      </c>
      <c r="E30" s="538">
        <v>400</v>
      </c>
      <c r="F30" s="90"/>
      <c r="G30" s="90"/>
      <c r="H30" s="90"/>
      <c r="I30" s="90"/>
    </row>
    <row r="31" spans="1:10" ht="15" x14ac:dyDescent="0.25">
      <c r="B31" s="536">
        <v>8</v>
      </c>
      <c r="C31" s="537" t="s">
        <v>938</v>
      </c>
      <c r="D31" s="537" t="s">
        <v>545</v>
      </c>
      <c r="E31" s="538">
        <v>500</v>
      </c>
      <c r="F31" s="90"/>
      <c r="G31" s="90"/>
      <c r="H31" s="90"/>
      <c r="I31" s="90"/>
    </row>
    <row r="32" spans="1:10" ht="15" x14ac:dyDescent="0.25">
      <c r="B32" s="536">
        <f t="shared" si="0"/>
        <v>9</v>
      </c>
      <c r="C32" s="537" t="s">
        <v>546</v>
      </c>
      <c r="D32" s="537" t="s">
        <v>547</v>
      </c>
      <c r="E32" s="538">
        <v>600</v>
      </c>
    </row>
    <row r="33" spans="2:6" ht="30" x14ac:dyDescent="0.25">
      <c r="B33" s="536">
        <v>9</v>
      </c>
      <c r="C33" s="537" t="s">
        <v>548</v>
      </c>
      <c r="D33" s="537" t="s">
        <v>549</v>
      </c>
      <c r="E33" s="538">
        <v>800</v>
      </c>
    </row>
    <row r="34" spans="2:6" ht="15" x14ac:dyDescent="0.25">
      <c r="B34" s="536">
        <v>10</v>
      </c>
      <c r="C34" s="537" t="s">
        <v>550</v>
      </c>
      <c r="D34" s="537" t="s">
        <v>551</v>
      </c>
      <c r="E34" s="538">
        <v>500</v>
      </c>
    </row>
    <row r="35" spans="2:6" ht="15" x14ac:dyDescent="0.25">
      <c r="B35" s="536">
        <f t="shared" si="0"/>
        <v>11</v>
      </c>
      <c r="C35" s="537" t="s">
        <v>552</v>
      </c>
      <c r="D35" s="537" t="s">
        <v>553</v>
      </c>
      <c r="E35" s="538">
        <v>700</v>
      </c>
      <c r="F35" s="355"/>
    </row>
    <row r="36" spans="2:6" ht="15" x14ac:dyDescent="0.25">
      <c r="B36" s="536">
        <v>11</v>
      </c>
      <c r="C36" s="537" t="s">
        <v>552</v>
      </c>
      <c r="D36" s="537" t="s">
        <v>554</v>
      </c>
      <c r="E36" s="538">
        <v>300</v>
      </c>
    </row>
    <row r="37" spans="2:6" ht="15" x14ac:dyDescent="0.25">
      <c r="B37" s="536">
        <v>12</v>
      </c>
      <c r="C37" s="537" t="s">
        <v>552</v>
      </c>
      <c r="D37" s="537" t="s">
        <v>555</v>
      </c>
      <c r="E37" s="538">
        <v>300</v>
      </c>
    </row>
    <row r="38" spans="2:6" ht="45" x14ac:dyDescent="0.25">
      <c r="B38" s="536">
        <f t="shared" si="0"/>
        <v>13</v>
      </c>
      <c r="C38" s="539" t="s">
        <v>556</v>
      </c>
      <c r="D38" s="537" t="s">
        <v>557</v>
      </c>
      <c r="E38" s="538">
        <v>700</v>
      </c>
    </row>
    <row r="39" spans="2:6" ht="15" x14ac:dyDescent="0.25">
      <c r="B39" s="536">
        <v>13</v>
      </c>
      <c r="C39" s="537" t="s">
        <v>558</v>
      </c>
      <c r="D39" s="537" t="s">
        <v>559</v>
      </c>
      <c r="E39" s="538">
        <v>350</v>
      </c>
    </row>
    <row r="40" spans="2:6" ht="15" x14ac:dyDescent="0.25">
      <c r="B40" s="536">
        <v>14</v>
      </c>
      <c r="C40" s="537" t="s">
        <v>560</v>
      </c>
      <c r="D40" s="537" t="s">
        <v>561</v>
      </c>
      <c r="E40" s="538">
        <v>1000</v>
      </c>
    </row>
    <row r="41" spans="2:6" ht="15" x14ac:dyDescent="0.25">
      <c r="B41" s="536">
        <f t="shared" si="0"/>
        <v>15</v>
      </c>
      <c r="C41" s="537" t="s">
        <v>562</v>
      </c>
      <c r="D41" s="537" t="s">
        <v>563</v>
      </c>
      <c r="E41" s="538">
        <v>1000</v>
      </c>
    </row>
    <row r="42" spans="2:6" ht="15" x14ac:dyDescent="0.25">
      <c r="B42" s="536">
        <v>15</v>
      </c>
      <c r="C42" s="537" t="s">
        <v>508</v>
      </c>
      <c r="D42" s="537" t="s">
        <v>564</v>
      </c>
      <c r="E42" s="538">
        <v>3000</v>
      </c>
    </row>
    <row r="43" spans="2:6" ht="30" x14ac:dyDescent="0.25">
      <c r="B43" s="536">
        <v>16</v>
      </c>
      <c r="C43" s="537" t="s">
        <v>565</v>
      </c>
      <c r="D43" s="537" t="s">
        <v>566</v>
      </c>
      <c r="E43" s="538">
        <v>300</v>
      </c>
    </row>
    <row r="44" spans="2:6" ht="30" x14ac:dyDescent="0.25">
      <c r="B44" s="536">
        <f t="shared" si="0"/>
        <v>17</v>
      </c>
      <c r="C44" s="537" t="s">
        <v>567</v>
      </c>
      <c r="D44" s="537" t="s">
        <v>568</v>
      </c>
      <c r="E44" s="538">
        <v>500</v>
      </c>
    </row>
    <row r="45" spans="2:6" ht="15" x14ac:dyDescent="0.25">
      <c r="B45" s="536">
        <v>17</v>
      </c>
      <c r="C45" s="537" t="s">
        <v>509</v>
      </c>
      <c r="D45" s="537" t="s">
        <v>569</v>
      </c>
      <c r="E45" s="538">
        <v>400</v>
      </c>
    </row>
    <row r="46" spans="2:6" ht="15" x14ac:dyDescent="0.25">
      <c r="B46" s="536">
        <v>18</v>
      </c>
      <c r="C46" s="537" t="s">
        <v>570</v>
      </c>
      <c r="D46" s="537" t="s">
        <v>571</v>
      </c>
      <c r="E46" s="538">
        <v>400</v>
      </c>
    </row>
    <row r="47" spans="2:6" ht="15" x14ac:dyDescent="0.25">
      <c r="B47" s="536">
        <f t="shared" si="0"/>
        <v>19</v>
      </c>
      <c r="C47" s="537" t="s">
        <v>947</v>
      </c>
      <c r="D47" s="537" t="s">
        <v>573</v>
      </c>
      <c r="E47" s="538">
        <v>500</v>
      </c>
    </row>
    <row r="48" spans="2:6" ht="15" x14ac:dyDescent="0.25">
      <c r="B48" s="536">
        <v>19</v>
      </c>
      <c r="C48" s="537" t="s">
        <v>572</v>
      </c>
      <c r="D48" s="537" t="s">
        <v>574</v>
      </c>
      <c r="E48" s="538">
        <v>300</v>
      </c>
    </row>
    <row r="49" spans="2:7" ht="15" x14ac:dyDescent="0.25">
      <c r="B49" s="536">
        <v>20</v>
      </c>
      <c r="C49" s="537" t="s">
        <v>572</v>
      </c>
      <c r="D49" s="537" t="s">
        <v>677</v>
      </c>
      <c r="E49" s="538">
        <v>300</v>
      </c>
    </row>
    <row r="50" spans="2:7" ht="15" x14ac:dyDescent="0.25">
      <c r="B50" s="536">
        <f t="shared" si="0"/>
        <v>21</v>
      </c>
      <c r="C50" s="537" t="s">
        <v>572</v>
      </c>
      <c r="D50" s="537" t="s">
        <v>575</v>
      </c>
      <c r="E50" s="538">
        <v>400</v>
      </c>
    </row>
    <row r="51" spans="2:7" ht="15" x14ac:dyDescent="0.25">
      <c r="B51" s="536">
        <v>21</v>
      </c>
      <c r="C51" s="537" t="s">
        <v>576</v>
      </c>
      <c r="D51" s="537" t="s">
        <v>577</v>
      </c>
      <c r="E51" s="538">
        <v>500</v>
      </c>
    </row>
    <row r="52" spans="2:7" ht="15" x14ac:dyDescent="0.25">
      <c r="B52" s="536">
        <v>22</v>
      </c>
      <c r="C52" s="537" t="s">
        <v>578</v>
      </c>
      <c r="D52" s="537" t="s">
        <v>579</v>
      </c>
      <c r="E52" s="538">
        <v>1000</v>
      </c>
    </row>
    <row r="53" spans="2:7" ht="15.75" customHeight="1" x14ac:dyDescent="0.25">
      <c r="B53" s="536">
        <f t="shared" si="0"/>
        <v>23</v>
      </c>
      <c r="C53" s="537" t="s">
        <v>580</v>
      </c>
      <c r="D53" s="537" t="s">
        <v>581</v>
      </c>
      <c r="E53" s="538">
        <v>500</v>
      </c>
    </row>
    <row r="54" spans="2:7" ht="15" x14ac:dyDescent="0.25">
      <c r="B54" s="536">
        <v>23</v>
      </c>
      <c r="C54" s="537" t="s">
        <v>511</v>
      </c>
      <c r="D54" s="537" t="s">
        <v>582</v>
      </c>
      <c r="E54" s="538">
        <v>1000</v>
      </c>
    </row>
    <row r="55" spans="2:7" ht="30" x14ac:dyDescent="0.25">
      <c r="B55" s="536">
        <v>24</v>
      </c>
      <c r="C55" s="537" t="s">
        <v>510</v>
      </c>
      <c r="D55" s="537" t="s">
        <v>583</v>
      </c>
      <c r="E55" s="538">
        <v>800</v>
      </c>
    </row>
    <row r="56" spans="2:7" ht="15" x14ac:dyDescent="0.25">
      <c r="B56" s="536">
        <f t="shared" si="0"/>
        <v>25</v>
      </c>
      <c r="C56" s="537" t="s">
        <v>584</v>
      </c>
      <c r="D56" s="537" t="s">
        <v>585</v>
      </c>
      <c r="E56" s="538">
        <v>300</v>
      </c>
    </row>
    <row r="57" spans="2:7" ht="15" x14ac:dyDescent="0.25">
      <c r="B57" s="536">
        <v>25</v>
      </c>
      <c r="C57" s="537" t="s">
        <v>586</v>
      </c>
      <c r="D57" s="537" t="s">
        <v>587</v>
      </c>
      <c r="E57" s="538">
        <v>600</v>
      </c>
    </row>
    <row r="58" spans="2:7" ht="15" x14ac:dyDescent="0.25">
      <c r="B58" s="536">
        <v>26</v>
      </c>
      <c r="C58" s="537" t="s">
        <v>588</v>
      </c>
      <c r="D58" s="537" t="s">
        <v>589</v>
      </c>
      <c r="E58" s="538">
        <v>700</v>
      </c>
    </row>
    <row r="59" spans="2:7" ht="15" x14ac:dyDescent="0.25">
      <c r="B59" s="536">
        <f t="shared" si="0"/>
        <v>27</v>
      </c>
      <c r="C59" s="537" t="s">
        <v>588</v>
      </c>
      <c r="D59" s="537" t="s">
        <v>590</v>
      </c>
      <c r="E59" s="538">
        <v>1200</v>
      </c>
    </row>
    <row r="60" spans="2:7" ht="15" x14ac:dyDescent="0.25">
      <c r="B60" s="536">
        <v>27</v>
      </c>
      <c r="C60" s="537" t="s">
        <v>588</v>
      </c>
      <c r="D60" s="537" t="s">
        <v>591</v>
      </c>
      <c r="E60" s="538">
        <v>300</v>
      </c>
    </row>
    <row r="61" spans="2:7" ht="15" x14ac:dyDescent="0.25">
      <c r="B61" s="536">
        <v>28</v>
      </c>
      <c r="C61" s="537" t="s">
        <v>546</v>
      </c>
      <c r="D61" s="537" t="s">
        <v>592</v>
      </c>
      <c r="E61" s="538">
        <v>500</v>
      </c>
    </row>
    <row r="62" spans="2:7" ht="30" x14ac:dyDescent="0.25">
      <c r="B62" s="536">
        <f t="shared" si="0"/>
        <v>29</v>
      </c>
      <c r="C62" s="537" t="s">
        <v>593</v>
      </c>
      <c r="D62" s="537" t="s">
        <v>594</v>
      </c>
      <c r="E62" s="538">
        <v>800</v>
      </c>
      <c r="G62" s="36"/>
    </row>
    <row r="63" spans="2:7" ht="15" x14ac:dyDescent="0.25">
      <c r="B63" s="536">
        <v>29</v>
      </c>
      <c r="C63" s="537" t="s">
        <v>595</v>
      </c>
      <c r="D63" s="537" t="s">
        <v>596</v>
      </c>
      <c r="E63" s="538">
        <v>350</v>
      </c>
    </row>
    <row r="64" spans="2:7" ht="15" x14ac:dyDescent="0.25">
      <c r="B64" s="536">
        <v>30</v>
      </c>
      <c r="C64" s="537" t="s">
        <v>597</v>
      </c>
      <c r="D64" s="537" t="s">
        <v>598</v>
      </c>
      <c r="E64" s="538">
        <v>400</v>
      </c>
    </row>
    <row r="65" spans="1:5" ht="15" x14ac:dyDescent="0.25">
      <c r="B65" s="536">
        <f t="shared" si="0"/>
        <v>31</v>
      </c>
      <c r="C65" s="537" t="s">
        <v>599</v>
      </c>
      <c r="D65" s="537" t="s">
        <v>600</v>
      </c>
      <c r="E65" s="538">
        <v>500</v>
      </c>
    </row>
    <row r="66" spans="1:5" ht="15" x14ac:dyDescent="0.25">
      <c r="B66" s="536">
        <v>31</v>
      </c>
      <c r="C66" s="537" t="s">
        <v>601</v>
      </c>
      <c r="D66" s="537" t="s">
        <v>602</v>
      </c>
      <c r="E66" s="538">
        <v>600</v>
      </c>
    </row>
    <row r="67" spans="1:5" ht="15" x14ac:dyDescent="0.25">
      <c r="B67" s="536">
        <v>32</v>
      </c>
      <c r="C67" s="537" t="s">
        <v>603</v>
      </c>
      <c r="D67" s="537" t="s">
        <v>604</v>
      </c>
      <c r="E67" s="538">
        <v>600</v>
      </c>
    </row>
    <row r="68" spans="1:5" ht="30" x14ac:dyDescent="0.25">
      <c r="B68" s="536">
        <f t="shared" si="0"/>
        <v>33</v>
      </c>
      <c r="C68" s="537" t="s">
        <v>605</v>
      </c>
      <c r="D68" s="537" t="s">
        <v>606</v>
      </c>
      <c r="E68" s="538">
        <v>500</v>
      </c>
    </row>
    <row r="69" spans="1:5" ht="15" x14ac:dyDescent="0.25">
      <c r="B69" s="536">
        <v>33</v>
      </c>
      <c r="C69" s="537" t="s">
        <v>513</v>
      </c>
      <c r="D69" s="537" t="s">
        <v>607</v>
      </c>
      <c r="E69" s="538">
        <v>300</v>
      </c>
    </row>
    <row r="70" spans="1:5" ht="15" x14ac:dyDescent="0.25">
      <c r="B70" s="536">
        <v>34</v>
      </c>
      <c r="C70" s="537" t="s">
        <v>512</v>
      </c>
      <c r="D70" s="537" t="s">
        <v>608</v>
      </c>
      <c r="E70" s="538">
        <v>500</v>
      </c>
    </row>
    <row r="71" spans="1:5" ht="15" x14ac:dyDescent="0.25">
      <c r="B71" s="536">
        <f t="shared" si="0"/>
        <v>35</v>
      </c>
      <c r="C71" s="537" t="s">
        <v>570</v>
      </c>
      <c r="D71" s="537" t="s">
        <v>609</v>
      </c>
      <c r="E71" s="538">
        <v>200</v>
      </c>
    </row>
    <row r="72" spans="1:5" ht="15" x14ac:dyDescent="0.25">
      <c r="B72" s="536">
        <v>35</v>
      </c>
      <c r="C72" s="537" t="s">
        <v>610</v>
      </c>
      <c r="D72" s="537" t="s">
        <v>611</v>
      </c>
      <c r="E72" s="538">
        <v>500</v>
      </c>
    </row>
    <row r="73" spans="1:5" ht="15" x14ac:dyDescent="0.25">
      <c r="A73" s="534"/>
      <c r="B73" s="536">
        <v>36</v>
      </c>
      <c r="C73" s="537" t="s">
        <v>570</v>
      </c>
      <c r="D73" s="537" t="s">
        <v>612</v>
      </c>
      <c r="E73" s="538">
        <v>400</v>
      </c>
    </row>
    <row r="74" spans="1:5" ht="15" x14ac:dyDescent="0.25">
      <c r="A74" s="534"/>
      <c r="B74" s="532"/>
      <c r="C74" s="533" t="s">
        <v>9</v>
      </c>
      <c r="D74" s="532"/>
      <c r="E74" s="526">
        <f>SUM(E21:E73)</f>
        <v>33600</v>
      </c>
    </row>
  </sheetData>
  <mergeCells count="2">
    <mergeCell ref="B3:E3"/>
    <mergeCell ref="B5:C5"/>
  </mergeCells>
  <pageMargins left="0.70866141732283472" right="0.62992125984251968" top="0.19685039370078741" bottom="0.19685039370078741" header="0.51181102362204722" footer="0.51181102362204722"/>
  <pageSetup paperSize="9" scale="80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7"/>
  <sheetViews>
    <sheetView workbookViewId="0"/>
  </sheetViews>
  <sheetFormatPr defaultRowHeight="15" x14ac:dyDescent="0.25"/>
  <cols>
    <col min="1" max="1" width="9.140625" style="105"/>
    <col min="2" max="2" width="6.5703125" style="105" customWidth="1"/>
    <col min="3" max="3" width="44.140625" style="105" customWidth="1"/>
    <col min="4" max="4" width="50.7109375" style="105" customWidth="1"/>
    <col min="5" max="5" width="12.7109375" style="357" customWidth="1"/>
    <col min="6" max="8" width="9.140625" style="105"/>
    <col min="9" max="9" width="10.42578125" style="105" bestFit="1" customWidth="1"/>
    <col min="10" max="16384" width="9.140625" style="105"/>
  </cols>
  <sheetData>
    <row r="1" spans="2:11" ht="16.5" x14ac:dyDescent="0.3">
      <c r="B1" s="112"/>
      <c r="C1" s="112"/>
      <c r="D1" s="683" t="s">
        <v>168</v>
      </c>
      <c r="E1" s="684"/>
    </row>
    <row r="2" spans="2:11" ht="18.75" x14ac:dyDescent="0.3">
      <c r="B2" s="685" t="s">
        <v>499</v>
      </c>
      <c r="C2" s="685"/>
      <c r="D2" s="685"/>
      <c r="E2" s="684"/>
    </row>
    <row r="3" spans="2:11" ht="16.5" x14ac:dyDescent="0.3">
      <c r="B3" s="112"/>
      <c r="C3" s="112"/>
      <c r="D3" s="112"/>
      <c r="E3" s="356"/>
    </row>
    <row r="4" spans="2:11" ht="27" customHeight="1" x14ac:dyDescent="0.25">
      <c r="B4" s="558" t="s">
        <v>155</v>
      </c>
      <c r="C4" s="559" t="s">
        <v>169</v>
      </c>
      <c r="D4" s="559" t="s">
        <v>167</v>
      </c>
      <c r="E4" s="560" t="s">
        <v>470</v>
      </c>
      <c r="F4" s="31"/>
      <c r="G4" s="682"/>
      <c r="H4" s="682"/>
      <c r="I4" s="682"/>
      <c r="J4" s="682"/>
      <c r="K4" s="682"/>
    </row>
    <row r="5" spans="2:11" ht="17.25" customHeight="1" x14ac:dyDescent="0.35">
      <c r="B5" s="561">
        <v>1</v>
      </c>
      <c r="C5" s="522" t="s">
        <v>701</v>
      </c>
      <c r="D5" s="522" t="s">
        <v>702</v>
      </c>
      <c r="E5" s="523">
        <v>1500</v>
      </c>
      <c r="F5" s="31"/>
    </row>
    <row r="6" spans="2:11" ht="16.5" x14ac:dyDescent="0.35">
      <c r="B6" s="561">
        <v>2</v>
      </c>
      <c r="C6" s="522" t="s">
        <v>719</v>
      </c>
      <c r="D6" s="522" t="s">
        <v>737</v>
      </c>
      <c r="E6" s="523">
        <v>300</v>
      </c>
    </row>
    <row r="7" spans="2:11" ht="16.5" x14ac:dyDescent="0.35">
      <c r="B7" s="561">
        <v>3</v>
      </c>
      <c r="C7" s="522" t="s">
        <v>691</v>
      </c>
      <c r="D7" s="522" t="s">
        <v>692</v>
      </c>
      <c r="E7" s="523">
        <v>2200</v>
      </c>
    </row>
    <row r="8" spans="2:11" ht="16.5" x14ac:dyDescent="0.35">
      <c r="B8" s="561">
        <v>4</v>
      </c>
      <c r="C8" s="522" t="s">
        <v>691</v>
      </c>
      <c r="D8" s="522" t="s">
        <v>712</v>
      </c>
      <c r="E8" s="523">
        <v>1500</v>
      </c>
    </row>
    <row r="9" spans="2:11" ht="15" customHeight="1" x14ac:dyDescent="0.35">
      <c r="B9" s="561">
        <v>5</v>
      </c>
      <c r="C9" s="522" t="s">
        <v>678</v>
      </c>
      <c r="D9" s="522" t="s">
        <v>738</v>
      </c>
      <c r="E9" s="523">
        <v>2000</v>
      </c>
    </row>
    <row r="10" spans="2:11" ht="16.5" x14ac:dyDescent="0.35">
      <c r="B10" s="561">
        <v>6</v>
      </c>
      <c r="C10" s="522" t="s">
        <v>720</v>
      </c>
      <c r="D10" s="522" t="s">
        <v>690</v>
      </c>
      <c r="E10" s="523">
        <v>1500</v>
      </c>
    </row>
    <row r="11" spans="2:11" ht="16.5" x14ac:dyDescent="0.35">
      <c r="B11" s="561">
        <v>7</v>
      </c>
      <c r="C11" s="522" t="s">
        <v>720</v>
      </c>
      <c r="D11" s="522" t="s">
        <v>736</v>
      </c>
      <c r="E11" s="523">
        <v>2000</v>
      </c>
    </row>
    <row r="12" spans="2:11" ht="16.5" x14ac:dyDescent="0.35">
      <c r="B12" s="561">
        <v>8</v>
      </c>
      <c r="C12" s="522" t="s">
        <v>684</v>
      </c>
      <c r="D12" s="522" t="s">
        <v>685</v>
      </c>
      <c r="E12" s="523">
        <v>1100</v>
      </c>
    </row>
    <row r="13" spans="2:11" ht="16.5" x14ac:dyDescent="0.35">
      <c r="B13" s="561">
        <v>9</v>
      </c>
      <c r="C13" s="522" t="s">
        <v>721</v>
      </c>
      <c r="D13" s="522" t="s">
        <v>739</v>
      </c>
      <c r="E13" s="523">
        <v>300</v>
      </c>
    </row>
    <row r="14" spans="2:11" ht="16.5" x14ac:dyDescent="0.35">
      <c r="B14" s="561">
        <v>10</v>
      </c>
      <c r="C14" s="522" t="s">
        <v>721</v>
      </c>
      <c r="D14" s="522" t="s">
        <v>740</v>
      </c>
      <c r="E14" s="523">
        <v>300</v>
      </c>
    </row>
    <row r="15" spans="2:11" ht="16.5" x14ac:dyDescent="0.35">
      <c r="B15" s="561">
        <v>11</v>
      </c>
      <c r="C15" s="522" t="s">
        <v>948</v>
      </c>
      <c r="D15" s="522" t="s">
        <v>686</v>
      </c>
      <c r="E15" s="523">
        <v>1650</v>
      </c>
    </row>
    <row r="16" spans="2:11" ht="16.5" x14ac:dyDescent="0.35">
      <c r="B16" s="561">
        <v>12</v>
      </c>
      <c r="C16" s="522" t="s">
        <v>949</v>
      </c>
      <c r="D16" s="522" t="s">
        <v>679</v>
      </c>
      <c r="E16" s="523">
        <v>700</v>
      </c>
    </row>
    <row r="17" spans="2:5" ht="16.5" x14ac:dyDescent="0.35">
      <c r="B17" s="561">
        <v>13</v>
      </c>
      <c r="C17" s="522" t="s">
        <v>682</v>
      </c>
      <c r="D17" s="522" t="s">
        <v>741</v>
      </c>
      <c r="E17" s="523">
        <v>1900</v>
      </c>
    </row>
    <row r="18" spans="2:5" ht="15" customHeight="1" x14ac:dyDescent="0.35">
      <c r="B18" s="561">
        <v>14</v>
      </c>
      <c r="C18" s="522" t="s">
        <v>722</v>
      </c>
      <c r="D18" s="522" t="s">
        <v>742</v>
      </c>
      <c r="E18" s="523">
        <v>1300</v>
      </c>
    </row>
    <row r="19" spans="2:5" ht="16.5" x14ac:dyDescent="0.35">
      <c r="B19" s="561">
        <v>15</v>
      </c>
      <c r="C19" s="522" t="s">
        <v>700</v>
      </c>
      <c r="D19" s="522" t="s">
        <v>743</v>
      </c>
      <c r="E19" s="523">
        <v>500</v>
      </c>
    </row>
    <row r="20" spans="2:5" ht="16.5" x14ac:dyDescent="0.35">
      <c r="B20" s="561">
        <v>16</v>
      </c>
      <c r="C20" s="522" t="s">
        <v>601</v>
      </c>
      <c r="D20" s="522" t="s">
        <v>705</v>
      </c>
      <c r="E20" s="523">
        <v>300</v>
      </c>
    </row>
    <row r="21" spans="2:5" ht="13.5" customHeight="1" x14ac:dyDescent="0.35">
      <c r="B21" s="561">
        <v>17</v>
      </c>
      <c r="C21" s="522" t="s">
        <v>950</v>
      </c>
      <c r="D21" s="522" t="s">
        <v>717</v>
      </c>
      <c r="E21" s="523">
        <v>400</v>
      </c>
    </row>
    <row r="22" spans="2:5" ht="16.5" x14ac:dyDescent="0.35">
      <c r="B22" s="561">
        <v>18</v>
      </c>
      <c r="C22" s="522" t="s">
        <v>723</v>
      </c>
      <c r="D22" s="522" t="s">
        <v>703</v>
      </c>
      <c r="E22" s="523">
        <v>2000</v>
      </c>
    </row>
    <row r="23" spans="2:5" ht="18" customHeight="1" x14ac:dyDescent="0.35">
      <c r="B23" s="561">
        <v>19</v>
      </c>
      <c r="C23" s="522" t="s">
        <v>723</v>
      </c>
      <c r="D23" s="522" t="s">
        <v>744</v>
      </c>
      <c r="E23" s="523">
        <v>1000</v>
      </c>
    </row>
    <row r="24" spans="2:5" ht="16.5" x14ac:dyDescent="0.35">
      <c r="B24" s="561">
        <v>20</v>
      </c>
      <c r="C24" s="522" t="s">
        <v>951</v>
      </c>
      <c r="D24" s="522" t="s">
        <v>683</v>
      </c>
      <c r="E24" s="523">
        <f>950-450</f>
        <v>500</v>
      </c>
    </row>
    <row r="25" spans="2:5" ht="16.5" x14ac:dyDescent="0.35">
      <c r="B25" s="561">
        <v>21</v>
      </c>
      <c r="C25" s="522" t="s">
        <v>951</v>
      </c>
      <c r="D25" s="522" t="s">
        <v>695</v>
      </c>
      <c r="E25" s="523">
        <f>600-110</f>
        <v>490</v>
      </c>
    </row>
    <row r="26" spans="2:5" ht="16.5" x14ac:dyDescent="0.35">
      <c r="B26" s="561">
        <v>22</v>
      </c>
      <c r="C26" s="522" t="s">
        <v>952</v>
      </c>
      <c r="D26" s="522" t="s">
        <v>745</v>
      </c>
      <c r="E26" s="523">
        <v>2200</v>
      </c>
    </row>
    <row r="27" spans="2:5" ht="16.5" x14ac:dyDescent="0.35">
      <c r="B27" s="561">
        <v>23</v>
      </c>
      <c r="C27" s="522" t="s">
        <v>953</v>
      </c>
      <c r="D27" s="522" t="s">
        <v>715</v>
      </c>
      <c r="E27" s="523">
        <v>2600</v>
      </c>
    </row>
    <row r="28" spans="2:5" ht="15" customHeight="1" x14ac:dyDescent="0.35">
      <c r="B28" s="561">
        <v>24</v>
      </c>
      <c r="C28" s="522" t="s">
        <v>700</v>
      </c>
      <c r="D28" s="522" t="s">
        <v>716</v>
      </c>
      <c r="E28" s="523">
        <v>700</v>
      </c>
    </row>
    <row r="29" spans="2:5" ht="16.5" x14ac:dyDescent="0.35">
      <c r="B29" s="561">
        <v>25</v>
      </c>
      <c r="C29" s="522" t="s">
        <v>954</v>
      </c>
      <c r="D29" s="522" t="s">
        <v>746</v>
      </c>
      <c r="E29" s="523">
        <v>1000</v>
      </c>
    </row>
    <row r="30" spans="2:5" ht="15" customHeight="1" x14ac:dyDescent="0.35">
      <c r="B30" s="561">
        <v>26</v>
      </c>
      <c r="C30" s="522" t="s">
        <v>713</v>
      </c>
      <c r="D30" s="522" t="s">
        <v>714</v>
      </c>
      <c r="E30" s="523">
        <v>300</v>
      </c>
    </row>
    <row r="31" spans="2:5" ht="31.5" customHeight="1" x14ac:dyDescent="0.25">
      <c r="B31" s="561">
        <v>27</v>
      </c>
      <c r="C31" s="539" t="s">
        <v>955</v>
      </c>
      <c r="D31" s="563" t="s">
        <v>747</v>
      </c>
      <c r="E31" s="538">
        <v>500</v>
      </c>
    </row>
    <row r="32" spans="2:5" ht="16.5" x14ac:dyDescent="0.35">
      <c r="B32" s="561">
        <v>28</v>
      </c>
      <c r="C32" s="522" t="s">
        <v>680</v>
      </c>
      <c r="D32" s="522" t="s">
        <v>681</v>
      </c>
      <c r="E32" s="523">
        <v>500</v>
      </c>
    </row>
    <row r="33" spans="2:9" ht="16.5" x14ac:dyDescent="0.35">
      <c r="B33" s="561">
        <v>29</v>
      </c>
      <c r="C33" s="522" t="s">
        <v>724</v>
      </c>
      <c r="D33" s="522" t="s">
        <v>748</v>
      </c>
      <c r="E33" s="523">
        <v>1700</v>
      </c>
    </row>
    <row r="34" spans="2:9" ht="16.5" x14ac:dyDescent="0.35">
      <c r="B34" s="561">
        <v>30</v>
      </c>
      <c r="C34" s="522" t="s">
        <v>725</v>
      </c>
      <c r="D34" s="522" t="s">
        <v>749</v>
      </c>
      <c r="E34" s="523">
        <v>300</v>
      </c>
    </row>
    <row r="35" spans="2:9" ht="16.5" x14ac:dyDescent="0.35">
      <c r="B35" s="561">
        <v>31</v>
      </c>
      <c r="C35" s="522" t="s">
        <v>725</v>
      </c>
      <c r="D35" s="522" t="s">
        <v>750</v>
      </c>
      <c r="E35" s="523">
        <v>500</v>
      </c>
    </row>
    <row r="36" spans="2:9" ht="16.5" x14ac:dyDescent="0.35">
      <c r="B36" s="561">
        <v>32</v>
      </c>
      <c r="C36" s="522" t="s">
        <v>699</v>
      </c>
      <c r="D36" s="522" t="s">
        <v>751</v>
      </c>
      <c r="E36" s="523">
        <v>2000</v>
      </c>
    </row>
    <row r="37" spans="2:9" ht="16.5" x14ac:dyDescent="0.35">
      <c r="B37" s="561">
        <v>33</v>
      </c>
      <c r="C37" s="522" t="s">
        <v>726</v>
      </c>
      <c r="D37" s="522" t="s">
        <v>752</v>
      </c>
      <c r="E37" s="523">
        <v>200</v>
      </c>
    </row>
    <row r="38" spans="2:9" ht="16.5" x14ac:dyDescent="0.35">
      <c r="B38" s="561">
        <v>34</v>
      </c>
      <c r="C38" s="522" t="s">
        <v>956</v>
      </c>
      <c r="D38" s="522" t="s">
        <v>753</v>
      </c>
      <c r="E38" s="523">
        <v>800</v>
      </c>
      <c r="I38" s="106"/>
    </row>
    <row r="39" spans="2:9" ht="16.5" x14ac:dyDescent="0.35">
      <c r="B39" s="561">
        <v>35</v>
      </c>
      <c r="C39" s="522" t="s">
        <v>959</v>
      </c>
      <c r="D39" s="522" t="s">
        <v>693</v>
      </c>
      <c r="E39" s="523">
        <v>2000</v>
      </c>
    </row>
    <row r="40" spans="2:9" ht="16.5" x14ac:dyDescent="0.35">
      <c r="B40" s="561">
        <v>36</v>
      </c>
      <c r="C40" s="522" t="s">
        <v>959</v>
      </c>
      <c r="D40" s="522" t="s">
        <v>694</v>
      </c>
      <c r="E40" s="523">
        <v>300</v>
      </c>
    </row>
    <row r="41" spans="2:9" ht="16.5" x14ac:dyDescent="0.35">
      <c r="B41" s="561">
        <v>37</v>
      </c>
      <c r="C41" s="522" t="s">
        <v>959</v>
      </c>
      <c r="D41" s="522" t="s">
        <v>697</v>
      </c>
      <c r="E41" s="523">
        <v>300</v>
      </c>
    </row>
    <row r="42" spans="2:9" ht="16.5" x14ac:dyDescent="0.35">
      <c r="B42" s="561">
        <v>38</v>
      </c>
      <c r="C42" s="522" t="s">
        <v>727</v>
      </c>
      <c r="D42" s="522" t="s">
        <v>708</v>
      </c>
      <c r="E42" s="523">
        <v>200</v>
      </c>
    </row>
    <row r="43" spans="2:9" ht="16.5" x14ac:dyDescent="0.35">
      <c r="B43" s="561">
        <v>39</v>
      </c>
      <c r="C43" s="522" t="s">
        <v>728</v>
      </c>
      <c r="D43" s="522" t="s">
        <v>754</v>
      </c>
      <c r="E43" s="523">
        <v>300</v>
      </c>
      <c r="F43" s="107"/>
    </row>
    <row r="44" spans="2:9" ht="16.5" x14ac:dyDescent="0.35">
      <c r="B44" s="561">
        <v>40</v>
      </c>
      <c r="C44" s="522" t="s">
        <v>729</v>
      </c>
      <c r="D44" s="522" t="s">
        <v>755</v>
      </c>
      <c r="E44" s="523">
        <v>300</v>
      </c>
      <c r="F44" s="107"/>
    </row>
    <row r="45" spans="2:9" ht="16.5" x14ac:dyDescent="0.35">
      <c r="B45" s="561">
        <v>41</v>
      </c>
      <c r="C45" s="522" t="s">
        <v>730</v>
      </c>
      <c r="D45" s="522" t="s">
        <v>687</v>
      </c>
      <c r="E45" s="523">
        <v>900</v>
      </c>
      <c r="F45" s="107"/>
    </row>
    <row r="46" spans="2:9" ht="16.5" x14ac:dyDescent="0.35">
      <c r="B46" s="561">
        <v>42</v>
      </c>
      <c r="C46" s="522" t="s">
        <v>960</v>
      </c>
      <c r="D46" s="522" t="s">
        <v>756</v>
      </c>
      <c r="E46" s="523">
        <v>2000</v>
      </c>
      <c r="F46" s="107"/>
    </row>
    <row r="47" spans="2:9" ht="16.5" x14ac:dyDescent="0.35">
      <c r="B47" s="561">
        <v>43</v>
      </c>
      <c r="C47" s="522" t="s">
        <v>731</v>
      </c>
      <c r="D47" s="522" t="s">
        <v>753</v>
      </c>
      <c r="E47" s="523">
        <v>500</v>
      </c>
      <c r="F47" s="107"/>
    </row>
    <row r="48" spans="2:9" ht="16.5" x14ac:dyDescent="0.35">
      <c r="B48" s="561">
        <v>44</v>
      </c>
      <c r="C48" s="522" t="s">
        <v>732</v>
      </c>
      <c r="D48" s="522" t="s">
        <v>757</v>
      </c>
      <c r="E48" s="523">
        <v>600</v>
      </c>
    </row>
    <row r="49" spans="2:5" ht="16.5" x14ac:dyDescent="0.35">
      <c r="B49" s="561">
        <v>45</v>
      </c>
      <c r="C49" s="522" t="s">
        <v>733</v>
      </c>
      <c r="D49" s="522" t="s">
        <v>758</v>
      </c>
      <c r="E49" s="523">
        <v>1300</v>
      </c>
    </row>
    <row r="50" spans="2:5" ht="16.5" x14ac:dyDescent="0.35">
      <c r="B50" s="561">
        <v>46</v>
      </c>
      <c r="C50" s="522" t="s">
        <v>961</v>
      </c>
      <c r="D50" s="522" t="s">
        <v>759</v>
      </c>
      <c r="E50" s="523">
        <v>600</v>
      </c>
    </row>
    <row r="51" spans="2:5" ht="16.5" x14ac:dyDescent="0.35">
      <c r="B51" s="561">
        <v>47</v>
      </c>
      <c r="C51" s="522" t="s">
        <v>962</v>
      </c>
      <c r="D51" s="522" t="s">
        <v>707</v>
      </c>
      <c r="E51" s="523">
        <v>700</v>
      </c>
    </row>
    <row r="52" spans="2:5" ht="16.5" x14ac:dyDescent="0.35">
      <c r="B52" s="561">
        <v>48</v>
      </c>
      <c r="C52" s="522" t="s">
        <v>962</v>
      </c>
      <c r="D52" s="522" t="s">
        <v>696</v>
      </c>
      <c r="E52" s="523">
        <f>1500-359.28</f>
        <v>1140.72</v>
      </c>
    </row>
    <row r="53" spans="2:5" ht="16.5" x14ac:dyDescent="0.35">
      <c r="B53" s="561">
        <v>49</v>
      </c>
      <c r="C53" s="522" t="s">
        <v>734</v>
      </c>
      <c r="D53" s="522" t="s">
        <v>711</v>
      </c>
      <c r="E53" s="523">
        <v>500</v>
      </c>
    </row>
    <row r="54" spans="2:5" ht="30" x14ac:dyDescent="0.35">
      <c r="B54" s="561">
        <v>50</v>
      </c>
      <c r="C54" s="562" t="s">
        <v>963</v>
      </c>
      <c r="D54" s="563" t="s">
        <v>760</v>
      </c>
      <c r="E54" s="538">
        <v>500</v>
      </c>
    </row>
    <row r="55" spans="2:5" ht="16.5" x14ac:dyDescent="0.35">
      <c r="B55" s="561">
        <v>51</v>
      </c>
      <c r="C55" s="522" t="s">
        <v>698</v>
      </c>
      <c r="D55" s="522" t="s">
        <v>761</v>
      </c>
      <c r="E55" s="523">
        <v>400</v>
      </c>
    </row>
    <row r="56" spans="2:5" ht="16.5" x14ac:dyDescent="0.35">
      <c r="B56" s="561">
        <v>52</v>
      </c>
      <c r="C56" s="522" t="s">
        <v>689</v>
      </c>
      <c r="D56" s="522" t="s">
        <v>762</v>
      </c>
      <c r="E56" s="523">
        <v>500</v>
      </c>
    </row>
    <row r="57" spans="2:5" ht="16.5" x14ac:dyDescent="0.35">
      <c r="B57" s="561">
        <v>53</v>
      </c>
      <c r="C57" s="522" t="s">
        <v>735</v>
      </c>
      <c r="D57" s="522" t="s">
        <v>704</v>
      </c>
      <c r="E57" s="523">
        <v>1000</v>
      </c>
    </row>
    <row r="58" spans="2:5" ht="16.5" x14ac:dyDescent="0.35">
      <c r="B58" s="561">
        <v>54</v>
      </c>
      <c r="C58" s="522" t="s">
        <v>958</v>
      </c>
      <c r="D58" s="522" t="s">
        <v>706</v>
      </c>
      <c r="E58" s="523">
        <v>500</v>
      </c>
    </row>
    <row r="59" spans="2:5" ht="16.5" x14ac:dyDescent="0.35">
      <c r="B59" s="561">
        <v>55</v>
      </c>
      <c r="C59" s="522" t="s">
        <v>958</v>
      </c>
      <c r="D59" s="522" t="s">
        <v>753</v>
      </c>
      <c r="E59" s="523">
        <v>800</v>
      </c>
    </row>
    <row r="60" spans="2:5" ht="16.5" x14ac:dyDescent="0.35">
      <c r="B60" s="561">
        <v>56</v>
      </c>
      <c r="C60" s="522" t="s">
        <v>957</v>
      </c>
      <c r="D60" s="522" t="s">
        <v>763</v>
      </c>
      <c r="E60" s="523">
        <v>1300</v>
      </c>
    </row>
    <row r="61" spans="2:5" ht="16.5" x14ac:dyDescent="0.35">
      <c r="B61" s="561">
        <v>57</v>
      </c>
      <c r="C61" s="522" t="s">
        <v>709</v>
      </c>
      <c r="D61" s="522" t="s">
        <v>710</v>
      </c>
      <c r="E61" s="523">
        <v>1100</v>
      </c>
    </row>
    <row r="62" spans="2:5" ht="16.5" x14ac:dyDescent="0.35">
      <c r="B62" s="561">
        <v>58</v>
      </c>
      <c r="C62" s="522" t="s">
        <v>964</v>
      </c>
      <c r="D62" s="522" t="s">
        <v>764</v>
      </c>
      <c r="E62" s="523">
        <v>500</v>
      </c>
    </row>
    <row r="63" spans="2:5" ht="16.5" x14ac:dyDescent="0.35">
      <c r="B63" s="561">
        <v>59</v>
      </c>
      <c r="C63" s="522" t="s">
        <v>688</v>
      </c>
      <c r="D63" s="522" t="s">
        <v>765</v>
      </c>
      <c r="E63" s="523">
        <v>900</v>
      </c>
    </row>
    <row r="64" spans="2:5" ht="16.5" x14ac:dyDescent="0.35">
      <c r="B64" s="561">
        <v>60</v>
      </c>
      <c r="C64" s="522" t="s">
        <v>718</v>
      </c>
      <c r="D64" s="522" t="s">
        <v>970</v>
      </c>
      <c r="E64" s="523">
        <v>300</v>
      </c>
    </row>
    <row r="65" spans="2:8" s="69" customFormat="1" ht="28.5" customHeight="1" x14ac:dyDescent="0.25">
      <c r="B65" s="564"/>
      <c r="C65" s="564" t="s">
        <v>9</v>
      </c>
      <c r="D65" s="565"/>
      <c r="E65" s="566">
        <f>SUM(E5:E64)</f>
        <v>56180.72</v>
      </c>
      <c r="H65" s="108"/>
    </row>
    <row r="66" spans="2:8" x14ac:dyDescent="0.25">
      <c r="C66" s="32"/>
    </row>
    <row r="67" spans="2:8" x14ac:dyDescent="0.25">
      <c r="C67" s="32"/>
    </row>
  </sheetData>
  <mergeCells count="3">
    <mergeCell ref="G4:K4"/>
    <mergeCell ref="D1:E1"/>
    <mergeCell ref="B2:E2"/>
  </mergeCells>
  <pageMargins left="0.51181102362204722" right="0.19685039370078741" top="0.6692913385826772" bottom="0.6692913385826772" header="0.15748031496062992" footer="0.31496062992125984"/>
  <pageSetup paperSize="9" scale="80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22"/>
  <sheetViews>
    <sheetView workbookViewId="0"/>
  </sheetViews>
  <sheetFormatPr defaultRowHeight="14.25" x14ac:dyDescent="0.2"/>
  <cols>
    <col min="1" max="1" width="9.140625" style="1" customWidth="1"/>
    <col min="2" max="2" width="6.28515625" style="1" customWidth="1"/>
    <col min="3" max="3" width="38.7109375" style="1" customWidth="1"/>
    <col min="4" max="4" width="42.140625" style="1" customWidth="1"/>
    <col min="5" max="5" width="12.42578125" style="349" customWidth="1"/>
    <col min="6" max="16384" width="9.140625" style="1"/>
  </cols>
  <sheetData>
    <row r="1" spans="2:12" customFormat="1" ht="15" x14ac:dyDescent="0.25">
      <c r="B1" s="1"/>
      <c r="C1" s="1"/>
      <c r="D1" s="1"/>
      <c r="E1" s="349"/>
    </row>
    <row r="2" spans="2:12" customFormat="1" ht="16.5" x14ac:dyDescent="0.3">
      <c r="B2" s="113"/>
      <c r="C2" s="113"/>
      <c r="D2" s="113"/>
      <c r="E2" s="134" t="s">
        <v>170</v>
      </c>
    </row>
    <row r="3" spans="2:12" customFormat="1" ht="16.5" x14ac:dyDescent="0.3">
      <c r="B3" s="114"/>
      <c r="C3" s="113"/>
      <c r="D3" s="113"/>
      <c r="E3" s="358"/>
    </row>
    <row r="4" spans="2:12" customFormat="1" ht="20.25" x14ac:dyDescent="0.35">
      <c r="B4" s="686" t="s">
        <v>500</v>
      </c>
      <c r="C4" s="686"/>
      <c r="D4" s="686"/>
      <c r="E4" s="686"/>
    </row>
    <row r="5" spans="2:12" customFormat="1" ht="17.25" x14ac:dyDescent="0.35">
      <c r="B5" s="113"/>
      <c r="C5" s="113"/>
      <c r="D5" s="113"/>
      <c r="E5" s="359"/>
    </row>
    <row r="6" spans="2:12" s="10" customFormat="1" ht="35.25" customHeight="1" x14ac:dyDescent="0.25">
      <c r="B6" s="567" t="s">
        <v>155</v>
      </c>
      <c r="C6" s="540" t="s">
        <v>166</v>
      </c>
      <c r="D6" s="540" t="s">
        <v>167</v>
      </c>
      <c r="E6" s="568" t="s">
        <v>470</v>
      </c>
      <c r="K6" s="104"/>
      <c r="L6" s="109"/>
    </row>
    <row r="7" spans="2:12" s="10" customFormat="1" ht="25.5" customHeight="1" x14ac:dyDescent="0.2">
      <c r="B7" s="569">
        <v>1</v>
      </c>
      <c r="C7" s="563" t="s">
        <v>766</v>
      </c>
      <c r="D7" s="570" t="s">
        <v>772</v>
      </c>
      <c r="E7" s="538">
        <v>1400</v>
      </c>
      <c r="K7" s="104"/>
      <c r="L7" s="104"/>
    </row>
    <row r="8" spans="2:12" s="10" customFormat="1" ht="48.75" customHeight="1" x14ac:dyDescent="0.2">
      <c r="B8" s="569">
        <v>2</v>
      </c>
      <c r="C8" s="563" t="s">
        <v>934</v>
      </c>
      <c r="D8" s="570" t="s">
        <v>773</v>
      </c>
      <c r="E8" s="538">
        <v>600</v>
      </c>
      <c r="K8" s="104"/>
    </row>
    <row r="9" spans="2:12" s="10" customFormat="1" ht="20.25" customHeight="1" x14ac:dyDescent="0.25">
      <c r="B9" s="569">
        <v>3</v>
      </c>
      <c r="C9" s="563" t="s">
        <v>775</v>
      </c>
      <c r="D9" s="570" t="s">
        <v>774</v>
      </c>
      <c r="E9" s="538">
        <v>1300</v>
      </c>
    </row>
    <row r="10" spans="2:12" s="10" customFormat="1" ht="27.75" customHeight="1" x14ac:dyDescent="0.25">
      <c r="B10" s="569">
        <v>4</v>
      </c>
      <c r="C10" s="563" t="s">
        <v>777</v>
      </c>
      <c r="D10" s="570" t="s">
        <v>776</v>
      </c>
      <c r="E10" s="538">
        <v>800</v>
      </c>
    </row>
    <row r="11" spans="2:12" s="10" customFormat="1" ht="19.149999999999999" customHeight="1" x14ac:dyDescent="0.25">
      <c r="B11" s="569">
        <v>5</v>
      </c>
      <c r="C11" s="563" t="s">
        <v>779</v>
      </c>
      <c r="D11" s="570" t="s">
        <v>778</v>
      </c>
      <c r="E11" s="538">
        <v>1400</v>
      </c>
    </row>
    <row r="12" spans="2:12" customFormat="1" ht="18" customHeight="1" x14ac:dyDescent="0.25">
      <c r="B12" s="569">
        <v>6</v>
      </c>
      <c r="C12" s="563" t="s">
        <v>781</v>
      </c>
      <c r="D12" s="570" t="s">
        <v>780</v>
      </c>
      <c r="E12" s="538">
        <v>2990</v>
      </c>
    </row>
    <row r="13" spans="2:12" customFormat="1" ht="27.75" customHeight="1" x14ac:dyDescent="0.25">
      <c r="B13" s="569">
        <v>7</v>
      </c>
      <c r="C13" s="563" t="s">
        <v>767</v>
      </c>
      <c r="D13" s="570" t="s">
        <v>782</v>
      </c>
      <c r="E13" s="538">
        <v>2200</v>
      </c>
    </row>
    <row r="14" spans="2:12" customFormat="1" ht="31.5" customHeight="1" x14ac:dyDescent="0.25">
      <c r="B14" s="569">
        <v>8</v>
      </c>
      <c r="C14" s="563" t="s">
        <v>768</v>
      </c>
      <c r="D14" s="570" t="s">
        <v>783</v>
      </c>
      <c r="E14" s="538">
        <v>1610</v>
      </c>
    </row>
    <row r="15" spans="2:12" customFormat="1" ht="27" customHeight="1" x14ac:dyDescent="0.25">
      <c r="B15" s="569">
        <v>9</v>
      </c>
      <c r="C15" s="563" t="s">
        <v>769</v>
      </c>
      <c r="D15" s="570" t="s">
        <v>784</v>
      </c>
      <c r="E15" s="538">
        <v>1500</v>
      </c>
    </row>
    <row r="16" spans="2:12" customFormat="1" ht="24" customHeight="1" x14ac:dyDescent="0.25">
      <c r="B16" s="569">
        <v>10</v>
      </c>
      <c r="C16" s="563" t="s">
        <v>965</v>
      </c>
      <c r="D16" s="570" t="s">
        <v>679</v>
      </c>
      <c r="E16" s="538">
        <v>700</v>
      </c>
    </row>
    <row r="17" spans="2:5" customFormat="1" ht="29.25" customHeight="1" x14ac:dyDescent="0.25">
      <c r="B17" s="569">
        <v>11</v>
      </c>
      <c r="C17" s="539" t="s">
        <v>771</v>
      </c>
      <c r="D17" s="570" t="s">
        <v>785</v>
      </c>
      <c r="E17" s="538">
        <v>1000</v>
      </c>
    </row>
    <row r="18" spans="2:5" customFormat="1" ht="29.25" customHeight="1" x14ac:dyDescent="0.25">
      <c r="B18" s="569">
        <v>12</v>
      </c>
      <c r="C18" s="539" t="s">
        <v>969</v>
      </c>
      <c r="D18" s="570" t="s">
        <v>786</v>
      </c>
      <c r="E18" s="538">
        <v>1400</v>
      </c>
    </row>
    <row r="19" spans="2:5" customFormat="1" ht="60.75" customHeight="1" x14ac:dyDescent="0.25">
      <c r="B19" s="569">
        <v>13</v>
      </c>
      <c r="C19" s="539" t="s">
        <v>966</v>
      </c>
      <c r="D19" s="570" t="s">
        <v>787</v>
      </c>
      <c r="E19" s="538">
        <v>1600</v>
      </c>
    </row>
    <row r="20" spans="2:5" customFormat="1" ht="31.5" customHeight="1" x14ac:dyDescent="0.25">
      <c r="B20" s="569">
        <v>14</v>
      </c>
      <c r="C20" s="539" t="s">
        <v>967</v>
      </c>
      <c r="D20" s="570" t="s">
        <v>788</v>
      </c>
      <c r="E20" s="538">
        <v>1100</v>
      </c>
    </row>
    <row r="21" spans="2:5" customFormat="1" ht="28.5" customHeight="1" x14ac:dyDescent="0.25">
      <c r="B21" s="569">
        <v>15</v>
      </c>
      <c r="C21" s="539" t="s">
        <v>968</v>
      </c>
      <c r="D21" s="570" t="s">
        <v>789</v>
      </c>
      <c r="E21" s="538">
        <v>800</v>
      </c>
    </row>
    <row r="22" spans="2:5" s="10" customFormat="1" ht="24.75" customHeight="1" x14ac:dyDescent="0.25">
      <c r="B22" s="541"/>
      <c r="C22" s="649" t="s">
        <v>9</v>
      </c>
      <c r="D22" s="649"/>
      <c r="E22" s="571">
        <f>SUM(E7:E21)</f>
        <v>20400</v>
      </c>
    </row>
  </sheetData>
  <mergeCells count="2">
    <mergeCell ref="B4:E4"/>
    <mergeCell ref="C22:D22"/>
  </mergeCells>
  <pageMargins left="0.59055118110236227" right="0.35433070866141736" top="1.0236220472440944" bottom="0.98425196850393704" header="0.27559055118110237" footer="0.51181102362204722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28"/>
  <sheetViews>
    <sheetView workbookViewId="0"/>
  </sheetViews>
  <sheetFormatPr defaultColWidth="9.140625" defaultRowHeight="14.25" x14ac:dyDescent="0.2"/>
  <cols>
    <col min="1" max="1" width="9.140625" style="72"/>
    <col min="2" max="2" width="6" style="72" customWidth="1"/>
    <col min="3" max="3" width="36.7109375" style="72" customWidth="1"/>
    <col min="4" max="4" width="37.85546875" style="72" customWidth="1"/>
    <col min="5" max="5" width="13" style="364" customWidth="1"/>
    <col min="6" max="16384" width="9.140625" style="72"/>
  </cols>
  <sheetData>
    <row r="1" spans="2:5" s="73" customFormat="1" ht="15" x14ac:dyDescent="0.25">
      <c r="B1" s="54"/>
      <c r="C1" s="54"/>
      <c r="D1" s="54"/>
      <c r="E1" s="360"/>
    </row>
    <row r="2" spans="2:5" s="73" customFormat="1" ht="15" x14ac:dyDescent="0.25">
      <c r="B2" s="54"/>
      <c r="C2" s="54"/>
      <c r="D2" s="54"/>
      <c r="E2" s="360"/>
    </row>
    <row r="3" spans="2:5" s="73" customFormat="1" ht="16.5" x14ac:dyDescent="0.3">
      <c r="B3" s="178"/>
      <c r="C3" s="178"/>
      <c r="D3" s="178"/>
      <c r="E3" s="361" t="s">
        <v>171</v>
      </c>
    </row>
    <row r="4" spans="2:5" s="73" customFormat="1" ht="16.5" x14ac:dyDescent="0.3">
      <c r="B4" s="178"/>
      <c r="C4" s="178"/>
      <c r="D4" s="178"/>
      <c r="E4" s="362"/>
    </row>
    <row r="5" spans="2:5" s="73" customFormat="1" ht="20.25" x14ac:dyDescent="0.25">
      <c r="B5" s="687" t="s">
        <v>497</v>
      </c>
      <c r="C5" s="687"/>
      <c r="D5" s="687"/>
      <c r="E5" s="687"/>
    </row>
    <row r="6" spans="2:5" s="73" customFormat="1" ht="17.25" x14ac:dyDescent="0.35">
      <c r="B6" s="179"/>
      <c r="C6" s="178"/>
      <c r="D6" s="178"/>
      <c r="E6" s="363"/>
    </row>
    <row r="7" spans="2:5" s="73" customFormat="1" ht="30" x14ac:dyDescent="0.25">
      <c r="B7" s="572" t="s">
        <v>155</v>
      </c>
      <c r="C7" s="573" t="s">
        <v>166</v>
      </c>
      <c r="D7" s="573" t="s">
        <v>167</v>
      </c>
      <c r="E7" s="568" t="s">
        <v>470</v>
      </c>
    </row>
    <row r="8" spans="2:5" s="10" customFormat="1" ht="15" x14ac:dyDescent="0.25">
      <c r="B8" s="574">
        <v>1</v>
      </c>
      <c r="C8" s="575" t="s">
        <v>613</v>
      </c>
      <c r="D8" s="576" t="s">
        <v>614</v>
      </c>
      <c r="E8" s="577">
        <v>1386</v>
      </c>
    </row>
    <row r="9" spans="2:5" s="10" customFormat="1" ht="30" x14ac:dyDescent="0.25">
      <c r="B9" s="574">
        <v>2</v>
      </c>
      <c r="C9" s="578" t="s">
        <v>615</v>
      </c>
      <c r="D9" s="576" t="s">
        <v>616</v>
      </c>
      <c r="E9" s="577">
        <v>560</v>
      </c>
    </row>
    <row r="10" spans="2:5" s="10" customFormat="1" ht="30.75" customHeight="1" x14ac:dyDescent="0.25">
      <c r="B10" s="574">
        <v>3</v>
      </c>
      <c r="C10" s="578" t="s">
        <v>617</v>
      </c>
      <c r="D10" s="579" t="s">
        <v>618</v>
      </c>
      <c r="E10" s="580">
        <v>600</v>
      </c>
    </row>
    <row r="11" spans="2:5" s="10" customFormat="1" ht="30" x14ac:dyDescent="0.25">
      <c r="B11" s="574">
        <v>4</v>
      </c>
      <c r="C11" s="578" t="s">
        <v>619</v>
      </c>
      <c r="D11" s="575" t="s">
        <v>620</v>
      </c>
      <c r="E11" s="577">
        <v>1470</v>
      </c>
    </row>
    <row r="12" spans="2:5" s="10" customFormat="1" ht="21" customHeight="1" x14ac:dyDescent="0.25">
      <c r="B12" s="574">
        <v>5</v>
      </c>
      <c r="C12" s="578" t="s">
        <v>621</v>
      </c>
      <c r="D12" s="579" t="s">
        <v>622</v>
      </c>
      <c r="E12" s="580">
        <v>540</v>
      </c>
    </row>
    <row r="13" spans="2:5" s="10" customFormat="1" ht="30" x14ac:dyDescent="0.25">
      <c r="B13" s="574">
        <v>6</v>
      </c>
      <c r="C13" s="578" t="s">
        <v>623</v>
      </c>
      <c r="D13" s="579" t="s">
        <v>624</v>
      </c>
      <c r="E13" s="580">
        <v>3084</v>
      </c>
    </row>
    <row r="14" spans="2:5" s="10" customFormat="1" ht="15" x14ac:dyDescent="0.25">
      <c r="B14" s="574">
        <v>7</v>
      </c>
      <c r="C14" s="578" t="s">
        <v>625</v>
      </c>
      <c r="D14" s="575" t="s">
        <v>626</v>
      </c>
      <c r="E14" s="577">
        <v>300</v>
      </c>
    </row>
    <row r="15" spans="2:5" s="10" customFormat="1" ht="30" x14ac:dyDescent="0.25">
      <c r="B15" s="574">
        <v>8</v>
      </c>
      <c r="C15" s="578" t="s">
        <v>627</v>
      </c>
      <c r="D15" s="575" t="s">
        <v>628</v>
      </c>
      <c r="E15" s="577">
        <v>357</v>
      </c>
    </row>
    <row r="16" spans="2:5" s="10" customFormat="1" ht="30" x14ac:dyDescent="0.25">
      <c r="B16" s="574">
        <v>9</v>
      </c>
      <c r="C16" s="578" t="s">
        <v>627</v>
      </c>
      <c r="D16" s="575" t="s">
        <v>629</v>
      </c>
      <c r="E16" s="577">
        <v>770</v>
      </c>
    </row>
    <row r="17" spans="2:5" s="10" customFormat="1" x14ac:dyDescent="0.25">
      <c r="B17" s="689">
        <v>10</v>
      </c>
      <c r="C17" s="690" t="s">
        <v>630</v>
      </c>
      <c r="D17" s="690" t="s">
        <v>631</v>
      </c>
      <c r="E17" s="691">
        <v>600</v>
      </c>
    </row>
    <row r="18" spans="2:5" s="10" customFormat="1" x14ac:dyDescent="0.25">
      <c r="B18" s="689"/>
      <c r="C18" s="690"/>
      <c r="D18" s="690"/>
      <c r="E18" s="691"/>
    </row>
    <row r="19" spans="2:5" s="10" customFormat="1" ht="18" customHeight="1" x14ac:dyDescent="0.25">
      <c r="B19" s="574">
        <v>11</v>
      </c>
      <c r="C19" s="575" t="s">
        <v>632</v>
      </c>
      <c r="D19" s="578" t="s">
        <v>633</v>
      </c>
      <c r="E19" s="577">
        <v>784</v>
      </c>
    </row>
    <row r="20" spans="2:5" s="10" customFormat="1" ht="33" customHeight="1" x14ac:dyDescent="0.25">
      <c r="B20" s="574">
        <v>12</v>
      </c>
      <c r="C20" s="579" t="s">
        <v>634</v>
      </c>
      <c r="D20" s="579" t="s">
        <v>635</v>
      </c>
      <c r="E20" s="580">
        <v>420</v>
      </c>
    </row>
    <row r="21" spans="2:5" s="10" customFormat="1" ht="30" x14ac:dyDescent="0.25">
      <c r="B21" s="574">
        <v>13</v>
      </c>
      <c r="C21" s="578" t="s">
        <v>636</v>
      </c>
      <c r="D21" s="576" t="s">
        <v>637</v>
      </c>
      <c r="E21" s="577">
        <v>530</v>
      </c>
    </row>
    <row r="22" spans="2:5" s="10" customFormat="1" ht="15" x14ac:dyDescent="0.25">
      <c r="B22" s="574">
        <v>14</v>
      </c>
      <c r="C22" s="576" t="s">
        <v>638</v>
      </c>
      <c r="D22" s="576" t="s">
        <v>639</v>
      </c>
      <c r="E22" s="577">
        <v>700</v>
      </c>
    </row>
    <row r="23" spans="2:5" s="10" customFormat="1" ht="15" x14ac:dyDescent="0.25">
      <c r="B23" s="574">
        <v>15</v>
      </c>
      <c r="C23" s="576" t="s">
        <v>640</v>
      </c>
      <c r="D23" s="576" t="s">
        <v>641</v>
      </c>
      <c r="E23" s="577">
        <v>954</v>
      </c>
    </row>
    <row r="24" spans="2:5" s="10" customFormat="1" ht="15" x14ac:dyDescent="0.25">
      <c r="B24" s="574">
        <v>16</v>
      </c>
      <c r="C24" s="581" t="s">
        <v>642</v>
      </c>
      <c r="D24" s="576" t="s">
        <v>643</v>
      </c>
      <c r="E24" s="577">
        <v>260</v>
      </c>
    </row>
    <row r="25" spans="2:5" s="10" customFormat="1" x14ac:dyDescent="0.25">
      <c r="B25" s="689">
        <v>17</v>
      </c>
      <c r="C25" s="690" t="s">
        <v>644</v>
      </c>
      <c r="D25" s="690" t="s">
        <v>645</v>
      </c>
      <c r="E25" s="691">
        <v>1070</v>
      </c>
    </row>
    <row r="26" spans="2:5" s="10" customFormat="1" x14ac:dyDescent="0.25">
      <c r="B26" s="689"/>
      <c r="C26" s="690"/>
      <c r="D26" s="690"/>
      <c r="E26" s="691"/>
    </row>
    <row r="27" spans="2:5" s="10" customFormat="1" ht="30" x14ac:dyDescent="0.25">
      <c r="B27" s="574">
        <v>18</v>
      </c>
      <c r="C27" s="579" t="s">
        <v>601</v>
      </c>
      <c r="D27" s="579" t="s">
        <v>646</v>
      </c>
      <c r="E27" s="580">
        <v>615</v>
      </c>
    </row>
    <row r="28" spans="2:5" s="73" customFormat="1" ht="27" customHeight="1" x14ac:dyDescent="0.25">
      <c r="B28" s="582"/>
      <c r="C28" s="688" t="s">
        <v>9</v>
      </c>
      <c r="D28" s="688"/>
      <c r="E28" s="583">
        <f>SUM(E8:E27)</f>
        <v>15000</v>
      </c>
    </row>
  </sheetData>
  <mergeCells count="10">
    <mergeCell ref="B5:E5"/>
    <mergeCell ref="C28:D28"/>
    <mergeCell ref="B17:B18"/>
    <mergeCell ref="C17:C18"/>
    <mergeCell ref="D17:D18"/>
    <mergeCell ref="E17:E18"/>
    <mergeCell ref="B25:B26"/>
    <mergeCell ref="C25:C26"/>
    <mergeCell ref="D25:D26"/>
    <mergeCell ref="E25:E26"/>
  </mergeCells>
  <phoneticPr fontId="29" type="noConversion"/>
  <pageMargins left="0.78740157480314965" right="0.31496062992125984" top="0.74803149606299213" bottom="0.74803149606299213" header="0.31496062992125984" footer="0.31496062992125984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7"/>
  <sheetViews>
    <sheetView workbookViewId="0"/>
  </sheetViews>
  <sheetFormatPr defaultRowHeight="14.25" x14ac:dyDescent="0.2"/>
  <cols>
    <col min="1" max="1" width="9.140625" style="1" customWidth="1"/>
    <col min="2" max="2" width="6" style="1" customWidth="1"/>
    <col min="3" max="3" width="33.7109375" style="1" customWidth="1"/>
    <col min="4" max="4" width="41.28515625" style="1" customWidth="1"/>
    <col min="5" max="5" width="11.7109375" style="364" customWidth="1"/>
    <col min="6" max="16384" width="9.140625" style="1"/>
  </cols>
  <sheetData>
    <row r="1" spans="1:7" customFormat="1" ht="15" x14ac:dyDescent="0.25">
      <c r="A1" s="51"/>
      <c r="B1" s="54"/>
      <c r="C1" s="54"/>
      <c r="D1" s="54"/>
      <c r="E1" s="360"/>
    </row>
    <row r="2" spans="1:7" customFormat="1" ht="15" x14ac:dyDescent="0.25">
      <c r="A2" s="51"/>
      <c r="B2" s="54"/>
      <c r="C2" s="54"/>
      <c r="D2" s="54"/>
      <c r="E2" s="360"/>
    </row>
    <row r="3" spans="1:7" customFormat="1" ht="16.5" x14ac:dyDescent="0.3">
      <c r="A3" s="51"/>
      <c r="B3" s="178"/>
      <c r="C3" s="178"/>
      <c r="D3" s="178"/>
      <c r="E3" s="361" t="s">
        <v>173</v>
      </c>
    </row>
    <row r="4" spans="1:7" customFormat="1" ht="16.5" x14ac:dyDescent="0.3">
      <c r="A4" s="51"/>
      <c r="B4" s="178"/>
      <c r="C4" s="178"/>
      <c r="D4" s="178"/>
      <c r="E4" s="362"/>
    </row>
    <row r="5" spans="1:7" customFormat="1" ht="20.25" x14ac:dyDescent="0.25">
      <c r="A5" s="51"/>
      <c r="B5" s="687" t="s">
        <v>498</v>
      </c>
      <c r="C5" s="687"/>
      <c r="D5" s="687"/>
      <c r="E5" s="687"/>
    </row>
    <row r="6" spans="1:7" customFormat="1" ht="17.25" x14ac:dyDescent="0.35">
      <c r="A6" s="51"/>
      <c r="B6" s="179"/>
      <c r="C6" s="178"/>
      <c r="D6" s="178"/>
      <c r="E6" s="363"/>
    </row>
    <row r="7" spans="1:7" customFormat="1" ht="30" x14ac:dyDescent="0.25">
      <c r="A7" s="51"/>
      <c r="B7" s="572" t="s">
        <v>155</v>
      </c>
      <c r="C7" s="573" t="s">
        <v>172</v>
      </c>
      <c r="D7" s="573" t="s">
        <v>167</v>
      </c>
      <c r="E7" s="568" t="s">
        <v>470</v>
      </c>
    </row>
    <row r="8" spans="1:7" ht="16.5" x14ac:dyDescent="0.35">
      <c r="B8" s="584">
        <v>1</v>
      </c>
      <c r="C8" s="522" t="s">
        <v>794</v>
      </c>
      <c r="D8" s="585" t="s">
        <v>797</v>
      </c>
      <c r="E8" s="523">
        <v>1140</v>
      </c>
    </row>
    <row r="9" spans="1:7" s="10" customFormat="1" ht="15" x14ac:dyDescent="0.35">
      <c r="B9" s="584">
        <v>2</v>
      </c>
      <c r="C9" s="522" t="s">
        <v>766</v>
      </c>
      <c r="D9" s="585" t="s">
        <v>798</v>
      </c>
      <c r="E9" s="523">
        <v>755</v>
      </c>
    </row>
    <row r="10" spans="1:7" s="10" customFormat="1" ht="15" x14ac:dyDescent="0.35">
      <c r="B10" s="584">
        <v>3</v>
      </c>
      <c r="C10" s="522" t="s">
        <v>770</v>
      </c>
      <c r="D10" s="585" t="s">
        <v>799</v>
      </c>
      <c r="E10" s="523">
        <v>840</v>
      </c>
    </row>
    <row r="11" spans="1:7" s="10" customFormat="1" ht="15" x14ac:dyDescent="0.35">
      <c r="B11" s="584">
        <v>4</v>
      </c>
      <c r="C11" s="522" t="s">
        <v>795</v>
      </c>
      <c r="D11" s="585" t="s">
        <v>800</v>
      </c>
      <c r="E11" s="523">
        <v>2450</v>
      </c>
    </row>
    <row r="12" spans="1:7" customFormat="1" ht="18.75" customHeight="1" x14ac:dyDescent="0.35">
      <c r="A12" s="51"/>
      <c r="B12" s="584">
        <v>5</v>
      </c>
      <c r="C12" s="522" t="s">
        <v>796</v>
      </c>
      <c r="D12" s="585" t="s">
        <v>801</v>
      </c>
      <c r="E12" s="523">
        <v>3450</v>
      </c>
    </row>
    <row r="13" spans="1:7" customFormat="1" ht="15" x14ac:dyDescent="0.25">
      <c r="A13" s="51"/>
      <c r="B13" s="582"/>
      <c r="C13" s="688" t="s">
        <v>9</v>
      </c>
      <c r="D13" s="688"/>
      <c r="E13" s="583">
        <f>SUM(E8:E12)</f>
        <v>8635</v>
      </c>
      <c r="G13" s="30"/>
    </row>
    <row r="14" spans="1:7" customFormat="1" ht="15" x14ac:dyDescent="0.25">
      <c r="A14" s="51"/>
      <c r="B14" s="53"/>
      <c r="C14" s="53"/>
      <c r="D14" s="53"/>
      <c r="E14" s="365"/>
    </row>
    <row r="15" spans="1:7" ht="15" x14ac:dyDescent="0.25">
      <c r="B15" s="54"/>
      <c r="C15" s="55"/>
      <c r="D15" s="55"/>
      <c r="E15" s="366"/>
    </row>
    <row r="16" spans="1:7" x14ac:dyDescent="0.2">
      <c r="B16" s="56"/>
      <c r="C16" s="56"/>
      <c r="D16" s="56"/>
      <c r="E16" s="367"/>
    </row>
    <row r="17" spans="2:5" x14ac:dyDescent="0.2">
      <c r="B17" s="54"/>
      <c r="C17" s="56"/>
      <c r="D17" s="56"/>
      <c r="E17" s="367"/>
    </row>
    <row r="18" spans="2:5" ht="15" x14ac:dyDescent="0.25">
      <c r="B18" s="52"/>
      <c r="C18" s="52"/>
      <c r="D18" s="52"/>
      <c r="E18" s="368"/>
    </row>
    <row r="19" spans="2:5" ht="15" x14ac:dyDescent="0.25">
      <c r="B19" s="52"/>
      <c r="C19" s="52"/>
      <c r="D19" s="52"/>
      <c r="E19" s="368"/>
    </row>
    <row r="20" spans="2:5" ht="15" x14ac:dyDescent="0.25">
      <c r="B20" s="52"/>
      <c r="C20" s="52"/>
      <c r="D20" s="52"/>
      <c r="E20" s="368"/>
    </row>
    <row r="21" spans="2:5" ht="15" x14ac:dyDescent="0.25">
      <c r="B21" s="52"/>
      <c r="C21" s="52"/>
      <c r="D21" s="52"/>
      <c r="E21" s="368"/>
    </row>
    <row r="22" spans="2:5" ht="15" x14ac:dyDescent="0.25">
      <c r="B22" s="52"/>
      <c r="C22" s="52"/>
      <c r="D22" s="52"/>
      <c r="E22" s="368"/>
    </row>
    <row r="23" spans="2:5" ht="15" x14ac:dyDescent="0.25">
      <c r="B23" s="52"/>
      <c r="C23" s="52"/>
      <c r="D23" s="52"/>
      <c r="E23" s="368"/>
    </row>
    <row r="24" spans="2:5" ht="15" x14ac:dyDescent="0.25">
      <c r="B24" s="52"/>
      <c r="C24" s="52"/>
      <c r="D24" s="52"/>
      <c r="E24" s="368"/>
    </row>
    <row r="25" spans="2:5" ht="15" x14ac:dyDescent="0.25">
      <c r="B25" s="52"/>
      <c r="C25" s="52"/>
      <c r="D25" s="52"/>
      <c r="E25" s="368"/>
    </row>
    <row r="26" spans="2:5" ht="15" x14ac:dyDescent="0.25">
      <c r="B26" s="52"/>
      <c r="C26" s="52"/>
      <c r="D26" s="52"/>
      <c r="E26" s="368"/>
    </row>
    <row r="27" spans="2:5" ht="15" x14ac:dyDescent="0.25">
      <c r="B27" s="52"/>
      <c r="C27" s="52"/>
      <c r="D27" s="52"/>
      <c r="E27" s="368"/>
    </row>
  </sheetData>
  <mergeCells count="2">
    <mergeCell ref="B5:E5"/>
    <mergeCell ref="C13:D13"/>
  </mergeCells>
  <pageMargins left="0.39370078740157483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O25"/>
  <sheetViews>
    <sheetView workbookViewId="0"/>
  </sheetViews>
  <sheetFormatPr defaultRowHeight="14.25" x14ac:dyDescent="0.2"/>
  <cols>
    <col min="1" max="1" width="3.5703125" style="1" customWidth="1"/>
    <col min="2" max="2" width="42.85546875" style="1" customWidth="1"/>
    <col min="3" max="3" width="14.5703125" style="1" customWidth="1"/>
    <col min="4" max="4" width="13.28515625" style="1" customWidth="1"/>
    <col min="5" max="5" width="13.140625" style="1" customWidth="1"/>
    <col min="6" max="6" width="9.140625" style="1" customWidth="1"/>
    <col min="7" max="16384" width="9.140625" style="1"/>
  </cols>
  <sheetData>
    <row r="1" spans="2:15" x14ac:dyDescent="0.2">
      <c r="E1" s="25" t="s">
        <v>174</v>
      </c>
    </row>
    <row r="2" spans="2:15" x14ac:dyDescent="0.2">
      <c r="B2" s="2"/>
      <c r="C2" s="24"/>
      <c r="D2" s="24"/>
      <c r="F2" s="24"/>
      <c r="G2" s="24"/>
    </row>
    <row r="3" spans="2:15" ht="18.75" x14ac:dyDescent="0.3">
      <c r="B3" s="650" t="s">
        <v>662</v>
      </c>
      <c r="C3" s="650"/>
      <c r="D3" s="650"/>
      <c r="E3" s="650"/>
      <c r="F3" s="24"/>
      <c r="G3" s="24"/>
    </row>
    <row r="4" spans="2:15" ht="15.75" x14ac:dyDescent="0.3">
      <c r="B4" s="110"/>
      <c r="C4" s="111"/>
      <c r="D4" s="111"/>
      <c r="E4" s="111"/>
      <c r="F4" s="24"/>
      <c r="G4" s="24"/>
    </row>
    <row r="5" spans="2:15" ht="16.5" x14ac:dyDescent="0.35">
      <c r="B5" s="692" t="s">
        <v>21</v>
      </c>
      <c r="C5" s="694" t="s">
        <v>661</v>
      </c>
      <c r="D5" s="694" t="s">
        <v>469</v>
      </c>
      <c r="E5" s="586" t="s">
        <v>175</v>
      </c>
      <c r="F5" s="24"/>
      <c r="G5" s="2"/>
    </row>
    <row r="6" spans="2:15" ht="16.5" x14ac:dyDescent="0.35">
      <c r="B6" s="693"/>
      <c r="C6" s="695"/>
      <c r="D6" s="695"/>
      <c r="E6" s="587" t="s">
        <v>176</v>
      </c>
      <c r="F6" s="24"/>
      <c r="G6" s="2"/>
    </row>
    <row r="7" spans="2:15" ht="13.5" customHeight="1" x14ac:dyDescent="0.35">
      <c r="B7" s="588" t="s">
        <v>177</v>
      </c>
      <c r="C7" s="589">
        <v>1210449.8400000001</v>
      </c>
      <c r="D7" s="589">
        <v>1286937.6399999999</v>
      </c>
      <c r="E7" s="201">
        <f t="shared" ref="E7:E22" si="0">C7-D7</f>
        <v>-76487.799999999814</v>
      </c>
      <c r="F7" s="24"/>
      <c r="G7" s="2"/>
    </row>
    <row r="8" spans="2:15" ht="14.25" customHeight="1" x14ac:dyDescent="0.35">
      <c r="B8" s="588" t="s">
        <v>178</v>
      </c>
      <c r="C8" s="589">
        <v>30663.200000000001</v>
      </c>
      <c r="D8" s="589">
        <v>26625.88</v>
      </c>
      <c r="E8" s="201">
        <f t="shared" si="0"/>
        <v>4037.3199999999997</v>
      </c>
      <c r="F8" s="24"/>
      <c r="G8" s="2"/>
    </row>
    <row r="9" spans="2:15" ht="17.25" customHeight="1" x14ac:dyDescent="0.2">
      <c r="B9" s="590" t="s">
        <v>179</v>
      </c>
      <c r="C9" s="299">
        <v>39.51</v>
      </c>
      <c r="D9" s="299">
        <v>39.51</v>
      </c>
      <c r="E9" s="261">
        <f t="shared" si="0"/>
        <v>0</v>
      </c>
      <c r="F9" s="24"/>
      <c r="G9" s="2"/>
    </row>
    <row r="10" spans="2:15" ht="12.75" customHeight="1" x14ac:dyDescent="0.35">
      <c r="B10" s="588" t="s">
        <v>180</v>
      </c>
      <c r="C10" s="589">
        <v>242.31</v>
      </c>
      <c r="D10" s="589">
        <v>242.31</v>
      </c>
      <c r="E10" s="201">
        <f t="shared" si="0"/>
        <v>0</v>
      </c>
      <c r="F10" s="24"/>
      <c r="G10" s="2"/>
      <c r="O10" s="2"/>
    </row>
    <row r="11" spans="2:15" ht="16.5" x14ac:dyDescent="0.35">
      <c r="B11" s="588" t="s">
        <v>181</v>
      </c>
      <c r="C11" s="589">
        <v>8019.66</v>
      </c>
      <c r="D11" s="589">
        <v>9596.9500000000007</v>
      </c>
      <c r="E11" s="201">
        <f t="shared" si="0"/>
        <v>-1577.2900000000009</v>
      </c>
      <c r="F11" s="24"/>
      <c r="G11" s="2"/>
    </row>
    <row r="12" spans="2:15" ht="16.5" x14ac:dyDescent="0.35">
      <c r="B12" s="588" t="s">
        <v>182</v>
      </c>
      <c r="C12" s="589">
        <v>24922.6</v>
      </c>
      <c r="D12" s="589">
        <v>35942.5</v>
      </c>
      <c r="E12" s="201">
        <f t="shared" si="0"/>
        <v>-11019.900000000001</v>
      </c>
      <c r="F12" s="24"/>
      <c r="G12" s="2"/>
    </row>
    <row r="13" spans="2:15" ht="15" customHeight="1" x14ac:dyDescent="0.35">
      <c r="B13" s="588" t="s">
        <v>183</v>
      </c>
      <c r="C13" s="589">
        <v>1812061.12</v>
      </c>
      <c r="D13" s="589">
        <v>1677513.73</v>
      </c>
      <c r="E13" s="201">
        <f t="shared" si="0"/>
        <v>134547.39000000013</v>
      </c>
      <c r="F13" s="24"/>
      <c r="G13" s="2"/>
    </row>
    <row r="14" spans="2:15" ht="14.25" customHeight="1" x14ac:dyDescent="0.35">
      <c r="B14" s="588" t="s">
        <v>184</v>
      </c>
      <c r="C14" s="589">
        <v>565927.78</v>
      </c>
      <c r="D14" s="589">
        <v>596819.25</v>
      </c>
      <c r="E14" s="201">
        <f t="shared" si="0"/>
        <v>-30891.469999999972</v>
      </c>
      <c r="F14" s="24"/>
      <c r="G14" s="2"/>
    </row>
    <row r="15" spans="2:15" ht="15" x14ac:dyDescent="0.2">
      <c r="B15" s="590" t="s">
        <v>185</v>
      </c>
      <c r="C15" s="299">
        <v>53482.46</v>
      </c>
      <c r="D15" s="299">
        <v>100297.72</v>
      </c>
      <c r="E15" s="261">
        <f t="shared" si="0"/>
        <v>-46815.26</v>
      </c>
      <c r="F15" s="24"/>
      <c r="G15" s="2"/>
    </row>
    <row r="16" spans="2:15" ht="13.5" customHeight="1" x14ac:dyDescent="0.35">
      <c r="B16" s="588" t="s">
        <v>186</v>
      </c>
      <c r="C16" s="589">
        <v>55802.8</v>
      </c>
      <c r="D16" s="589">
        <v>84280.45</v>
      </c>
      <c r="E16" s="201">
        <f t="shared" si="0"/>
        <v>-28477.649999999994</v>
      </c>
      <c r="F16" s="24"/>
      <c r="G16" s="2"/>
    </row>
    <row r="17" spans="2:7" ht="15" customHeight="1" x14ac:dyDescent="0.35">
      <c r="B17" s="588" t="s">
        <v>187</v>
      </c>
      <c r="C17" s="589">
        <v>395.79</v>
      </c>
      <c r="D17" s="589">
        <v>378.79</v>
      </c>
      <c r="E17" s="201">
        <f t="shared" si="0"/>
        <v>17</v>
      </c>
      <c r="F17" s="24"/>
      <c r="G17" s="2"/>
    </row>
    <row r="18" spans="2:7" ht="14.25" customHeight="1" x14ac:dyDescent="0.35">
      <c r="B18" s="588" t="s">
        <v>188</v>
      </c>
      <c r="C18" s="589">
        <v>42938.48</v>
      </c>
      <c r="D18" s="589">
        <v>22615.759999999998</v>
      </c>
      <c r="E18" s="201">
        <f t="shared" si="0"/>
        <v>20322.720000000005</v>
      </c>
      <c r="F18" s="24"/>
      <c r="G18" s="2"/>
    </row>
    <row r="19" spans="2:7" ht="14.25" customHeight="1" x14ac:dyDescent="0.35">
      <c r="B19" s="588" t="s">
        <v>189</v>
      </c>
      <c r="C19" s="589">
        <v>6138.63</v>
      </c>
      <c r="D19" s="589">
        <v>13021.43</v>
      </c>
      <c r="E19" s="201">
        <f t="shared" si="0"/>
        <v>-6882.8</v>
      </c>
      <c r="F19" s="24"/>
      <c r="G19" s="2"/>
    </row>
    <row r="20" spans="2:7" ht="14.25" customHeight="1" x14ac:dyDescent="0.35">
      <c r="B20" s="588" t="s">
        <v>190</v>
      </c>
      <c r="C20" s="589">
        <v>0</v>
      </c>
      <c r="D20" s="589">
        <v>15618.75</v>
      </c>
      <c r="E20" s="201">
        <f t="shared" si="0"/>
        <v>-15618.75</v>
      </c>
      <c r="F20" s="24"/>
      <c r="G20" s="2"/>
    </row>
    <row r="21" spans="2:7" ht="15" customHeight="1" x14ac:dyDescent="0.35">
      <c r="B21" s="588" t="s">
        <v>191</v>
      </c>
      <c r="C21" s="589">
        <v>192168.69</v>
      </c>
      <c r="D21" s="589">
        <v>212547.72</v>
      </c>
      <c r="E21" s="201">
        <f t="shared" si="0"/>
        <v>-20379.03</v>
      </c>
      <c r="F21" s="24"/>
      <c r="G21" s="2"/>
    </row>
    <row r="22" spans="2:7" s="10" customFormat="1" ht="27.75" customHeight="1" x14ac:dyDescent="0.25">
      <c r="B22" s="591" t="s">
        <v>98</v>
      </c>
      <c r="C22" s="592">
        <f>SUM(C7:C21)</f>
        <v>4003252.87</v>
      </c>
      <c r="D22" s="249">
        <f>SUM(D7:D21)</f>
        <v>4082478.39</v>
      </c>
      <c r="E22" s="249">
        <f t="shared" si="0"/>
        <v>-79225.520000000019</v>
      </c>
      <c r="F22" s="34"/>
      <c r="G22" s="19"/>
    </row>
    <row r="24" spans="2:7" ht="33" customHeight="1" x14ac:dyDescent="0.25">
      <c r="B24" s="682"/>
      <c r="C24" s="682"/>
      <c r="D24" s="682"/>
      <c r="E24" s="682"/>
      <c r="F24" s="24"/>
      <c r="G24" s="24"/>
    </row>
    <row r="25" spans="2:7" x14ac:dyDescent="0.2">
      <c r="B25" s="2"/>
      <c r="C25" s="24"/>
      <c r="D25" s="24"/>
      <c r="E25" s="24"/>
      <c r="F25" s="24"/>
      <c r="G25" s="2"/>
    </row>
  </sheetData>
  <mergeCells count="5">
    <mergeCell ref="B3:E3"/>
    <mergeCell ref="B5:B6"/>
    <mergeCell ref="C5:C6"/>
    <mergeCell ref="D5:D6"/>
    <mergeCell ref="B24:E2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50"/>
  <sheetViews>
    <sheetView workbookViewId="0"/>
  </sheetViews>
  <sheetFormatPr defaultRowHeight="12.75" x14ac:dyDescent="0.2"/>
  <cols>
    <col min="1" max="1" width="6.140625" style="93" customWidth="1"/>
    <col min="2" max="2" width="21.7109375" style="92" customWidth="1"/>
    <col min="3" max="3" width="15.5703125" style="92" customWidth="1"/>
    <col min="4" max="4" width="13.7109375" style="93" customWidth="1"/>
    <col min="5" max="5" width="14.140625" style="93" customWidth="1"/>
    <col min="6" max="6" width="22.85546875" style="94" customWidth="1"/>
    <col min="7" max="7" width="13" style="94" customWidth="1"/>
    <col min="8" max="8" width="15.140625" style="94" customWidth="1"/>
    <col min="9" max="9" width="10.28515625" style="94" customWidth="1"/>
    <col min="10" max="10" width="13.85546875" style="94" customWidth="1"/>
    <col min="11" max="11" width="11.5703125" style="102" customWidth="1"/>
    <col min="12" max="12" width="18.140625" style="92" customWidth="1"/>
    <col min="13" max="13" width="5" style="92" customWidth="1"/>
    <col min="14" max="18" width="14.28515625" style="94" customWidth="1"/>
    <col min="19" max="19" width="35.140625" style="92" customWidth="1"/>
    <col min="20" max="20" width="20.7109375" style="94" customWidth="1"/>
    <col min="21" max="22" width="9.140625" style="94"/>
    <col min="23" max="23" width="51.7109375" style="94" customWidth="1"/>
    <col min="24" max="24" width="9.42578125" style="92" customWidth="1"/>
    <col min="25" max="252" width="9.140625" style="92"/>
    <col min="253" max="253" width="11.7109375" style="92" customWidth="1"/>
    <col min="254" max="254" width="16.7109375" style="92" customWidth="1"/>
    <col min="255" max="255" width="14.42578125" style="92" customWidth="1"/>
    <col min="256" max="256" width="13.140625" style="92" customWidth="1"/>
    <col min="257" max="257" width="13.28515625" style="92" customWidth="1"/>
    <col min="258" max="258" width="11.85546875" style="92" customWidth="1"/>
    <col min="259" max="259" width="16" style="92" customWidth="1"/>
    <col min="260" max="260" width="12" style="92" customWidth="1"/>
    <col min="261" max="261" width="11.5703125" style="92" customWidth="1"/>
    <col min="262" max="262" width="11.7109375" style="92" customWidth="1"/>
    <col min="263" max="263" width="17.5703125" style="92" customWidth="1"/>
    <col min="264" max="264" width="6.42578125" style="92" customWidth="1"/>
    <col min="265" max="265" width="29.28515625" style="92" customWidth="1"/>
    <col min="266" max="266" width="18.85546875" style="92" customWidth="1"/>
    <col min="267" max="508" width="9.140625" style="92"/>
    <col min="509" max="509" width="11.7109375" style="92" customWidth="1"/>
    <col min="510" max="510" width="16.7109375" style="92" customWidth="1"/>
    <col min="511" max="511" width="14.42578125" style="92" customWidth="1"/>
    <col min="512" max="512" width="13.140625" style="92" customWidth="1"/>
    <col min="513" max="513" width="13.28515625" style="92" customWidth="1"/>
    <col min="514" max="514" width="11.85546875" style="92" customWidth="1"/>
    <col min="515" max="515" width="16" style="92" customWidth="1"/>
    <col min="516" max="516" width="12" style="92" customWidth="1"/>
    <col min="517" max="517" width="11.5703125" style="92" customWidth="1"/>
    <col min="518" max="518" width="11.7109375" style="92" customWidth="1"/>
    <col min="519" max="519" width="17.5703125" style="92" customWidth="1"/>
    <col min="520" max="520" width="6.42578125" style="92" customWidth="1"/>
    <col min="521" max="521" width="29.28515625" style="92" customWidth="1"/>
    <col min="522" max="522" width="18.85546875" style="92" customWidth="1"/>
    <col min="523" max="764" width="9.140625" style="92"/>
    <col min="765" max="765" width="11.7109375" style="92" customWidth="1"/>
    <col min="766" max="766" width="16.7109375" style="92" customWidth="1"/>
    <col min="767" max="767" width="14.42578125" style="92" customWidth="1"/>
    <col min="768" max="768" width="13.140625" style="92" customWidth="1"/>
    <col min="769" max="769" width="13.28515625" style="92" customWidth="1"/>
    <col min="770" max="770" width="11.85546875" style="92" customWidth="1"/>
    <col min="771" max="771" width="16" style="92" customWidth="1"/>
    <col min="772" max="772" width="12" style="92" customWidth="1"/>
    <col min="773" max="773" width="11.5703125" style="92" customWidth="1"/>
    <col min="774" max="774" width="11.7109375" style="92" customWidth="1"/>
    <col min="775" max="775" width="17.5703125" style="92" customWidth="1"/>
    <col min="776" max="776" width="6.42578125" style="92" customWidth="1"/>
    <col min="777" max="777" width="29.28515625" style="92" customWidth="1"/>
    <col min="778" max="778" width="18.85546875" style="92" customWidth="1"/>
    <col min="779" max="1020" width="9.140625" style="92"/>
    <col min="1021" max="1021" width="11.7109375" style="92" customWidth="1"/>
    <col min="1022" max="1022" width="16.7109375" style="92" customWidth="1"/>
    <col min="1023" max="1023" width="14.42578125" style="92" customWidth="1"/>
    <col min="1024" max="1024" width="13.140625" style="92" customWidth="1"/>
    <col min="1025" max="1025" width="13.28515625" style="92" customWidth="1"/>
    <col min="1026" max="1026" width="11.85546875" style="92" customWidth="1"/>
    <col min="1027" max="1027" width="16" style="92" customWidth="1"/>
    <col min="1028" max="1028" width="12" style="92" customWidth="1"/>
    <col min="1029" max="1029" width="11.5703125" style="92" customWidth="1"/>
    <col min="1030" max="1030" width="11.7109375" style="92" customWidth="1"/>
    <col min="1031" max="1031" width="17.5703125" style="92" customWidth="1"/>
    <col min="1032" max="1032" width="6.42578125" style="92" customWidth="1"/>
    <col min="1033" max="1033" width="29.28515625" style="92" customWidth="1"/>
    <col min="1034" max="1034" width="18.85546875" style="92" customWidth="1"/>
    <col min="1035" max="1276" width="9.140625" style="92"/>
    <col min="1277" max="1277" width="11.7109375" style="92" customWidth="1"/>
    <col min="1278" max="1278" width="16.7109375" style="92" customWidth="1"/>
    <col min="1279" max="1279" width="14.42578125" style="92" customWidth="1"/>
    <col min="1280" max="1280" width="13.140625" style="92" customWidth="1"/>
    <col min="1281" max="1281" width="13.28515625" style="92" customWidth="1"/>
    <col min="1282" max="1282" width="11.85546875" style="92" customWidth="1"/>
    <col min="1283" max="1283" width="16" style="92" customWidth="1"/>
    <col min="1284" max="1284" width="12" style="92" customWidth="1"/>
    <col min="1285" max="1285" width="11.5703125" style="92" customWidth="1"/>
    <col min="1286" max="1286" width="11.7109375" style="92" customWidth="1"/>
    <col min="1287" max="1287" width="17.5703125" style="92" customWidth="1"/>
    <col min="1288" max="1288" width="6.42578125" style="92" customWidth="1"/>
    <col min="1289" max="1289" width="29.28515625" style="92" customWidth="1"/>
    <col min="1290" max="1290" width="18.85546875" style="92" customWidth="1"/>
    <col min="1291" max="1532" width="9.140625" style="92"/>
    <col min="1533" max="1533" width="11.7109375" style="92" customWidth="1"/>
    <col min="1534" max="1534" width="16.7109375" style="92" customWidth="1"/>
    <col min="1535" max="1535" width="14.42578125" style="92" customWidth="1"/>
    <col min="1536" max="1536" width="13.140625" style="92" customWidth="1"/>
    <col min="1537" max="1537" width="13.28515625" style="92" customWidth="1"/>
    <col min="1538" max="1538" width="11.85546875" style="92" customWidth="1"/>
    <col min="1539" max="1539" width="16" style="92" customWidth="1"/>
    <col min="1540" max="1540" width="12" style="92" customWidth="1"/>
    <col min="1541" max="1541" width="11.5703125" style="92" customWidth="1"/>
    <col min="1542" max="1542" width="11.7109375" style="92" customWidth="1"/>
    <col min="1543" max="1543" width="17.5703125" style="92" customWidth="1"/>
    <col min="1544" max="1544" width="6.42578125" style="92" customWidth="1"/>
    <col min="1545" max="1545" width="29.28515625" style="92" customWidth="1"/>
    <col min="1546" max="1546" width="18.85546875" style="92" customWidth="1"/>
    <col min="1547" max="1788" width="9.140625" style="92"/>
    <col min="1789" max="1789" width="11.7109375" style="92" customWidth="1"/>
    <col min="1790" max="1790" width="16.7109375" style="92" customWidth="1"/>
    <col min="1791" max="1791" width="14.42578125" style="92" customWidth="1"/>
    <col min="1792" max="1792" width="13.140625" style="92" customWidth="1"/>
    <col min="1793" max="1793" width="13.28515625" style="92" customWidth="1"/>
    <col min="1794" max="1794" width="11.85546875" style="92" customWidth="1"/>
    <col min="1795" max="1795" width="16" style="92" customWidth="1"/>
    <col min="1796" max="1796" width="12" style="92" customWidth="1"/>
    <col min="1797" max="1797" width="11.5703125" style="92" customWidth="1"/>
    <col min="1798" max="1798" width="11.7109375" style="92" customWidth="1"/>
    <col min="1799" max="1799" width="17.5703125" style="92" customWidth="1"/>
    <col min="1800" max="1800" width="6.42578125" style="92" customWidth="1"/>
    <col min="1801" max="1801" width="29.28515625" style="92" customWidth="1"/>
    <col min="1802" max="1802" width="18.85546875" style="92" customWidth="1"/>
    <col min="1803" max="2044" width="9.140625" style="92"/>
    <col min="2045" max="2045" width="11.7109375" style="92" customWidth="1"/>
    <col min="2046" max="2046" width="16.7109375" style="92" customWidth="1"/>
    <col min="2047" max="2047" width="14.42578125" style="92" customWidth="1"/>
    <col min="2048" max="2048" width="13.140625" style="92" customWidth="1"/>
    <col min="2049" max="2049" width="13.28515625" style="92" customWidth="1"/>
    <col min="2050" max="2050" width="11.85546875" style="92" customWidth="1"/>
    <col min="2051" max="2051" width="16" style="92" customWidth="1"/>
    <col min="2052" max="2052" width="12" style="92" customWidth="1"/>
    <col min="2053" max="2053" width="11.5703125" style="92" customWidth="1"/>
    <col min="2054" max="2054" width="11.7109375" style="92" customWidth="1"/>
    <col min="2055" max="2055" width="17.5703125" style="92" customWidth="1"/>
    <col min="2056" max="2056" width="6.42578125" style="92" customWidth="1"/>
    <col min="2057" max="2057" width="29.28515625" style="92" customWidth="1"/>
    <col min="2058" max="2058" width="18.85546875" style="92" customWidth="1"/>
    <col min="2059" max="2300" width="9.140625" style="92"/>
    <col min="2301" max="2301" width="11.7109375" style="92" customWidth="1"/>
    <col min="2302" max="2302" width="16.7109375" style="92" customWidth="1"/>
    <col min="2303" max="2303" width="14.42578125" style="92" customWidth="1"/>
    <col min="2304" max="2304" width="13.140625" style="92" customWidth="1"/>
    <col min="2305" max="2305" width="13.28515625" style="92" customWidth="1"/>
    <col min="2306" max="2306" width="11.85546875" style="92" customWidth="1"/>
    <col min="2307" max="2307" width="16" style="92" customWidth="1"/>
    <col min="2308" max="2308" width="12" style="92" customWidth="1"/>
    <col min="2309" max="2309" width="11.5703125" style="92" customWidth="1"/>
    <col min="2310" max="2310" width="11.7109375" style="92" customWidth="1"/>
    <col min="2311" max="2311" width="17.5703125" style="92" customWidth="1"/>
    <col min="2312" max="2312" width="6.42578125" style="92" customWidth="1"/>
    <col min="2313" max="2313" width="29.28515625" style="92" customWidth="1"/>
    <col min="2314" max="2314" width="18.85546875" style="92" customWidth="1"/>
    <col min="2315" max="2556" width="9.140625" style="92"/>
    <col min="2557" max="2557" width="11.7109375" style="92" customWidth="1"/>
    <col min="2558" max="2558" width="16.7109375" style="92" customWidth="1"/>
    <col min="2559" max="2559" width="14.42578125" style="92" customWidth="1"/>
    <col min="2560" max="2560" width="13.140625" style="92" customWidth="1"/>
    <col min="2561" max="2561" width="13.28515625" style="92" customWidth="1"/>
    <col min="2562" max="2562" width="11.85546875" style="92" customWidth="1"/>
    <col min="2563" max="2563" width="16" style="92" customWidth="1"/>
    <col min="2564" max="2564" width="12" style="92" customWidth="1"/>
    <col min="2565" max="2565" width="11.5703125" style="92" customWidth="1"/>
    <col min="2566" max="2566" width="11.7109375" style="92" customWidth="1"/>
    <col min="2567" max="2567" width="17.5703125" style="92" customWidth="1"/>
    <col min="2568" max="2568" width="6.42578125" style="92" customWidth="1"/>
    <col min="2569" max="2569" width="29.28515625" style="92" customWidth="1"/>
    <col min="2570" max="2570" width="18.85546875" style="92" customWidth="1"/>
    <col min="2571" max="2812" width="9.140625" style="92"/>
    <col min="2813" max="2813" width="11.7109375" style="92" customWidth="1"/>
    <col min="2814" max="2814" width="16.7109375" style="92" customWidth="1"/>
    <col min="2815" max="2815" width="14.42578125" style="92" customWidth="1"/>
    <col min="2816" max="2816" width="13.140625" style="92" customWidth="1"/>
    <col min="2817" max="2817" width="13.28515625" style="92" customWidth="1"/>
    <col min="2818" max="2818" width="11.85546875" style="92" customWidth="1"/>
    <col min="2819" max="2819" width="16" style="92" customWidth="1"/>
    <col min="2820" max="2820" width="12" style="92" customWidth="1"/>
    <col min="2821" max="2821" width="11.5703125" style="92" customWidth="1"/>
    <col min="2822" max="2822" width="11.7109375" style="92" customWidth="1"/>
    <col min="2823" max="2823" width="17.5703125" style="92" customWidth="1"/>
    <col min="2824" max="2824" width="6.42578125" style="92" customWidth="1"/>
    <col min="2825" max="2825" width="29.28515625" style="92" customWidth="1"/>
    <col min="2826" max="2826" width="18.85546875" style="92" customWidth="1"/>
    <col min="2827" max="3068" width="9.140625" style="92"/>
    <col min="3069" max="3069" width="11.7109375" style="92" customWidth="1"/>
    <col min="3070" max="3070" width="16.7109375" style="92" customWidth="1"/>
    <col min="3071" max="3071" width="14.42578125" style="92" customWidth="1"/>
    <col min="3072" max="3072" width="13.140625" style="92" customWidth="1"/>
    <col min="3073" max="3073" width="13.28515625" style="92" customWidth="1"/>
    <col min="3074" max="3074" width="11.85546875" style="92" customWidth="1"/>
    <col min="3075" max="3075" width="16" style="92" customWidth="1"/>
    <col min="3076" max="3076" width="12" style="92" customWidth="1"/>
    <col min="3077" max="3077" width="11.5703125" style="92" customWidth="1"/>
    <col min="3078" max="3078" width="11.7109375" style="92" customWidth="1"/>
    <col min="3079" max="3079" width="17.5703125" style="92" customWidth="1"/>
    <col min="3080" max="3080" width="6.42578125" style="92" customWidth="1"/>
    <col min="3081" max="3081" width="29.28515625" style="92" customWidth="1"/>
    <col min="3082" max="3082" width="18.85546875" style="92" customWidth="1"/>
    <col min="3083" max="3324" width="9.140625" style="92"/>
    <col min="3325" max="3325" width="11.7109375" style="92" customWidth="1"/>
    <col min="3326" max="3326" width="16.7109375" style="92" customWidth="1"/>
    <col min="3327" max="3327" width="14.42578125" style="92" customWidth="1"/>
    <col min="3328" max="3328" width="13.140625" style="92" customWidth="1"/>
    <col min="3329" max="3329" width="13.28515625" style="92" customWidth="1"/>
    <col min="3330" max="3330" width="11.85546875" style="92" customWidth="1"/>
    <col min="3331" max="3331" width="16" style="92" customWidth="1"/>
    <col min="3332" max="3332" width="12" style="92" customWidth="1"/>
    <col min="3333" max="3333" width="11.5703125" style="92" customWidth="1"/>
    <col min="3334" max="3334" width="11.7109375" style="92" customWidth="1"/>
    <col min="3335" max="3335" width="17.5703125" style="92" customWidth="1"/>
    <col min="3336" max="3336" width="6.42578125" style="92" customWidth="1"/>
    <col min="3337" max="3337" width="29.28515625" style="92" customWidth="1"/>
    <col min="3338" max="3338" width="18.85546875" style="92" customWidth="1"/>
    <col min="3339" max="3580" width="9.140625" style="92"/>
    <col min="3581" max="3581" width="11.7109375" style="92" customWidth="1"/>
    <col min="3582" max="3582" width="16.7109375" style="92" customWidth="1"/>
    <col min="3583" max="3583" width="14.42578125" style="92" customWidth="1"/>
    <col min="3584" max="3584" width="13.140625" style="92" customWidth="1"/>
    <col min="3585" max="3585" width="13.28515625" style="92" customWidth="1"/>
    <col min="3586" max="3586" width="11.85546875" style="92" customWidth="1"/>
    <col min="3587" max="3587" width="16" style="92" customWidth="1"/>
    <col min="3588" max="3588" width="12" style="92" customWidth="1"/>
    <col min="3589" max="3589" width="11.5703125" style="92" customWidth="1"/>
    <col min="3590" max="3590" width="11.7109375" style="92" customWidth="1"/>
    <col min="3591" max="3591" width="17.5703125" style="92" customWidth="1"/>
    <col min="3592" max="3592" width="6.42578125" style="92" customWidth="1"/>
    <col min="3593" max="3593" width="29.28515625" style="92" customWidth="1"/>
    <col min="3594" max="3594" width="18.85546875" style="92" customWidth="1"/>
    <col min="3595" max="3836" width="9.140625" style="92"/>
    <col min="3837" max="3837" width="11.7109375" style="92" customWidth="1"/>
    <col min="3838" max="3838" width="16.7109375" style="92" customWidth="1"/>
    <col min="3839" max="3839" width="14.42578125" style="92" customWidth="1"/>
    <col min="3840" max="3840" width="13.140625" style="92" customWidth="1"/>
    <col min="3841" max="3841" width="13.28515625" style="92" customWidth="1"/>
    <col min="3842" max="3842" width="11.85546875" style="92" customWidth="1"/>
    <col min="3843" max="3843" width="16" style="92" customWidth="1"/>
    <col min="3844" max="3844" width="12" style="92" customWidth="1"/>
    <col min="3845" max="3845" width="11.5703125" style="92" customWidth="1"/>
    <col min="3846" max="3846" width="11.7109375" style="92" customWidth="1"/>
    <col min="3847" max="3847" width="17.5703125" style="92" customWidth="1"/>
    <col min="3848" max="3848" width="6.42578125" style="92" customWidth="1"/>
    <col min="3849" max="3849" width="29.28515625" style="92" customWidth="1"/>
    <col min="3850" max="3850" width="18.85546875" style="92" customWidth="1"/>
    <col min="3851" max="4092" width="9.140625" style="92"/>
    <col min="4093" max="4093" width="11.7109375" style="92" customWidth="1"/>
    <col min="4094" max="4094" width="16.7109375" style="92" customWidth="1"/>
    <col min="4095" max="4095" width="14.42578125" style="92" customWidth="1"/>
    <col min="4096" max="4096" width="13.140625" style="92" customWidth="1"/>
    <col min="4097" max="4097" width="13.28515625" style="92" customWidth="1"/>
    <col min="4098" max="4098" width="11.85546875" style="92" customWidth="1"/>
    <col min="4099" max="4099" width="16" style="92" customWidth="1"/>
    <col min="4100" max="4100" width="12" style="92" customWidth="1"/>
    <col min="4101" max="4101" width="11.5703125" style="92" customWidth="1"/>
    <col min="4102" max="4102" width="11.7109375" style="92" customWidth="1"/>
    <col min="4103" max="4103" width="17.5703125" style="92" customWidth="1"/>
    <col min="4104" max="4104" width="6.42578125" style="92" customWidth="1"/>
    <col min="4105" max="4105" width="29.28515625" style="92" customWidth="1"/>
    <col min="4106" max="4106" width="18.85546875" style="92" customWidth="1"/>
    <col min="4107" max="4348" width="9.140625" style="92"/>
    <col min="4349" max="4349" width="11.7109375" style="92" customWidth="1"/>
    <col min="4350" max="4350" width="16.7109375" style="92" customWidth="1"/>
    <col min="4351" max="4351" width="14.42578125" style="92" customWidth="1"/>
    <col min="4352" max="4352" width="13.140625" style="92" customWidth="1"/>
    <col min="4353" max="4353" width="13.28515625" style="92" customWidth="1"/>
    <col min="4354" max="4354" width="11.85546875" style="92" customWidth="1"/>
    <col min="4355" max="4355" width="16" style="92" customWidth="1"/>
    <col min="4356" max="4356" width="12" style="92" customWidth="1"/>
    <col min="4357" max="4357" width="11.5703125" style="92" customWidth="1"/>
    <col min="4358" max="4358" width="11.7109375" style="92" customWidth="1"/>
    <col min="4359" max="4359" width="17.5703125" style="92" customWidth="1"/>
    <col min="4360" max="4360" width="6.42578125" style="92" customWidth="1"/>
    <col min="4361" max="4361" width="29.28515625" style="92" customWidth="1"/>
    <col min="4362" max="4362" width="18.85546875" style="92" customWidth="1"/>
    <col min="4363" max="4604" width="9.140625" style="92"/>
    <col min="4605" max="4605" width="11.7109375" style="92" customWidth="1"/>
    <col min="4606" max="4606" width="16.7109375" style="92" customWidth="1"/>
    <col min="4607" max="4607" width="14.42578125" style="92" customWidth="1"/>
    <col min="4608" max="4608" width="13.140625" style="92" customWidth="1"/>
    <col min="4609" max="4609" width="13.28515625" style="92" customWidth="1"/>
    <col min="4610" max="4610" width="11.85546875" style="92" customWidth="1"/>
    <col min="4611" max="4611" width="16" style="92" customWidth="1"/>
    <col min="4612" max="4612" width="12" style="92" customWidth="1"/>
    <col min="4613" max="4613" width="11.5703125" style="92" customWidth="1"/>
    <col min="4614" max="4614" width="11.7109375" style="92" customWidth="1"/>
    <col min="4615" max="4615" width="17.5703125" style="92" customWidth="1"/>
    <col min="4616" max="4616" width="6.42578125" style="92" customWidth="1"/>
    <col min="4617" max="4617" width="29.28515625" style="92" customWidth="1"/>
    <col min="4618" max="4618" width="18.85546875" style="92" customWidth="1"/>
    <col min="4619" max="4860" width="9.140625" style="92"/>
    <col min="4861" max="4861" width="11.7109375" style="92" customWidth="1"/>
    <col min="4862" max="4862" width="16.7109375" style="92" customWidth="1"/>
    <col min="4863" max="4863" width="14.42578125" style="92" customWidth="1"/>
    <col min="4864" max="4864" width="13.140625" style="92" customWidth="1"/>
    <col min="4865" max="4865" width="13.28515625" style="92" customWidth="1"/>
    <col min="4866" max="4866" width="11.85546875" style="92" customWidth="1"/>
    <col min="4867" max="4867" width="16" style="92" customWidth="1"/>
    <col min="4868" max="4868" width="12" style="92" customWidth="1"/>
    <col min="4869" max="4869" width="11.5703125" style="92" customWidth="1"/>
    <col min="4870" max="4870" width="11.7109375" style="92" customWidth="1"/>
    <col min="4871" max="4871" width="17.5703125" style="92" customWidth="1"/>
    <col min="4872" max="4872" width="6.42578125" style="92" customWidth="1"/>
    <col min="4873" max="4873" width="29.28515625" style="92" customWidth="1"/>
    <col min="4874" max="4874" width="18.85546875" style="92" customWidth="1"/>
    <col min="4875" max="5116" width="9.140625" style="92"/>
    <col min="5117" max="5117" width="11.7109375" style="92" customWidth="1"/>
    <col min="5118" max="5118" width="16.7109375" style="92" customWidth="1"/>
    <col min="5119" max="5119" width="14.42578125" style="92" customWidth="1"/>
    <col min="5120" max="5120" width="13.140625" style="92" customWidth="1"/>
    <col min="5121" max="5121" width="13.28515625" style="92" customWidth="1"/>
    <col min="5122" max="5122" width="11.85546875" style="92" customWidth="1"/>
    <col min="5123" max="5123" width="16" style="92" customWidth="1"/>
    <col min="5124" max="5124" width="12" style="92" customWidth="1"/>
    <col min="5125" max="5125" width="11.5703125" style="92" customWidth="1"/>
    <col min="5126" max="5126" width="11.7109375" style="92" customWidth="1"/>
    <col min="5127" max="5127" width="17.5703125" style="92" customWidth="1"/>
    <col min="5128" max="5128" width="6.42578125" style="92" customWidth="1"/>
    <col min="5129" max="5129" width="29.28515625" style="92" customWidth="1"/>
    <col min="5130" max="5130" width="18.85546875" style="92" customWidth="1"/>
    <col min="5131" max="5372" width="9.140625" style="92"/>
    <col min="5373" max="5373" width="11.7109375" style="92" customWidth="1"/>
    <col min="5374" max="5374" width="16.7109375" style="92" customWidth="1"/>
    <col min="5375" max="5375" width="14.42578125" style="92" customWidth="1"/>
    <col min="5376" max="5376" width="13.140625" style="92" customWidth="1"/>
    <col min="5377" max="5377" width="13.28515625" style="92" customWidth="1"/>
    <col min="5378" max="5378" width="11.85546875" style="92" customWidth="1"/>
    <col min="5379" max="5379" width="16" style="92" customWidth="1"/>
    <col min="5380" max="5380" width="12" style="92" customWidth="1"/>
    <col min="5381" max="5381" width="11.5703125" style="92" customWidth="1"/>
    <col min="5382" max="5382" width="11.7109375" style="92" customWidth="1"/>
    <col min="5383" max="5383" width="17.5703125" style="92" customWidth="1"/>
    <col min="5384" max="5384" width="6.42578125" style="92" customWidth="1"/>
    <col min="5385" max="5385" width="29.28515625" style="92" customWidth="1"/>
    <col min="5386" max="5386" width="18.85546875" style="92" customWidth="1"/>
    <col min="5387" max="5628" width="9.140625" style="92"/>
    <col min="5629" max="5629" width="11.7109375" style="92" customWidth="1"/>
    <col min="5630" max="5630" width="16.7109375" style="92" customWidth="1"/>
    <col min="5631" max="5631" width="14.42578125" style="92" customWidth="1"/>
    <col min="5632" max="5632" width="13.140625" style="92" customWidth="1"/>
    <col min="5633" max="5633" width="13.28515625" style="92" customWidth="1"/>
    <col min="5634" max="5634" width="11.85546875" style="92" customWidth="1"/>
    <col min="5635" max="5635" width="16" style="92" customWidth="1"/>
    <col min="5636" max="5636" width="12" style="92" customWidth="1"/>
    <col min="5637" max="5637" width="11.5703125" style="92" customWidth="1"/>
    <col min="5638" max="5638" width="11.7109375" style="92" customWidth="1"/>
    <col min="5639" max="5639" width="17.5703125" style="92" customWidth="1"/>
    <col min="5640" max="5640" width="6.42578125" style="92" customWidth="1"/>
    <col min="5641" max="5641" width="29.28515625" style="92" customWidth="1"/>
    <col min="5642" max="5642" width="18.85546875" style="92" customWidth="1"/>
    <col min="5643" max="5884" width="9.140625" style="92"/>
    <col min="5885" max="5885" width="11.7109375" style="92" customWidth="1"/>
    <col min="5886" max="5886" width="16.7109375" style="92" customWidth="1"/>
    <col min="5887" max="5887" width="14.42578125" style="92" customWidth="1"/>
    <col min="5888" max="5888" width="13.140625" style="92" customWidth="1"/>
    <col min="5889" max="5889" width="13.28515625" style="92" customWidth="1"/>
    <col min="5890" max="5890" width="11.85546875" style="92" customWidth="1"/>
    <col min="5891" max="5891" width="16" style="92" customWidth="1"/>
    <col min="5892" max="5892" width="12" style="92" customWidth="1"/>
    <col min="5893" max="5893" width="11.5703125" style="92" customWidth="1"/>
    <col min="5894" max="5894" width="11.7109375" style="92" customWidth="1"/>
    <col min="5895" max="5895" width="17.5703125" style="92" customWidth="1"/>
    <col min="5896" max="5896" width="6.42578125" style="92" customWidth="1"/>
    <col min="5897" max="5897" width="29.28515625" style="92" customWidth="1"/>
    <col min="5898" max="5898" width="18.85546875" style="92" customWidth="1"/>
    <col min="5899" max="6140" width="9.140625" style="92"/>
    <col min="6141" max="6141" width="11.7109375" style="92" customWidth="1"/>
    <col min="6142" max="6142" width="16.7109375" style="92" customWidth="1"/>
    <col min="6143" max="6143" width="14.42578125" style="92" customWidth="1"/>
    <col min="6144" max="6144" width="13.140625" style="92" customWidth="1"/>
    <col min="6145" max="6145" width="13.28515625" style="92" customWidth="1"/>
    <col min="6146" max="6146" width="11.85546875" style="92" customWidth="1"/>
    <col min="6147" max="6147" width="16" style="92" customWidth="1"/>
    <col min="6148" max="6148" width="12" style="92" customWidth="1"/>
    <col min="6149" max="6149" width="11.5703125" style="92" customWidth="1"/>
    <col min="6150" max="6150" width="11.7109375" style="92" customWidth="1"/>
    <col min="6151" max="6151" width="17.5703125" style="92" customWidth="1"/>
    <col min="6152" max="6152" width="6.42578125" style="92" customWidth="1"/>
    <col min="6153" max="6153" width="29.28515625" style="92" customWidth="1"/>
    <col min="6154" max="6154" width="18.85546875" style="92" customWidth="1"/>
    <col min="6155" max="6396" width="9.140625" style="92"/>
    <col min="6397" max="6397" width="11.7109375" style="92" customWidth="1"/>
    <col min="6398" max="6398" width="16.7109375" style="92" customWidth="1"/>
    <col min="6399" max="6399" width="14.42578125" style="92" customWidth="1"/>
    <col min="6400" max="6400" width="13.140625" style="92" customWidth="1"/>
    <col min="6401" max="6401" width="13.28515625" style="92" customWidth="1"/>
    <col min="6402" max="6402" width="11.85546875" style="92" customWidth="1"/>
    <col min="6403" max="6403" width="16" style="92" customWidth="1"/>
    <col min="6404" max="6404" width="12" style="92" customWidth="1"/>
    <col min="6405" max="6405" width="11.5703125" style="92" customWidth="1"/>
    <col min="6406" max="6406" width="11.7109375" style="92" customWidth="1"/>
    <col min="6407" max="6407" width="17.5703125" style="92" customWidth="1"/>
    <col min="6408" max="6408" width="6.42578125" style="92" customWidth="1"/>
    <col min="6409" max="6409" width="29.28515625" style="92" customWidth="1"/>
    <col min="6410" max="6410" width="18.85546875" style="92" customWidth="1"/>
    <col min="6411" max="6652" width="9.140625" style="92"/>
    <col min="6653" max="6653" width="11.7109375" style="92" customWidth="1"/>
    <col min="6654" max="6654" width="16.7109375" style="92" customWidth="1"/>
    <col min="6655" max="6655" width="14.42578125" style="92" customWidth="1"/>
    <col min="6656" max="6656" width="13.140625" style="92" customWidth="1"/>
    <col min="6657" max="6657" width="13.28515625" style="92" customWidth="1"/>
    <col min="6658" max="6658" width="11.85546875" style="92" customWidth="1"/>
    <col min="6659" max="6659" width="16" style="92" customWidth="1"/>
    <col min="6660" max="6660" width="12" style="92" customWidth="1"/>
    <col min="6661" max="6661" width="11.5703125" style="92" customWidth="1"/>
    <col min="6662" max="6662" width="11.7109375" style="92" customWidth="1"/>
    <col min="6663" max="6663" width="17.5703125" style="92" customWidth="1"/>
    <col min="6664" max="6664" width="6.42578125" style="92" customWidth="1"/>
    <col min="6665" max="6665" width="29.28515625" style="92" customWidth="1"/>
    <col min="6666" max="6666" width="18.85546875" style="92" customWidth="1"/>
    <col min="6667" max="6908" width="9.140625" style="92"/>
    <col min="6909" max="6909" width="11.7109375" style="92" customWidth="1"/>
    <col min="6910" max="6910" width="16.7109375" style="92" customWidth="1"/>
    <col min="6911" max="6911" width="14.42578125" style="92" customWidth="1"/>
    <col min="6912" max="6912" width="13.140625" style="92" customWidth="1"/>
    <col min="6913" max="6913" width="13.28515625" style="92" customWidth="1"/>
    <col min="6914" max="6914" width="11.85546875" style="92" customWidth="1"/>
    <col min="6915" max="6915" width="16" style="92" customWidth="1"/>
    <col min="6916" max="6916" width="12" style="92" customWidth="1"/>
    <col min="6917" max="6917" width="11.5703125" style="92" customWidth="1"/>
    <col min="6918" max="6918" width="11.7109375" style="92" customWidth="1"/>
    <col min="6919" max="6919" width="17.5703125" style="92" customWidth="1"/>
    <col min="6920" max="6920" width="6.42578125" style="92" customWidth="1"/>
    <col min="6921" max="6921" width="29.28515625" style="92" customWidth="1"/>
    <col min="6922" max="6922" width="18.85546875" style="92" customWidth="1"/>
    <col min="6923" max="7164" width="9.140625" style="92"/>
    <col min="7165" max="7165" width="11.7109375" style="92" customWidth="1"/>
    <col min="7166" max="7166" width="16.7109375" style="92" customWidth="1"/>
    <col min="7167" max="7167" width="14.42578125" style="92" customWidth="1"/>
    <col min="7168" max="7168" width="13.140625" style="92" customWidth="1"/>
    <col min="7169" max="7169" width="13.28515625" style="92" customWidth="1"/>
    <col min="7170" max="7170" width="11.85546875" style="92" customWidth="1"/>
    <col min="7171" max="7171" width="16" style="92" customWidth="1"/>
    <col min="7172" max="7172" width="12" style="92" customWidth="1"/>
    <col min="7173" max="7173" width="11.5703125" style="92" customWidth="1"/>
    <col min="7174" max="7174" width="11.7109375" style="92" customWidth="1"/>
    <col min="7175" max="7175" width="17.5703125" style="92" customWidth="1"/>
    <col min="7176" max="7176" width="6.42578125" style="92" customWidth="1"/>
    <col min="7177" max="7177" width="29.28515625" style="92" customWidth="1"/>
    <col min="7178" max="7178" width="18.85546875" style="92" customWidth="1"/>
    <col min="7179" max="7420" width="9.140625" style="92"/>
    <col min="7421" max="7421" width="11.7109375" style="92" customWidth="1"/>
    <col min="7422" max="7422" width="16.7109375" style="92" customWidth="1"/>
    <col min="7423" max="7423" width="14.42578125" style="92" customWidth="1"/>
    <col min="7424" max="7424" width="13.140625" style="92" customWidth="1"/>
    <col min="7425" max="7425" width="13.28515625" style="92" customWidth="1"/>
    <col min="7426" max="7426" width="11.85546875" style="92" customWidth="1"/>
    <col min="7427" max="7427" width="16" style="92" customWidth="1"/>
    <col min="7428" max="7428" width="12" style="92" customWidth="1"/>
    <col min="7429" max="7429" width="11.5703125" style="92" customWidth="1"/>
    <col min="7430" max="7430" width="11.7109375" style="92" customWidth="1"/>
    <col min="7431" max="7431" width="17.5703125" style="92" customWidth="1"/>
    <col min="7432" max="7432" width="6.42578125" style="92" customWidth="1"/>
    <col min="7433" max="7433" width="29.28515625" style="92" customWidth="1"/>
    <col min="7434" max="7434" width="18.85546875" style="92" customWidth="1"/>
    <col min="7435" max="7676" width="9.140625" style="92"/>
    <col min="7677" max="7677" width="11.7109375" style="92" customWidth="1"/>
    <col min="7678" max="7678" width="16.7109375" style="92" customWidth="1"/>
    <col min="7679" max="7679" width="14.42578125" style="92" customWidth="1"/>
    <col min="7680" max="7680" width="13.140625" style="92" customWidth="1"/>
    <col min="7681" max="7681" width="13.28515625" style="92" customWidth="1"/>
    <col min="7682" max="7682" width="11.85546875" style="92" customWidth="1"/>
    <col min="7683" max="7683" width="16" style="92" customWidth="1"/>
    <col min="7684" max="7684" width="12" style="92" customWidth="1"/>
    <col min="7685" max="7685" width="11.5703125" style="92" customWidth="1"/>
    <col min="7686" max="7686" width="11.7109375" style="92" customWidth="1"/>
    <col min="7687" max="7687" width="17.5703125" style="92" customWidth="1"/>
    <col min="7688" max="7688" width="6.42578125" style="92" customWidth="1"/>
    <col min="7689" max="7689" width="29.28515625" style="92" customWidth="1"/>
    <col min="7690" max="7690" width="18.85546875" style="92" customWidth="1"/>
    <col min="7691" max="7932" width="9.140625" style="92"/>
    <col min="7933" max="7933" width="11.7109375" style="92" customWidth="1"/>
    <col min="7934" max="7934" width="16.7109375" style="92" customWidth="1"/>
    <col min="7935" max="7935" width="14.42578125" style="92" customWidth="1"/>
    <col min="7936" max="7936" width="13.140625" style="92" customWidth="1"/>
    <col min="7937" max="7937" width="13.28515625" style="92" customWidth="1"/>
    <col min="7938" max="7938" width="11.85546875" style="92" customWidth="1"/>
    <col min="7939" max="7939" width="16" style="92" customWidth="1"/>
    <col min="7940" max="7940" width="12" style="92" customWidth="1"/>
    <col min="7941" max="7941" width="11.5703125" style="92" customWidth="1"/>
    <col min="7942" max="7942" width="11.7109375" style="92" customWidth="1"/>
    <col min="7943" max="7943" width="17.5703125" style="92" customWidth="1"/>
    <col min="7944" max="7944" width="6.42578125" style="92" customWidth="1"/>
    <col min="7945" max="7945" width="29.28515625" style="92" customWidth="1"/>
    <col min="7946" max="7946" width="18.85546875" style="92" customWidth="1"/>
    <col min="7947" max="8188" width="9.140625" style="92"/>
    <col min="8189" max="8189" width="11.7109375" style="92" customWidth="1"/>
    <col min="8190" max="8190" width="16.7109375" style="92" customWidth="1"/>
    <col min="8191" max="8191" width="14.42578125" style="92" customWidth="1"/>
    <col min="8192" max="8192" width="13.140625" style="92" customWidth="1"/>
    <col min="8193" max="8193" width="13.28515625" style="92" customWidth="1"/>
    <col min="8194" max="8194" width="11.85546875" style="92" customWidth="1"/>
    <col min="8195" max="8195" width="16" style="92" customWidth="1"/>
    <col min="8196" max="8196" width="12" style="92" customWidth="1"/>
    <col min="8197" max="8197" width="11.5703125" style="92" customWidth="1"/>
    <col min="8198" max="8198" width="11.7109375" style="92" customWidth="1"/>
    <col min="8199" max="8199" width="17.5703125" style="92" customWidth="1"/>
    <col min="8200" max="8200" width="6.42578125" style="92" customWidth="1"/>
    <col min="8201" max="8201" width="29.28515625" style="92" customWidth="1"/>
    <col min="8202" max="8202" width="18.85546875" style="92" customWidth="1"/>
    <col min="8203" max="8444" width="9.140625" style="92"/>
    <col min="8445" max="8445" width="11.7109375" style="92" customWidth="1"/>
    <col min="8446" max="8446" width="16.7109375" style="92" customWidth="1"/>
    <col min="8447" max="8447" width="14.42578125" style="92" customWidth="1"/>
    <col min="8448" max="8448" width="13.140625" style="92" customWidth="1"/>
    <col min="8449" max="8449" width="13.28515625" style="92" customWidth="1"/>
    <col min="8450" max="8450" width="11.85546875" style="92" customWidth="1"/>
    <col min="8451" max="8451" width="16" style="92" customWidth="1"/>
    <col min="8452" max="8452" width="12" style="92" customWidth="1"/>
    <col min="8453" max="8453" width="11.5703125" style="92" customWidth="1"/>
    <col min="8454" max="8454" width="11.7109375" style="92" customWidth="1"/>
    <col min="8455" max="8455" width="17.5703125" style="92" customWidth="1"/>
    <col min="8456" max="8456" width="6.42578125" style="92" customWidth="1"/>
    <col min="8457" max="8457" width="29.28515625" style="92" customWidth="1"/>
    <col min="8458" max="8458" width="18.85546875" style="92" customWidth="1"/>
    <col min="8459" max="8700" width="9.140625" style="92"/>
    <col min="8701" max="8701" width="11.7109375" style="92" customWidth="1"/>
    <col min="8702" max="8702" width="16.7109375" style="92" customWidth="1"/>
    <col min="8703" max="8703" width="14.42578125" style="92" customWidth="1"/>
    <col min="8704" max="8704" width="13.140625" style="92" customWidth="1"/>
    <col min="8705" max="8705" width="13.28515625" style="92" customWidth="1"/>
    <col min="8706" max="8706" width="11.85546875" style="92" customWidth="1"/>
    <col min="8707" max="8707" width="16" style="92" customWidth="1"/>
    <col min="8708" max="8708" width="12" style="92" customWidth="1"/>
    <col min="8709" max="8709" width="11.5703125" style="92" customWidth="1"/>
    <col min="8710" max="8710" width="11.7109375" style="92" customWidth="1"/>
    <col min="8711" max="8711" width="17.5703125" style="92" customWidth="1"/>
    <col min="8712" max="8712" width="6.42578125" style="92" customWidth="1"/>
    <col min="8713" max="8713" width="29.28515625" style="92" customWidth="1"/>
    <col min="8714" max="8714" width="18.85546875" style="92" customWidth="1"/>
    <col min="8715" max="8956" width="9.140625" style="92"/>
    <col min="8957" max="8957" width="11.7109375" style="92" customWidth="1"/>
    <col min="8958" max="8958" width="16.7109375" style="92" customWidth="1"/>
    <col min="8959" max="8959" width="14.42578125" style="92" customWidth="1"/>
    <col min="8960" max="8960" width="13.140625" style="92" customWidth="1"/>
    <col min="8961" max="8961" width="13.28515625" style="92" customWidth="1"/>
    <col min="8962" max="8962" width="11.85546875" style="92" customWidth="1"/>
    <col min="8963" max="8963" width="16" style="92" customWidth="1"/>
    <col min="8964" max="8964" width="12" style="92" customWidth="1"/>
    <col min="8965" max="8965" width="11.5703125" style="92" customWidth="1"/>
    <col min="8966" max="8966" width="11.7109375" style="92" customWidth="1"/>
    <col min="8967" max="8967" width="17.5703125" style="92" customWidth="1"/>
    <col min="8968" max="8968" width="6.42578125" style="92" customWidth="1"/>
    <col min="8969" max="8969" width="29.28515625" style="92" customWidth="1"/>
    <col min="8970" max="8970" width="18.85546875" style="92" customWidth="1"/>
    <col min="8971" max="9212" width="9.140625" style="92"/>
    <col min="9213" max="9213" width="11.7109375" style="92" customWidth="1"/>
    <col min="9214" max="9214" width="16.7109375" style="92" customWidth="1"/>
    <col min="9215" max="9215" width="14.42578125" style="92" customWidth="1"/>
    <col min="9216" max="9216" width="13.140625" style="92" customWidth="1"/>
    <col min="9217" max="9217" width="13.28515625" style="92" customWidth="1"/>
    <col min="9218" max="9218" width="11.85546875" style="92" customWidth="1"/>
    <col min="9219" max="9219" width="16" style="92" customWidth="1"/>
    <col min="9220" max="9220" width="12" style="92" customWidth="1"/>
    <col min="9221" max="9221" width="11.5703125" style="92" customWidth="1"/>
    <col min="9222" max="9222" width="11.7109375" style="92" customWidth="1"/>
    <col min="9223" max="9223" width="17.5703125" style="92" customWidth="1"/>
    <col min="9224" max="9224" width="6.42578125" style="92" customWidth="1"/>
    <col min="9225" max="9225" width="29.28515625" style="92" customWidth="1"/>
    <col min="9226" max="9226" width="18.85546875" style="92" customWidth="1"/>
    <col min="9227" max="9468" width="9.140625" style="92"/>
    <col min="9469" max="9469" width="11.7109375" style="92" customWidth="1"/>
    <col min="9470" max="9470" width="16.7109375" style="92" customWidth="1"/>
    <col min="9471" max="9471" width="14.42578125" style="92" customWidth="1"/>
    <col min="9472" max="9472" width="13.140625" style="92" customWidth="1"/>
    <col min="9473" max="9473" width="13.28515625" style="92" customWidth="1"/>
    <col min="9474" max="9474" width="11.85546875" style="92" customWidth="1"/>
    <col min="9475" max="9475" width="16" style="92" customWidth="1"/>
    <col min="9476" max="9476" width="12" style="92" customWidth="1"/>
    <col min="9477" max="9477" width="11.5703125" style="92" customWidth="1"/>
    <col min="9478" max="9478" width="11.7109375" style="92" customWidth="1"/>
    <col min="9479" max="9479" width="17.5703125" style="92" customWidth="1"/>
    <col min="9480" max="9480" width="6.42578125" style="92" customWidth="1"/>
    <col min="9481" max="9481" width="29.28515625" style="92" customWidth="1"/>
    <col min="9482" max="9482" width="18.85546875" style="92" customWidth="1"/>
    <col min="9483" max="9724" width="9.140625" style="92"/>
    <col min="9725" max="9725" width="11.7109375" style="92" customWidth="1"/>
    <col min="9726" max="9726" width="16.7109375" style="92" customWidth="1"/>
    <col min="9727" max="9727" width="14.42578125" style="92" customWidth="1"/>
    <col min="9728" max="9728" width="13.140625" style="92" customWidth="1"/>
    <col min="9729" max="9729" width="13.28515625" style="92" customWidth="1"/>
    <col min="9730" max="9730" width="11.85546875" style="92" customWidth="1"/>
    <col min="9731" max="9731" width="16" style="92" customWidth="1"/>
    <col min="9732" max="9732" width="12" style="92" customWidth="1"/>
    <col min="9733" max="9733" width="11.5703125" style="92" customWidth="1"/>
    <col min="9734" max="9734" width="11.7109375" style="92" customWidth="1"/>
    <col min="9735" max="9735" width="17.5703125" style="92" customWidth="1"/>
    <col min="9736" max="9736" width="6.42578125" style="92" customWidth="1"/>
    <col min="9737" max="9737" width="29.28515625" style="92" customWidth="1"/>
    <col min="9738" max="9738" width="18.85546875" style="92" customWidth="1"/>
    <col min="9739" max="9980" width="9.140625" style="92"/>
    <col min="9981" max="9981" width="11.7109375" style="92" customWidth="1"/>
    <col min="9982" max="9982" width="16.7109375" style="92" customWidth="1"/>
    <col min="9983" max="9983" width="14.42578125" style="92" customWidth="1"/>
    <col min="9984" max="9984" width="13.140625" style="92" customWidth="1"/>
    <col min="9985" max="9985" width="13.28515625" style="92" customWidth="1"/>
    <col min="9986" max="9986" width="11.85546875" style="92" customWidth="1"/>
    <col min="9987" max="9987" width="16" style="92" customWidth="1"/>
    <col min="9988" max="9988" width="12" style="92" customWidth="1"/>
    <col min="9989" max="9989" width="11.5703125" style="92" customWidth="1"/>
    <col min="9990" max="9990" width="11.7109375" style="92" customWidth="1"/>
    <col min="9991" max="9991" width="17.5703125" style="92" customWidth="1"/>
    <col min="9992" max="9992" width="6.42578125" style="92" customWidth="1"/>
    <col min="9993" max="9993" width="29.28515625" style="92" customWidth="1"/>
    <col min="9994" max="9994" width="18.85546875" style="92" customWidth="1"/>
    <col min="9995" max="10236" width="9.140625" style="92"/>
    <col min="10237" max="10237" width="11.7109375" style="92" customWidth="1"/>
    <col min="10238" max="10238" width="16.7109375" style="92" customWidth="1"/>
    <col min="10239" max="10239" width="14.42578125" style="92" customWidth="1"/>
    <col min="10240" max="10240" width="13.140625" style="92" customWidth="1"/>
    <col min="10241" max="10241" width="13.28515625" style="92" customWidth="1"/>
    <col min="10242" max="10242" width="11.85546875" style="92" customWidth="1"/>
    <col min="10243" max="10243" width="16" style="92" customWidth="1"/>
    <col min="10244" max="10244" width="12" style="92" customWidth="1"/>
    <col min="10245" max="10245" width="11.5703125" style="92" customWidth="1"/>
    <col min="10246" max="10246" width="11.7109375" style="92" customWidth="1"/>
    <col min="10247" max="10247" width="17.5703125" style="92" customWidth="1"/>
    <col min="10248" max="10248" width="6.42578125" style="92" customWidth="1"/>
    <col min="10249" max="10249" width="29.28515625" style="92" customWidth="1"/>
    <col min="10250" max="10250" width="18.85546875" style="92" customWidth="1"/>
    <col min="10251" max="10492" width="9.140625" style="92"/>
    <col min="10493" max="10493" width="11.7109375" style="92" customWidth="1"/>
    <col min="10494" max="10494" width="16.7109375" style="92" customWidth="1"/>
    <col min="10495" max="10495" width="14.42578125" style="92" customWidth="1"/>
    <col min="10496" max="10496" width="13.140625" style="92" customWidth="1"/>
    <col min="10497" max="10497" width="13.28515625" style="92" customWidth="1"/>
    <col min="10498" max="10498" width="11.85546875" style="92" customWidth="1"/>
    <col min="10499" max="10499" width="16" style="92" customWidth="1"/>
    <col min="10500" max="10500" width="12" style="92" customWidth="1"/>
    <col min="10501" max="10501" width="11.5703125" style="92" customWidth="1"/>
    <col min="10502" max="10502" width="11.7109375" style="92" customWidth="1"/>
    <col min="10503" max="10503" width="17.5703125" style="92" customWidth="1"/>
    <col min="10504" max="10504" width="6.42578125" style="92" customWidth="1"/>
    <col min="10505" max="10505" width="29.28515625" style="92" customWidth="1"/>
    <col min="10506" max="10506" width="18.85546875" style="92" customWidth="1"/>
    <col min="10507" max="10748" width="9.140625" style="92"/>
    <col min="10749" max="10749" width="11.7109375" style="92" customWidth="1"/>
    <col min="10750" max="10750" width="16.7109375" style="92" customWidth="1"/>
    <col min="10751" max="10751" width="14.42578125" style="92" customWidth="1"/>
    <col min="10752" max="10752" width="13.140625" style="92" customWidth="1"/>
    <col min="10753" max="10753" width="13.28515625" style="92" customWidth="1"/>
    <col min="10754" max="10754" width="11.85546875" style="92" customWidth="1"/>
    <col min="10755" max="10755" width="16" style="92" customWidth="1"/>
    <col min="10756" max="10756" width="12" style="92" customWidth="1"/>
    <col min="10757" max="10757" width="11.5703125" style="92" customWidth="1"/>
    <col min="10758" max="10758" width="11.7109375" style="92" customWidth="1"/>
    <col min="10759" max="10759" width="17.5703125" style="92" customWidth="1"/>
    <col min="10760" max="10760" width="6.42578125" style="92" customWidth="1"/>
    <col min="10761" max="10761" width="29.28515625" style="92" customWidth="1"/>
    <col min="10762" max="10762" width="18.85546875" style="92" customWidth="1"/>
    <col min="10763" max="11004" width="9.140625" style="92"/>
    <col min="11005" max="11005" width="11.7109375" style="92" customWidth="1"/>
    <col min="11006" max="11006" width="16.7109375" style="92" customWidth="1"/>
    <col min="11007" max="11007" width="14.42578125" style="92" customWidth="1"/>
    <col min="11008" max="11008" width="13.140625" style="92" customWidth="1"/>
    <col min="11009" max="11009" width="13.28515625" style="92" customWidth="1"/>
    <col min="11010" max="11010" width="11.85546875" style="92" customWidth="1"/>
    <col min="11011" max="11011" width="16" style="92" customWidth="1"/>
    <col min="11012" max="11012" width="12" style="92" customWidth="1"/>
    <col min="11013" max="11013" width="11.5703125" style="92" customWidth="1"/>
    <col min="11014" max="11014" width="11.7109375" style="92" customWidth="1"/>
    <col min="11015" max="11015" width="17.5703125" style="92" customWidth="1"/>
    <col min="11016" max="11016" width="6.42578125" style="92" customWidth="1"/>
    <col min="11017" max="11017" width="29.28515625" style="92" customWidth="1"/>
    <col min="11018" max="11018" width="18.85546875" style="92" customWidth="1"/>
    <col min="11019" max="11260" width="9.140625" style="92"/>
    <col min="11261" max="11261" width="11.7109375" style="92" customWidth="1"/>
    <col min="11262" max="11262" width="16.7109375" style="92" customWidth="1"/>
    <col min="11263" max="11263" width="14.42578125" style="92" customWidth="1"/>
    <col min="11264" max="11264" width="13.140625" style="92" customWidth="1"/>
    <col min="11265" max="11265" width="13.28515625" style="92" customWidth="1"/>
    <col min="11266" max="11266" width="11.85546875" style="92" customWidth="1"/>
    <col min="11267" max="11267" width="16" style="92" customWidth="1"/>
    <col min="11268" max="11268" width="12" style="92" customWidth="1"/>
    <col min="11269" max="11269" width="11.5703125" style="92" customWidth="1"/>
    <col min="11270" max="11270" width="11.7109375" style="92" customWidth="1"/>
    <col min="11271" max="11271" width="17.5703125" style="92" customWidth="1"/>
    <col min="11272" max="11272" width="6.42578125" style="92" customWidth="1"/>
    <col min="11273" max="11273" width="29.28515625" style="92" customWidth="1"/>
    <col min="11274" max="11274" width="18.85546875" style="92" customWidth="1"/>
    <col min="11275" max="11516" width="9.140625" style="92"/>
    <col min="11517" max="11517" width="11.7109375" style="92" customWidth="1"/>
    <col min="11518" max="11518" width="16.7109375" style="92" customWidth="1"/>
    <col min="11519" max="11519" width="14.42578125" style="92" customWidth="1"/>
    <col min="11520" max="11520" width="13.140625" style="92" customWidth="1"/>
    <col min="11521" max="11521" width="13.28515625" style="92" customWidth="1"/>
    <col min="11522" max="11522" width="11.85546875" style="92" customWidth="1"/>
    <col min="11523" max="11523" width="16" style="92" customWidth="1"/>
    <col min="11524" max="11524" width="12" style="92" customWidth="1"/>
    <col min="11525" max="11525" width="11.5703125" style="92" customWidth="1"/>
    <col min="11526" max="11526" width="11.7109375" style="92" customWidth="1"/>
    <col min="11527" max="11527" width="17.5703125" style="92" customWidth="1"/>
    <col min="11528" max="11528" width="6.42578125" style="92" customWidth="1"/>
    <col min="11529" max="11529" width="29.28515625" style="92" customWidth="1"/>
    <col min="11530" max="11530" width="18.85546875" style="92" customWidth="1"/>
    <col min="11531" max="11772" width="9.140625" style="92"/>
    <col min="11773" max="11773" width="11.7109375" style="92" customWidth="1"/>
    <col min="11774" max="11774" width="16.7109375" style="92" customWidth="1"/>
    <col min="11775" max="11775" width="14.42578125" style="92" customWidth="1"/>
    <col min="11776" max="11776" width="13.140625" style="92" customWidth="1"/>
    <col min="11777" max="11777" width="13.28515625" style="92" customWidth="1"/>
    <col min="11778" max="11778" width="11.85546875" style="92" customWidth="1"/>
    <col min="11779" max="11779" width="16" style="92" customWidth="1"/>
    <col min="11780" max="11780" width="12" style="92" customWidth="1"/>
    <col min="11781" max="11781" width="11.5703125" style="92" customWidth="1"/>
    <col min="11782" max="11782" width="11.7109375" style="92" customWidth="1"/>
    <col min="11783" max="11783" width="17.5703125" style="92" customWidth="1"/>
    <col min="11784" max="11784" width="6.42578125" style="92" customWidth="1"/>
    <col min="11785" max="11785" width="29.28515625" style="92" customWidth="1"/>
    <col min="11786" max="11786" width="18.85546875" style="92" customWidth="1"/>
    <col min="11787" max="12028" width="9.140625" style="92"/>
    <col min="12029" max="12029" width="11.7109375" style="92" customWidth="1"/>
    <col min="12030" max="12030" width="16.7109375" style="92" customWidth="1"/>
    <col min="12031" max="12031" width="14.42578125" style="92" customWidth="1"/>
    <col min="12032" max="12032" width="13.140625" style="92" customWidth="1"/>
    <col min="12033" max="12033" width="13.28515625" style="92" customWidth="1"/>
    <col min="12034" max="12034" width="11.85546875" style="92" customWidth="1"/>
    <col min="12035" max="12035" width="16" style="92" customWidth="1"/>
    <col min="12036" max="12036" width="12" style="92" customWidth="1"/>
    <col min="12037" max="12037" width="11.5703125" style="92" customWidth="1"/>
    <col min="12038" max="12038" width="11.7109375" style="92" customWidth="1"/>
    <col min="12039" max="12039" width="17.5703125" style="92" customWidth="1"/>
    <col min="12040" max="12040" width="6.42578125" style="92" customWidth="1"/>
    <col min="12041" max="12041" width="29.28515625" style="92" customWidth="1"/>
    <col min="12042" max="12042" width="18.85546875" style="92" customWidth="1"/>
    <col min="12043" max="12284" width="9.140625" style="92"/>
    <col min="12285" max="12285" width="11.7109375" style="92" customWidth="1"/>
    <col min="12286" max="12286" width="16.7109375" style="92" customWidth="1"/>
    <col min="12287" max="12287" width="14.42578125" style="92" customWidth="1"/>
    <col min="12288" max="12288" width="13.140625" style="92" customWidth="1"/>
    <col min="12289" max="12289" width="13.28515625" style="92" customWidth="1"/>
    <col min="12290" max="12290" width="11.85546875" style="92" customWidth="1"/>
    <col min="12291" max="12291" width="16" style="92" customWidth="1"/>
    <col min="12292" max="12292" width="12" style="92" customWidth="1"/>
    <col min="12293" max="12293" width="11.5703125" style="92" customWidth="1"/>
    <col min="12294" max="12294" width="11.7109375" style="92" customWidth="1"/>
    <col min="12295" max="12295" width="17.5703125" style="92" customWidth="1"/>
    <col min="12296" max="12296" width="6.42578125" style="92" customWidth="1"/>
    <col min="12297" max="12297" width="29.28515625" style="92" customWidth="1"/>
    <col min="12298" max="12298" width="18.85546875" style="92" customWidth="1"/>
    <col min="12299" max="12540" width="9.140625" style="92"/>
    <col min="12541" max="12541" width="11.7109375" style="92" customWidth="1"/>
    <col min="12542" max="12542" width="16.7109375" style="92" customWidth="1"/>
    <col min="12543" max="12543" width="14.42578125" style="92" customWidth="1"/>
    <col min="12544" max="12544" width="13.140625" style="92" customWidth="1"/>
    <col min="12545" max="12545" width="13.28515625" style="92" customWidth="1"/>
    <col min="12546" max="12546" width="11.85546875" style="92" customWidth="1"/>
    <col min="12547" max="12547" width="16" style="92" customWidth="1"/>
    <col min="12548" max="12548" width="12" style="92" customWidth="1"/>
    <col min="12549" max="12549" width="11.5703125" style="92" customWidth="1"/>
    <col min="12550" max="12550" width="11.7109375" style="92" customWidth="1"/>
    <col min="12551" max="12551" width="17.5703125" style="92" customWidth="1"/>
    <col min="12552" max="12552" width="6.42578125" style="92" customWidth="1"/>
    <col min="12553" max="12553" width="29.28515625" style="92" customWidth="1"/>
    <col min="12554" max="12554" width="18.85546875" style="92" customWidth="1"/>
    <col min="12555" max="12796" width="9.140625" style="92"/>
    <col min="12797" max="12797" width="11.7109375" style="92" customWidth="1"/>
    <col min="12798" max="12798" width="16.7109375" style="92" customWidth="1"/>
    <col min="12799" max="12799" width="14.42578125" style="92" customWidth="1"/>
    <col min="12800" max="12800" width="13.140625" style="92" customWidth="1"/>
    <col min="12801" max="12801" width="13.28515625" style="92" customWidth="1"/>
    <col min="12802" max="12802" width="11.85546875" style="92" customWidth="1"/>
    <col min="12803" max="12803" width="16" style="92" customWidth="1"/>
    <col min="12804" max="12804" width="12" style="92" customWidth="1"/>
    <col min="12805" max="12805" width="11.5703125" style="92" customWidth="1"/>
    <col min="12806" max="12806" width="11.7109375" style="92" customWidth="1"/>
    <col min="12807" max="12807" width="17.5703125" style="92" customWidth="1"/>
    <col min="12808" max="12808" width="6.42578125" style="92" customWidth="1"/>
    <col min="12809" max="12809" width="29.28515625" style="92" customWidth="1"/>
    <col min="12810" max="12810" width="18.85546875" style="92" customWidth="1"/>
    <col min="12811" max="13052" width="9.140625" style="92"/>
    <col min="13053" max="13053" width="11.7109375" style="92" customWidth="1"/>
    <col min="13054" max="13054" width="16.7109375" style="92" customWidth="1"/>
    <col min="13055" max="13055" width="14.42578125" style="92" customWidth="1"/>
    <col min="13056" max="13056" width="13.140625" style="92" customWidth="1"/>
    <col min="13057" max="13057" width="13.28515625" style="92" customWidth="1"/>
    <col min="13058" max="13058" width="11.85546875" style="92" customWidth="1"/>
    <col min="13059" max="13059" width="16" style="92" customWidth="1"/>
    <col min="13060" max="13060" width="12" style="92" customWidth="1"/>
    <col min="13061" max="13061" width="11.5703125" style="92" customWidth="1"/>
    <col min="13062" max="13062" width="11.7109375" style="92" customWidth="1"/>
    <col min="13063" max="13063" width="17.5703125" style="92" customWidth="1"/>
    <col min="13064" max="13064" width="6.42578125" style="92" customWidth="1"/>
    <col min="13065" max="13065" width="29.28515625" style="92" customWidth="1"/>
    <col min="13066" max="13066" width="18.85546875" style="92" customWidth="1"/>
    <col min="13067" max="13308" width="9.140625" style="92"/>
    <col min="13309" max="13309" width="11.7109375" style="92" customWidth="1"/>
    <col min="13310" max="13310" width="16.7109375" style="92" customWidth="1"/>
    <col min="13311" max="13311" width="14.42578125" style="92" customWidth="1"/>
    <col min="13312" max="13312" width="13.140625" style="92" customWidth="1"/>
    <col min="13313" max="13313" width="13.28515625" style="92" customWidth="1"/>
    <col min="13314" max="13314" width="11.85546875" style="92" customWidth="1"/>
    <col min="13315" max="13315" width="16" style="92" customWidth="1"/>
    <col min="13316" max="13316" width="12" style="92" customWidth="1"/>
    <col min="13317" max="13317" width="11.5703125" style="92" customWidth="1"/>
    <col min="13318" max="13318" width="11.7109375" style="92" customWidth="1"/>
    <col min="13319" max="13319" width="17.5703125" style="92" customWidth="1"/>
    <col min="13320" max="13320" width="6.42578125" style="92" customWidth="1"/>
    <col min="13321" max="13321" width="29.28515625" style="92" customWidth="1"/>
    <col min="13322" max="13322" width="18.85546875" style="92" customWidth="1"/>
    <col min="13323" max="13564" width="9.140625" style="92"/>
    <col min="13565" max="13565" width="11.7109375" style="92" customWidth="1"/>
    <col min="13566" max="13566" width="16.7109375" style="92" customWidth="1"/>
    <col min="13567" max="13567" width="14.42578125" style="92" customWidth="1"/>
    <col min="13568" max="13568" width="13.140625" style="92" customWidth="1"/>
    <col min="13569" max="13569" width="13.28515625" style="92" customWidth="1"/>
    <col min="13570" max="13570" width="11.85546875" style="92" customWidth="1"/>
    <col min="13571" max="13571" width="16" style="92" customWidth="1"/>
    <col min="13572" max="13572" width="12" style="92" customWidth="1"/>
    <col min="13573" max="13573" width="11.5703125" style="92" customWidth="1"/>
    <col min="13574" max="13574" width="11.7109375" style="92" customWidth="1"/>
    <col min="13575" max="13575" width="17.5703125" style="92" customWidth="1"/>
    <col min="13576" max="13576" width="6.42578125" style="92" customWidth="1"/>
    <col min="13577" max="13577" width="29.28515625" style="92" customWidth="1"/>
    <col min="13578" max="13578" width="18.85546875" style="92" customWidth="1"/>
    <col min="13579" max="13820" width="9.140625" style="92"/>
    <col min="13821" max="13821" width="11.7109375" style="92" customWidth="1"/>
    <col min="13822" max="13822" width="16.7109375" style="92" customWidth="1"/>
    <col min="13823" max="13823" width="14.42578125" style="92" customWidth="1"/>
    <col min="13824" max="13824" width="13.140625" style="92" customWidth="1"/>
    <col min="13825" max="13825" width="13.28515625" style="92" customWidth="1"/>
    <col min="13826" max="13826" width="11.85546875" style="92" customWidth="1"/>
    <col min="13827" max="13827" width="16" style="92" customWidth="1"/>
    <col min="13828" max="13828" width="12" style="92" customWidth="1"/>
    <col min="13829" max="13829" width="11.5703125" style="92" customWidth="1"/>
    <col min="13830" max="13830" width="11.7109375" style="92" customWidth="1"/>
    <col min="13831" max="13831" width="17.5703125" style="92" customWidth="1"/>
    <col min="13832" max="13832" width="6.42578125" style="92" customWidth="1"/>
    <col min="13833" max="13833" width="29.28515625" style="92" customWidth="1"/>
    <col min="13834" max="13834" width="18.85546875" style="92" customWidth="1"/>
    <col min="13835" max="14076" width="9.140625" style="92"/>
    <col min="14077" max="14077" width="11.7109375" style="92" customWidth="1"/>
    <col min="14078" max="14078" width="16.7109375" style="92" customWidth="1"/>
    <col min="14079" max="14079" width="14.42578125" style="92" customWidth="1"/>
    <col min="14080" max="14080" width="13.140625" style="92" customWidth="1"/>
    <col min="14081" max="14081" width="13.28515625" style="92" customWidth="1"/>
    <col min="14082" max="14082" width="11.85546875" style="92" customWidth="1"/>
    <col min="14083" max="14083" width="16" style="92" customWidth="1"/>
    <col min="14084" max="14084" width="12" style="92" customWidth="1"/>
    <col min="14085" max="14085" width="11.5703125" style="92" customWidth="1"/>
    <col min="14086" max="14086" width="11.7109375" style="92" customWidth="1"/>
    <col min="14087" max="14087" width="17.5703125" style="92" customWidth="1"/>
    <col min="14088" max="14088" width="6.42578125" style="92" customWidth="1"/>
    <col min="14089" max="14089" width="29.28515625" style="92" customWidth="1"/>
    <col min="14090" max="14090" width="18.85546875" style="92" customWidth="1"/>
    <col min="14091" max="14332" width="9.140625" style="92"/>
    <col min="14333" max="14333" width="11.7109375" style="92" customWidth="1"/>
    <col min="14334" max="14334" width="16.7109375" style="92" customWidth="1"/>
    <col min="14335" max="14335" width="14.42578125" style="92" customWidth="1"/>
    <col min="14336" max="14336" width="13.140625" style="92" customWidth="1"/>
    <col min="14337" max="14337" width="13.28515625" style="92" customWidth="1"/>
    <col min="14338" max="14338" width="11.85546875" style="92" customWidth="1"/>
    <col min="14339" max="14339" width="16" style="92" customWidth="1"/>
    <col min="14340" max="14340" width="12" style="92" customWidth="1"/>
    <col min="14341" max="14341" width="11.5703125" style="92" customWidth="1"/>
    <col min="14342" max="14342" width="11.7109375" style="92" customWidth="1"/>
    <col min="14343" max="14343" width="17.5703125" style="92" customWidth="1"/>
    <col min="14344" max="14344" width="6.42578125" style="92" customWidth="1"/>
    <col min="14345" max="14345" width="29.28515625" style="92" customWidth="1"/>
    <col min="14346" max="14346" width="18.85546875" style="92" customWidth="1"/>
    <col min="14347" max="14588" width="9.140625" style="92"/>
    <col min="14589" max="14589" width="11.7109375" style="92" customWidth="1"/>
    <col min="14590" max="14590" width="16.7109375" style="92" customWidth="1"/>
    <col min="14591" max="14591" width="14.42578125" style="92" customWidth="1"/>
    <col min="14592" max="14592" width="13.140625" style="92" customWidth="1"/>
    <col min="14593" max="14593" width="13.28515625" style="92" customWidth="1"/>
    <col min="14594" max="14594" width="11.85546875" style="92" customWidth="1"/>
    <col min="14595" max="14595" width="16" style="92" customWidth="1"/>
    <col min="14596" max="14596" width="12" style="92" customWidth="1"/>
    <col min="14597" max="14597" width="11.5703125" style="92" customWidth="1"/>
    <col min="14598" max="14598" width="11.7109375" style="92" customWidth="1"/>
    <col min="14599" max="14599" width="17.5703125" style="92" customWidth="1"/>
    <col min="14600" max="14600" width="6.42578125" style="92" customWidth="1"/>
    <col min="14601" max="14601" width="29.28515625" style="92" customWidth="1"/>
    <col min="14602" max="14602" width="18.85546875" style="92" customWidth="1"/>
    <col min="14603" max="14844" width="9.140625" style="92"/>
    <col min="14845" max="14845" width="11.7109375" style="92" customWidth="1"/>
    <col min="14846" max="14846" width="16.7109375" style="92" customWidth="1"/>
    <col min="14847" max="14847" width="14.42578125" style="92" customWidth="1"/>
    <col min="14848" max="14848" width="13.140625" style="92" customWidth="1"/>
    <col min="14849" max="14849" width="13.28515625" style="92" customWidth="1"/>
    <col min="14850" max="14850" width="11.85546875" style="92" customWidth="1"/>
    <col min="14851" max="14851" width="16" style="92" customWidth="1"/>
    <col min="14852" max="14852" width="12" style="92" customWidth="1"/>
    <col min="14853" max="14853" width="11.5703125" style="92" customWidth="1"/>
    <col min="14854" max="14854" width="11.7109375" style="92" customWidth="1"/>
    <col min="14855" max="14855" width="17.5703125" style="92" customWidth="1"/>
    <col min="14856" max="14856" width="6.42578125" style="92" customWidth="1"/>
    <col min="14857" max="14857" width="29.28515625" style="92" customWidth="1"/>
    <col min="14858" max="14858" width="18.85546875" style="92" customWidth="1"/>
    <col min="14859" max="15100" width="9.140625" style="92"/>
    <col min="15101" max="15101" width="11.7109375" style="92" customWidth="1"/>
    <col min="15102" max="15102" width="16.7109375" style="92" customWidth="1"/>
    <col min="15103" max="15103" width="14.42578125" style="92" customWidth="1"/>
    <col min="15104" max="15104" width="13.140625" style="92" customWidth="1"/>
    <col min="15105" max="15105" width="13.28515625" style="92" customWidth="1"/>
    <col min="15106" max="15106" width="11.85546875" style="92" customWidth="1"/>
    <col min="15107" max="15107" width="16" style="92" customWidth="1"/>
    <col min="15108" max="15108" width="12" style="92" customWidth="1"/>
    <col min="15109" max="15109" width="11.5703125" style="92" customWidth="1"/>
    <col min="15110" max="15110" width="11.7109375" style="92" customWidth="1"/>
    <col min="15111" max="15111" width="17.5703125" style="92" customWidth="1"/>
    <col min="15112" max="15112" width="6.42578125" style="92" customWidth="1"/>
    <col min="15113" max="15113" width="29.28515625" style="92" customWidth="1"/>
    <col min="15114" max="15114" width="18.85546875" style="92" customWidth="1"/>
    <col min="15115" max="15356" width="9.140625" style="92"/>
    <col min="15357" max="15357" width="11.7109375" style="92" customWidth="1"/>
    <col min="15358" max="15358" width="16.7109375" style="92" customWidth="1"/>
    <col min="15359" max="15359" width="14.42578125" style="92" customWidth="1"/>
    <col min="15360" max="15360" width="13.140625" style="92" customWidth="1"/>
    <col min="15361" max="15361" width="13.28515625" style="92" customWidth="1"/>
    <col min="15362" max="15362" width="11.85546875" style="92" customWidth="1"/>
    <col min="15363" max="15363" width="16" style="92" customWidth="1"/>
    <col min="15364" max="15364" width="12" style="92" customWidth="1"/>
    <col min="15365" max="15365" width="11.5703125" style="92" customWidth="1"/>
    <col min="15366" max="15366" width="11.7109375" style="92" customWidth="1"/>
    <col min="15367" max="15367" width="17.5703125" style="92" customWidth="1"/>
    <col min="15368" max="15368" width="6.42578125" style="92" customWidth="1"/>
    <col min="15369" max="15369" width="29.28515625" style="92" customWidth="1"/>
    <col min="15370" max="15370" width="18.85546875" style="92" customWidth="1"/>
    <col min="15371" max="15612" width="9.140625" style="92"/>
    <col min="15613" max="15613" width="11.7109375" style="92" customWidth="1"/>
    <col min="15614" max="15614" width="16.7109375" style="92" customWidth="1"/>
    <col min="15615" max="15615" width="14.42578125" style="92" customWidth="1"/>
    <col min="15616" max="15616" width="13.140625" style="92" customWidth="1"/>
    <col min="15617" max="15617" width="13.28515625" style="92" customWidth="1"/>
    <col min="15618" max="15618" width="11.85546875" style="92" customWidth="1"/>
    <col min="15619" max="15619" width="16" style="92" customWidth="1"/>
    <col min="15620" max="15620" width="12" style="92" customWidth="1"/>
    <col min="15621" max="15621" width="11.5703125" style="92" customWidth="1"/>
    <col min="15622" max="15622" width="11.7109375" style="92" customWidth="1"/>
    <col min="15623" max="15623" width="17.5703125" style="92" customWidth="1"/>
    <col min="15624" max="15624" width="6.42578125" style="92" customWidth="1"/>
    <col min="15625" max="15625" width="29.28515625" style="92" customWidth="1"/>
    <col min="15626" max="15626" width="18.85546875" style="92" customWidth="1"/>
    <col min="15627" max="15868" width="9.140625" style="92"/>
    <col min="15869" max="15869" width="11.7109375" style="92" customWidth="1"/>
    <col min="15870" max="15870" width="16.7109375" style="92" customWidth="1"/>
    <col min="15871" max="15871" width="14.42578125" style="92" customWidth="1"/>
    <col min="15872" max="15872" width="13.140625" style="92" customWidth="1"/>
    <col min="15873" max="15873" width="13.28515625" style="92" customWidth="1"/>
    <col min="15874" max="15874" width="11.85546875" style="92" customWidth="1"/>
    <col min="15875" max="15875" width="16" style="92" customWidth="1"/>
    <col min="15876" max="15876" width="12" style="92" customWidth="1"/>
    <col min="15877" max="15877" width="11.5703125" style="92" customWidth="1"/>
    <col min="15878" max="15878" width="11.7109375" style="92" customWidth="1"/>
    <col min="15879" max="15879" width="17.5703125" style="92" customWidth="1"/>
    <col min="15880" max="15880" width="6.42578125" style="92" customWidth="1"/>
    <col min="15881" max="15881" width="29.28515625" style="92" customWidth="1"/>
    <col min="15882" max="15882" width="18.85546875" style="92" customWidth="1"/>
    <col min="15883" max="16124" width="9.140625" style="92"/>
    <col min="16125" max="16125" width="11.7109375" style="92" customWidth="1"/>
    <col min="16126" max="16126" width="16.7109375" style="92" customWidth="1"/>
    <col min="16127" max="16127" width="14.42578125" style="92" customWidth="1"/>
    <col min="16128" max="16128" width="13.140625" style="92" customWidth="1"/>
    <col min="16129" max="16129" width="13.28515625" style="92" customWidth="1"/>
    <col min="16130" max="16130" width="11.85546875" style="92" customWidth="1"/>
    <col min="16131" max="16131" width="16" style="92" customWidth="1"/>
    <col min="16132" max="16132" width="12" style="92" customWidth="1"/>
    <col min="16133" max="16133" width="11.5703125" style="92" customWidth="1"/>
    <col min="16134" max="16134" width="11.7109375" style="92" customWidth="1"/>
    <col min="16135" max="16135" width="17.5703125" style="92" customWidth="1"/>
    <col min="16136" max="16136" width="6.42578125" style="92" customWidth="1"/>
    <col min="16137" max="16137" width="29.28515625" style="92" customWidth="1"/>
    <col min="16138" max="16138" width="18.85546875" style="92" customWidth="1"/>
    <col min="16139" max="16384" width="9.140625" style="92"/>
  </cols>
  <sheetData>
    <row r="1" spans="1:23" ht="33.75" customHeight="1" x14ac:dyDescent="0.3">
      <c r="B1" s="731" t="s">
        <v>670</v>
      </c>
      <c r="C1" s="731"/>
      <c r="D1" s="731"/>
      <c r="E1" s="731"/>
      <c r="F1" s="731"/>
      <c r="G1" s="731"/>
      <c r="H1" s="731"/>
      <c r="I1" s="731"/>
      <c r="J1" s="731"/>
      <c r="K1" s="168"/>
      <c r="L1" s="168"/>
      <c r="M1" s="165"/>
      <c r="T1" s="95"/>
    </row>
    <row r="2" spans="1:23" s="96" customFormat="1" ht="45" customHeight="1" x14ac:dyDescent="0.25">
      <c r="A2" s="97"/>
      <c r="B2" s="747" t="s">
        <v>925</v>
      </c>
      <c r="C2" s="625" t="s">
        <v>192</v>
      </c>
      <c r="D2" s="626" t="s">
        <v>193</v>
      </c>
      <c r="E2" s="736" t="s">
        <v>194</v>
      </c>
      <c r="F2" s="738" t="s">
        <v>195</v>
      </c>
      <c r="G2" s="626" t="s">
        <v>671</v>
      </c>
      <c r="H2" s="626" t="s">
        <v>196</v>
      </c>
      <c r="I2" s="740" t="s">
        <v>197</v>
      </c>
      <c r="J2" s="626" t="s">
        <v>198</v>
      </c>
      <c r="K2" s="101"/>
      <c r="L2" s="101"/>
      <c r="M2" s="101"/>
      <c r="N2" s="98"/>
      <c r="O2" s="98"/>
      <c r="Q2" s="98"/>
      <c r="R2" s="98"/>
      <c r="S2" s="98"/>
      <c r="T2" s="98"/>
    </row>
    <row r="3" spans="1:23" s="99" customFormat="1" ht="27.75" customHeight="1" thickBot="1" x14ac:dyDescent="0.25">
      <c r="A3" s="100"/>
      <c r="B3" s="748"/>
      <c r="C3" s="627" t="s">
        <v>199</v>
      </c>
      <c r="D3" s="628" t="s">
        <v>200</v>
      </c>
      <c r="E3" s="737"/>
      <c r="F3" s="739"/>
      <c r="G3" s="628" t="s">
        <v>200</v>
      </c>
      <c r="H3" s="628" t="s">
        <v>200</v>
      </c>
      <c r="I3" s="741"/>
      <c r="J3" s="629" t="s">
        <v>672</v>
      </c>
      <c r="K3" s="94"/>
      <c r="L3" s="94"/>
      <c r="M3" s="94"/>
      <c r="N3" s="101"/>
      <c r="O3" s="101"/>
      <c r="Q3" s="101"/>
      <c r="R3" s="101"/>
      <c r="S3" s="101"/>
      <c r="T3" s="101"/>
    </row>
    <row r="4" spans="1:23" ht="15" thickTop="1" x14ac:dyDescent="0.3">
      <c r="A4" s="735"/>
      <c r="B4" s="708" t="s">
        <v>201</v>
      </c>
      <c r="C4" s="382" t="s">
        <v>202</v>
      </c>
      <c r="D4" s="717">
        <v>841930.56</v>
      </c>
      <c r="E4" s="383">
        <v>37391</v>
      </c>
      <c r="F4" s="384" t="s">
        <v>203</v>
      </c>
      <c r="G4" s="717">
        <v>29896.68</v>
      </c>
      <c r="H4" s="717">
        <f>322848.93+27688.16+G4+28739.07</f>
        <v>409172.83999999997</v>
      </c>
      <c r="I4" s="742">
        <v>2032</v>
      </c>
      <c r="J4" s="729">
        <f>D4-H4</f>
        <v>432757.72000000009</v>
      </c>
      <c r="K4" s="94"/>
      <c r="L4" s="94"/>
      <c r="M4" s="94"/>
      <c r="P4" s="92"/>
      <c r="S4" s="94"/>
      <c r="U4" s="92"/>
      <c r="V4" s="92"/>
      <c r="W4" s="92"/>
    </row>
    <row r="5" spans="1:23" ht="14.25" x14ac:dyDescent="0.3">
      <c r="A5" s="735"/>
      <c r="B5" s="709"/>
      <c r="C5" s="370">
        <v>37313</v>
      </c>
      <c r="D5" s="718"/>
      <c r="E5" s="372">
        <v>119634</v>
      </c>
      <c r="F5" s="372">
        <v>119634</v>
      </c>
      <c r="G5" s="718"/>
      <c r="H5" s="718"/>
      <c r="I5" s="732"/>
      <c r="J5" s="730"/>
      <c r="K5" s="94"/>
      <c r="L5" s="94"/>
      <c r="M5" s="94"/>
      <c r="P5" s="92"/>
      <c r="S5" s="94"/>
      <c r="U5" s="92"/>
      <c r="V5" s="92"/>
      <c r="W5" s="92"/>
    </row>
    <row r="6" spans="1:23" ht="14.25" x14ac:dyDescent="0.3">
      <c r="A6" s="735"/>
      <c r="B6" s="709"/>
      <c r="C6" s="370"/>
      <c r="D6" s="718"/>
      <c r="E6" s="373">
        <f>E5/30.126</f>
        <v>3971.1212905795655</v>
      </c>
      <c r="F6" s="374">
        <f>F5/30.126</f>
        <v>3971.1212905795655</v>
      </c>
      <c r="G6" s="718"/>
      <c r="H6" s="718"/>
      <c r="I6" s="732"/>
      <c r="J6" s="730"/>
      <c r="K6" s="94"/>
      <c r="L6" s="94"/>
      <c r="M6" s="94"/>
      <c r="P6" s="92"/>
      <c r="S6" s="94"/>
      <c r="U6" s="92"/>
      <c r="V6" s="92"/>
      <c r="W6" s="92"/>
    </row>
    <row r="7" spans="1:23" ht="14.25" x14ac:dyDescent="0.3">
      <c r="A7" s="735"/>
      <c r="B7" s="709" t="s">
        <v>923</v>
      </c>
      <c r="C7" s="369" t="s">
        <v>204</v>
      </c>
      <c r="D7" s="718">
        <v>1529840</v>
      </c>
      <c r="E7" s="375" t="s">
        <v>205</v>
      </c>
      <c r="F7" s="371" t="s">
        <v>206</v>
      </c>
      <c r="G7" s="718">
        <v>44903.77</v>
      </c>
      <c r="H7" s="718">
        <f>25885.45+44046.14+G7+44450.85</f>
        <v>159286.21</v>
      </c>
      <c r="I7" s="732" t="s">
        <v>207</v>
      </c>
      <c r="J7" s="730">
        <f>D7-H7</f>
        <v>1370553.79</v>
      </c>
      <c r="K7" s="94"/>
      <c r="L7" s="94"/>
      <c r="M7" s="94"/>
      <c r="P7" s="92"/>
      <c r="S7" s="94"/>
      <c r="U7" s="92"/>
      <c r="V7" s="92"/>
      <c r="W7" s="92"/>
    </row>
    <row r="8" spans="1:23" ht="14.25" x14ac:dyDescent="0.3">
      <c r="A8" s="735"/>
      <c r="B8" s="709"/>
      <c r="C8" s="370">
        <v>43012</v>
      </c>
      <c r="D8" s="718"/>
      <c r="E8" s="376">
        <v>4920.57</v>
      </c>
      <c r="F8" s="372" t="s">
        <v>208</v>
      </c>
      <c r="G8" s="718"/>
      <c r="H8" s="718"/>
      <c r="I8" s="732"/>
      <c r="J8" s="730"/>
      <c r="K8" s="94"/>
      <c r="L8" s="94"/>
      <c r="M8" s="94"/>
      <c r="P8" s="92"/>
      <c r="S8" s="94"/>
      <c r="U8" s="92"/>
      <c r="V8" s="92"/>
      <c r="W8" s="92"/>
    </row>
    <row r="9" spans="1:23" ht="14.25" x14ac:dyDescent="0.3">
      <c r="A9" s="735"/>
      <c r="B9" s="709"/>
      <c r="C9" s="370"/>
      <c r="D9" s="718"/>
      <c r="E9" s="373"/>
      <c r="F9" s="374">
        <v>4920.57</v>
      </c>
      <c r="G9" s="718"/>
      <c r="H9" s="718"/>
      <c r="I9" s="732"/>
      <c r="J9" s="730"/>
      <c r="K9" s="94"/>
      <c r="L9" s="94"/>
      <c r="M9" s="94"/>
      <c r="P9" s="92"/>
      <c r="S9" s="94"/>
      <c r="U9" s="92"/>
      <c r="V9" s="92"/>
      <c r="W9" s="92"/>
    </row>
    <row r="10" spans="1:23" ht="12.75" customHeight="1" x14ac:dyDescent="0.3">
      <c r="A10" s="735"/>
      <c r="B10" s="709" t="s">
        <v>924</v>
      </c>
      <c r="C10" s="369" t="s">
        <v>209</v>
      </c>
      <c r="D10" s="718">
        <v>770210</v>
      </c>
      <c r="E10" s="375"/>
      <c r="F10" s="371" t="s">
        <v>206</v>
      </c>
      <c r="G10" s="718">
        <v>22492.55</v>
      </c>
      <c r="H10" s="718">
        <f>2006.62+22063.38+G10+22265.68</f>
        <v>68828.23000000001</v>
      </c>
      <c r="I10" s="732" t="s">
        <v>466</v>
      </c>
      <c r="J10" s="730">
        <f>D10-H10</f>
        <v>701381.77</v>
      </c>
      <c r="K10" s="94"/>
      <c r="L10" s="94"/>
      <c r="M10" s="94"/>
      <c r="P10" s="92"/>
      <c r="S10" s="94"/>
      <c r="U10" s="92"/>
      <c r="V10" s="92"/>
      <c r="W10" s="92"/>
    </row>
    <row r="11" spans="1:23" ht="15" customHeight="1" x14ac:dyDescent="0.3">
      <c r="A11" s="735"/>
      <c r="B11" s="709"/>
      <c r="C11" s="370">
        <v>42153</v>
      </c>
      <c r="D11" s="718"/>
      <c r="E11" s="376">
        <v>2477.3000000000002</v>
      </c>
      <c r="F11" s="372" t="s">
        <v>208</v>
      </c>
      <c r="G11" s="718"/>
      <c r="H11" s="718"/>
      <c r="I11" s="732"/>
      <c r="J11" s="730"/>
      <c r="K11" s="94"/>
      <c r="L11" s="94"/>
      <c r="M11" s="94"/>
      <c r="P11" s="92"/>
      <c r="S11" s="94"/>
      <c r="U11" s="92"/>
      <c r="V11" s="92"/>
      <c r="W11" s="92"/>
    </row>
    <row r="12" spans="1:23" ht="15" thickBot="1" x14ac:dyDescent="0.35">
      <c r="A12" s="735"/>
      <c r="B12" s="710"/>
      <c r="C12" s="385"/>
      <c r="D12" s="719"/>
      <c r="E12" s="386"/>
      <c r="F12" s="387">
        <v>2477.3000000000002</v>
      </c>
      <c r="G12" s="719"/>
      <c r="H12" s="719"/>
      <c r="I12" s="733"/>
      <c r="J12" s="734"/>
      <c r="K12" s="94"/>
      <c r="L12" s="94"/>
      <c r="M12" s="94"/>
      <c r="S12" s="94"/>
      <c r="U12" s="92"/>
      <c r="V12" s="92"/>
      <c r="W12" s="92"/>
    </row>
    <row r="13" spans="1:23" ht="15" thickTop="1" x14ac:dyDescent="0.3">
      <c r="A13" s="735"/>
      <c r="B13" s="727" t="s">
        <v>210</v>
      </c>
      <c r="C13" s="379" t="s">
        <v>211</v>
      </c>
      <c r="D13" s="700">
        <f>368304.35+431752.15+120352.68+136825.05+133512.73</f>
        <v>1190746.96</v>
      </c>
      <c r="E13" s="380" t="s">
        <v>212</v>
      </c>
      <c r="F13" s="381" t="s">
        <v>213</v>
      </c>
      <c r="G13" s="700">
        <f>10530*12</f>
        <v>126360</v>
      </c>
      <c r="H13" s="700">
        <f>631800+126360+G13+126360</f>
        <v>1010880</v>
      </c>
      <c r="I13" s="704">
        <v>45107</v>
      </c>
      <c r="J13" s="706">
        <f>D13-H13</f>
        <v>179866.95999999996</v>
      </c>
      <c r="K13" s="94"/>
      <c r="L13" s="94"/>
      <c r="M13" s="94"/>
      <c r="P13" s="92"/>
      <c r="S13" s="94"/>
      <c r="U13" s="92"/>
      <c r="V13" s="92"/>
      <c r="W13" s="92"/>
    </row>
    <row r="14" spans="1:23" ht="14.25" x14ac:dyDescent="0.3">
      <c r="A14" s="735"/>
      <c r="B14" s="725"/>
      <c r="C14" s="370">
        <v>41470</v>
      </c>
      <c r="D14" s="718"/>
      <c r="E14" s="374">
        <v>10530</v>
      </c>
      <c r="F14" s="371"/>
      <c r="G14" s="718"/>
      <c r="H14" s="718"/>
      <c r="I14" s="720"/>
      <c r="J14" s="721"/>
      <c r="K14" s="94"/>
      <c r="L14" s="94"/>
      <c r="M14" s="94"/>
      <c r="P14" s="92"/>
      <c r="S14" s="94"/>
      <c r="U14" s="92"/>
      <c r="V14" s="92"/>
      <c r="W14" s="92"/>
    </row>
    <row r="15" spans="1:23" ht="15" thickBot="1" x14ac:dyDescent="0.35">
      <c r="A15" s="735"/>
      <c r="B15" s="728"/>
      <c r="C15" s="388" t="s">
        <v>214</v>
      </c>
      <c r="D15" s="701"/>
      <c r="E15" s="389"/>
      <c r="F15" s="390" t="s">
        <v>215</v>
      </c>
      <c r="G15" s="701"/>
      <c r="H15" s="701"/>
      <c r="I15" s="705"/>
      <c r="J15" s="707"/>
      <c r="K15" s="94"/>
      <c r="L15" s="94"/>
      <c r="M15" s="94"/>
      <c r="P15" s="92"/>
      <c r="S15" s="94"/>
      <c r="U15" s="92"/>
      <c r="V15" s="92"/>
      <c r="W15" s="92"/>
    </row>
    <row r="16" spans="1:23" ht="15" thickTop="1" x14ac:dyDescent="0.3">
      <c r="A16" s="735"/>
      <c r="B16" s="724" t="s">
        <v>210</v>
      </c>
      <c r="C16" s="383" t="s">
        <v>216</v>
      </c>
      <c r="D16" s="717">
        <v>1000000</v>
      </c>
      <c r="E16" s="391" t="s">
        <v>217</v>
      </c>
      <c r="F16" s="392" t="s">
        <v>218</v>
      </c>
      <c r="G16" s="717">
        <f>8334*12</f>
        <v>100008</v>
      </c>
      <c r="H16" s="717">
        <f>200016+100008+G16+100008</f>
        <v>500040</v>
      </c>
      <c r="I16" s="696">
        <v>46387</v>
      </c>
      <c r="J16" s="698">
        <f>D16-H16</f>
        <v>499960</v>
      </c>
      <c r="K16" s="94"/>
      <c r="L16" s="94"/>
      <c r="M16" s="94"/>
      <c r="P16" s="92"/>
      <c r="S16" s="94"/>
      <c r="U16" s="92"/>
      <c r="V16" s="92"/>
      <c r="W16" s="92"/>
    </row>
    <row r="17" spans="1:23" ht="14.25" x14ac:dyDescent="0.3">
      <c r="A17" s="735"/>
      <c r="B17" s="725"/>
      <c r="C17" s="370">
        <v>42655</v>
      </c>
      <c r="D17" s="718"/>
      <c r="E17" s="374">
        <v>8334</v>
      </c>
      <c r="F17" s="371"/>
      <c r="G17" s="718"/>
      <c r="H17" s="718"/>
      <c r="I17" s="720"/>
      <c r="J17" s="721"/>
      <c r="K17" s="94"/>
      <c r="L17" s="94"/>
      <c r="M17" s="94"/>
      <c r="P17" s="92"/>
      <c r="S17" s="94"/>
      <c r="U17" s="92"/>
      <c r="V17" s="92"/>
      <c r="W17" s="92"/>
    </row>
    <row r="18" spans="1:23" ht="15" thickBot="1" x14ac:dyDescent="0.35">
      <c r="A18" s="735"/>
      <c r="B18" s="726"/>
      <c r="C18" s="385"/>
      <c r="D18" s="719"/>
      <c r="E18" s="387"/>
      <c r="F18" s="393" t="s">
        <v>219</v>
      </c>
      <c r="G18" s="719"/>
      <c r="H18" s="719"/>
      <c r="I18" s="697"/>
      <c r="J18" s="699"/>
      <c r="K18" s="94"/>
      <c r="L18" s="94"/>
      <c r="M18" s="94"/>
      <c r="P18" s="92"/>
      <c r="S18" s="94"/>
      <c r="U18" s="92"/>
      <c r="V18" s="92"/>
      <c r="W18" s="92"/>
    </row>
    <row r="19" spans="1:23" ht="15" thickTop="1" x14ac:dyDescent="0.3">
      <c r="A19" s="735"/>
      <c r="B19" s="727" t="s">
        <v>210</v>
      </c>
      <c r="C19" s="379" t="s">
        <v>220</v>
      </c>
      <c r="D19" s="700">
        <v>3210000</v>
      </c>
      <c r="E19" s="380" t="s">
        <v>221</v>
      </c>
      <c r="F19" s="381" t="s">
        <v>222</v>
      </c>
      <c r="G19" s="700">
        <f>26750*12</f>
        <v>321000</v>
      </c>
      <c r="H19" s="700">
        <f>321000+G19+321000</f>
        <v>963000</v>
      </c>
      <c r="I19" s="704">
        <v>47118</v>
      </c>
      <c r="J19" s="706">
        <f>D19-H19</f>
        <v>2247000</v>
      </c>
      <c r="K19" s="94"/>
      <c r="L19" s="94"/>
      <c r="M19" s="94"/>
      <c r="P19" s="92"/>
      <c r="S19" s="94"/>
      <c r="U19" s="92"/>
      <c r="V19" s="92"/>
      <c r="W19" s="92"/>
    </row>
    <row r="20" spans="1:23" ht="14.25" x14ac:dyDescent="0.3">
      <c r="A20" s="735"/>
      <c r="B20" s="725"/>
      <c r="C20" s="370">
        <v>43299</v>
      </c>
      <c r="D20" s="718"/>
      <c r="E20" s="374">
        <v>26750</v>
      </c>
      <c r="F20" s="371"/>
      <c r="G20" s="718"/>
      <c r="H20" s="718"/>
      <c r="I20" s="720"/>
      <c r="J20" s="721"/>
      <c r="K20" s="94"/>
      <c r="L20" s="94"/>
      <c r="M20" s="94"/>
      <c r="S20" s="94"/>
      <c r="U20" s="92"/>
      <c r="V20" s="92"/>
      <c r="W20" s="92"/>
    </row>
    <row r="21" spans="1:23" ht="15" thickBot="1" x14ac:dyDescent="0.35">
      <c r="A21" s="735"/>
      <c r="B21" s="728"/>
      <c r="C21" s="388"/>
      <c r="D21" s="701"/>
      <c r="E21" s="389"/>
      <c r="F21" s="390" t="s">
        <v>223</v>
      </c>
      <c r="G21" s="701"/>
      <c r="H21" s="701"/>
      <c r="I21" s="705"/>
      <c r="J21" s="707"/>
      <c r="K21" s="94"/>
      <c r="L21" s="94"/>
      <c r="M21" s="94"/>
      <c r="P21" s="92"/>
      <c r="S21" s="94"/>
      <c r="U21" s="92"/>
      <c r="V21" s="92"/>
      <c r="W21" s="92"/>
    </row>
    <row r="22" spans="1:23" ht="15" customHeight="1" thickTop="1" x14ac:dyDescent="0.3">
      <c r="A22" s="735"/>
      <c r="B22" s="724" t="s">
        <v>210</v>
      </c>
      <c r="C22" s="383" t="s">
        <v>460</v>
      </c>
      <c r="D22" s="717">
        <v>2050000</v>
      </c>
      <c r="E22" s="391" t="s">
        <v>461</v>
      </c>
      <c r="F22" s="392" t="s">
        <v>467</v>
      </c>
      <c r="G22" s="717">
        <f>17084*12</f>
        <v>205008</v>
      </c>
      <c r="H22" s="717">
        <f>G22+205008</f>
        <v>410016</v>
      </c>
      <c r="I22" s="696">
        <v>47483</v>
      </c>
      <c r="J22" s="698">
        <f>D22-H22</f>
        <v>1639984</v>
      </c>
      <c r="K22" s="94"/>
      <c r="L22" s="94"/>
      <c r="M22" s="94"/>
      <c r="P22" s="92"/>
      <c r="S22" s="94"/>
      <c r="U22" s="92"/>
      <c r="V22" s="92"/>
      <c r="W22" s="92"/>
    </row>
    <row r="23" spans="1:23" ht="15" customHeight="1" x14ac:dyDescent="0.3">
      <c r="A23" s="735"/>
      <c r="B23" s="725"/>
      <c r="C23" s="370">
        <v>43753</v>
      </c>
      <c r="D23" s="718"/>
      <c r="E23" s="374">
        <v>17084</v>
      </c>
      <c r="F23" s="371"/>
      <c r="G23" s="718"/>
      <c r="H23" s="718"/>
      <c r="I23" s="720"/>
      <c r="J23" s="721"/>
      <c r="K23" s="94"/>
      <c r="L23" s="94"/>
      <c r="M23" s="94"/>
      <c r="P23" s="92"/>
      <c r="S23" s="94"/>
      <c r="U23" s="92"/>
      <c r="V23" s="92"/>
      <c r="W23" s="92"/>
    </row>
    <row r="24" spans="1:23" ht="15.75" customHeight="1" thickBot="1" x14ac:dyDescent="0.35">
      <c r="A24" s="735"/>
      <c r="B24" s="726"/>
      <c r="C24" s="385"/>
      <c r="D24" s="719"/>
      <c r="E24" s="387"/>
      <c r="F24" s="393" t="s">
        <v>462</v>
      </c>
      <c r="G24" s="719"/>
      <c r="H24" s="719"/>
      <c r="I24" s="697"/>
      <c r="J24" s="699"/>
      <c r="K24" s="94"/>
      <c r="L24" s="94"/>
      <c r="M24" s="94"/>
      <c r="P24" s="92"/>
      <c r="S24" s="94"/>
      <c r="U24" s="92"/>
      <c r="V24" s="92"/>
      <c r="W24" s="92"/>
    </row>
    <row r="25" spans="1:23" ht="15.75" customHeight="1" thickTop="1" x14ac:dyDescent="0.3">
      <c r="A25" s="735"/>
      <c r="B25" s="727" t="s">
        <v>210</v>
      </c>
      <c r="C25" s="379" t="s">
        <v>477</v>
      </c>
      <c r="D25" s="700">
        <v>1600000</v>
      </c>
      <c r="E25" s="380" t="s">
        <v>478</v>
      </c>
      <c r="F25" s="381" t="s">
        <v>479</v>
      </c>
      <c r="G25" s="700">
        <f>13333*12</f>
        <v>159996</v>
      </c>
      <c r="H25" s="700">
        <f>G25</f>
        <v>159996</v>
      </c>
      <c r="I25" s="704">
        <v>47848</v>
      </c>
      <c r="J25" s="706">
        <f>D25-H25</f>
        <v>1440004</v>
      </c>
      <c r="K25" s="94"/>
      <c r="L25" s="94"/>
      <c r="M25" s="94"/>
      <c r="P25" s="92"/>
      <c r="S25" s="94"/>
      <c r="U25" s="92"/>
      <c r="V25" s="92"/>
      <c r="W25" s="92"/>
    </row>
    <row r="26" spans="1:23" ht="15.75" customHeight="1" x14ac:dyDescent="0.3">
      <c r="A26" s="735"/>
      <c r="B26" s="725"/>
      <c r="C26" s="370">
        <v>43980</v>
      </c>
      <c r="D26" s="718"/>
      <c r="E26" s="374">
        <v>13333</v>
      </c>
      <c r="F26" s="371"/>
      <c r="G26" s="718"/>
      <c r="H26" s="718"/>
      <c r="I26" s="720"/>
      <c r="J26" s="721"/>
      <c r="K26" s="94"/>
      <c r="L26" s="94"/>
      <c r="M26" s="94"/>
      <c r="P26" s="92"/>
      <c r="S26" s="94"/>
      <c r="U26" s="92"/>
      <c r="V26" s="92"/>
      <c r="W26" s="92"/>
    </row>
    <row r="27" spans="1:23" ht="15.75" customHeight="1" thickBot="1" x14ac:dyDescent="0.35">
      <c r="A27" s="735"/>
      <c r="B27" s="728"/>
      <c r="C27" s="388"/>
      <c r="D27" s="701"/>
      <c r="E27" s="389"/>
      <c r="F27" s="390" t="s">
        <v>480</v>
      </c>
      <c r="G27" s="701"/>
      <c r="H27" s="701"/>
      <c r="I27" s="705"/>
      <c r="J27" s="707"/>
      <c r="K27" s="94"/>
      <c r="L27" s="94"/>
      <c r="M27" s="94"/>
      <c r="P27" s="92"/>
      <c r="S27" s="94"/>
      <c r="U27" s="92"/>
      <c r="V27" s="92"/>
      <c r="W27" s="92"/>
    </row>
    <row r="28" spans="1:23" ht="15" thickTop="1" x14ac:dyDescent="0.3">
      <c r="A28" s="735"/>
      <c r="B28" s="724" t="s">
        <v>224</v>
      </c>
      <c r="C28" s="383" t="s">
        <v>225</v>
      </c>
      <c r="D28" s="717">
        <v>2401468.7999999998</v>
      </c>
      <c r="E28" s="383">
        <v>42394</v>
      </c>
      <c r="F28" s="392" t="s">
        <v>226</v>
      </c>
      <c r="G28" s="717">
        <f>20012.24*12</f>
        <v>240146.88</v>
      </c>
      <c r="H28" s="717">
        <f>720440.64+240146.88+G28+240146.88</f>
        <v>1440881.2799999998</v>
      </c>
      <c r="I28" s="696">
        <v>46014</v>
      </c>
      <c r="J28" s="698">
        <f>D28-H28</f>
        <v>960587.52</v>
      </c>
      <c r="K28" s="94"/>
      <c r="L28" s="94"/>
      <c r="M28" s="94"/>
      <c r="P28" s="92"/>
      <c r="S28" s="94"/>
      <c r="U28" s="92"/>
      <c r="V28" s="92"/>
      <c r="W28" s="92"/>
    </row>
    <row r="29" spans="1:23" ht="14.25" x14ac:dyDescent="0.3">
      <c r="A29" s="735"/>
      <c r="B29" s="725"/>
      <c r="C29" s="370">
        <v>42142</v>
      </c>
      <c r="D29" s="718"/>
      <c r="E29" s="374">
        <v>20012.240000000002</v>
      </c>
      <c r="F29" s="371" t="s">
        <v>227</v>
      </c>
      <c r="G29" s="718"/>
      <c r="H29" s="718"/>
      <c r="I29" s="720"/>
      <c r="J29" s="721"/>
      <c r="K29" s="94"/>
      <c r="L29" s="94"/>
      <c r="M29" s="94"/>
      <c r="P29" s="92"/>
      <c r="S29" s="94"/>
      <c r="U29" s="92"/>
      <c r="V29" s="92"/>
      <c r="W29" s="92"/>
    </row>
    <row r="30" spans="1:23" ht="15" thickBot="1" x14ac:dyDescent="0.35">
      <c r="A30" s="735"/>
      <c r="B30" s="726"/>
      <c r="C30" s="385"/>
      <c r="D30" s="719"/>
      <c r="E30" s="387"/>
      <c r="F30" s="393"/>
      <c r="G30" s="719"/>
      <c r="H30" s="719"/>
      <c r="I30" s="697"/>
      <c r="J30" s="699"/>
      <c r="K30" s="94"/>
      <c r="L30" s="94"/>
      <c r="M30" s="94"/>
      <c r="P30" s="92"/>
      <c r="S30" s="94"/>
      <c r="U30" s="92"/>
      <c r="V30" s="92"/>
      <c r="W30" s="92"/>
    </row>
    <row r="31" spans="1:23" ht="15" thickTop="1" x14ac:dyDescent="0.3">
      <c r="A31" s="735"/>
      <c r="B31" s="727" t="s">
        <v>224</v>
      </c>
      <c r="C31" s="394" t="s">
        <v>228</v>
      </c>
      <c r="D31" s="700">
        <v>681759.94</v>
      </c>
      <c r="E31" s="394">
        <v>42034</v>
      </c>
      <c r="F31" s="381" t="s">
        <v>229</v>
      </c>
      <c r="G31" s="702">
        <f>5681.33*12</f>
        <v>68175.959999999992</v>
      </c>
      <c r="H31" s="700">
        <f>272703.84+68175.96+G31+68175.96</f>
        <v>477231.72000000003</v>
      </c>
      <c r="I31" s="704">
        <v>45657</v>
      </c>
      <c r="J31" s="706">
        <f>D31-H31</f>
        <v>204528.21999999991</v>
      </c>
      <c r="K31" s="94"/>
      <c r="L31" s="94"/>
      <c r="M31" s="94"/>
      <c r="S31" s="94"/>
      <c r="U31" s="92"/>
      <c r="V31" s="92"/>
      <c r="W31" s="92"/>
    </row>
    <row r="32" spans="1:23" ht="14.25" x14ac:dyDescent="0.3">
      <c r="A32" s="735"/>
      <c r="B32" s="725"/>
      <c r="C32" s="377"/>
      <c r="D32" s="718"/>
      <c r="E32" s="378"/>
      <c r="F32" s="371"/>
      <c r="G32" s="715"/>
      <c r="H32" s="718"/>
      <c r="I32" s="720"/>
      <c r="J32" s="721"/>
      <c r="K32" s="94"/>
      <c r="L32" s="94"/>
      <c r="M32" s="94"/>
      <c r="S32" s="94"/>
      <c r="U32" s="92"/>
      <c r="V32" s="92"/>
      <c r="W32" s="92"/>
    </row>
    <row r="33" spans="1:23" ht="15" thickBot="1" x14ac:dyDescent="0.35">
      <c r="A33" s="735"/>
      <c r="B33" s="728"/>
      <c r="C33" s="395">
        <v>41890</v>
      </c>
      <c r="D33" s="701"/>
      <c r="E33" s="396">
        <v>5681.33</v>
      </c>
      <c r="F33" s="390" t="s">
        <v>230</v>
      </c>
      <c r="G33" s="703"/>
      <c r="H33" s="701"/>
      <c r="I33" s="705"/>
      <c r="J33" s="707"/>
      <c r="K33" s="94"/>
      <c r="L33" s="94"/>
      <c r="M33" s="94"/>
      <c r="S33" s="94"/>
      <c r="U33" s="92"/>
      <c r="V33" s="92"/>
      <c r="W33" s="92"/>
    </row>
    <row r="34" spans="1:23" ht="14.25" thickTop="1" x14ac:dyDescent="0.2">
      <c r="A34" s="735"/>
      <c r="B34" s="722" t="s">
        <v>231</v>
      </c>
      <c r="C34" s="399" t="s">
        <v>232</v>
      </c>
      <c r="D34" s="717">
        <v>1500000</v>
      </c>
      <c r="E34" s="400" t="s">
        <v>212</v>
      </c>
      <c r="F34" s="401" t="s">
        <v>233</v>
      </c>
      <c r="G34" s="714">
        <f>12500*12</f>
        <v>150000</v>
      </c>
      <c r="H34" s="717">
        <f>750000+150000+G34+150000</f>
        <v>1200000</v>
      </c>
      <c r="I34" s="696">
        <v>45291</v>
      </c>
      <c r="J34" s="698">
        <f>D34-H34</f>
        <v>300000</v>
      </c>
      <c r="K34" s="94"/>
      <c r="L34" s="94"/>
      <c r="M34" s="94"/>
      <c r="P34" s="92"/>
      <c r="S34" s="94"/>
      <c r="U34" s="92"/>
      <c r="V34" s="92"/>
      <c r="W34" s="92"/>
    </row>
    <row r="35" spans="1:23" ht="14.25" thickBot="1" x14ac:dyDescent="0.25">
      <c r="A35" s="735"/>
      <c r="B35" s="723"/>
      <c r="C35" s="402">
        <v>41548</v>
      </c>
      <c r="D35" s="719"/>
      <c r="E35" s="403">
        <v>12500</v>
      </c>
      <c r="F35" s="404" t="s">
        <v>234</v>
      </c>
      <c r="G35" s="716"/>
      <c r="H35" s="719"/>
      <c r="I35" s="697"/>
      <c r="J35" s="699"/>
      <c r="K35" s="94"/>
      <c r="L35" s="94"/>
      <c r="M35" s="94"/>
      <c r="P35" s="92"/>
      <c r="S35" s="94"/>
      <c r="U35" s="92"/>
      <c r="V35" s="92"/>
      <c r="W35" s="92"/>
    </row>
    <row r="36" spans="1:23" ht="14.25" thickTop="1" x14ac:dyDescent="0.2">
      <c r="A36" s="735"/>
      <c r="B36" s="745" t="s">
        <v>231</v>
      </c>
      <c r="C36" s="394" t="s">
        <v>235</v>
      </c>
      <c r="D36" s="700">
        <v>1300000</v>
      </c>
      <c r="E36" s="397" t="s">
        <v>236</v>
      </c>
      <c r="F36" s="398" t="s">
        <v>237</v>
      </c>
      <c r="G36" s="702">
        <f>10834*12</f>
        <v>130008</v>
      </c>
      <c r="H36" s="700">
        <f>520032+130008+G36+130008</f>
        <v>910056</v>
      </c>
      <c r="I36" s="704">
        <v>45657</v>
      </c>
      <c r="J36" s="706">
        <f>D36-H36</f>
        <v>389944</v>
      </c>
      <c r="K36" s="94"/>
      <c r="L36" s="94"/>
      <c r="M36" s="94"/>
      <c r="P36" s="92"/>
      <c r="S36" s="94"/>
      <c r="U36" s="92"/>
      <c r="V36" s="92"/>
      <c r="W36" s="92"/>
    </row>
    <row r="37" spans="1:23" ht="14.25" thickBot="1" x14ac:dyDescent="0.25">
      <c r="A37" s="735"/>
      <c r="B37" s="746"/>
      <c r="C37" s="395">
        <v>41815</v>
      </c>
      <c r="D37" s="701"/>
      <c r="E37" s="396">
        <v>10834</v>
      </c>
      <c r="F37" s="405" t="s">
        <v>238</v>
      </c>
      <c r="G37" s="703"/>
      <c r="H37" s="701"/>
      <c r="I37" s="705"/>
      <c r="J37" s="707"/>
      <c r="K37" s="94"/>
      <c r="L37" s="94"/>
      <c r="M37" s="94"/>
      <c r="P37" s="92"/>
      <c r="S37" s="94"/>
      <c r="U37" s="92"/>
      <c r="V37" s="92"/>
      <c r="W37" s="92"/>
    </row>
    <row r="38" spans="1:23" ht="15" customHeight="1" thickTop="1" x14ac:dyDescent="0.2">
      <c r="A38" s="735"/>
      <c r="B38" s="722" t="s">
        <v>231</v>
      </c>
      <c r="C38" s="399" t="s">
        <v>239</v>
      </c>
      <c r="D38" s="743">
        <v>1800000</v>
      </c>
      <c r="E38" s="400" t="s">
        <v>240</v>
      </c>
      <c r="F38" s="401" t="s">
        <v>241</v>
      </c>
      <c r="G38" s="714">
        <f>15000*12</f>
        <v>180000</v>
      </c>
      <c r="H38" s="717">
        <f>540000+180000+G38+180000</f>
        <v>1080000</v>
      </c>
      <c r="I38" s="696">
        <v>46022</v>
      </c>
      <c r="J38" s="698">
        <f>D38-H38</f>
        <v>720000</v>
      </c>
      <c r="K38" s="94"/>
      <c r="L38" s="94"/>
      <c r="M38" s="94"/>
      <c r="P38" s="92"/>
      <c r="S38" s="94"/>
      <c r="U38" s="92"/>
      <c r="V38" s="92"/>
      <c r="W38" s="92"/>
    </row>
    <row r="39" spans="1:23" ht="10.5" customHeight="1" thickBot="1" x14ac:dyDescent="0.25">
      <c r="A39" s="735"/>
      <c r="B39" s="723"/>
      <c r="C39" s="402">
        <v>42304</v>
      </c>
      <c r="D39" s="744"/>
      <c r="E39" s="403">
        <v>15000</v>
      </c>
      <c r="F39" s="404" t="s">
        <v>242</v>
      </c>
      <c r="G39" s="716"/>
      <c r="H39" s="719"/>
      <c r="I39" s="697"/>
      <c r="J39" s="699"/>
      <c r="K39" s="94"/>
      <c r="L39" s="94"/>
      <c r="M39" s="94"/>
      <c r="P39" s="92"/>
      <c r="S39" s="94"/>
      <c r="U39" s="92"/>
      <c r="V39" s="92"/>
      <c r="W39" s="92"/>
    </row>
    <row r="40" spans="1:23" ht="14.25" thickTop="1" x14ac:dyDescent="0.2">
      <c r="A40" s="735"/>
      <c r="B40" s="727" t="s">
        <v>243</v>
      </c>
      <c r="C40" s="394" t="s">
        <v>244</v>
      </c>
      <c r="D40" s="700">
        <v>3120000</v>
      </c>
      <c r="E40" s="397" t="s">
        <v>245</v>
      </c>
      <c r="F40" s="398" t="s">
        <v>246</v>
      </c>
      <c r="G40" s="702">
        <f>27130*12</f>
        <v>325560</v>
      </c>
      <c r="H40" s="700">
        <f>325560+325560+G40+325560</f>
        <v>1302240</v>
      </c>
      <c r="I40" s="704">
        <v>46589</v>
      </c>
      <c r="J40" s="706">
        <f>D40-H40</f>
        <v>1817760</v>
      </c>
      <c r="K40" s="94"/>
      <c r="L40" s="94"/>
      <c r="M40" s="94"/>
      <c r="P40" s="92"/>
      <c r="S40" s="94"/>
      <c r="U40" s="92"/>
      <c r="V40" s="92"/>
      <c r="W40" s="92"/>
    </row>
    <row r="41" spans="1:23" ht="18.75" customHeight="1" thickBot="1" x14ac:dyDescent="0.25">
      <c r="A41" s="735"/>
      <c r="B41" s="728"/>
      <c r="C41" s="395">
        <v>42929</v>
      </c>
      <c r="D41" s="701"/>
      <c r="E41" s="396">
        <v>27130</v>
      </c>
      <c r="F41" s="405" t="s">
        <v>247</v>
      </c>
      <c r="G41" s="703"/>
      <c r="H41" s="701"/>
      <c r="I41" s="705"/>
      <c r="J41" s="707"/>
      <c r="K41" s="94"/>
      <c r="L41" s="94"/>
      <c r="M41" s="94"/>
      <c r="P41" s="92"/>
      <c r="S41" s="94"/>
      <c r="U41" s="92"/>
      <c r="V41" s="92"/>
      <c r="W41" s="92"/>
    </row>
    <row r="42" spans="1:23" ht="15" customHeight="1" thickTop="1" x14ac:dyDescent="0.2">
      <c r="A42" s="735"/>
      <c r="B42" s="708" t="s">
        <v>481</v>
      </c>
      <c r="C42" s="696" t="s">
        <v>482</v>
      </c>
      <c r="D42" s="717">
        <v>1280520</v>
      </c>
      <c r="E42" s="406" t="s">
        <v>483</v>
      </c>
      <c r="F42" s="711" t="s">
        <v>484</v>
      </c>
      <c r="G42" s="714">
        <v>0</v>
      </c>
      <c r="H42" s="717">
        <v>0</v>
      </c>
      <c r="I42" s="696">
        <v>46691</v>
      </c>
      <c r="J42" s="698">
        <f>D42</f>
        <v>1280520</v>
      </c>
      <c r="K42" s="94"/>
      <c r="L42" s="94"/>
      <c r="M42" s="94"/>
      <c r="P42" s="92"/>
      <c r="S42" s="94"/>
      <c r="U42" s="92"/>
      <c r="V42" s="92"/>
      <c r="W42" s="92"/>
    </row>
    <row r="43" spans="1:23" ht="13.5" x14ac:dyDescent="0.2">
      <c r="A43" s="735"/>
      <c r="B43" s="709"/>
      <c r="C43" s="720"/>
      <c r="D43" s="718"/>
      <c r="E43" s="378" t="s">
        <v>485</v>
      </c>
      <c r="F43" s="712"/>
      <c r="G43" s="715"/>
      <c r="H43" s="718"/>
      <c r="I43" s="720"/>
      <c r="J43" s="721"/>
      <c r="K43" s="94"/>
      <c r="L43" s="94"/>
      <c r="M43" s="94"/>
      <c r="P43" s="92"/>
      <c r="S43" s="94"/>
      <c r="U43" s="92"/>
      <c r="V43" s="92"/>
      <c r="W43" s="92"/>
    </row>
    <row r="44" spans="1:23" ht="13.5" x14ac:dyDescent="0.2">
      <c r="A44" s="735"/>
      <c r="B44" s="709"/>
      <c r="C44" s="720"/>
      <c r="D44" s="718"/>
      <c r="E44" s="378" t="s">
        <v>486</v>
      </c>
      <c r="F44" s="712"/>
      <c r="G44" s="715"/>
      <c r="H44" s="718"/>
      <c r="I44" s="720"/>
      <c r="J44" s="721"/>
      <c r="K44" s="94"/>
      <c r="L44" s="94"/>
      <c r="M44" s="94"/>
      <c r="P44" s="92"/>
      <c r="S44" s="94"/>
      <c r="U44" s="92"/>
      <c r="V44" s="92"/>
      <c r="W44" s="92"/>
    </row>
    <row r="45" spans="1:23" ht="14.25" thickBot="1" x14ac:dyDescent="0.25">
      <c r="A45" s="735"/>
      <c r="B45" s="710"/>
      <c r="C45" s="697"/>
      <c r="D45" s="719"/>
      <c r="E45" s="403" t="s">
        <v>487</v>
      </c>
      <c r="F45" s="713"/>
      <c r="G45" s="716"/>
      <c r="H45" s="719"/>
      <c r="I45" s="697"/>
      <c r="J45" s="699"/>
      <c r="K45" s="94"/>
      <c r="L45" s="94"/>
      <c r="M45" s="94"/>
      <c r="P45" s="92"/>
      <c r="S45" s="94"/>
      <c r="U45" s="92"/>
      <c r="V45" s="92"/>
      <c r="W45" s="92"/>
    </row>
    <row r="46" spans="1:23" ht="15.75" thickTop="1" x14ac:dyDescent="0.3">
      <c r="B46" s="165"/>
      <c r="C46" s="165"/>
      <c r="D46" s="166"/>
      <c r="E46" s="166"/>
      <c r="F46" s="167"/>
      <c r="G46" s="165"/>
      <c r="K46" s="94"/>
      <c r="L46" s="94"/>
      <c r="R46" s="92"/>
      <c r="T46" s="92"/>
      <c r="U46" s="92"/>
      <c r="V46" s="92"/>
      <c r="W46" s="92"/>
    </row>
    <row r="47" spans="1:23" ht="33.75" customHeight="1" x14ac:dyDescent="0.3">
      <c r="B47" s="165"/>
      <c r="C47" s="165"/>
      <c r="D47" s="166"/>
      <c r="E47" s="166"/>
      <c r="F47" s="167"/>
      <c r="G47" s="92"/>
      <c r="K47" s="94"/>
      <c r="L47" s="94"/>
      <c r="R47" s="92"/>
      <c r="T47" s="92"/>
      <c r="U47" s="92"/>
      <c r="V47" s="92"/>
      <c r="W47" s="92"/>
    </row>
    <row r="48" spans="1:23" x14ac:dyDescent="0.2">
      <c r="G48" s="102"/>
      <c r="H48" s="92"/>
      <c r="I48" s="92"/>
      <c r="K48" s="94"/>
      <c r="L48" s="94"/>
      <c r="M48" s="94"/>
      <c r="O48" s="92"/>
      <c r="S48" s="94"/>
      <c r="T48" s="92"/>
      <c r="U48" s="92"/>
      <c r="V48" s="92"/>
      <c r="W48" s="92"/>
    </row>
    <row r="49" spans="7:23" x14ac:dyDescent="0.2">
      <c r="G49" s="102"/>
      <c r="H49" s="92"/>
      <c r="I49" s="92"/>
      <c r="K49" s="94"/>
      <c r="L49" s="94"/>
      <c r="M49" s="94"/>
      <c r="O49" s="92"/>
      <c r="S49" s="94"/>
      <c r="T49" s="92"/>
      <c r="U49" s="92"/>
      <c r="V49" s="92"/>
      <c r="W49" s="92"/>
    </row>
    <row r="50" spans="7:23" x14ac:dyDescent="0.2">
      <c r="G50" s="102"/>
      <c r="H50" s="92"/>
      <c r="I50" s="92"/>
      <c r="K50" s="94"/>
      <c r="L50" s="94"/>
      <c r="M50" s="94"/>
      <c r="O50" s="92"/>
      <c r="S50" s="94"/>
      <c r="T50" s="92"/>
      <c r="U50" s="92"/>
      <c r="V50" s="92"/>
      <c r="W50" s="92"/>
    </row>
  </sheetData>
  <mergeCells count="112">
    <mergeCell ref="A10:A12"/>
    <mergeCell ref="D10:D12"/>
    <mergeCell ref="D25:D27"/>
    <mergeCell ref="B13:B15"/>
    <mergeCell ref="A25:A27"/>
    <mergeCell ref="A36:A37"/>
    <mergeCell ref="B2:B3"/>
    <mergeCell ref="A4:A6"/>
    <mergeCell ref="D4:D6"/>
    <mergeCell ref="D13:D15"/>
    <mergeCell ref="A16:A18"/>
    <mergeCell ref="D16:D18"/>
    <mergeCell ref="A7:A9"/>
    <mergeCell ref="D7:D9"/>
    <mergeCell ref="A13:A15"/>
    <mergeCell ref="A28:A30"/>
    <mergeCell ref="D28:D30"/>
    <mergeCell ref="A19:A21"/>
    <mergeCell ref="D19:D21"/>
    <mergeCell ref="A22:A24"/>
    <mergeCell ref="D22:D24"/>
    <mergeCell ref="B19:B21"/>
    <mergeCell ref="A38:A39"/>
    <mergeCell ref="D38:D39"/>
    <mergeCell ref="A31:A33"/>
    <mergeCell ref="D31:D33"/>
    <mergeCell ref="A34:A35"/>
    <mergeCell ref="D34:D35"/>
    <mergeCell ref="B31:B33"/>
    <mergeCell ref="B36:B37"/>
    <mergeCell ref="A40:A41"/>
    <mergeCell ref="D40:D41"/>
    <mergeCell ref="A42:A45"/>
    <mergeCell ref="C42:C45"/>
    <mergeCell ref="D42:D45"/>
    <mergeCell ref="B40:B41"/>
    <mergeCell ref="E2:E3"/>
    <mergeCell ref="F2:F3"/>
    <mergeCell ref="I2:I3"/>
    <mergeCell ref="B4:B6"/>
    <mergeCell ref="G4:G6"/>
    <mergeCell ref="H4:H6"/>
    <mergeCell ref="I4:I6"/>
    <mergeCell ref="G13:G15"/>
    <mergeCell ref="H13:H15"/>
    <mergeCell ref="I13:I15"/>
    <mergeCell ref="B22:B24"/>
    <mergeCell ref="G22:G24"/>
    <mergeCell ref="H22:H24"/>
    <mergeCell ref="I22:I24"/>
    <mergeCell ref="G31:G33"/>
    <mergeCell ref="H31:H33"/>
    <mergeCell ref="I31:I33"/>
    <mergeCell ref="B38:B39"/>
    <mergeCell ref="G38:G39"/>
    <mergeCell ref="H38:H39"/>
    <mergeCell ref="J4:J6"/>
    <mergeCell ref="B1:J1"/>
    <mergeCell ref="B7:B9"/>
    <mergeCell ref="G7:G9"/>
    <mergeCell ref="H7:H9"/>
    <mergeCell ref="I7:I9"/>
    <mergeCell ref="J7:J9"/>
    <mergeCell ref="B10:B12"/>
    <mergeCell ref="G10:G12"/>
    <mergeCell ref="H10:H12"/>
    <mergeCell ref="I10:I12"/>
    <mergeCell ref="J10:J12"/>
    <mergeCell ref="J13:J15"/>
    <mergeCell ref="B16:B18"/>
    <mergeCell ref="G16:G18"/>
    <mergeCell ref="H16:H18"/>
    <mergeCell ref="I16:I18"/>
    <mergeCell ref="J16:J18"/>
    <mergeCell ref="G19:G21"/>
    <mergeCell ref="H19:H21"/>
    <mergeCell ref="I19:I21"/>
    <mergeCell ref="J19:J21"/>
    <mergeCell ref="J22:J24"/>
    <mergeCell ref="G25:G27"/>
    <mergeCell ref="H25:H27"/>
    <mergeCell ref="I25:I27"/>
    <mergeCell ref="J25:J27"/>
    <mergeCell ref="B28:B30"/>
    <mergeCell ref="G28:G30"/>
    <mergeCell ref="H28:H30"/>
    <mergeCell ref="I28:I30"/>
    <mergeCell ref="J28:J30"/>
    <mergeCell ref="B25:B27"/>
    <mergeCell ref="J31:J33"/>
    <mergeCell ref="B34:B35"/>
    <mergeCell ref="G34:G35"/>
    <mergeCell ref="H34:H35"/>
    <mergeCell ref="I34:I35"/>
    <mergeCell ref="J34:J35"/>
    <mergeCell ref="G36:G37"/>
    <mergeCell ref="H36:H37"/>
    <mergeCell ref="I36:I37"/>
    <mergeCell ref="J36:J37"/>
    <mergeCell ref="I38:I39"/>
    <mergeCell ref="J38:J39"/>
    <mergeCell ref="D36:D37"/>
    <mergeCell ref="G40:G41"/>
    <mergeCell ref="H40:H41"/>
    <mergeCell ref="I40:I41"/>
    <mergeCell ref="J40:J41"/>
    <mergeCell ref="B42:B45"/>
    <mergeCell ref="F42:F45"/>
    <mergeCell ref="G42:G45"/>
    <mergeCell ref="H42:H45"/>
    <mergeCell ref="I42:I45"/>
    <mergeCell ref="J42:J45"/>
  </mergeCells>
  <pageMargins left="1.0236220472440944" right="0.82677165354330717" top="0.11811023622047245" bottom="0.19685039370078741" header="0.11811023622047245" footer="0.19685039370078741"/>
  <pageSetup paperSize="9" scale="80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P45"/>
  <sheetViews>
    <sheetView workbookViewId="0"/>
  </sheetViews>
  <sheetFormatPr defaultColWidth="9.7109375" defaultRowHeight="15" x14ac:dyDescent="0.3"/>
  <cols>
    <col min="1" max="1" width="10.7109375" style="110" customWidth="1"/>
    <col min="2" max="2" width="33.5703125" style="110" customWidth="1"/>
    <col min="3" max="3" width="9.7109375" style="110" customWidth="1"/>
    <col min="4" max="4" width="9" style="110" customWidth="1"/>
    <col min="5" max="5" width="8.28515625" style="110" customWidth="1"/>
    <col min="6" max="6" width="8.85546875" style="110" customWidth="1"/>
    <col min="7" max="7" width="9.42578125" style="110" customWidth="1"/>
    <col min="8" max="9" width="8.5703125" style="110" customWidth="1"/>
    <col min="10" max="10" width="10.5703125" style="110" customWidth="1"/>
    <col min="11" max="15" width="9.140625" style="110" customWidth="1"/>
    <col min="16" max="16" width="19.42578125" style="110" customWidth="1"/>
    <col min="17" max="246" width="9.140625" style="110" customWidth="1"/>
    <col min="247" max="247" width="1.85546875" style="110" customWidth="1"/>
    <col min="248" max="248" width="42" style="110" customWidth="1"/>
    <col min="249" max="249" width="11.7109375" style="110" customWidth="1"/>
    <col min="250" max="250" width="10.140625" style="110" customWidth="1"/>
    <col min="251" max="251" width="10.28515625" style="110" customWidth="1"/>
    <col min="252" max="252" width="10.140625" style="110" customWidth="1"/>
    <col min="253" max="253" width="11.5703125" style="110" customWidth="1"/>
    <col min="254" max="254" width="10.28515625" style="110" customWidth="1"/>
    <col min="255" max="255" width="1.7109375" style="110" customWidth="1"/>
    <col min="256" max="256" width="16.7109375" style="110" customWidth="1"/>
    <col min="257" max="257" width="9.7109375" style="110" customWidth="1"/>
    <col min="258" max="16384" width="9.7109375" style="110"/>
  </cols>
  <sheetData>
    <row r="2" spans="2:13" ht="15" customHeight="1" x14ac:dyDescent="0.3">
      <c r="G2" s="407"/>
      <c r="H2" s="408" t="s">
        <v>248</v>
      </c>
      <c r="K2" s="409"/>
    </row>
    <row r="3" spans="2:13" ht="10.5" customHeight="1" x14ac:dyDescent="0.3">
      <c r="E3" s="407"/>
    </row>
    <row r="4" spans="2:13" ht="72.75" customHeight="1" x14ac:dyDescent="0.3">
      <c r="B4" s="749" t="s">
        <v>926</v>
      </c>
      <c r="C4" s="749"/>
      <c r="D4" s="749"/>
      <c r="E4" s="749"/>
      <c r="F4" s="749"/>
      <c r="G4" s="749"/>
      <c r="H4" s="749"/>
      <c r="I4" s="410"/>
      <c r="J4" s="410"/>
      <c r="K4" s="411"/>
    </row>
    <row r="5" spans="2:13" ht="18.75" x14ac:dyDescent="0.3">
      <c r="B5" s="411"/>
      <c r="C5" s="411"/>
      <c r="D5" s="411"/>
      <c r="E5" s="411"/>
      <c r="F5" s="411"/>
      <c r="G5" s="411"/>
      <c r="H5" s="411"/>
      <c r="I5" s="411"/>
      <c r="J5" s="411"/>
    </row>
    <row r="7" spans="2:13" ht="15.75" x14ac:dyDescent="0.35">
      <c r="B7" s="618"/>
      <c r="C7" s="619">
        <v>2016</v>
      </c>
      <c r="D7" s="619">
        <v>2017</v>
      </c>
      <c r="E7" s="619">
        <v>2018</v>
      </c>
      <c r="F7" s="619">
        <v>2019</v>
      </c>
      <c r="G7" s="619">
        <v>2020</v>
      </c>
      <c r="H7" s="619">
        <v>2021</v>
      </c>
    </row>
    <row r="8" spans="2:13" ht="15.75" x14ac:dyDescent="0.35">
      <c r="B8" s="593" t="s">
        <v>249</v>
      </c>
      <c r="C8" s="215">
        <v>55000</v>
      </c>
      <c r="D8" s="594">
        <v>54916</v>
      </c>
      <c r="E8" s="595">
        <v>54705</v>
      </c>
      <c r="F8" s="596">
        <v>54696</v>
      </c>
      <c r="G8" s="596">
        <v>54705</v>
      </c>
      <c r="H8" s="620">
        <v>54679</v>
      </c>
    </row>
    <row r="9" spans="2:13" ht="1.5" customHeight="1" x14ac:dyDescent="0.35">
      <c r="B9" s="593"/>
      <c r="C9" s="215"/>
      <c r="D9" s="594"/>
      <c r="E9" s="595"/>
      <c r="F9" s="596"/>
      <c r="G9" s="596"/>
      <c r="H9" s="620"/>
    </row>
    <row r="10" spans="2:13" ht="15.75" x14ac:dyDescent="0.35">
      <c r="B10" s="593" t="s">
        <v>250</v>
      </c>
      <c r="C10" s="597">
        <v>12053</v>
      </c>
      <c r="D10" s="598">
        <v>12394</v>
      </c>
      <c r="E10" s="599">
        <v>13381</v>
      </c>
      <c r="F10" s="600">
        <v>12837</v>
      </c>
      <c r="G10" s="600">
        <v>13686</v>
      </c>
      <c r="H10" s="621">
        <v>11680</v>
      </c>
    </row>
    <row r="11" spans="2:13" s="113" customFormat="1" ht="15" customHeight="1" x14ac:dyDescent="0.35">
      <c r="B11" s="601" t="s">
        <v>251</v>
      </c>
      <c r="C11" s="215">
        <f t="shared" ref="C11:G11" si="0">C10/C8*1000</f>
        <v>219.14545454545453</v>
      </c>
      <c r="D11" s="594">
        <f t="shared" si="0"/>
        <v>225.69014494864882</v>
      </c>
      <c r="E11" s="595">
        <f t="shared" si="0"/>
        <v>244.60286993876247</v>
      </c>
      <c r="F11" s="596">
        <f t="shared" si="0"/>
        <v>234.69723562966215</v>
      </c>
      <c r="G11" s="596">
        <f t="shared" si="0"/>
        <v>250.17822868110778</v>
      </c>
      <c r="H11" s="620">
        <f>H10/H8*1000</f>
        <v>213.61034400775435</v>
      </c>
      <c r="I11" s="110"/>
      <c r="J11" s="110"/>
      <c r="K11" s="110"/>
      <c r="L11" s="110"/>
      <c r="M11" s="111"/>
    </row>
    <row r="12" spans="2:13" s="113" customFormat="1" ht="17.25" x14ac:dyDescent="0.35">
      <c r="B12" s="601" t="s">
        <v>252</v>
      </c>
      <c r="C12" s="215">
        <v>37362</v>
      </c>
      <c r="D12" s="594">
        <v>39771</v>
      </c>
      <c r="E12" s="595">
        <v>43691</v>
      </c>
      <c r="F12" s="596">
        <v>48206</v>
      </c>
      <c r="G12" s="596">
        <v>52606</v>
      </c>
      <c r="H12" s="620">
        <v>54373</v>
      </c>
      <c r="I12" s="110"/>
      <c r="J12" s="110"/>
      <c r="K12" s="110"/>
      <c r="L12" s="110"/>
      <c r="M12" s="111"/>
    </row>
    <row r="13" spans="2:13" s="113" customFormat="1" ht="30" customHeight="1" x14ac:dyDescent="0.35">
      <c r="B13" s="601" t="s">
        <v>253</v>
      </c>
      <c r="C13" s="602">
        <v>0.35249999999999998</v>
      </c>
      <c r="D13" s="603">
        <f t="shared" ref="D13:F13" si="1">D10/C12</f>
        <v>0.33172742358546115</v>
      </c>
      <c r="E13" s="604">
        <f t="shared" si="1"/>
        <v>0.33645118302280558</v>
      </c>
      <c r="F13" s="605">
        <f t="shared" si="1"/>
        <v>0.29381337117484152</v>
      </c>
      <c r="G13" s="605">
        <f>G10/F12</f>
        <v>0.28390656764718086</v>
      </c>
      <c r="H13" s="622">
        <f>H10/G12</f>
        <v>0.22202790556210319</v>
      </c>
      <c r="I13" s="110"/>
      <c r="J13" s="110"/>
      <c r="K13" s="110"/>
      <c r="L13" s="110"/>
      <c r="M13" s="110"/>
    </row>
    <row r="14" spans="2:13" s="113" customFormat="1" ht="7.5" customHeight="1" x14ac:dyDescent="0.35">
      <c r="B14" s="601"/>
      <c r="C14" s="602"/>
      <c r="D14" s="603"/>
      <c r="E14" s="604"/>
      <c r="F14" s="605"/>
      <c r="G14" s="605"/>
      <c r="H14" s="622"/>
      <c r="I14" s="110"/>
      <c r="J14" s="110"/>
      <c r="K14" s="110"/>
      <c r="L14" s="110"/>
      <c r="M14" s="110"/>
    </row>
    <row r="15" spans="2:13" s="113" customFormat="1" ht="17.25" x14ac:dyDescent="0.35">
      <c r="B15" s="601" t="s">
        <v>254</v>
      </c>
      <c r="C15" s="597">
        <v>1813</v>
      </c>
      <c r="D15" s="598">
        <f>129+2804</f>
        <v>2933</v>
      </c>
      <c r="E15" s="599">
        <v>3168</v>
      </c>
      <c r="F15" s="600">
        <v>2038</v>
      </c>
      <c r="G15" s="600">
        <v>2231</v>
      </c>
      <c r="H15" s="621">
        <v>2039</v>
      </c>
      <c r="I15" s="110"/>
      <c r="J15" s="110"/>
      <c r="K15" s="110"/>
      <c r="L15" s="110"/>
      <c r="M15" s="110"/>
    </row>
    <row r="16" spans="2:13" s="113" customFormat="1" ht="45" x14ac:dyDescent="0.35">
      <c r="B16" s="601" t="s">
        <v>255</v>
      </c>
      <c r="C16" s="606">
        <v>28921</v>
      </c>
      <c r="D16" s="606">
        <v>31427</v>
      </c>
      <c r="E16" s="607">
        <v>34803</v>
      </c>
      <c r="F16" s="608">
        <v>37690</v>
      </c>
      <c r="G16" s="608">
        <v>39005</v>
      </c>
      <c r="H16" s="623">
        <v>39005</v>
      </c>
      <c r="I16" s="110"/>
      <c r="J16" s="110"/>
      <c r="K16" s="110"/>
      <c r="L16" s="110"/>
      <c r="M16" s="110"/>
    </row>
    <row r="17" spans="2:16" s="124" customFormat="1" ht="39.75" customHeight="1" x14ac:dyDescent="0.25">
      <c r="B17" s="609" t="s">
        <v>256</v>
      </c>
      <c r="C17" s="610">
        <v>5.2999999999999999E-2</v>
      </c>
      <c r="D17" s="610">
        <f>D15/C16</f>
        <v>0.10141419729608243</v>
      </c>
      <c r="E17" s="611">
        <f>E15/D16</f>
        <v>0.1008050402520126</v>
      </c>
      <c r="F17" s="612">
        <f>F15/E16</f>
        <v>5.8558170272677644E-2</v>
      </c>
      <c r="G17" s="612">
        <f>G15/F16</f>
        <v>5.9193420005306446E-2</v>
      </c>
      <c r="H17" s="624">
        <f>H15/G16</f>
        <v>5.2275349314190492E-2</v>
      </c>
    </row>
    <row r="18" spans="2:16" s="113" customFormat="1" ht="16.5" x14ac:dyDescent="0.3">
      <c r="B18" s="412"/>
      <c r="C18" s="413"/>
      <c r="D18" s="413"/>
      <c r="E18" s="413"/>
      <c r="F18" s="110"/>
      <c r="G18" s="110"/>
      <c r="H18" s="191"/>
      <c r="I18" s="191"/>
      <c r="J18" s="110"/>
      <c r="K18" s="110"/>
      <c r="L18" s="110"/>
      <c r="M18" s="110"/>
      <c r="N18" s="110"/>
      <c r="O18" s="110"/>
      <c r="P18" s="110"/>
    </row>
    <row r="19" spans="2:16" s="113" customFormat="1" ht="44.25" customHeight="1" x14ac:dyDescent="0.3">
      <c r="B19" s="750" t="s">
        <v>464</v>
      </c>
      <c r="C19" s="750"/>
      <c r="D19" s="750"/>
      <c r="E19" s="750"/>
      <c r="F19" s="750"/>
      <c r="G19" s="750"/>
      <c r="H19" s="750"/>
      <c r="I19" s="414"/>
      <c r="J19" s="414"/>
      <c r="K19" s="110"/>
      <c r="L19" s="110"/>
      <c r="M19" s="110"/>
      <c r="N19" s="110"/>
      <c r="O19" s="110"/>
      <c r="P19" s="110"/>
    </row>
    <row r="20" spans="2:16" s="113" customFormat="1" ht="16.5" x14ac:dyDescent="0.3">
      <c r="B20" s="613"/>
      <c r="C20" s="613"/>
      <c r="D20" s="613"/>
      <c r="E20" s="613"/>
      <c r="F20" s="613"/>
      <c r="G20" s="613"/>
      <c r="H20" s="613"/>
      <c r="I20" s="613"/>
      <c r="J20" s="613"/>
      <c r="K20" s="110"/>
      <c r="L20" s="110"/>
      <c r="M20" s="110"/>
      <c r="N20" s="110"/>
      <c r="O20" s="110"/>
      <c r="P20" s="110"/>
    </row>
    <row r="21" spans="2:16" s="113" customFormat="1" ht="29.25" customHeight="1" x14ac:dyDescent="0.3">
      <c r="B21" s="750" t="s">
        <v>257</v>
      </c>
      <c r="C21" s="750"/>
      <c r="D21" s="750"/>
      <c r="E21" s="750"/>
      <c r="F21" s="750"/>
      <c r="G21" s="750"/>
      <c r="H21" s="750"/>
      <c r="I21" s="414"/>
      <c r="J21" s="414"/>
      <c r="K21" s="110"/>
      <c r="L21" s="110"/>
      <c r="M21" s="110"/>
      <c r="N21" s="110"/>
      <c r="O21" s="110"/>
      <c r="P21" s="110"/>
    </row>
    <row r="22" spans="2:16" s="113" customFormat="1" ht="78.75" customHeight="1" x14ac:dyDescent="0.3">
      <c r="B22" s="751" t="s">
        <v>927</v>
      </c>
      <c r="C22" s="751"/>
      <c r="D22" s="751"/>
      <c r="E22" s="751"/>
      <c r="F22" s="751"/>
      <c r="G22" s="751"/>
      <c r="H22" s="751"/>
      <c r="I22" s="416"/>
      <c r="J22" s="416"/>
      <c r="K22" s="110"/>
      <c r="L22" s="110"/>
      <c r="M22" s="110"/>
      <c r="N22" s="110"/>
      <c r="O22" s="110"/>
      <c r="P22" s="110"/>
    </row>
    <row r="23" spans="2:16" s="113" customFormat="1" ht="16.5" x14ac:dyDescent="0.3">
      <c r="B23" s="110"/>
      <c r="C23" s="413"/>
      <c r="D23" s="413"/>
      <c r="E23" s="413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spans="2:16" s="113" customFormat="1" ht="16.5" x14ac:dyDescent="0.3">
      <c r="B24" s="412"/>
      <c r="C24" s="413"/>
      <c r="D24" s="413"/>
      <c r="E24" s="413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2:16" s="113" customFormat="1" ht="16.5" x14ac:dyDescent="0.3">
      <c r="B25" s="412"/>
      <c r="C25" s="413"/>
      <c r="D25" s="413"/>
      <c r="E25" s="413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spans="2:16" s="113" customFormat="1" ht="16.5" x14ac:dyDescent="0.3">
      <c r="B26" s="412"/>
      <c r="C26" s="413"/>
      <c r="D26" s="413"/>
      <c r="E26" s="413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2:16" s="113" customFormat="1" ht="16.5" x14ac:dyDescent="0.3">
      <c r="B27" s="412"/>
      <c r="C27" s="413"/>
      <c r="D27" s="413"/>
      <c r="E27" s="413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2:16" s="113" customFormat="1" ht="16.5" x14ac:dyDescent="0.3">
      <c r="B28" s="412"/>
      <c r="C28" s="413"/>
      <c r="D28" s="413"/>
      <c r="E28" s="413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spans="2:16" s="113" customFormat="1" ht="16.5" x14ac:dyDescent="0.3">
      <c r="B29" s="412"/>
      <c r="C29" s="413"/>
      <c r="D29" s="413"/>
      <c r="E29" s="413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2:16" s="113" customFormat="1" ht="16.5" x14ac:dyDescent="0.3">
      <c r="B30" s="412"/>
      <c r="C30" s="413"/>
      <c r="D30" s="413"/>
      <c r="E30" s="413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2:16" s="113" customFormat="1" ht="16.5" x14ac:dyDescent="0.3">
      <c r="B31" s="412"/>
      <c r="C31" s="413"/>
      <c r="D31" s="413"/>
      <c r="E31" s="413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</row>
    <row r="32" spans="2:16" s="113" customFormat="1" ht="16.5" x14ac:dyDescent="0.3">
      <c r="B32" s="412"/>
      <c r="C32" s="413"/>
      <c r="D32" s="413"/>
      <c r="E32" s="413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</row>
    <row r="33" spans="2:16" s="113" customFormat="1" ht="16.5" x14ac:dyDescent="0.3">
      <c r="B33" s="412"/>
      <c r="C33" s="413"/>
      <c r="D33" s="413"/>
      <c r="E33" s="413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</row>
    <row r="34" spans="2:16" s="113" customFormat="1" ht="16.5" x14ac:dyDescent="0.3">
      <c r="B34" s="412"/>
      <c r="C34" s="413"/>
      <c r="D34" s="413"/>
      <c r="E34" s="413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2:16" s="113" customFormat="1" ht="16.5" x14ac:dyDescent="0.3">
      <c r="B35" s="412"/>
      <c r="C35" s="413"/>
      <c r="D35" s="413"/>
      <c r="E35" s="413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s="113" customFormat="1" ht="16.5" x14ac:dyDescent="0.3">
      <c r="B36" s="412"/>
      <c r="C36" s="413"/>
      <c r="D36" s="413"/>
      <c r="E36" s="413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</row>
    <row r="37" spans="2:16" s="113" customFormat="1" ht="16.5" x14ac:dyDescent="0.3">
      <c r="B37" s="412"/>
      <c r="C37" s="413"/>
      <c r="D37" s="413"/>
      <c r="E37" s="413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</row>
    <row r="38" spans="2:16" s="113" customFormat="1" ht="16.5" x14ac:dyDescent="0.3">
      <c r="B38" s="412"/>
      <c r="C38" s="413"/>
      <c r="D38" s="413"/>
      <c r="E38" s="413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2:16" s="113" customFormat="1" ht="16.5" x14ac:dyDescent="0.3">
      <c r="B39" s="412"/>
      <c r="C39" s="413"/>
      <c r="D39" s="413"/>
      <c r="E39" s="413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2:16" s="113" customFormat="1" ht="16.5" x14ac:dyDescent="0.3">
      <c r="B40" s="412"/>
      <c r="C40" s="413"/>
      <c r="D40" s="413"/>
      <c r="E40" s="413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</row>
    <row r="41" spans="2:16" s="113" customFormat="1" ht="16.5" x14ac:dyDescent="0.3">
      <c r="B41" s="415"/>
      <c r="C41" s="413"/>
      <c r="D41" s="413"/>
      <c r="E41" s="413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</row>
    <row r="42" spans="2:16" s="113" customFormat="1" ht="16.5" x14ac:dyDescent="0.3">
      <c r="B42" s="412"/>
      <c r="C42" s="413"/>
      <c r="D42" s="413"/>
      <c r="E42" s="413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2:16" s="113" customFormat="1" ht="16.5" x14ac:dyDescent="0.3">
      <c r="B43" s="412"/>
      <c r="C43" s="413"/>
      <c r="D43" s="413"/>
      <c r="E43" s="413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</row>
    <row r="44" spans="2:16" s="113" customFormat="1" ht="16.5" x14ac:dyDescent="0.3">
      <c r="B44" s="412"/>
      <c r="C44" s="413"/>
      <c r="D44" s="413"/>
      <c r="E44" s="413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</row>
    <row r="45" spans="2:16" s="113" customFormat="1" ht="16.5" x14ac:dyDescent="0.3">
      <c r="B45" s="412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</row>
  </sheetData>
  <mergeCells count="4">
    <mergeCell ref="B4:H4"/>
    <mergeCell ref="B19:H19"/>
    <mergeCell ref="B21:H21"/>
    <mergeCell ref="B22:H22"/>
  </mergeCells>
  <pageMargins left="0.74803149606299213" right="0.35433070866141736" top="0.35433070866141736" bottom="0.55118110236220474" header="0.31496062992125984" footer="0.31496062992125984"/>
  <pageSetup paperSize="9" scale="9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61"/>
  <sheetViews>
    <sheetView workbookViewId="0"/>
  </sheetViews>
  <sheetFormatPr defaultRowHeight="15" x14ac:dyDescent="0.3"/>
  <cols>
    <col min="1" max="1" width="11.7109375" style="110" customWidth="1"/>
    <col min="2" max="2" width="4.85546875" style="110" customWidth="1"/>
    <col min="3" max="3" width="9.28515625" style="187" customWidth="1"/>
    <col min="4" max="4" width="32.42578125" style="110" customWidth="1"/>
    <col min="5" max="5" width="16.42578125" style="110" customWidth="1"/>
    <col min="6" max="6" width="15.85546875" style="110" customWidth="1"/>
    <col min="7" max="7" width="13.140625" style="110" customWidth="1"/>
    <col min="8" max="8" width="5.140625" style="110" customWidth="1"/>
    <col min="9" max="16384" width="9.140625" style="110"/>
  </cols>
  <sheetData>
    <row r="1" spans="2:7" s="124" customFormat="1" x14ac:dyDescent="0.25">
      <c r="C1" s="185"/>
    </row>
    <row r="2" spans="2:7" s="124" customFormat="1" x14ac:dyDescent="0.25">
      <c r="C2" s="185"/>
      <c r="E2" s="186"/>
      <c r="G2" s="171" t="s">
        <v>258</v>
      </c>
    </row>
    <row r="3" spans="2:7" s="124" customFormat="1" ht="18.75" x14ac:dyDescent="0.25">
      <c r="B3" s="647" t="s">
        <v>665</v>
      </c>
      <c r="C3" s="647"/>
      <c r="D3" s="647"/>
      <c r="E3" s="647"/>
      <c r="F3" s="647"/>
      <c r="G3" s="647"/>
    </row>
    <row r="4" spans="2:7" s="124" customFormat="1" ht="10.5" customHeight="1" x14ac:dyDescent="0.25">
      <c r="C4" s="185"/>
    </row>
    <row r="5" spans="2:7" s="124" customFormat="1" ht="33.75" customHeight="1" x14ac:dyDescent="0.25">
      <c r="B5" s="753" t="s">
        <v>0</v>
      </c>
      <c r="C5" s="753"/>
      <c r="D5" s="753"/>
      <c r="E5" s="614" t="s">
        <v>259</v>
      </c>
      <c r="F5" s="614" t="s">
        <v>260</v>
      </c>
      <c r="G5" s="614" t="s">
        <v>261</v>
      </c>
    </row>
    <row r="6" spans="2:7" s="164" customFormat="1" ht="24" customHeight="1" x14ac:dyDescent="0.25">
      <c r="B6" s="754" t="s">
        <v>262</v>
      </c>
      <c r="C6" s="754"/>
      <c r="D6" s="754"/>
      <c r="E6" s="615">
        <f>E7+E12+E14+E17+E22+E25+E30+E35+E45</f>
        <v>50000732</v>
      </c>
      <c r="F6" s="615">
        <f>F7+F12+F14+F17+F22+F25+F30+F35+F45</f>
        <v>52140069</v>
      </c>
      <c r="G6" s="615">
        <f>G7+G12+G14+G17+G22+G25+G30+G35+G45</f>
        <v>46950764.910000004</v>
      </c>
    </row>
    <row r="7" spans="2:7" s="124" customFormat="1" x14ac:dyDescent="0.25">
      <c r="B7" s="616" t="s">
        <v>263</v>
      </c>
      <c r="C7" s="752" t="s">
        <v>264</v>
      </c>
      <c r="D7" s="752"/>
      <c r="E7" s="617">
        <f>SUM(E8:E11)</f>
        <v>6156366</v>
      </c>
      <c r="F7" s="617">
        <f>SUM(F8:F11)</f>
        <v>6389171</v>
      </c>
      <c r="G7" s="617">
        <f>SUM(G8:G11)</f>
        <v>5417178.29</v>
      </c>
    </row>
    <row r="8" spans="2:7" s="124" customFormat="1" x14ac:dyDescent="0.25">
      <c r="B8" s="490"/>
      <c r="C8" s="466" t="s">
        <v>265</v>
      </c>
      <c r="D8" s="465" t="s">
        <v>266</v>
      </c>
      <c r="E8" s="489">
        <v>5838991</v>
      </c>
      <c r="F8" s="489">
        <v>6046438</v>
      </c>
      <c r="G8" s="489">
        <v>5131251.46</v>
      </c>
    </row>
    <row r="9" spans="2:7" s="124" customFormat="1" x14ac:dyDescent="0.25">
      <c r="B9" s="490"/>
      <c r="C9" s="466" t="s">
        <v>267</v>
      </c>
      <c r="D9" s="465" t="s">
        <v>268</v>
      </c>
      <c r="E9" s="489">
        <v>37400</v>
      </c>
      <c r="F9" s="489">
        <v>43327</v>
      </c>
      <c r="G9" s="489">
        <v>38742.83</v>
      </c>
    </row>
    <row r="10" spans="2:7" s="124" customFormat="1" ht="15" customHeight="1" x14ac:dyDescent="0.25">
      <c r="B10" s="490"/>
      <c r="C10" s="466" t="s">
        <v>269</v>
      </c>
      <c r="D10" s="465" t="s">
        <v>270</v>
      </c>
      <c r="E10" s="489">
        <v>150000</v>
      </c>
      <c r="F10" s="489">
        <v>119819</v>
      </c>
      <c r="G10" s="489">
        <v>95154.61</v>
      </c>
    </row>
    <row r="11" spans="2:7" s="124" customFormat="1" x14ac:dyDescent="0.25">
      <c r="B11" s="490"/>
      <c r="C11" s="466" t="s">
        <v>271</v>
      </c>
      <c r="D11" s="462" t="s">
        <v>272</v>
      </c>
      <c r="E11" s="489">
        <v>129975</v>
      </c>
      <c r="F11" s="489">
        <v>179587</v>
      </c>
      <c r="G11" s="489">
        <v>152029.39000000001</v>
      </c>
    </row>
    <row r="12" spans="2:7" s="124" customFormat="1" x14ac:dyDescent="0.25">
      <c r="B12" s="616" t="s">
        <v>273</v>
      </c>
      <c r="C12" s="752" t="s">
        <v>274</v>
      </c>
      <c r="D12" s="752"/>
      <c r="E12" s="617">
        <f>E13</f>
        <v>35200</v>
      </c>
      <c r="F12" s="617">
        <f>F13</f>
        <v>35200</v>
      </c>
      <c r="G12" s="617">
        <f>G13</f>
        <v>33194.06</v>
      </c>
    </row>
    <row r="13" spans="2:7" s="124" customFormat="1" x14ac:dyDescent="0.25">
      <c r="B13" s="490"/>
      <c r="C13" s="466" t="s">
        <v>275</v>
      </c>
      <c r="D13" s="465" t="s">
        <v>276</v>
      </c>
      <c r="E13" s="489">
        <v>35200</v>
      </c>
      <c r="F13" s="489">
        <v>35200</v>
      </c>
      <c r="G13" s="489">
        <v>33194.06</v>
      </c>
    </row>
    <row r="14" spans="2:7" s="124" customFormat="1" x14ac:dyDescent="0.25">
      <c r="B14" s="616" t="s">
        <v>277</v>
      </c>
      <c r="C14" s="752" t="s">
        <v>278</v>
      </c>
      <c r="D14" s="752"/>
      <c r="E14" s="617">
        <f>SUM(E15:E16)</f>
        <v>1351570</v>
      </c>
      <c r="F14" s="617">
        <f>SUM(F15:F16)</f>
        <v>1365170</v>
      </c>
      <c r="G14" s="617">
        <f>SUM(G15:G16)</f>
        <v>1279869.0899999999</v>
      </c>
    </row>
    <row r="15" spans="2:7" s="124" customFormat="1" x14ac:dyDescent="0.25">
      <c r="B15" s="490"/>
      <c r="C15" s="466" t="s">
        <v>279</v>
      </c>
      <c r="D15" s="465" t="s">
        <v>280</v>
      </c>
      <c r="E15" s="489">
        <v>1314400</v>
      </c>
      <c r="F15" s="489">
        <v>1324700</v>
      </c>
      <c r="G15" s="489">
        <v>1241213.94</v>
      </c>
    </row>
    <row r="16" spans="2:7" s="124" customFormat="1" x14ac:dyDescent="0.25">
      <c r="B16" s="490"/>
      <c r="C16" s="466" t="s">
        <v>281</v>
      </c>
      <c r="D16" s="465" t="s">
        <v>282</v>
      </c>
      <c r="E16" s="489">
        <v>37170</v>
      </c>
      <c r="F16" s="489">
        <v>40470</v>
      </c>
      <c r="G16" s="489">
        <v>38655.15</v>
      </c>
    </row>
    <row r="17" spans="2:7" s="124" customFormat="1" x14ac:dyDescent="0.25">
      <c r="B17" s="616" t="s">
        <v>283</v>
      </c>
      <c r="C17" s="752" t="s">
        <v>284</v>
      </c>
      <c r="D17" s="752"/>
      <c r="E17" s="617">
        <f>SUM(E18:E21)</f>
        <v>6299191</v>
      </c>
      <c r="F17" s="617">
        <f>SUM(F18:F21)</f>
        <v>6637622</v>
      </c>
      <c r="G17" s="617">
        <f>SUM(G18:G21)</f>
        <v>5828297.4499999993</v>
      </c>
    </row>
    <row r="18" spans="2:7" s="124" customFormat="1" x14ac:dyDescent="0.25">
      <c r="B18" s="490"/>
      <c r="C18" s="466" t="s">
        <v>285</v>
      </c>
      <c r="D18" s="465" t="s">
        <v>286</v>
      </c>
      <c r="E18" s="489">
        <v>319525</v>
      </c>
      <c r="F18" s="489">
        <v>319525</v>
      </c>
      <c r="G18" s="489">
        <v>278837.25</v>
      </c>
    </row>
    <row r="19" spans="2:7" s="124" customFormat="1" x14ac:dyDescent="0.25">
      <c r="B19" s="500"/>
      <c r="C19" s="466" t="s">
        <v>287</v>
      </c>
      <c r="D19" s="466" t="s">
        <v>288</v>
      </c>
      <c r="E19" s="489">
        <v>224800</v>
      </c>
      <c r="F19" s="463">
        <v>220031</v>
      </c>
      <c r="G19" s="489">
        <v>157749.43</v>
      </c>
    </row>
    <row r="20" spans="2:7" s="124" customFormat="1" x14ac:dyDescent="0.25">
      <c r="B20" s="490"/>
      <c r="C20" s="466" t="s">
        <v>289</v>
      </c>
      <c r="D20" s="465" t="s">
        <v>290</v>
      </c>
      <c r="E20" s="489">
        <v>5662366</v>
      </c>
      <c r="F20" s="463">
        <v>5635566</v>
      </c>
      <c r="G20" s="489">
        <v>4953213.0599999996</v>
      </c>
    </row>
    <row r="21" spans="2:7" s="124" customFormat="1" x14ac:dyDescent="0.25">
      <c r="B21" s="490"/>
      <c r="C21" s="466" t="s">
        <v>291</v>
      </c>
      <c r="D21" s="465" t="s">
        <v>292</v>
      </c>
      <c r="E21" s="489">
        <v>92500</v>
      </c>
      <c r="F21" s="463">
        <v>462500</v>
      </c>
      <c r="G21" s="489">
        <v>438497.71</v>
      </c>
    </row>
    <row r="22" spans="2:7" s="124" customFormat="1" x14ac:dyDescent="0.25">
      <c r="B22" s="616" t="s">
        <v>293</v>
      </c>
      <c r="C22" s="752" t="s">
        <v>294</v>
      </c>
      <c r="D22" s="752"/>
      <c r="E22" s="617">
        <f>SUM(E23:E24)</f>
        <v>2488091</v>
      </c>
      <c r="F22" s="617">
        <f>SUM(F23:F24)</f>
        <v>2571135</v>
      </c>
      <c r="G22" s="617">
        <f>SUM(G23:G24)</f>
        <v>2501608.81</v>
      </c>
    </row>
    <row r="23" spans="2:7" s="124" customFormat="1" x14ac:dyDescent="0.25">
      <c r="B23" s="490"/>
      <c r="C23" s="466" t="s">
        <v>295</v>
      </c>
      <c r="D23" s="465" t="s">
        <v>296</v>
      </c>
      <c r="E23" s="489">
        <v>2458939</v>
      </c>
      <c r="F23" s="489">
        <v>2541983</v>
      </c>
      <c r="G23" s="489">
        <v>2477872.04</v>
      </c>
    </row>
    <row r="24" spans="2:7" s="124" customFormat="1" x14ac:dyDescent="0.25">
      <c r="B24" s="490"/>
      <c r="C24" s="466" t="s">
        <v>297</v>
      </c>
      <c r="D24" s="465" t="s">
        <v>298</v>
      </c>
      <c r="E24" s="489">
        <v>29152</v>
      </c>
      <c r="F24" s="489">
        <v>29152</v>
      </c>
      <c r="G24" s="489">
        <v>23736.77</v>
      </c>
    </row>
    <row r="25" spans="2:7" s="124" customFormat="1" x14ac:dyDescent="0.25">
      <c r="B25" s="616" t="s">
        <v>299</v>
      </c>
      <c r="C25" s="752" t="s">
        <v>300</v>
      </c>
      <c r="D25" s="752"/>
      <c r="E25" s="617">
        <f>SUM(E26:E29)</f>
        <v>3047270</v>
      </c>
      <c r="F25" s="617">
        <f>SUM(F26:F29)</f>
        <v>3125196</v>
      </c>
      <c r="G25" s="617">
        <f>SUM(G26:G29)</f>
        <v>2487164.9900000002</v>
      </c>
    </row>
    <row r="26" spans="2:7" s="124" customFormat="1" ht="14.25" customHeight="1" x14ac:dyDescent="0.25">
      <c r="B26" s="490"/>
      <c r="C26" s="466" t="s">
        <v>301</v>
      </c>
      <c r="D26" s="465" t="s">
        <v>302</v>
      </c>
      <c r="E26" s="489">
        <v>38200</v>
      </c>
      <c r="F26" s="489">
        <v>38200</v>
      </c>
      <c r="G26" s="489">
        <v>32224.400000000001</v>
      </c>
    </row>
    <row r="27" spans="2:7" s="124" customFormat="1" x14ac:dyDescent="0.25">
      <c r="B27" s="490"/>
      <c r="C27" s="466" t="s">
        <v>303</v>
      </c>
      <c r="D27" s="465" t="s">
        <v>304</v>
      </c>
      <c r="E27" s="489">
        <v>1794460</v>
      </c>
      <c r="F27" s="489">
        <v>1813610</v>
      </c>
      <c r="G27" s="489">
        <v>1502622.8</v>
      </c>
    </row>
    <row r="28" spans="2:7" s="124" customFormat="1" x14ac:dyDescent="0.25">
      <c r="B28" s="490"/>
      <c r="C28" s="466" t="s">
        <v>305</v>
      </c>
      <c r="D28" s="465" t="s">
        <v>306</v>
      </c>
      <c r="E28" s="489">
        <v>772610</v>
      </c>
      <c r="F28" s="489">
        <v>805286</v>
      </c>
      <c r="G28" s="489">
        <v>558477.81999999995</v>
      </c>
    </row>
    <row r="29" spans="2:7" s="124" customFormat="1" x14ac:dyDescent="0.25">
      <c r="B29" s="490"/>
      <c r="C29" s="466" t="s">
        <v>307</v>
      </c>
      <c r="D29" s="465" t="s">
        <v>300</v>
      </c>
      <c r="E29" s="489">
        <v>442000</v>
      </c>
      <c r="F29" s="489">
        <v>468100</v>
      </c>
      <c r="G29" s="489">
        <v>393839.97</v>
      </c>
    </row>
    <row r="30" spans="2:7" s="124" customFormat="1" x14ac:dyDescent="0.25">
      <c r="B30" s="616" t="s">
        <v>308</v>
      </c>
      <c r="C30" s="752" t="s">
        <v>309</v>
      </c>
      <c r="D30" s="752"/>
      <c r="E30" s="617">
        <f>SUM(E31:E34)</f>
        <v>3052199</v>
      </c>
      <c r="F30" s="617">
        <f>SUM(F31:F34)</f>
        <v>3041751</v>
      </c>
      <c r="G30" s="617">
        <f>SUM(G31:G34)</f>
        <v>2311677.8000000003</v>
      </c>
    </row>
    <row r="31" spans="2:7" s="124" customFormat="1" ht="15" customHeight="1" x14ac:dyDescent="0.25">
      <c r="B31" s="490"/>
      <c r="C31" s="466" t="s">
        <v>310</v>
      </c>
      <c r="D31" s="465" t="s">
        <v>311</v>
      </c>
      <c r="E31" s="489">
        <v>2134890</v>
      </c>
      <c r="F31" s="489">
        <v>2172835</v>
      </c>
      <c r="G31" s="489">
        <v>1707703.66</v>
      </c>
    </row>
    <row r="32" spans="2:7" s="124" customFormat="1" x14ac:dyDescent="0.25">
      <c r="B32" s="490"/>
      <c r="C32" s="466" t="s">
        <v>312</v>
      </c>
      <c r="D32" s="465" t="s">
        <v>313</v>
      </c>
      <c r="E32" s="489">
        <v>679405</v>
      </c>
      <c r="F32" s="489">
        <v>641012</v>
      </c>
      <c r="G32" s="489">
        <v>448156.19</v>
      </c>
    </row>
    <row r="33" spans="2:7" s="124" customFormat="1" x14ac:dyDescent="0.25">
      <c r="B33" s="490"/>
      <c r="C33" s="466" t="s">
        <v>314</v>
      </c>
      <c r="D33" s="465" t="s">
        <v>315</v>
      </c>
      <c r="E33" s="489">
        <v>29300</v>
      </c>
      <c r="F33" s="489">
        <v>27300</v>
      </c>
      <c r="G33" s="489">
        <v>19167.16</v>
      </c>
    </row>
    <row r="34" spans="2:7" s="124" customFormat="1" x14ac:dyDescent="0.25">
      <c r="B34" s="490"/>
      <c r="C34" s="466" t="s">
        <v>316</v>
      </c>
      <c r="D34" s="465" t="s">
        <v>317</v>
      </c>
      <c r="E34" s="489">
        <v>208604</v>
      </c>
      <c r="F34" s="489">
        <v>200604</v>
      </c>
      <c r="G34" s="489">
        <v>136650.79</v>
      </c>
    </row>
    <row r="35" spans="2:7" s="124" customFormat="1" x14ac:dyDescent="0.25">
      <c r="B35" s="616" t="s">
        <v>318</v>
      </c>
      <c r="C35" s="752" t="s">
        <v>319</v>
      </c>
      <c r="D35" s="752"/>
      <c r="E35" s="617">
        <f>SUM(E36:E44)-E41-E42-E43</f>
        <v>23450148</v>
      </c>
      <c r="F35" s="617">
        <f>SUM(F36:F44)-F41-F42-F43</f>
        <v>24541273</v>
      </c>
      <c r="G35" s="617">
        <f>SUM(G36:G44)-G41-G42-G43</f>
        <v>23029645.940000005</v>
      </c>
    </row>
    <row r="36" spans="2:7" s="124" customFormat="1" ht="30" x14ac:dyDescent="0.25">
      <c r="B36" s="490"/>
      <c r="C36" s="466" t="s">
        <v>320</v>
      </c>
      <c r="D36" s="465" t="s">
        <v>321</v>
      </c>
      <c r="E36" s="489">
        <v>5198975</v>
      </c>
      <c r="F36" s="489">
        <v>5311698</v>
      </c>
      <c r="G36" s="489">
        <v>4959862.05</v>
      </c>
    </row>
    <row r="37" spans="2:7" s="124" customFormat="1" ht="20.25" customHeight="1" x14ac:dyDescent="0.25">
      <c r="B37" s="490"/>
      <c r="C37" s="466" t="s">
        <v>322</v>
      </c>
      <c r="D37" s="465" t="s">
        <v>323</v>
      </c>
      <c r="E37" s="489">
        <v>4326428</v>
      </c>
      <c r="F37" s="489">
        <v>4458460</v>
      </c>
      <c r="G37" s="489">
        <v>4348493.47</v>
      </c>
    </row>
    <row r="38" spans="2:7" s="124" customFormat="1" ht="30" x14ac:dyDescent="0.25">
      <c r="B38" s="490"/>
      <c r="C38" s="466" t="s">
        <v>324</v>
      </c>
      <c r="D38" s="465" t="s">
        <v>325</v>
      </c>
      <c r="E38" s="489">
        <v>6519360</v>
      </c>
      <c r="F38" s="489">
        <v>7174609</v>
      </c>
      <c r="G38" s="489">
        <v>6878499.9400000004</v>
      </c>
    </row>
    <row r="39" spans="2:7" s="124" customFormat="1" x14ac:dyDescent="0.25">
      <c r="B39" s="490"/>
      <c r="C39" s="466" t="s">
        <v>326</v>
      </c>
      <c r="D39" s="466" t="s">
        <v>327</v>
      </c>
      <c r="E39" s="489">
        <v>3605916</v>
      </c>
      <c r="F39" s="489">
        <v>3647231</v>
      </c>
      <c r="G39" s="489">
        <v>3514337.33</v>
      </c>
    </row>
    <row r="40" spans="2:7" s="124" customFormat="1" x14ac:dyDescent="0.25">
      <c r="B40" s="490"/>
      <c r="C40" s="466" t="s">
        <v>328</v>
      </c>
      <c r="D40" s="465" t="s">
        <v>329</v>
      </c>
      <c r="E40" s="489">
        <f>3726690</f>
        <v>3726690</v>
      </c>
      <c r="F40" s="489">
        <v>3889787</v>
      </c>
      <c r="G40" s="489">
        <v>3270441.12</v>
      </c>
    </row>
    <row r="41" spans="2:7" s="124" customFormat="1" ht="12.75" customHeight="1" x14ac:dyDescent="0.25">
      <c r="B41" s="490"/>
      <c r="C41" s="466" t="s">
        <v>330</v>
      </c>
      <c r="D41" s="465" t="s">
        <v>329</v>
      </c>
      <c r="E41" s="489">
        <v>1464896</v>
      </c>
      <c r="F41" s="489">
        <v>1678004</v>
      </c>
      <c r="G41" s="489">
        <v>1313245.58</v>
      </c>
    </row>
    <row r="42" spans="2:7" s="124" customFormat="1" ht="12" customHeight="1" x14ac:dyDescent="0.25">
      <c r="B42" s="490"/>
      <c r="C42" s="466" t="s">
        <v>331</v>
      </c>
      <c r="D42" s="465" t="s">
        <v>332</v>
      </c>
      <c r="E42" s="489">
        <v>846015</v>
      </c>
      <c r="F42" s="489">
        <v>771211</v>
      </c>
      <c r="G42" s="489">
        <v>735375.17</v>
      </c>
    </row>
    <row r="43" spans="2:7" s="124" customFormat="1" x14ac:dyDescent="0.25">
      <c r="B43" s="490"/>
      <c r="C43" s="466" t="s">
        <v>333</v>
      </c>
      <c r="D43" s="465" t="s">
        <v>334</v>
      </c>
      <c r="E43" s="489">
        <v>1157943</v>
      </c>
      <c r="F43" s="489">
        <v>1172891</v>
      </c>
      <c r="G43" s="489">
        <v>1018464.29</v>
      </c>
    </row>
    <row r="44" spans="2:7" s="124" customFormat="1" x14ac:dyDescent="0.25">
      <c r="B44" s="490"/>
      <c r="C44" s="466" t="s">
        <v>335</v>
      </c>
      <c r="D44" s="465" t="s">
        <v>336</v>
      </c>
      <c r="E44" s="489">
        <v>72779</v>
      </c>
      <c r="F44" s="489">
        <v>59488</v>
      </c>
      <c r="G44" s="489">
        <v>58012.03</v>
      </c>
    </row>
    <row r="45" spans="2:7" s="124" customFormat="1" x14ac:dyDescent="0.25">
      <c r="B45" s="616">
        <v>10</v>
      </c>
      <c r="C45" s="752" t="s">
        <v>337</v>
      </c>
      <c r="D45" s="752"/>
      <c r="E45" s="617">
        <f>SUM(E46:E50)</f>
        <v>4120697</v>
      </c>
      <c r="F45" s="617">
        <f>SUM(F46:F50)</f>
        <v>4433551</v>
      </c>
      <c r="G45" s="617">
        <f>SUM(G46:G50)</f>
        <v>4062128.4799999995</v>
      </c>
    </row>
    <row r="46" spans="2:7" s="124" customFormat="1" x14ac:dyDescent="0.25">
      <c r="B46" s="501"/>
      <c r="C46" s="466" t="s">
        <v>338</v>
      </c>
      <c r="D46" s="465" t="s">
        <v>339</v>
      </c>
      <c r="E46" s="489">
        <v>2576273</v>
      </c>
      <c r="F46" s="489">
        <v>2769971</v>
      </c>
      <c r="G46" s="489">
        <v>2514275.2599999998</v>
      </c>
    </row>
    <row r="47" spans="2:7" s="124" customFormat="1" x14ac:dyDescent="0.25">
      <c r="B47" s="490"/>
      <c r="C47" s="466" t="s">
        <v>340</v>
      </c>
      <c r="D47" s="465" t="s">
        <v>341</v>
      </c>
      <c r="E47" s="489">
        <v>852244</v>
      </c>
      <c r="F47" s="489">
        <v>928193</v>
      </c>
      <c r="G47" s="489">
        <v>881501.21</v>
      </c>
    </row>
    <row r="48" spans="2:7" s="124" customFormat="1" x14ac:dyDescent="0.25">
      <c r="B48" s="490"/>
      <c r="C48" s="466" t="s">
        <v>342</v>
      </c>
      <c r="D48" s="465" t="s">
        <v>343</v>
      </c>
      <c r="E48" s="489">
        <v>244042</v>
      </c>
      <c r="F48" s="489">
        <v>233766</v>
      </c>
      <c r="G48" s="489">
        <v>202910.3</v>
      </c>
    </row>
    <row r="49" spans="2:8" s="124" customFormat="1" ht="30" x14ac:dyDescent="0.25">
      <c r="B49" s="490"/>
      <c r="C49" s="466" t="s">
        <v>344</v>
      </c>
      <c r="D49" s="465" t="s">
        <v>345</v>
      </c>
      <c r="E49" s="489">
        <v>149072</v>
      </c>
      <c r="F49" s="489">
        <v>178680</v>
      </c>
      <c r="G49" s="489">
        <v>167612.63</v>
      </c>
    </row>
    <row r="50" spans="2:8" s="124" customFormat="1" x14ac:dyDescent="0.25">
      <c r="B50" s="502"/>
      <c r="C50" s="468" t="s">
        <v>346</v>
      </c>
      <c r="D50" s="468" t="s">
        <v>347</v>
      </c>
      <c r="E50" s="498">
        <v>299066</v>
      </c>
      <c r="F50" s="498">
        <v>322941</v>
      </c>
      <c r="G50" s="498">
        <v>295829.08</v>
      </c>
    </row>
    <row r="51" spans="2:8" s="124" customFormat="1" x14ac:dyDescent="0.3">
      <c r="B51" s="110"/>
      <c r="C51" s="187"/>
      <c r="D51" s="110"/>
      <c r="E51" s="110"/>
      <c r="F51" s="110"/>
      <c r="G51" s="110"/>
    </row>
    <row r="52" spans="2:8" s="124" customFormat="1" x14ac:dyDescent="0.3">
      <c r="B52" s="110"/>
      <c r="C52" s="187"/>
      <c r="D52" s="110"/>
      <c r="E52" s="110"/>
      <c r="F52" s="130"/>
      <c r="G52" s="130"/>
    </row>
    <row r="53" spans="2:8" s="124" customFormat="1" x14ac:dyDescent="0.3">
      <c r="B53" s="110"/>
      <c r="C53" s="187"/>
      <c r="D53" s="110"/>
      <c r="E53" s="110"/>
      <c r="F53" s="110"/>
      <c r="G53" s="130"/>
    </row>
    <row r="54" spans="2:8" s="124" customFormat="1" x14ac:dyDescent="0.3">
      <c r="B54" s="110"/>
      <c r="C54" s="187"/>
      <c r="D54" s="110"/>
      <c r="E54" s="110"/>
      <c r="F54" s="110"/>
      <c r="G54" s="110"/>
    </row>
    <row r="55" spans="2:8" s="124" customFormat="1" ht="26.25" customHeight="1" x14ac:dyDescent="0.3">
      <c r="B55" s="110"/>
      <c r="C55" s="187"/>
      <c r="D55" s="110"/>
      <c r="E55" s="110"/>
      <c r="F55" s="110"/>
      <c r="G55" s="110"/>
    </row>
    <row r="56" spans="2:8" s="124" customFormat="1" x14ac:dyDescent="0.3">
      <c r="B56" s="110"/>
      <c r="C56" s="187"/>
      <c r="D56" s="110"/>
      <c r="E56" s="110"/>
      <c r="F56" s="111"/>
      <c r="G56" s="110"/>
    </row>
    <row r="57" spans="2:8" s="124" customFormat="1" x14ac:dyDescent="0.3">
      <c r="B57" s="110"/>
      <c r="C57" s="187"/>
      <c r="D57" s="110"/>
      <c r="E57" s="110"/>
      <c r="F57" s="111"/>
      <c r="G57" s="110"/>
    </row>
    <row r="58" spans="2:8" s="113" customFormat="1" ht="16.5" x14ac:dyDescent="0.3">
      <c r="B58" s="110"/>
      <c r="C58" s="187"/>
      <c r="D58" s="110"/>
      <c r="E58" s="110"/>
      <c r="F58" s="111"/>
      <c r="G58" s="110"/>
      <c r="H58" s="110"/>
    </row>
    <row r="59" spans="2:8" s="113" customFormat="1" ht="16.5" x14ac:dyDescent="0.3">
      <c r="B59" s="110"/>
      <c r="C59" s="187"/>
      <c r="D59" s="110"/>
      <c r="E59" s="110"/>
      <c r="F59" s="111"/>
      <c r="G59" s="110"/>
      <c r="H59" s="110"/>
    </row>
    <row r="60" spans="2:8" s="113" customFormat="1" ht="16.5" x14ac:dyDescent="0.3">
      <c r="B60" s="110"/>
      <c r="C60" s="187"/>
      <c r="D60" s="110"/>
      <c r="E60" s="110"/>
      <c r="F60" s="111"/>
      <c r="G60" s="110"/>
      <c r="H60" s="110"/>
    </row>
    <row r="61" spans="2:8" s="113" customFormat="1" ht="16.5" x14ac:dyDescent="0.3">
      <c r="B61" s="110"/>
      <c r="C61" s="187"/>
      <c r="D61" s="110"/>
      <c r="E61" s="110"/>
      <c r="F61" s="188"/>
      <c r="G61" s="110"/>
      <c r="H61" s="110"/>
    </row>
  </sheetData>
  <mergeCells count="12">
    <mergeCell ref="C45:D45"/>
    <mergeCell ref="B3:G3"/>
    <mergeCell ref="B5:D5"/>
    <mergeCell ref="B6:D6"/>
    <mergeCell ref="C7:D7"/>
    <mergeCell ref="C12:D12"/>
    <mergeCell ref="C14:D14"/>
    <mergeCell ref="C17:D17"/>
    <mergeCell ref="C22:D22"/>
    <mergeCell ref="C25:D25"/>
    <mergeCell ref="C30:D30"/>
    <mergeCell ref="C35:D35"/>
  </mergeCells>
  <pageMargins left="0.55118110236220474" right="0.19685039370078741" top="0.51181102362204722" bottom="0.39370078740157483" header="0.27559055118110237" footer="0.31496062992125984"/>
  <pageSetup paperSize="9" scale="9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G40"/>
  <sheetViews>
    <sheetView workbookViewId="0"/>
  </sheetViews>
  <sheetFormatPr defaultRowHeight="12.75" x14ac:dyDescent="0.2"/>
  <cols>
    <col min="1" max="1" width="14.42578125" style="2" customWidth="1"/>
    <col min="2" max="2" width="3.42578125" style="2" customWidth="1"/>
    <col min="3" max="3" width="8.7109375" style="499" customWidth="1"/>
    <col min="4" max="4" width="33.140625" style="2" customWidth="1"/>
    <col min="5" max="5" width="14.42578125" style="2" customWidth="1"/>
    <col min="6" max="6" width="14.5703125" style="2" customWidth="1"/>
    <col min="7" max="7" width="16" style="2" customWidth="1"/>
    <col min="8" max="8" width="8.85546875" style="2" customWidth="1"/>
    <col min="9" max="9" width="9.140625" style="2" customWidth="1"/>
    <col min="10" max="16384" width="9.140625" style="2"/>
  </cols>
  <sheetData>
    <row r="2" spans="2:7" ht="16.5" x14ac:dyDescent="0.3">
      <c r="B2" s="110"/>
      <c r="C2" s="156"/>
      <c r="D2" s="169"/>
      <c r="E2" s="170"/>
      <c r="F2" s="170"/>
      <c r="G2" s="171" t="s">
        <v>348</v>
      </c>
    </row>
    <row r="3" spans="2:7" ht="16.5" x14ac:dyDescent="0.3">
      <c r="B3" s="110"/>
      <c r="C3" s="156"/>
      <c r="D3" s="169"/>
      <c r="E3" s="164"/>
      <c r="F3" s="164"/>
      <c r="G3" s="170"/>
    </row>
    <row r="4" spans="2:7" ht="18.75" x14ac:dyDescent="0.2">
      <c r="B4" s="647" t="s">
        <v>658</v>
      </c>
      <c r="C4" s="647"/>
      <c r="D4" s="647"/>
      <c r="E4" s="647"/>
      <c r="F4" s="647"/>
      <c r="G4" s="647"/>
    </row>
    <row r="5" spans="2:7" ht="21" x14ac:dyDescent="0.3">
      <c r="B5" s="110"/>
      <c r="C5" s="172"/>
      <c r="D5" s="172"/>
      <c r="E5" s="172"/>
      <c r="F5" s="172"/>
      <c r="G5" s="172"/>
    </row>
    <row r="6" spans="2:7" ht="30" customHeight="1" x14ac:dyDescent="0.2">
      <c r="B6" s="757" t="s">
        <v>0</v>
      </c>
      <c r="C6" s="757"/>
      <c r="D6" s="757"/>
      <c r="E6" s="503" t="s">
        <v>259</v>
      </c>
      <c r="F6" s="503" t="s">
        <v>260</v>
      </c>
      <c r="G6" s="503" t="s">
        <v>261</v>
      </c>
    </row>
    <row r="7" spans="2:7" s="10" customFormat="1" ht="17.25" customHeight="1" x14ac:dyDescent="0.25">
      <c r="B7" s="758" t="s">
        <v>349</v>
      </c>
      <c r="C7" s="758"/>
      <c r="D7" s="758"/>
      <c r="E7" s="504">
        <f>E8+E13+E17+E20+E23+E27+E10+E34</f>
        <v>14562634</v>
      </c>
      <c r="F7" s="504">
        <f>F8+F13+F17+F20+F23+F27+F10+F34</f>
        <v>18012527</v>
      </c>
      <c r="G7" s="504">
        <f>G8+G13+G17+G20+G23+G27+G10+G34</f>
        <v>6559152.4199999999</v>
      </c>
    </row>
    <row r="8" spans="2:7" ht="14.25" customHeight="1" x14ac:dyDescent="0.3">
      <c r="B8" s="505" t="s">
        <v>263</v>
      </c>
      <c r="C8" s="755" t="s">
        <v>264</v>
      </c>
      <c r="D8" s="755"/>
      <c r="E8" s="506">
        <f>E9</f>
        <v>1393765</v>
      </c>
      <c r="F8" s="506">
        <f>F9</f>
        <v>747634</v>
      </c>
      <c r="G8" s="506">
        <f>G9</f>
        <v>317761.40999999997</v>
      </c>
    </row>
    <row r="9" spans="2:7" ht="15" customHeight="1" x14ac:dyDescent="0.2">
      <c r="B9" s="487"/>
      <c r="C9" s="488" t="s">
        <v>265</v>
      </c>
      <c r="D9" s="465" t="s">
        <v>266</v>
      </c>
      <c r="E9" s="489">
        <v>1393765</v>
      </c>
      <c r="F9" s="489">
        <v>747634</v>
      </c>
      <c r="G9" s="489">
        <v>317761.40999999997</v>
      </c>
    </row>
    <row r="10" spans="2:7" ht="12.75" customHeight="1" x14ac:dyDescent="0.2">
      <c r="B10" s="507" t="s">
        <v>277</v>
      </c>
      <c r="C10" s="756" t="s">
        <v>278</v>
      </c>
      <c r="D10" s="756"/>
      <c r="E10" s="475">
        <f>E11+E12</f>
        <v>24000</v>
      </c>
      <c r="F10" s="475">
        <f t="shared" ref="F10:G10" si="0">F11+F12</f>
        <v>28000</v>
      </c>
      <c r="G10" s="475">
        <f t="shared" si="0"/>
        <v>9000</v>
      </c>
    </row>
    <row r="11" spans="2:7" ht="15" x14ac:dyDescent="0.3">
      <c r="B11" s="490"/>
      <c r="C11" s="488" t="s">
        <v>279</v>
      </c>
      <c r="D11" s="465" t="s">
        <v>280</v>
      </c>
      <c r="E11" s="491">
        <v>19000</v>
      </c>
      <c r="F11" s="491">
        <v>19000</v>
      </c>
      <c r="G11" s="491">
        <v>0</v>
      </c>
    </row>
    <row r="12" spans="2:7" s="46" customFormat="1" ht="15" x14ac:dyDescent="0.3">
      <c r="B12" s="490"/>
      <c r="C12" s="488" t="s">
        <v>666</v>
      </c>
      <c r="D12" s="465" t="s">
        <v>282</v>
      </c>
      <c r="E12" s="491">
        <v>5000</v>
      </c>
      <c r="F12" s="491">
        <v>9000</v>
      </c>
      <c r="G12" s="491">
        <v>9000</v>
      </c>
    </row>
    <row r="13" spans="2:7" ht="15" x14ac:dyDescent="0.3">
      <c r="B13" s="505" t="s">
        <v>283</v>
      </c>
      <c r="C13" s="755" t="s">
        <v>284</v>
      </c>
      <c r="D13" s="755"/>
      <c r="E13" s="506">
        <f>E14+E15+E16</f>
        <v>4863797</v>
      </c>
      <c r="F13" s="506">
        <f>F14+F15+F16</f>
        <v>5177542</v>
      </c>
      <c r="G13" s="506">
        <f t="shared" ref="G13" si="1">G14+G15+G16</f>
        <v>2440387.9699999997</v>
      </c>
    </row>
    <row r="14" spans="2:7" customFormat="1" ht="12.75" customHeight="1" x14ac:dyDescent="0.25">
      <c r="B14" s="492"/>
      <c r="C14" s="488" t="s">
        <v>287</v>
      </c>
      <c r="D14" s="466" t="s">
        <v>288</v>
      </c>
      <c r="E14" s="463">
        <v>209000</v>
      </c>
      <c r="F14" s="463">
        <v>217000</v>
      </c>
      <c r="G14" s="463">
        <v>129945.09</v>
      </c>
    </row>
    <row r="15" spans="2:7" customFormat="1" ht="15" x14ac:dyDescent="0.25">
      <c r="B15" s="487"/>
      <c r="C15" s="493" t="s">
        <v>289</v>
      </c>
      <c r="D15" s="472" t="s">
        <v>290</v>
      </c>
      <c r="E15" s="463">
        <v>4654797</v>
      </c>
      <c r="F15" s="463">
        <v>4954542</v>
      </c>
      <c r="G15" s="463">
        <v>2304485.7799999998</v>
      </c>
    </row>
    <row r="16" spans="2:7" s="91" customFormat="1" ht="15" x14ac:dyDescent="0.25">
      <c r="B16" s="487"/>
      <c r="C16" s="493" t="s">
        <v>291</v>
      </c>
      <c r="D16" s="472" t="s">
        <v>292</v>
      </c>
      <c r="E16" s="463">
        <v>0</v>
      </c>
      <c r="F16" s="463">
        <v>6000</v>
      </c>
      <c r="G16" s="463">
        <v>5957.1</v>
      </c>
    </row>
    <row r="17" spans="2:7" customFormat="1" ht="12.75" customHeight="1" x14ac:dyDescent="0.3">
      <c r="B17" s="505" t="s">
        <v>293</v>
      </c>
      <c r="C17" s="755" t="s">
        <v>294</v>
      </c>
      <c r="D17" s="755"/>
      <c r="E17" s="506">
        <f>E18+E19</f>
        <v>351573</v>
      </c>
      <c r="F17" s="506">
        <f>F18+F19</f>
        <v>505837</v>
      </c>
      <c r="G17" s="506">
        <f>G18+G19</f>
        <v>216922.21</v>
      </c>
    </row>
    <row r="18" spans="2:7" customFormat="1" ht="15.75" x14ac:dyDescent="0.3">
      <c r="B18" s="487"/>
      <c r="C18" s="493" t="s">
        <v>295</v>
      </c>
      <c r="D18" s="472" t="s">
        <v>296</v>
      </c>
      <c r="E18" s="491">
        <v>301573</v>
      </c>
      <c r="F18" s="491">
        <v>455837</v>
      </c>
      <c r="G18" s="491">
        <v>216922.21</v>
      </c>
    </row>
    <row r="19" spans="2:7" customFormat="1" ht="15" x14ac:dyDescent="0.25">
      <c r="B19" s="487"/>
      <c r="C19" s="488" t="s">
        <v>297</v>
      </c>
      <c r="D19" s="465" t="s">
        <v>298</v>
      </c>
      <c r="E19" s="489">
        <v>50000</v>
      </c>
      <c r="F19" s="489">
        <v>50000</v>
      </c>
      <c r="G19" s="489">
        <v>0</v>
      </c>
    </row>
    <row r="20" spans="2:7" customFormat="1" ht="15.75" x14ac:dyDescent="0.3">
      <c r="B20" s="505" t="s">
        <v>299</v>
      </c>
      <c r="C20" s="755" t="s">
        <v>300</v>
      </c>
      <c r="D20" s="755"/>
      <c r="E20" s="506">
        <f>SUM(E21:E22)</f>
        <v>1161081</v>
      </c>
      <c r="F20" s="506">
        <f t="shared" ref="F20:G20" si="2">SUM(F21:F22)</f>
        <v>1268831</v>
      </c>
      <c r="G20" s="506">
        <f t="shared" si="2"/>
        <v>685680.5</v>
      </c>
    </row>
    <row r="21" spans="2:7" customFormat="1" ht="12.75" customHeight="1" x14ac:dyDescent="0.3">
      <c r="B21" s="487"/>
      <c r="C21" s="493" t="s">
        <v>303</v>
      </c>
      <c r="D21" s="472" t="s">
        <v>304</v>
      </c>
      <c r="E21" s="491">
        <v>902081</v>
      </c>
      <c r="F21" s="491">
        <v>1021431</v>
      </c>
      <c r="G21" s="491">
        <v>668488.81000000006</v>
      </c>
    </row>
    <row r="22" spans="2:7" s="91" customFormat="1" ht="12.75" customHeight="1" x14ac:dyDescent="0.3">
      <c r="B22" s="487"/>
      <c r="C22" s="493" t="s">
        <v>305</v>
      </c>
      <c r="D22" s="472" t="s">
        <v>306</v>
      </c>
      <c r="E22" s="491">
        <v>259000</v>
      </c>
      <c r="F22" s="491">
        <v>247400</v>
      </c>
      <c r="G22" s="491">
        <v>17191.689999999999</v>
      </c>
    </row>
    <row r="23" spans="2:7" customFormat="1" ht="16.5" customHeight="1" x14ac:dyDescent="0.25">
      <c r="B23" s="507" t="s">
        <v>308</v>
      </c>
      <c r="C23" s="756" t="s">
        <v>309</v>
      </c>
      <c r="D23" s="756"/>
      <c r="E23" s="475">
        <f>SUM(E24:E26)</f>
        <v>5497087</v>
      </c>
      <c r="F23" s="475">
        <f>SUM(F24:F26)</f>
        <v>8761067</v>
      </c>
      <c r="G23" s="475">
        <f>SUM(G24:G26)</f>
        <v>2207437.1799999997</v>
      </c>
    </row>
    <row r="24" spans="2:7" customFormat="1" ht="15.75" x14ac:dyDescent="0.3">
      <c r="B24" s="487"/>
      <c r="C24" s="493" t="s">
        <v>310</v>
      </c>
      <c r="D24" s="472" t="s">
        <v>311</v>
      </c>
      <c r="E24" s="491">
        <v>2490167</v>
      </c>
      <c r="F24" s="491">
        <v>5721537</v>
      </c>
      <c r="G24" s="491">
        <v>1235889.96</v>
      </c>
    </row>
    <row r="25" spans="2:7" customFormat="1" ht="15.75" x14ac:dyDescent="0.3">
      <c r="B25" s="490"/>
      <c r="C25" s="488" t="s">
        <v>312</v>
      </c>
      <c r="D25" s="465" t="s">
        <v>350</v>
      </c>
      <c r="E25" s="491">
        <v>3000920</v>
      </c>
      <c r="F25" s="491">
        <v>3004130</v>
      </c>
      <c r="G25" s="491">
        <v>955347.22</v>
      </c>
    </row>
    <row r="26" spans="2:7" customFormat="1" ht="15.75" x14ac:dyDescent="0.3">
      <c r="B26" s="487"/>
      <c r="C26" s="493" t="s">
        <v>316</v>
      </c>
      <c r="D26" s="472" t="s">
        <v>351</v>
      </c>
      <c r="E26" s="491">
        <v>6000</v>
      </c>
      <c r="F26" s="491">
        <v>35400</v>
      </c>
      <c r="G26" s="491">
        <v>16200</v>
      </c>
    </row>
    <row r="27" spans="2:7" customFormat="1" ht="21.75" customHeight="1" x14ac:dyDescent="0.25">
      <c r="B27" s="507" t="s">
        <v>318</v>
      </c>
      <c r="C27" s="756" t="s">
        <v>319</v>
      </c>
      <c r="D27" s="756"/>
      <c r="E27" s="475">
        <f>SUM(E28:E33)</f>
        <v>951331</v>
      </c>
      <c r="F27" s="475">
        <f>SUM(F28:F33)</f>
        <v>1182574</v>
      </c>
      <c r="G27" s="475">
        <f>SUM(G28:G33)</f>
        <v>574697.53999999992</v>
      </c>
    </row>
    <row r="28" spans="2:7" customFormat="1" ht="30" x14ac:dyDescent="0.25">
      <c r="B28" s="487"/>
      <c r="C28" s="488" t="s">
        <v>320</v>
      </c>
      <c r="D28" s="466" t="s">
        <v>321</v>
      </c>
      <c r="E28" s="489">
        <v>115000</v>
      </c>
      <c r="F28" s="489">
        <v>217770</v>
      </c>
      <c r="G28" s="489">
        <v>216132.37</v>
      </c>
    </row>
    <row r="29" spans="2:7" s="91" customFormat="1" ht="30" x14ac:dyDescent="0.25">
      <c r="B29" s="487"/>
      <c r="C29" s="488" t="s">
        <v>322</v>
      </c>
      <c r="D29" s="466" t="s">
        <v>669</v>
      </c>
      <c r="E29" s="489">
        <v>15000</v>
      </c>
      <c r="F29" s="489">
        <v>0</v>
      </c>
      <c r="G29" s="489">
        <v>0</v>
      </c>
    </row>
    <row r="30" spans="2:7" customFormat="1" ht="30" x14ac:dyDescent="0.25">
      <c r="B30" s="487"/>
      <c r="C30" s="488" t="s">
        <v>324</v>
      </c>
      <c r="D30" s="465" t="s">
        <v>325</v>
      </c>
      <c r="E30" s="489">
        <v>821331</v>
      </c>
      <c r="F30" s="489">
        <v>898441</v>
      </c>
      <c r="G30" s="489">
        <v>331262.07</v>
      </c>
    </row>
    <row r="31" spans="2:7" s="91" customFormat="1" ht="14.25" customHeight="1" x14ac:dyDescent="0.25">
      <c r="B31" s="487"/>
      <c r="C31" s="488" t="s">
        <v>326</v>
      </c>
      <c r="D31" s="465" t="s">
        <v>667</v>
      </c>
      <c r="E31" s="489">
        <v>0</v>
      </c>
      <c r="F31" s="489">
        <v>31000</v>
      </c>
      <c r="G31" s="489">
        <v>0</v>
      </c>
    </row>
    <row r="32" spans="2:7" s="91" customFormat="1" ht="30" x14ac:dyDescent="0.25">
      <c r="B32" s="487"/>
      <c r="C32" s="488" t="s">
        <v>331</v>
      </c>
      <c r="D32" s="465" t="s">
        <v>668</v>
      </c>
      <c r="E32" s="489">
        <v>0</v>
      </c>
      <c r="F32" s="489">
        <v>5522</v>
      </c>
      <c r="G32" s="489">
        <v>5522.1</v>
      </c>
    </row>
    <row r="33" spans="2:7" customFormat="1" ht="30" x14ac:dyDescent="0.25">
      <c r="B33" s="487"/>
      <c r="C33" s="488" t="s">
        <v>333</v>
      </c>
      <c r="D33" s="465" t="s">
        <v>334</v>
      </c>
      <c r="E33" s="489">
        <v>0</v>
      </c>
      <c r="F33" s="489">
        <v>29841</v>
      </c>
      <c r="G33" s="489">
        <v>21781</v>
      </c>
    </row>
    <row r="34" spans="2:7" customFormat="1" ht="15" x14ac:dyDescent="0.25">
      <c r="B34" s="507" t="s">
        <v>352</v>
      </c>
      <c r="C34" s="756" t="s">
        <v>337</v>
      </c>
      <c r="D34" s="756"/>
      <c r="E34" s="475">
        <f>SUM(E35:E37)</f>
        <v>320000</v>
      </c>
      <c r="F34" s="475">
        <f>SUM(F35:F37)</f>
        <v>341042</v>
      </c>
      <c r="G34" s="475">
        <f>SUM(G35:G37)</f>
        <v>107265.60999999999</v>
      </c>
    </row>
    <row r="35" spans="2:7" s="57" customFormat="1" ht="15" x14ac:dyDescent="0.25">
      <c r="B35" s="487"/>
      <c r="C35" s="488" t="s">
        <v>340</v>
      </c>
      <c r="D35" s="494" t="s">
        <v>488</v>
      </c>
      <c r="E35" s="489">
        <v>20000</v>
      </c>
      <c r="F35" s="489">
        <v>53042</v>
      </c>
      <c r="G35" s="489">
        <v>49698.02</v>
      </c>
    </row>
    <row r="36" spans="2:7" s="57" customFormat="1" ht="15" x14ac:dyDescent="0.25">
      <c r="B36" s="487"/>
      <c r="C36" s="488" t="s">
        <v>342</v>
      </c>
      <c r="D36" s="494" t="s">
        <v>343</v>
      </c>
      <c r="E36" s="489">
        <v>0</v>
      </c>
      <c r="F36" s="489">
        <v>8000</v>
      </c>
      <c r="G36" s="489">
        <v>7788</v>
      </c>
    </row>
    <row r="37" spans="2:7" customFormat="1" ht="30" customHeight="1" x14ac:dyDescent="0.25">
      <c r="B37" s="495"/>
      <c r="C37" s="496" t="s">
        <v>338</v>
      </c>
      <c r="D37" s="497" t="s">
        <v>353</v>
      </c>
      <c r="E37" s="498">
        <v>300000</v>
      </c>
      <c r="F37" s="498">
        <v>280000</v>
      </c>
      <c r="G37" s="498">
        <v>49779.59</v>
      </c>
    </row>
    <row r="39" spans="2:7" customFormat="1" ht="15" x14ac:dyDescent="0.25">
      <c r="B39" s="2"/>
      <c r="C39" s="499"/>
      <c r="D39" s="2"/>
      <c r="E39" s="2"/>
      <c r="F39" s="21"/>
      <c r="G39" s="2"/>
    </row>
    <row r="40" spans="2:7" customFormat="1" ht="15" x14ac:dyDescent="0.25">
      <c r="B40" s="2"/>
      <c r="C40" s="499"/>
      <c r="D40" s="2"/>
      <c r="E40" s="21"/>
      <c r="F40" s="2"/>
      <c r="G40" s="2"/>
    </row>
  </sheetData>
  <mergeCells count="11">
    <mergeCell ref="C13:D13"/>
    <mergeCell ref="B4:G4"/>
    <mergeCell ref="B6:D6"/>
    <mergeCell ref="B7:D7"/>
    <mergeCell ref="C8:D8"/>
    <mergeCell ref="C10:D10"/>
    <mergeCell ref="C17:D17"/>
    <mergeCell ref="C20:D20"/>
    <mergeCell ref="C23:D23"/>
    <mergeCell ref="C27:D27"/>
    <mergeCell ref="C34:D34"/>
  </mergeCells>
  <pageMargins left="0.63000000000000012" right="0.29000000000000004" top="0.96000000000000019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1"/>
  <sheetViews>
    <sheetView workbookViewId="0"/>
  </sheetViews>
  <sheetFormatPr defaultRowHeight="14.25" x14ac:dyDescent="0.2"/>
  <cols>
    <col min="1" max="1" width="5.140625" style="1" customWidth="1"/>
    <col min="2" max="2" width="24.140625" style="1" customWidth="1"/>
    <col min="3" max="3" width="13.28515625" style="1" customWidth="1"/>
    <col min="4" max="4" width="12.85546875" style="1" customWidth="1"/>
    <col min="5" max="5" width="12.7109375" style="1" customWidth="1"/>
    <col min="6" max="6" width="12.28515625" style="1" customWidth="1"/>
    <col min="7" max="7" width="13.5703125" style="1" customWidth="1"/>
    <col min="8" max="8" width="15.4257812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2:9" ht="16.5" x14ac:dyDescent="0.3">
      <c r="B1" s="113"/>
      <c r="C1" s="113"/>
      <c r="D1" s="113"/>
      <c r="E1" s="113"/>
      <c r="F1" s="113"/>
      <c r="G1" s="113"/>
      <c r="H1" s="110" t="s">
        <v>43</v>
      </c>
    </row>
    <row r="2" spans="2:9" ht="21" x14ac:dyDescent="0.35">
      <c r="B2" s="640" t="s">
        <v>44</v>
      </c>
      <c r="C2" s="640"/>
      <c r="D2" s="640"/>
      <c r="E2" s="640"/>
      <c r="F2" s="640"/>
      <c r="G2" s="640"/>
      <c r="H2" s="640"/>
    </row>
    <row r="3" spans="2:9" ht="36.75" customHeight="1" x14ac:dyDescent="0.3">
      <c r="B3" s="113"/>
      <c r="C3" s="113"/>
      <c r="D3" s="113"/>
      <c r="E3" s="113"/>
      <c r="F3" s="113"/>
      <c r="G3" s="113"/>
      <c r="H3" s="113"/>
    </row>
    <row r="4" spans="2:9" ht="17.25" x14ac:dyDescent="0.35">
      <c r="B4" s="230" t="s">
        <v>868</v>
      </c>
      <c r="C4" s="230"/>
      <c r="D4" s="230"/>
      <c r="E4" s="231">
        <f>SUM(E5:E12)</f>
        <v>726127.56999999983</v>
      </c>
      <c r="F4" s="155"/>
      <c r="G4" s="155"/>
      <c r="H4" s="113"/>
    </row>
    <row r="5" spans="2:9" ht="17.25" x14ac:dyDescent="0.35">
      <c r="B5" s="641" t="s">
        <v>45</v>
      </c>
      <c r="C5" s="641"/>
      <c r="D5" s="641"/>
      <c r="E5" s="201">
        <v>28396.09</v>
      </c>
      <c r="F5" s="155"/>
      <c r="G5" s="155"/>
      <c r="H5" s="113"/>
    </row>
    <row r="6" spans="2:9" ht="16.5" customHeight="1" x14ac:dyDescent="0.35">
      <c r="B6" s="641" t="s">
        <v>46</v>
      </c>
      <c r="C6" s="641"/>
      <c r="D6" s="641"/>
      <c r="E6" s="201">
        <v>4875.3500000000004</v>
      </c>
      <c r="F6" s="155"/>
      <c r="G6" s="155"/>
      <c r="H6" s="113"/>
    </row>
    <row r="7" spans="2:9" ht="15" customHeight="1" x14ac:dyDescent="0.35">
      <c r="B7" s="641" t="s">
        <v>47</v>
      </c>
      <c r="C7" s="641"/>
      <c r="D7" s="641"/>
      <c r="E7" s="201">
        <v>497537.5</v>
      </c>
      <c r="F7" s="155"/>
      <c r="G7" s="155"/>
      <c r="H7" s="113"/>
    </row>
    <row r="8" spans="2:9" ht="15" customHeight="1" x14ac:dyDescent="0.35">
      <c r="B8" s="641" t="s">
        <v>48</v>
      </c>
      <c r="C8" s="641"/>
      <c r="D8" s="641"/>
      <c r="E8" s="201">
        <v>5753.95</v>
      </c>
      <c r="F8" s="155"/>
      <c r="G8" s="155"/>
      <c r="H8" s="113"/>
    </row>
    <row r="9" spans="2:9" ht="17.25" x14ac:dyDescent="0.35">
      <c r="B9" s="639" t="s">
        <v>49</v>
      </c>
      <c r="C9" s="639"/>
      <c r="D9" s="639"/>
      <c r="E9" s="215">
        <v>8259.73</v>
      </c>
      <c r="F9" s="155"/>
      <c r="G9" s="155"/>
      <c r="H9" s="113"/>
    </row>
    <row r="10" spans="2:9" ht="17.25" x14ac:dyDescent="0.35">
      <c r="B10" s="200" t="s">
        <v>50</v>
      </c>
      <c r="C10" s="200"/>
      <c r="D10" s="200"/>
      <c r="E10" s="215">
        <v>2848.26</v>
      </c>
      <c r="F10" s="155"/>
      <c r="G10" s="155"/>
      <c r="H10" s="113"/>
    </row>
    <row r="11" spans="2:9" ht="17.25" x14ac:dyDescent="0.35">
      <c r="B11" s="200" t="s">
        <v>51</v>
      </c>
      <c r="C11" s="200"/>
      <c r="D11" s="200"/>
      <c r="E11" s="215">
        <v>11452.57</v>
      </c>
      <c r="F11" s="155"/>
      <c r="G11" s="155"/>
      <c r="H11" s="113"/>
    </row>
    <row r="12" spans="2:9" ht="17.25" x14ac:dyDescent="0.35">
      <c r="B12" s="216" t="s">
        <v>663</v>
      </c>
      <c r="C12" s="217"/>
      <c r="D12" s="217"/>
      <c r="E12" s="218">
        <v>167004.12</v>
      </c>
      <c r="F12" s="155"/>
      <c r="G12" s="155"/>
      <c r="H12" s="113"/>
    </row>
    <row r="13" spans="2:9" ht="9.75" customHeight="1" x14ac:dyDescent="0.35">
      <c r="B13" s="211"/>
      <c r="C13" s="211"/>
      <c r="D13" s="211"/>
      <c r="E13" s="212"/>
      <c r="F13" s="155"/>
      <c r="G13" s="155"/>
      <c r="H13" s="113"/>
    </row>
    <row r="14" spans="2:9" ht="13.5" customHeight="1" x14ac:dyDescent="0.35">
      <c r="B14" s="155"/>
      <c r="C14" s="155"/>
      <c r="D14" s="155"/>
      <c r="E14" s="155"/>
      <c r="F14" s="155"/>
      <c r="G14" s="155"/>
      <c r="H14" s="113"/>
    </row>
    <row r="15" spans="2:9" s="4" customFormat="1" ht="54" x14ac:dyDescent="0.25">
      <c r="B15" s="219" t="s">
        <v>52</v>
      </c>
      <c r="C15" s="289" t="s">
        <v>869</v>
      </c>
      <c r="D15" s="289" t="s">
        <v>870</v>
      </c>
      <c r="E15" s="289" t="s">
        <v>871</v>
      </c>
      <c r="F15" s="289" t="s">
        <v>872</v>
      </c>
      <c r="G15" s="289" t="s">
        <v>873</v>
      </c>
      <c r="H15" s="158"/>
      <c r="I15" s="5"/>
    </row>
    <row r="16" spans="2:9" ht="16.5" x14ac:dyDescent="0.35">
      <c r="B16" s="221" t="s">
        <v>53</v>
      </c>
      <c r="C16" s="222">
        <v>31209.69</v>
      </c>
      <c r="D16" s="222">
        <v>21587.95</v>
      </c>
      <c r="E16" s="222"/>
      <c r="F16" s="222">
        <v>46102.26</v>
      </c>
      <c r="G16" s="222">
        <v>86023.08</v>
      </c>
      <c r="H16" s="159"/>
      <c r="I16" s="6"/>
    </row>
    <row r="17" spans="2:9" ht="16.5" x14ac:dyDescent="0.35">
      <c r="B17" s="221" t="s">
        <v>54</v>
      </c>
      <c r="C17" s="222">
        <v>11120.26</v>
      </c>
      <c r="D17" s="222">
        <v>7569.42</v>
      </c>
      <c r="E17" s="222"/>
      <c r="F17" s="222">
        <v>18607.849999999999</v>
      </c>
      <c r="G17" s="222">
        <v>30895.16</v>
      </c>
      <c r="H17" s="159"/>
      <c r="I17" s="6"/>
    </row>
    <row r="18" spans="2:9" ht="16.5" x14ac:dyDescent="0.35">
      <c r="B18" s="221" t="s">
        <v>55</v>
      </c>
      <c r="C18" s="222">
        <f>C19+C20+C21+C22+C23+C24</f>
        <v>17204.260000000002</v>
      </c>
      <c r="D18" s="222">
        <f>D19+D20+D21+D22+D23+D24</f>
        <v>13188.38</v>
      </c>
      <c r="E18" s="222">
        <f>E19+E20+E21+E22+E23+E24</f>
        <v>220.92000000000002</v>
      </c>
      <c r="F18" s="222">
        <f>F19+F20+F21+F22+F23+F24</f>
        <v>463927.74</v>
      </c>
      <c r="G18" s="222">
        <f>+G19+G20+G21+G22+G23+G24</f>
        <v>466368.45999999996</v>
      </c>
      <c r="H18" s="159"/>
      <c r="I18" s="6"/>
    </row>
    <row r="19" spans="2:9" ht="16.5" x14ac:dyDescent="0.35">
      <c r="B19" s="220" t="s">
        <v>56</v>
      </c>
      <c r="C19" s="201">
        <v>5457.15</v>
      </c>
      <c r="D19" s="201">
        <v>3483.9</v>
      </c>
      <c r="E19" s="201"/>
      <c r="F19" s="201">
        <v>387418.96</v>
      </c>
      <c r="G19" s="201"/>
      <c r="H19" s="160"/>
      <c r="I19" s="6"/>
    </row>
    <row r="20" spans="2:9" ht="16.5" x14ac:dyDescent="0.35">
      <c r="B20" s="220" t="s">
        <v>57</v>
      </c>
      <c r="C20" s="201">
        <v>2622.68</v>
      </c>
      <c r="D20" s="201">
        <v>2323.67</v>
      </c>
      <c r="E20" s="201">
        <v>94.8</v>
      </c>
      <c r="F20" s="201">
        <v>30715.45</v>
      </c>
      <c r="G20" s="201">
        <v>14864.01</v>
      </c>
      <c r="H20" s="160"/>
      <c r="I20" s="6"/>
    </row>
    <row r="21" spans="2:9" ht="16.5" x14ac:dyDescent="0.35">
      <c r="B21" s="220" t="s">
        <v>58</v>
      </c>
      <c r="C21" s="201">
        <v>0</v>
      </c>
      <c r="D21" s="201">
        <v>0</v>
      </c>
      <c r="E21" s="201">
        <v>126.12</v>
      </c>
      <c r="F21" s="201">
        <v>5596.22</v>
      </c>
      <c r="G21" s="201">
        <v>14567.85</v>
      </c>
      <c r="H21" s="160"/>
      <c r="I21" s="6"/>
    </row>
    <row r="22" spans="2:9" ht="16.5" x14ac:dyDescent="0.35">
      <c r="B22" s="220" t="s">
        <v>59</v>
      </c>
      <c r="C22" s="201">
        <v>6476.68</v>
      </c>
      <c r="D22" s="201">
        <v>42</v>
      </c>
      <c r="E22" s="201"/>
      <c r="F22" s="201">
        <v>7623.68</v>
      </c>
      <c r="G22" s="201">
        <v>429625.85</v>
      </c>
      <c r="H22" s="160"/>
      <c r="I22" s="6"/>
    </row>
    <row r="23" spans="2:9" ht="16.5" x14ac:dyDescent="0.35">
      <c r="B23" s="220" t="s">
        <v>60</v>
      </c>
      <c r="C23" s="201">
        <v>0</v>
      </c>
      <c r="D23" s="201">
        <v>1579.95</v>
      </c>
      <c r="E23" s="201"/>
      <c r="F23" s="201">
        <v>0</v>
      </c>
      <c r="G23" s="201">
        <v>0</v>
      </c>
      <c r="H23" s="160"/>
      <c r="I23" s="6"/>
    </row>
    <row r="24" spans="2:9" ht="16.5" x14ac:dyDescent="0.35">
      <c r="B24" s="220" t="s">
        <v>61</v>
      </c>
      <c r="C24" s="201">
        <v>2647.75</v>
      </c>
      <c r="D24" s="201">
        <v>5758.86</v>
      </c>
      <c r="E24" s="201"/>
      <c r="F24" s="201">
        <v>32573.43</v>
      </c>
      <c r="G24" s="201">
        <v>7310.75</v>
      </c>
      <c r="H24" s="160"/>
      <c r="I24" s="6"/>
    </row>
    <row r="25" spans="2:9" ht="16.5" x14ac:dyDescent="0.35">
      <c r="B25" s="221" t="s">
        <v>62</v>
      </c>
      <c r="C25" s="222">
        <v>258.87</v>
      </c>
      <c r="D25" s="222">
        <v>197.88</v>
      </c>
      <c r="E25" s="222"/>
      <c r="F25" s="222">
        <v>199.97</v>
      </c>
      <c r="G25" s="222">
        <v>416.46</v>
      </c>
      <c r="H25" s="159"/>
      <c r="I25" s="6"/>
    </row>
    <row r="26" spans="2:9" s="7" customFormat="1" ht="3.75" customHeight="1" x14ac:dyDescent="0.35">
      <c r="B26" s="223"/>
      <c r="C26" s="224"/>
      <c r="D26" s="224"/>
      <c r="E26" s="224"/>
      <c r="F26" s="224"/>
      <c r="G26" s="225"/>
      <c r="H26" s="161"/>
      <c r="I26" s="8"/>
    </row>
    <row r="27" spans="2:9" ht="20.25" customHeight="1" x14ac:dyDescent="0.35">
      <c r="B27" s="226" t="s">
        <v>63</v>
      </c>
      <c r="C27" s="198">
        <f>C16+C17+C18+C25</f>
        <v>59793.08</v>
      </c>
      <c r="D27" s="198">
        <f>D16+D17+D18+D25</f>
        <v>42543.63</v>
      </c>
      <c r="E27" s="198">
        <f>E16+E17+E18+E25</f>
        <v>220.92000000000002</v>
      </c>
      <c r="F27" s="198">
        <f>F16+F17+F18+F25</f>
        <v>528837.81999999995</v>
      </c>
      <c r="G27" s="198">
        <f>G16+G17+G18+G25</f>
        <v>583703.15999999992</v>
      </c>
      <c r="H27" s="162"/>
      <c r="I27" s="9"/>
    </row>
    <row r="28" spans="2:9" s="10" customFormat="1" ht="16.5" x14ac:dyDescent="0.25">
      <c r="B28" s="226" t="s">
        <v>64</v>
      </c>
      <c r="C28" s="227">
        <v>0</v>
      </c>
      <c r="D28" s="227">
        <v>0</v>
      </c>
      <c r="E28" s="227">
        <v>0</v>
      </c>
      <c r="F28" s="227">
        <v>5868</v>
      </c>
      <c r="G28" s="227">
        <v>0</v>
      </c>
      <c r="H28" s="139"/>
    </row>
    <row r="29" spans="2:9" ht="17.25" x14ac:dyDescent="0.35">
      <c r="B29" s="155"/>
      <c r="C29" s="155"/>
      <c r="D29" s="155"/>
      <c r="E29" s="155"/>
      <c r="F29" s="155"/>
      <c r="G29" s="155"/>
      <c r="H29" s="113"/>
    </row>
    <row r="30" spans="2:9" s="4" customFormat="1" ht="54" x14ac:dyDescent="0.25">
      <c r="B30" s="219" t="s">
        <v>52</v>
      </c>
      <c r="C30" s="289" t="s">
        <v>875</v>
      </c>
      <c r="D30" s="289" t="s">
        <v>874</v>
      </c>
      <c r="E30" s="289" t="s">
        <v>876</v>
      </c>
      <c r="F30" s="289" t="s">
        <v>877</v>
      </c>
      <c r="G30" s="289" t="s">
        <v>878</v>
      </c>
      <c r="H30" s="158"/>
      <c r="I30" s="11"/>
    </row>
    <row r="31" spans="2:9" ht="16.5" x14ac:dyDescent="0.35">
      <c r="B31" s="221" t="s">
        <v>53</v>
      </c>
      <c r="C31" s="222">
        <v>67644.539999999994</v>
      </c>
      <c r="D31" s="222">
        <v>151757.54999999999</v>
      </c>
      <c r="E31" s="222"/>
      <c r="F31" s="222">
        <v>38228.75</v>
      </c>
      <c r="G31" s="222">
        <v>0</v>
      </c>
      <c r="H31" s="159"/>
      <c r="I31" s="12"/>
    </row>
    <row r="32" spans="2:9" ht="16.5" x14ac:dyDescent="0.35">
      <c r="B32" s="221" t="s">
        <v>54</v>
      </c>
      <c r="C32" s="222">
        <v>24439.71</v>
      </c>
      <c r="D32" s="222">
        <v>66596.06</v>
      </c>
      <c r="E32" s="222"/>
      <c r="F32" s="222">
        <v>13855.91</v>
      </c>
      <c r="G32" s="222">
        <v>0</v>
      </c>
      <c r="H32" s="159"/>
      <c r="I32" s="12"/>
    </row>
    <row r="33" spans="2:10" ht="16.5" x14ac:dyDescent="0.35">
      <c r="B33" s="221" t="s">
        <v>55</v>
      </c>
      <c r="C33" s="222">
        <f>C34+C35+C36+C37+C38+C39</f>
        <v>244890.77</v>
      </c>
      <c r="D33" s="222">
        <f>D34+D35+D36+D37+D38+D39</f>
        <v>312408.42</v>
      </c>
      <c r="E33" s="222">
        <f>E34+E35+E36+E37+E38+E39</f>
        <v>556.79999999999995</v>
      </c>
      <c r="F33" s="222">
        <f>F34+F35+F36+F37+F38+F39</f>
        <v>60572.77</v>
      </c>
      <c r="G33" s="222">
        <f>G34+G35+G36+G37+G38+G39</f>
        <v>2785</v>
      </c>
      <c r="H33" s="159"/>
      <c r="I33" s="12"/>
    </row>
    <row r="34" spans="2:10" ht="16.5" x14ac:dyDescent="0.35">
      <c r="B34" s="220" t="s">
        <v>56</v>
      </c>
      <c r="C34" s="201">
        <v>175415.4</v>
      </c>
      <c r="D34" s="201">
        <v>175634.08</v>
      </c>
      <c r="E34" s="201"/>
      <c r="F34" s="201">
        <v>612.92999999999995</v>
      </c>
      <c r="G34" s="201">
        <v>0</v>
      </c>
      <c r="H34" s="160"/>
      <c r="I34" s="13"/>
    </row>
    <row r="35" spans="2:10" ht="16.5" x14ac:dyDescent="0.35">
      <c r="B35" s="220" t="s">
        <v>57</v>
      </c>
      <c r="C35" s="201">
        <v>13969.5</v>
      </c>
      <c r="D35" s="201">
        <v>42770.43</v>
      </c>
      <c r="E35" s="201"/>
      <c r="F35" s="201">
        <v>36029.519999999997</v>
      </c>
      <c r="G35" s="201">
        <v>0</v>
      </c>
      <c r="H35" s="160"/>
      <c r="I35" s="13"/>
    </row>
    <row r="36" spans="2:10" ht="16.5" x14ac:dyDescent="0.35">
      <c r="B36" s="220" t="s">
        <v>58</v>
      </c>
      <c r="C36" s="201">
        <v>0</v>
      </c>
      <c r="D36" s="201">
        <v>0</v>
      </c>
      <c r="E36" s="201"/>
      <c r="F36" s="201">
        <v>1422.63</v>
      </c>
      <c r="G36" s="201">
        <v>0</v>
      </c>
      <c r="H36" s="160"/>
      <c r="I36" s="13"/>
    </row>
    <row r="37" spans="2:10" ht="16.5" x14ac:dyDescent="0.35">
      <c r="B37" s="220" t="s">
        <v>59</v>
      </c>
      <c r="C37" s="201">
        <v>29328.82</v>
      </c>
      <c r="D37" s="201">
        <v>25977.21</v>
      </c>
      <c r="E37" s="201"/>
      <c r="F37" s="201">
        <v>14289.5</v>
      </c>
      <c r="G37" s="201">
        <v>2785</v>
      </c>
      <c r="H37" s="160"/>
      <c r="I37" s="13"/>
    </row>
    <row r="38" spans="2:10" ht="16.5" x14ac:dyDescent="0.35">
      <c r="B38" s="220" t="s">
        <v>60</v>
      </c>
      <c r="C38" s="201">
        <v>0</v>
      </c>
      <c r="D38" s="201"/>
      <c r="E38" s="201"/>
      <c r="F38" s="201">
        <v>771.3</v>
      </c>
      <c r="G38" s="201">
        <v>0</v>
      </c>
      <c r="H38" s="160"/>
      <c r="I38" s="13"/>
    </row>
    <row r="39" spans="2:10" ht="16.5" x14ac:dyDescent="0.35">
      <c r="B39" s="220" t="s">
        <v>61</v>
      </c>
      <c r="C39" s="201">
        <v>26177.05</v>
      </c>
      <c r="D39" s="201">
        <v>68026.7</v>
      </c>
      <c r="E39" s="201">
        <v>556.79999999999995</v>
      </c>
      <c r="F39" s="201">
        <v>7446.89</v>
      </c>
      <c r="G39" s="201">
        <v>0</v>
      </c>
      <c r="H39" s="160"/>
      <c r="I39" s="13"/>
    </row>
    <row r="40" spans="2:10" ht="16.5" x14ac:dyDescent="0.35">
      <c r="B40" s="221" t="s">
        <v>62</v>
      </c>
      <c r="C40" s="222">
        <v>748.34</v>
      </c>
      <c r="D40" s="222">
        <v>1901</v>
      </c>
      <c r="E40" s="222"/>
      <c r="F40" s="222">
        <v>462.05</v>
      </c>
      <c r="G40" s="222">
        <v>0</v>
      </c>
      <c r="H40" s="159"/>
      <c r="I40" s="13"/>
    </row>
    <row r="41" spans="2:10" s="14" customFormat="1" ht="6.75" customHeight="1" x14ac:dyDescent="0.35">
      <c r="B41" s="228"/>
      <c r="C41" s="225"/>
      <c r="D41" s="225"/>
      <c r="E41" s="225"/>
      <c r="F41" s="225"/>
      <c r="G41" s="225"/>
      <c r="H41" s="161"/>
      <c r="I41" s="13"/>
    </row>
    <row r="42" spans="2:10" ht="18.75" customHeight="1" x14ac:dyDescent="0.35">
      <c r="B42" s="226" t="s">
        <v>63</v>
      </c>
      <c r="C42" s="198">
        <f>C31+C32+C33+C40</f>
        <v>337723.36000000004</v>
      </c>
      <c r="D42" s="198">
        <f>D31+D32+D33+D40</f>
        <v>532663.03</v>
      </c>
      <c r="E42" s="198">
        <f>E31+E32+E33+E40</f>
        <v>556.79999999999995</v>
      </c>
      <c r="F42" s="198">
        <f>F31+F32+F33+F40</f>
        <v>113119.48</v>
      </c>
      <c r="G42" s="198">
        <f>G31+G32+G33+G40</f>
        <v>2785</v>
      </c>
      <c r="H42" s="162"/>
      <c r="I42" s="15"/>
    </row>
    <row r="43" spans="2:10" ht="17.25" x14ac:dyDescent="0.35">
      <c r="B43" s="155"/>
      <c r="C43" s="155"/>
      <c r="D43" s="155"/>
      <c r="E43" s="155"/>
      <c r="F43" s="155"/>
      <c r="G43" s="155"/>
      <c r="H43" s="113"/>
    </row>
    <row r="44" spans="2:10" customFormat="1" ht="17.25" x14ac:dyDescent="0.35">
      <c r="B44" s="155"/>
      <c r="C44" s="155"/>
      <c r="D44" s="155"/>
      <c r="E44" s="155"/>
      <c r="F44" s="155"/>
      <c r="G44" s="155"/>
      <c r="H44" s="113"/>
      <c r="I44" s="1"/>
      <c r="J44" s="1"/>
    </row>
    <row r="45" spans="2:10" customFormat="1" ht="17.25" x14ac:dyDescent="0.35">
      <c r="B45" s="155"/>
      <c r="C45" s="155"/>
      <c r="D45" s="155"/>
      <c r="E45" s="155"/>
      <c r="F45" s="155"/>
      <c r="G45" s="155"/>
      <c r="H45" s="113"/>
      <c r="I45" s="1"/>
      <c r="J45" s="1"/>
    </row>
    <row r="46" spans="2:10" customFormat="1" ht="17.25" x14ac:dyDescent="0.35">
      <c r="B46" s="155"/>
      <c r="C46" s="155"/>
      <c r="D46" s="155"/>
      <c r="E46" s="155"/>
      <c r="F46" s="155"/>
      <c r="G46" s="155"/>
      <c r="H46" s="113"/>
      <c r="I46" s="1"/>
      <c r="J46" s="1"/>
    </row>
    <row r="47" spans="2:10" s="184" customFormat="1" ht="17.25" x14ac:dyDescent="0.35">
      <c r="B47" s="155"/>
      <c r="C47" s="155"/>
      <c r="D47" s="155"/>
      <c r="E47" s="155"/>
      <c r="F47" s="155"/>
      <c r="G47" s="155"/>
      <c r="H47" s="113"/>
      <c r="I47" s="183"/>
      <c r="J47" s="183"/>
    </row>
    <row r="48" spans="2:10" s="184" customFormat="1" ht="17.25" x14ac:dyDescent="0.35">
      <c r="B48" s="155"/>
      <c r="C48" s="155"/>
      <c r="D48" s="155"/>
      <c r="E48" s="155"/>
      <c r="F48" s="155"/>
      <c r="G48" s="155"/>
      <c r="H48" s="113"/>
      <c r="I48" s="183"/>
      <c r="J48" s="183"/>
    </row>
    <row r="49" spans="2:10" s="184" customFormat="1" ht="17.25" x14ac:dyDescent="0.35">
      <c r="B49" s="155"/>
      <c r="C49" s="155"/>
      <c r="D49" s="155"/>
      <c r="E49" s="155"/>
      <c r="F49" s="155"/>
      <c r="G49" s="155"/>
      <c r="H49" s="113"/>
      <c r="I49" s="183"/>
      <c r="J49" s="183"/>
    </row>
    <row r="50" spans="2:10" s="184" customFormat="1" ht="17.25" x14ac:dyDescent="0.35">
      <c r="B50" s="155"/>
      <c r="C50" s="155"/>
      <c r="D50" s="155"/>
      <c r="E50" s="155"/>
      <c r="F50" s="155"/>
      <c r="G50" s="155"/>
      <c r="H50" s="113"/>
      <c r="I50" s="183"/>
      <c r="J50" s="183"/>
    </row>
    <row r="51" spans="2:10" s="184" customFormat="1" ht="17.25" x14ac:dyDescent="0.35">
      <c r="B51" s="155"/>
      <c r="C51" s="155"/>
      <c r="D51" s="155"/>
      <c r="E51" s="155"/>
      <c r="F51" s="155"/>
      <c r="G51" s="155"/>
      <c r="H51" s="113"/>
      <c r="I51" s="183"/>
      <c r="J51" s="183"/>
    </row>
    <row r="52" spans="2:10" customFormat="1" ht="17.25" x14ac:dyDescent="0.35">
      <c r="B52" s="155"/>
      <c r="C52" s="155"/>
      <c r="D52" s="155"/>
      <c r="E52" s="155"/>
      <c r="F52" s="155"/>
      <c r="G52" s="155"/>
      <c r="H52" s="113"/>
      <c r="I52" s="1"/>
      <c r="J52" s="1"/>
    </row>
    <row r="53" spans="2:10" customFormat="1" ht="17.25" x14ac:dyDescent="0.35">
      <c r="B53" s="155"/>
      <c r="C53" s="155"/>
      <c r="D53" s="155"/>
      <c r="E53" s="155"/>
      <c r="F53" s="155"/>
      <c r="G53" s="155"/>
      <c r="H53" s="113"/>
      <c r="I53" s="1"/>
      <c r="J53" s="1"/>
    </row>
    <row r="54" spans="2:10" s="4" customFormat="1" ht="54" x14ac:dyDescent="0.25">
      <c r="B54" s="219" t="s">
        <v>52</v>
      </c>
      <c r="C54" s="289" t="s">
        <v>879</v>
      </c>
      <c r="D54" s="289" t="s">
        <v>880</v>
      </c>
      <c r="E54" s="289" t="s">
        <v>881</v>
      </c>
      <c r="F54" s="289" t="s">
        <v>882</v>
      </c>
      <c r="G54" s="292" t="s">
        <v>67</v>
      </c>
      <c r="H54" s="156"/>
    </row>
    <row r="55" spans="2:10" customFormat="1" ht="17.25" x14ac:dyDescent="0.35">
      <c r="B55" s="221" t="s">
        <v>53</v>
      </c>
      <c r="C55" s="222">
        <v>150846.01</v>
      </c>
      <c r="D55" s="222">
        <v>93392.17</v>
      </c>
      <c r="E55" s="222"/>
      <c r="F55" s="222">
        <v>225745.51</v>
      </c>
      <c r="G55" s="235">
        <f>F55+E55+D55+C55+C31+D31+E31+F31+C16+D16+E16+F16+G16</f>
        <v>912537.50999999989</v>
      </c>
      <c r="H55" s="113"/>
      <c r="I55" s="6"/>
    </row>
    <row r="56" spans="2:10" customFormat="1" ht="17.25" x14ac:dyDescent="0.35">
      <c r="B56" s="221" t="s">
        <v>65</v>
      </c>
      <c r="C56" s="222">
        <v>54253.81</v>
      </c>
      <c r="D56" s="222">
        <v>32449.4</v>
      </c>
      <c r="E56" s="222"/>
      <c r="F56" s="222">
        <v>79944.06</v>
      </c>
      <c r="G56" s="235">
        <f>F56+E56+D56+C56+C32+D32+E32+F32+C17+D17+E17+F17+G17</f>
        <v>339731.6399999999</v>
      </c>
      <c r="H56" s="113"/>
      <c r="I56" s="1"/>
    </row>
    <row r="57" spans="2:10" customFormat="1" ht="17.25" x14ac:dyDescent="0.35">
      <c r="B57" s="221" t="s">
        <v>55</v>
      </c>
      <c r="C57" s="222">
        <f>C58+C59+C60+C61+C62+C63+C64</f>
        <v>756855.28</v>
      </c>
      <c r="D57" s="222">
        <f>D59+D60+D61+D62+D63+D64+D58</f>
        <v>152067.19999999998</v>
      </c>
      <c r="E57" s="222">
        <f>E59+E60+E61+E62+E63+E64+E58</f>
        <v>15202.16</v>
      </c>
      <c r="F57" s="222">
        <f>F59+F60+F61+F62+F63+F64+F58</f>
        <v>79756.08</v>
      </c>
      <c r="G57" s="235">
        <f>G59+G60+G61+G62+G63+G64+G58</f>
        <v>2622033.7599999998</v>
      </c>
      <c r="H57" s="113"/>
      <c r="I57" s="1"/>
    </row>
    <row r="58" spans="2:10" customFormat="1" ht="17.25" x14ac:dyDescent="0.35">
      <c r="B58" s="220" t="s">
        <v>66</v>
      </c>
      <c r="C58" s="201">
        <v>0</v>
      </c>
      <c r="D58" s="201">
        <v>0</v>
      </c>
      <c r="E58" s="201">
        <v>0</v>
      </c>
      <c r="F58" s="201">
        <v>199.62</v>
      </c>
      <c r="G58" s="232">
        <f>F58+J35+I35+H35+G35+F35+E58</f>
        <v>36229.14</v>
      </c>
      <c r="H58" s="113"/>
      <c r="I58" s="1"/>
    </row>
    <row r="59" spans="2:10" customFormat="1" ht="17.25" x14ac:dyDescent="0.35">
      <c r="B59" s="220" t="s">
        <v>56</v>
      </c>
      <c r="C59" s="201">
        <v>0</v>
      </c>
      <c r="D59" s="201">
        <v>1197.73</v>
      </c>
      <c r="E59" s="201">
        <v>5759.88</v>
      </c>
      <c r="F59" s="201">
        <v>6965.01</v>
      </c>
      <c r="G59" s="232">
        <f t="shared" ref="G59:G64" si="0">F59+E59+D59+C59+G34+F34+E34+D34+C34+G19+F19+D19+E19+C19</f>
        <v>761945.04</v>
      </c>
      <c r="H59" s="113"/>
      <c r="I59" s="1"/>
    </row>
    <row r="60" spans="2:10" customFormat="1" ht="17.25" x14ac:dyDescent="0.35">
      <c r="B60" s="220" t="s">
        <v>57</v>
      </c>
      <c r="C60" s="201">
        <v>112787.36</v>
      </c>
      <c r="D60" s="201">
        <v>14607.63</v>
      </c>
      <c r="E60" s="201">
        <v>503.86</v>
      </c>
      <c r="F60" s="201">
        <v>14750.11</v>
      </c>
      <c r="G60" s="232">
        <f t="shared" si="0"/>
        <v>286039.01999999996</v>
      </c>
      <c r="H60" s="113"/>
      <c r="I60" s="1"/>
    </row>
    <row r="61" spans="2:10" customFormat="1" ht="17.25" x14ac:dyDescent="0.35">
      <c r="B61" s="220" t="s">
        <v>58</v>
      </c>
      <c r="C61" s="201">
        <v>30754.54</v>
      </c>
      <c r="D61" s="201">
        <v>4961.3100000000004</v>
      </c>
      <c r="E61" s="201">
        <v>0</v>
      </c>
      <c r="F61" s="201">
        <v>14073.36</v>
      </c>
      <c r="G61" s="232">
        <f t="shared" si="0"/>
        <v>71502.03</v>
      </c>
      <c r="H61" s="113"/>
      <c r="I61" s="1"/>
    </row>
    <row r="62" spans="2:10" customFormat="1" ht="17.25" x14ac:dyDescent="0.35">
      <c r="B62" s="220" t="s">
        <v>59</v>
      </c>
      <c r="C62" s="201">
        <v>591788.01</v>
      </c>
      <c r="D62" s="201">
        <v>19670.349999999999</v>
      </c>
      <c r="E62" s="201">
        <v>8207.9599999999991</v>
      </c>
      <c r="F62" s="201">
        <v>2735.87</v>
      </c>
      <c r="G62" s="232">
        <f t="shared" si="0"/>
        <v>1138550.9299999997</v>
      </c>
      <c r="H62" s="113"/>
      <c r="I62" s="1"/>
    </row>
    <row r="63" spans="2:10" customFormat="1" ht="17.25" x14ac:dyDescent="0.35">
      <c r="B63" s="220" t="s">
        <v>60</v>
      </c>
      <c r="C63" s="201">
        <v>0</v>
      </c>
      <c r="D63" s="201">
        <v>990</v>
      </c>
      <c r="E63" s="201">
        <v>0</v>
      </c>
      <c r="F63" s="201">
        <v>0</v>
      </c>
      <c r="G63" s="232">
        <f t="shared" si="0"/>
        <v>3341.25</v>
      </c>
      <c r="H63" s="113"/>
      <c r="I63" s="1"/>
    </row>
    <row r="64" spans="2:10" customFormat="1" ht="17.25" x14ac:dyDescent="0.35">
      <c r="B64" s="220" t="s">
        <v>61</v>
      </c>
      <c r="C64" s="201">
        <v>21525.37</v>
      </c>
      <c r="D64" s="201">
        <v>110640.18</v>
      </c>
      <c r="E64" s="201">
        <v>730.46</v>
      </c>
      <c r="F64" s="201">
        <v>41032.11</v>
      </c>
      <c r="G64" s="232">
        <f t="shared" si="0"/>
        <v>324426.34999999998</v>
      </c>
      <c r="H64" s="113"/>
      <c r="I64" s="1"/>
    </row>
    <row r="65" spans="2:10" customFormat="1" ht="17.25" x14ac:dyDescent="0.35">
      <c r="B65" s="221" t="s">
        <v>62</v>
      </c>
      <c r="C65" s="222">
        <v>1055.95</v>
      </c>
      <c r="D65" s="222">
        <v>928.48</v>
      </c>
      <c r="E65" s="222">
        <v>0</v>
      </c>
      <c r="F65" s="222">
        <v>4169.54</v>
      </c>
      <c r="G65" s="235">
        <f>F65+E65+D65+C65+G40+F40+E40+D40+C40+G25+F25+E25+D25+C25</f>
        <v>10338.539999999999</v>
      </c>
      <c r="H65" s="113"/>
      <c r="I65" s="1"/>
    </row>
    <row r="66" spans="2:10" s="14" customFormat="1" ht="6.75" customHeight="1" x14ac:dyDescent="0.35">
      <c r="B66" s="228"/>
      <c r="C66" s="229"/>
      <c r="D66" s="229"/>
      <c r="E66" s="229"/>
      <c r="F66" s="229"/>
      <c r="G66" s="233"/>
      <c r="H66" s="163"/>
    </row>
    <row r="67" spans="2:10" customFormat="1" ht="17.25" x14ac:dyDescent="0.35">
      <c r="B67" s="226" t="s">
        <v>63</v>
      </c>
      <c r="C67" s="198">
        <f>C55+C56+C57+C65</f>
        <v>963011.05</v>
      </c>
      <c r="D67" s="198">
        <f>D55+D56+D57+D65</f>
        <v>278837.25</v>
      </c>
      <c r="E67" s="198">
        <f>E55+E56+E57+E65</f>
        <v>15202.16</v>
      </c>
      <c r="F67" s="198">
        <f>F55+F56+F57+F65</f>
        <v>389615.19</v>
      </c>
      <c r="G67" s="234">
        <f>F67+E67+D67+C67+G42+F42+E42+D42+C42+G27+F27+E27+D27+C27</f>
        <v>3848611.9299999992</v>
      </c>
      <c r="H67" s="113"/>
      <c r="I67" s="1"/>
    </row>
    <row r="68" spans="2:10" s="10" customFormat="1" ht="16.5" x14ac:dyDescent="0.25">
      <c r="B68" s="226" t="s">
        <v>64</v>
      </c>
      <c r="C68" s="227"/>
      <c r="D68" s="227">
        <v>0</v>
      </c>
      <c r="E68" s="227">
        <v>0</v>
      </c>
      <c r="F68" s="227"/>
      <c r="G68" s="234">
        <f>F68+E68+D68+C68+G28+F28+E28+D28+C28</f>
        <v>5868</v>
      </c>
      <c r="H68" s="164"/>
    </row>
    <row r="69" spans="2:10" s="39" customFormat="1" ht="16.5" x14ac:dyDescent="0.3">
      <c r="B69" s="226" t="s">
        <v>664</v>
      </c>
      <c r="C69" s="227"/>
      <c r="D69" s="227">
        <v>0</v>
      </c>
      <c r="E69" s="227">
        <v>0</v>
      </c>
      <c r="F69" s="227"/>
      <c r="G69" s="234">
        <v>162500</v>
      </c>
      <c r="H69" s="113"/>
      <c r="I69" s="1"/>
      <c r="J69" s="1"/>
    </row>
    <row r="70" spans="2:10" s="39" customFormat="1" ht="1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customFormat="1" ht="15" x14ac:dyDescent="0.25">
      <c r="B71" s="1"/>
      <c r="C71" s="1"/>
      <c r="D71" s="1"/>
      <c r="E71" s="1"/>
      <c r="F71" s="1"/>
      <c r="G71" s="1"/>
      <c r="H71" s="1"/>
      <c r="I71" s="1"/>
      <c r="J71" s="1"/>
    </row>
  </sheetData>
  <mergeCells count="6">
    <mergeCell ref="B9:D9"/>
    <mergeCell ref="B2:H2"/>
    <mergeCell ref="B5:D5"/>
    <mergeCell ref="B6:D6"/>
    <mergeCell ref="B7:D7"/>
    <mergeCell ref="B8:D8"/>
  </mergeCells>
  <pageMargins left="0.86614173228346458" right="0.19685039370078741" top="0.55118110236220474" bottom="0.31496062992125984" header="0.51181102362204722" footer="0.27559055118110237"/>
  <pageSetup paperSize="9" scale="85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G49"/>
  <sheetViews>
    <sheetView workbookViewId="0"/>
  </sheetViews>
  <sheetFormatPr defaultRowHeight="15" x14ac:dyDescent="0.3"/>
  <cols>
    <col min="1" max="1" width="16.85546875" style="110" customWidth="1"/>
    <col min="2" max="2" width="6.42578125" style="110" customWidth="1"/>
    <col min="3" max="3" width="33.7109375" style="110" customWidth="1"/>
    <col min="4" max="4" width="16.140625" style="110" customWidth="1"/>
    <col min="5" max="5" width="14.140625" style="110" customWidth="1"/>
    <col min="6" max="6" width="13.5703125" style="110" customWidth="1"/>
    <col min="7" max="7" width="9.140625" style="110" customWidth="1"/>
    <col min="8" max="16384" width="9.140625" style="110"/>
  </cols>
  <sheetData>
    <row r="2" spans="2:7" x14ac:dyDescent="0.3">
      <c r="D2" s="130"/>
      <c r="E2" s="130"/>
      <c r="F2" s="130"/>
    </row>
    <row r="3" spans="2:7" x14ac:dyDescent="0.3">
      <c r="F3" s="154" t="s">
        <v>354</v>
      </c>
    </row>
    <row r="4" spans="2:7" ht="42" customHeight="1" x14ac:dyDescent="0.3">
      <c r="B4" s="759" t="s">
        <v>659</v>
      </c>
      <c r="C4" s="759"/>
      <c r="D4" s="759"/>
      <c r="E4" s="759"/>
      <c r="F4" s="759"/>
      <c r="G4" s="189"/>
    </row>
    <row r="5" spans="2:7" s="113" customFormat="1" ht="16.5" x14ac:dyDescent="0.3">
      <c r="B5" s="110"/>
      <c r="C5" s="110"/>
      <c r="D5" s="110"/>
      <c r="E5" s="110"/>
      <c r="F5" s="110"/>
      <c r="G5" s="110"/>
    </row>
    <row r="6" spans="2:7" s="113" customFormat="1" ht="30" customHeight="1" x14ac:dyDescent="0.3">
      <c r="B6" s="760"/>
      <c r="C6" s="760"/>
      <c r="D6" s="477" t="s">
        <v>259</v>
      </c>
      <c r="E6" s="477" t="s">
        <v>260</v>
      </c>
      <c r="F6" s="477" t="s">
        <v>261</v>
      </c>
      <c r="G6" s="110"/>
    </row>
    <row r="7" spans="2:7" s="124" customFormat="1" ht="20.25" customHeight="1" x14ac:dyDescent="0.25">
      <c r="B7" s="478"/>
      <c r="C7" s="479" t="s">
        <v>262</v>
      </c>
      <c r="D7" s="480">
        <f>D8+D9+D10+D18+D19</f>
        <v>50000732</v>
      </c>
      <c r="E7" s="480">
        <f>E8+E9+E10+E18+E19</f>
        <v>52140069</v>
      </c>
      <c r="F7" s="480">
        <f>F8+F9+F10+F18+F19</f>
        <v>46950764.789999992</v>
      </c>
    </row>
    <row r="8" spans="2:7" s="113" customFormat="1" ht="30" x14ac:dyDescent="0.3">
      <c r="B8" s="473">
        <v>610</v>
      </c>
      <c r="C8" s="474" t="s">
        <v>355</v>
      </c>
      <c r="D8" s="475">
        <v>19428988</v>
      </c>
      <c r="E8" s="475">
        <v>20199072</v>
      </c>
      <c r="F8" s="475">
        <v>19250676.359999999</v>
      </c>
      <c r="G8" s="110"/>
    </row>
    <row r="9" spans="2:7" s="113" customFormat="1" ht="16.5" x14ac:dyDescent="0.3">
      <c r="B9" s="473">
        <v>620</v>
      </c>
      <c r="C9" s="474" t="s">
        <v>356</v>
      </c>
      <c r="D9" s="475">
        <v>7226389</v>
      </c>
      <c r="E9" s="475">
        <v>7520477</v>
      </c>
      <c r="F9" s="475">
        <v>7082628.3899999997</v>
      </c>
      <c r="G9" s="110"/>
    </row>
    <row r="10" spans="2:7" s="113" customFormat="1" ht="16.5" x14ac:dyDescent="0.3">
      <c r="B10" s="473">
        <v>630</v>
      </c>
      <c r="C10" s="474" t="s">
        <v>357</v>
      </c>
      <c r="D10" s="476">
        <f>D11+D12+D13+D14+D15+D16+D17</f>
        <v>17421923</v>
      </c>
      <c r="E10" s="476">
        <f>E11+E12+E13+E14+E15+E16+E17</f>
        <v>18456352</v>
      </c>
      <c r="F10" s="476">
        <f>F11+F12+F13+F14+F15+F16+F17</f>
        <v>15059688.089999998</v>
      </c>
      <c r="G10" s="110"/>
    </row>
    <row r="11" spans="2:7" s="113" customFormat="1" ht="16.5" x14ac:dyDescent="0.3">
      <c r="B11" s="464">
        <v>631</v>
      </c>
      <c r="C11" s="472" t="s">
        <v>358</v>
      </c>
      <c r="D11" s="463">
        <v>28725</v>
      </c>
      <c r="E11" s="463">
        <v>21066</v>
      </c>
      <c r="F11" s="463">
        <v>8869.0300000000007</v>
      </c>
      <c r="G11" s="110"/>
    </row>
    <row r="12" spans="2:7" s="113" customFormat="1" ht="16.5" x14ac:dyDescent="0.3">
      <c r="B12" s="464">
        <v>632</v>
      </c>
      <c r="C12" s="472" t="s">
        <v>359</v>
      </c>
      <c r="D12" s="463">
        <v>3137408</v>
      </c>
      <c r="E12" s="463">
        <v>3209794.31</v>
      </c>
      <c r="F12" s="463">
        <v>2500982</v>
      </c>
      <c r="G12" s="110"/>
    </row>
    <row r="13" spans="2:7" s="113" customFormat="1" ht="16.5" x14ac:dyDescent="0.3">
      <c r="B13" s="464">
        <v>633</v>
      </c>
      <c r="C13" s="472" t="s">
        <v>360</v>
      </c>
      <c r="D13" s="463">
        <v>2761987</v>
      </c>
      <c r="E13" s="463">
        <v>3123869.94</v>
      </c>
      <c r="F13" s="463">
        <v>2421735</v>
      </c>
      <c r="G13" s="110"/>
    </row>
    <row r="14" spans="2:7" s="113" customFormat="1" ht="16.5" x14ac:dyDescent="0.3">
      <c r="B14" s="464">
        <v>634</v>
      </c>
      <c r="C14" s="472" t="s">
        <v>361</v>
      </c>
      <c r="D14" s="463">
        <v>216950</v>
      </c>
      <c r="E14" s="463">
        <v>213894</v>
      </c>
      <c r="F14" s="463">
        <v>160504.22</v>
      </c>
      <c r="G14" s="110"/>
    </row>
    <row r="15" spans="2:7" s="113" customFormat="1" ht="16.5" x14ac:dyDescent="0.3">
      <c r="B15" s="464">
        <v>635</v>
      </c>
      <c r="C15" s="472" t="s">
        <v>362</v>
      </c>
      <c r="D15" s="463">
        <v>3792217</v>
      </c>
      <c r="E15" s="463">
        <v>3831724.32</v>
      </c>
      <c r="F15" s="463">
        <v>3175273.76</v>
      </c>
      <c r="G15" s="110"/>
    </row>
    <row r="16" spans="2:7" s="113" customFormat="1" ht="16.5" x14ac:dyDescent="0.3">
      <c r="B16" s="464">
        <v>636</v>
      </c>
      <c r="C16" s="472" t="s">
        <v>363</v>
      </c>
      <c r="D16" s="463">
        <v>688197</v>
      </c>
      <c r="E16" s="463">
        <v>664725</v>
      </c>
      <c r="F16" s="463">
        <v>617909.07999999996</v>
      </c>
      <c r="G16" s="110"/>
    </row>
    <row r="17" spans="2:7" s="113" customFormat="1" ht="16.5" x14ac:dyDescent="0.3">
      <c r="B17" s="464">
        <v>637</v>
      </c>
      <c r="C17" s="472" t="s">
        <v>364</v>
      </c>
      <c r="D17" s="463">
        <v>6796439</v>
      </c>
      <c r="E17" s="463">
        <v>7391278.4299999997</v>
      </c>
      <c r="F17" s="463">
        <v>6174415</v>
      </c>
      <c r="G17" s="110"/>
    </row>
    <row r="18" spans="2:7" s="113" customFormat="1" ht="16.5" x14ac:dyDescent="0.3">
      <c r="B18" s="473">
        <v>640</v>
      </c>
      <c r="C18" s="474" t="s">
        <v>365</v>
      </c>
      <c r="D18" s="476">
        <v>5773432</v>
      </c>
      <c r="E18" s="476">
        <v>5844349</v>
      </c>
      <c r="F18" s="476">
        <v>5462617.3399999999</v>
      </c>
      <c r="G18" s="110"/>
    </row>
    <row r="19" spans="2:7" s="113" customFormat="1" ht="16.5" x14ac:dyDescent="0.3">
      <c r="B19" s="473">
        <v>650</v>
      </c>
      <c r="C19" s="474" t="s">
        <v>366</v>
      </c>
      <c r="D19" s="476">
        <v>150000</v>
      </c>
      <c r="E19" s="476">
        <v>119819</v>
      </c>
      <c r="F19" s="476">
        <v>95154.61</v>
      </c>
      <c r="G19" s="110"/>
    </row>
    <row r="20" spans="2:7" s="113" customFormat="1" ht="9" customHeight="1" x14ac:dyDescent="0.3">
      <c r="B20" s="421"/>
      <c r="C20" s="470"/>
      <c r="D20" s="471"/>
      <c r="E20" s="471"/>
      <c r="F20" s="471"/>
      <c r="G20" s="110"/>
    </row>
    <row r="21" spans="2:7" s="124" customFormat="1" ht="24.75" customHeight="1" x14ac:dyDescent="0.25">
      <c r="B21" s="481"/>
      <c r="C21" s="479" t="s">
        <v>349</v>
      </c>
      <c r="D21" s="480">
        <f>D22+D30</f>
        <v>14562634</v>
      </c>
      <c r="E21" s="480">
        <f>E22+E30</f>
        <v>18012527</v>
      </c>
      <c r="F21" s="480">
        <f>F22+F30</f>
        <v>6559152.4199999999</v>
      </c>
    </row>
    <row r="22" spans="2:7" s="113" customFormat="1" ht="25.5" customHeight="1" x14ac:dyDescent="0.3">
      <c r="B22" s="482">
        <v>710</v>
      </c>
      <c r="C22" s="483" t="s">
        <v>367</v>
      </c>
      <c r="D22" s="476">
        <f>SUM(D23:D29)</f>
        <v>14556634</v>
      </c>
      <c r="E22" s="476">
        <f>SUM(E23:E29)</f>
        <v>17998127</v>
      </c>
      <c r="F22" s="476">
        <f>SUM(F23:F29)</f>
        <v>6544752.4199999999</v>
      </c>
      <c r="G22" s="110"/>
    </row>
    <row r="23" spans="2:7" s="113" customFormat="1" ht="16.5" x14ac:dyDescent="0.3">
      <c r="B23" s="421">
        <v>711</v>
      </c>
      <c r="C23" s="470" t="s">
        <v>368</v>
      </c>
      <c r="D23" s="471">
        <v>500300</v>
      </c>
      <c r="E23" s="471">
        <v>566905</v>
      </c>
      <c r="F23" s="471">
        <v>325373.93</v>
      </c>
      <c r="G23" s="110"/>
    </row>
    <row r="24" spans="2:7" s="113" customFormat="1" ht="16.5" x14ac:dyDescent="0.3">
      <c r="B24" s="421">
        <v>712</v>
      </c>
      <c r="C24" s="470" t="s">
        <v>369</v>
      </c>
      <c r="D24" s="471">
        <v>100</v>
      </c>
      <c r="E24" s="471">
        <v>100</v>
      </c>
      <c r="F24" s="471">
        <v>11</v>
      </c>
      <c r="G24" s="110"/>
    </row>
    <row r="25" spans="2:7" s="113" customFormat="1" ht="30" x14ac:dyDescent="0.3">
      <c r="B25" s="421">
        <v>713</v>
      </c>
      <c r="C25" s="470" t="s">
        <v>370</v>
      </c>
      <c r="D25" s="471">
        <v>706460</v>
      </c>
      <c r="E25" s="471">
        <v>351775</v>
      </c>
      <c r="F25" s="471">
        <v>267721.31</v>
      </c>
      <c r="G25" s="110"/>
    </row>
    <row r="26" spans="2:7" s="113" customFormat="1" ht="16.5" x14ac:dyDescent="0.3">
      <c r="B26" s="421">
        <v>714</v>
      </c>
      <c r="C26" s="470" t="s">
        <v>371</v>
      </c>
      <c r="D26" s="471">
        <v>16000</v>
      </c>
      <c r="E26" s="471">
        <v>122947</v>
      </c>
      <c r="F26" s="471">
        <v>61778</v>
      </c>
      <c r="G26" s="110"/>
    </row>
    <row r="27" spans="2:7" s="113" customFormat="1" ht="16.5" x14ac:dyDescent="0.3">
      <c r="B27" s="421">
        <v>716</v>
      </c>
      <c r="C27" s="470" t="s">
        <v>372</v>
      </c>
      <c r="D27" s="471">
        <v>1235966</v>
      </c>
      <c r="E27" s="471">
        <v>1321826</v>
      </c>
      <c r="F27" s="471">
        <v>415402.79</v>
      </c>
      <c r="G27" s="110"/>
    </row>
    <row r="28" spans="2:7" s="113" customFormat="1" ht="30" x14ac:dyDescent="0.3">
      <c r="B28" s="421">
        <v>717</v>
      </c>
      <c r="C28" s="470" t="s">
        <v>373</v>
      </c>
      <c r="D28" s="471">
        <v>12097808</v>
      </c>
      <c r="E28" s="471">
        <v>15632521</v>
      </c>
      <c r="F28" s="471">
        <v>5472413.1799999997</v>
      </c>
      <c r="G28" s="110"/>
    </row>
    <row r="29" spans="2:7" s="113" customFormat="1" ht="16.5" x14ac:dyDescent="0.3">
      <c r="B29" s="421">
        <v>719</v>
      </c>
      <c r="C29" s="470" t="s">
        <v>489</v>
      </c>
      <c r="D29" s="471">
        <v>0</v>
      </c>
      <c r="E29" s="471">
        <v>2053</v>
      </c>
      <c r="F29" s="471">
        <v>2052.21</v>
      </c>
      <c r="G29" s="110"/>
    </row>
    <row r="30" spans="2:7" s="113" customFormat="1" ht="16.5" x14ac:dyDescent="0.3">
      <c r="B30" s="484">
        <v>720</v>
      </c>
      <c r="C30" s="485" t="s">
        <v>374</v>
      </c>
      <c r="D30" s="486">
        <v>6000</v>
      </c>
      <c r="E30" s="486">
        <v>14400</v>
      </c>
      <c r="F30" s="486">
        <v>14400</v>
      </c>
    </row>
    <row r="31" spans="2:7" s="113" customFormat="1" ht="16.5" x14ac:dyDescent="0.3">
      <c r="B31" s="110"/>
      <c r="C31" s="110"/>
      <c r="D31" s="110"/>
      <c r="E31" s="110"/>
      <c r="F31" s="130"/>
    </row>
    <row r="32" spans="2:7" s="113" customFormat="1" ht="16.5" x14ac:dyDescent="0.3">
      <c r="B32" s="110"/>
      <c r="C32" s="110"/>
      <c r="D32" s="110"/>
      <c r="E32" s="110"/>
      <c r="F32" s="190"/>
    </row>
    <row r="33" spans="2:6" s="113" customFormat="1" ht="16.5" x14ac:dyDescent="0.3">
      <c r="B33" s="110"/>
      <c r="C33" s="110"/>
      <c r="D33" s="110"/>
      <c r="E33" s="110"/>
      <c r="F33" s="190"/>
    </row>
    <row r="34" spans="2:6" s="113" customFormat="1" ht="16.5" x14ac:dyDescent="0.3">
      <c r="B34" s="110"/>
      <c r="C34" s="110"/>
      <c r="D34" s="110"/>
      <c r="E34" s="110"/>
      <c r="F34" s="191"/>
    </row>
    <row r="35" spans="2:6" s="113" customFormat="1" ht="16.5" x14ac:dyDescent="0.3">
      <c r="B35" s="110"/>
      <c r="C35" s="110"/>
      <c r="D35" s="110"/>
      <c r="E35" s="110"/>
      <c r="F35" s="191"/>
    </row>
    <row r="36" spans="2:6" s="113" customFormat="1" ht="16.5" x14ac:dyDescent="0.3">
      <c r="B36" s="110"/>
      <c r="C36" s="110"/>
      <c r="D36" s="110"/>
      <c r="E36" s="110"/>
      <c r="F36" s="191"/>
    </row>
    <row r="37" spans="2:6" s="113" customFormat="1" ht="16.5" x14ac:dyDescent="0.3">
      <c r="B37" s="110"/>
      <c r="C37" s="110"/>
      <c r="D37" s="110"/>
      <c r="E37" s="110"/>
      <c r="F37" s="191"/>
    </row>
    <row r="38" spans="2:6" s="113" customFormat="1" ht="16.5" x14ac:dyDescent="0.3">
      <c r="B38" s="110"/>
      <c r="C38" s="110"/>
      <c r="D38" s="110"/>
      <c r="E38" s="110"/>
      <c r="F38" s="191"/>
    </row>
    <row r="39" spans="2:6" s="113" customFormat="1" ht="16.5" x14ac:dyDescent="0.3">
      <c r="B39" s="110"/>
      <c r="C39" s="110"/>
      <c r="D39" s="110"/>
      <c r="E39" s="110"/>
      <c r="F39" s="141"/>
    </row>
    <row r="49" spans="2:6" s="113" customFormat="1" ht="16.5" x14ac:dyDescent="0.3">
      <c r="B49" s="110"/>
      <c r="C49" s="110"/>
      <c r="D49" s="110"/>
      <c r="E49" s="110"/>
      <c r="F49" s="157"/>
    </row>
  </sheetData>
  <mergeCells count="2">
    <mergeCell ref="B4:F4"/>
    <mergeCell ref="B6:C6"/>
  </mergeCells>
  <pageMargins left="0.70000000000000007" right="0.30000000000000004" top="0.75" bottom="0.75" header="0.30000000000000004" footer="0.30000000000000004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22"/>
  <sheetViews>
    <sheetView workbookViewId="0"/>
  </sheetViews>
  <sheetFormatPr defaultRowHeight="12.75" x14ac:dyDescent="0.2"/>
  <cols>
    <col min="1" max="1" width="9.140625" style="2" customWidth="1"/>
    <col min="2" max="2" width="9.85546875" style="2" customWidth="1"/>
    <col min="3" max="3" width="41.7109375" style="2" customWidth="1"/>
    <col min="4" max="4" width="13.5703125" style="2" customWidth="1"/>
    <col min="5" max="5" width="12.7109375" style="2" customWidth="1"/>
    <col min="6" max="6" width="13.7109375" style="2" customWidth="1"/>
    <col min="7" max="7" width="9.140625" style="2" customWidth="1"/>
    <col min="8" max="16384" width="9.140625" style="2"/>
  </cols>
  <sheetData>
    <row r="2" spans="2:11" ht="15" x14ac:dyDescent="0.3">
      <c r="B2" s="110"/>
      <c r="C2" s="110"/>
      <c r="D2" s="110"/>
      <c r="E2" s="110"/>
      <c r="F2" s="154" t="s">
        <v>375</v>
      </c>
    </row>
    <row r="3" spans="2:11" ht="15" x14ac:dyDescent="0.3">
      <c r="B3" s="110"/>
      <c r="C3" s="110"/>
      <c r="D3" s="110"/>
      <c r="E3" s="110"/>
      <c r="F3" s="110"/>
    </row>
    <row r="4" spans="2:11" ht="42.75" customHeight="1" x14ac:dyDescent="0.2">
      <c r="B4" s="759" t="s">
        <v>660</v>
      </c>
      <c r="C4" s="759"/>
      <c r="D4" s="759"/>
      <c r="E4" s="759"/>
      <c r="F4" s="759"/>
      <c r="G4" s="37"/>
      <c r="H4" s="37"/>
    </row>
    <row r="5" spans="2:11" ht="15" x14ac:dyDescent="0.3">
      <c r="B5" s="110"/>
      <c r="C5" s="110"/>
      <c r="D5" s="110"/>
      <c r="E5" s="110"/>
      <c r="F5" s="110"/>
    </row>
    <row r="6" spans="2:11" ht="36" customHeight="1" x14ac:dyDescent="0.2">
      <c r="B6" s="761" t="s">
        <v>0</v>
      </c>
      <c r="C6" s="761"/>
      <c r="D6" s="457" t="s">
        <v>259</v>
      </c>
      <c r="E6" s="457" t="s">
        <v>260</v>
      </c>
      <c r="F6" s="457" t="s">
        <v>261</v>
      </c>
    </row>
    <row r="7" spans="2:11" ht="18" customHeight="1" x14ac:dyDescent="0.2">
      <c r="B7" s="458"/>
      <c r="C7" s="459" t="s">
        <v>376</v>
      </c>
      <c r="D7" s="460">
        <f>SUM(D8:D10)</f>
        <v>10550667</v>
      </c>
      <c r="E7" s="460">
        <f>SUM(E8:E10)</f>
        <v>14002109</v>
      </c>
      <c r="F7" s="460">
        <f>SUM(F8:F10)</f>
        <v>11499709</v>
      </c>
      <c r="J7" s="21"/>
    </row>
    <row r="8" spans="2:11" s="46" customFormat="1" ht="15" x14ac:dyDescent="0.2">
      <c r="B8" s="461">
        <v>454</v>
      </c>
      <c r="C8" s="462" t="s">
        <v>491</v>
      </c>
      <c r="D8" s="463">
        <v>0</v>
      </c>
      <c r="E8" s="463">
        <v>31000</v>
      </c>
      <c r="F8" s="463">
        <v>31000</v>
      </c>
    </row>
    <row r="9" spans="2:11" s="19" customFormat="1" ht="30" x14ac:dyDescent="0.25">
      <c r="B9" s="464">
        <v>453</v>
      </c>
      <c r="C9" s="465" t="s">
        <v>465</v>
      </c>
      <c r="D9" s="463">
        <v>7350667</v>
      </c>
      <c r="E9" s="463">
        <v>11471109</v>
      </c>
      <c r="F9" s="463">
        <v>11468709</v>
      </c>
    </row>
    <row r="10" spans="2:11" customFormat="1" ht="15" x14ac:dyDescent="0.25">
      <c r="B10" s="461">
        <v>513</v>
      </c>
      <c r="C10" s="465" t="s">
        <v>490</v>
      </c>
      <c r="D10" s="463">
        <v>3200000</v>
      </c>
      <c r="E10" s="463">
        <v>2500000</v>
      </c>
      <c r="F10" s="463">
        <v>0</v>
      </c>
      <c r="G10" s="2"/>
      <c r="H10" s="2"/>
      <c r="I10" s="2"/>
      <c r="J10" s="2"/>
      <c r="K10" s="2"/>
    </row>
    <row r="11" spans="2:11" customFormat="1" ht="18" customHeight="1" x14ac:dyDescent="0.25">
      <c r="B11" s="458"/>
      <c r="C11" s="459" t="s">
        <v>377</v>
      </c>
      <c r="D11" s="460">
        <f>SUM(D12:D13)</f>
        <v>2111300</v>
      </c>
      <c r="E11" s="460">
        <f>SUM(E12:E13)</f>
        <v>2111300</v>
      </c>
      <c r="F11" s="460">
        <f>SUM(F12:F13)</f>
        <v>2103555.84</v>
      </c>
      <c r="G11" s="2"/>
      <c r="H11" s="2"/>
      <c r="I11" s="2"/>
      <c r="J11" s="2"/>
      <c r="K11" s="2"/>
    </row>
    <row r="12" spans="2:11" customFormat="1" ht="30" x14ac:dyDescent="0.25">
      <c r="B12" s="461">
        <v>821005</v>
      </c>
      <c r="C12" s="466" t="s">
        <v>378</v>
      </c>
      <c r="D12" s="463">
        <v>2006300</v>
      </c>
      <c r="E12" s="463">
        <v>2006300</v>
      </c>
      <c r="F12" s="463">
        <v>2006262.84</v>
      </c>
      <c r="G12" s="2"/>
      <c r="H12" s="2"/>
      <c r="I12" s="2"/>
      <c r="J12" s="2"/>
      <c r="K12" s="2"/>
    </row>
    <row r="13" spans="2:11" customFormat="1" ht="25.5" customHeight="1" x14ac:dyDescent="0.25">
      <c r="B13" s="467">
        <v>821007</v>
      </c>
      <c r="C13" s="468" t="s">
        <v>379</v>
      </c>
      <c r="D13" s="469">
        <v>105000</v>
      </c>
      <c r="E13" s="469">
        <v>105000</v>
      </c>
      <c r="F13" s="469">
        <v>97293</v>
      </c>
      <c r="G13" s="2"/>
      <c r="H13" s="2"/>
      <c r="I13" s="2"/>
      <c r="J13" s="2"/>
      <c r="K13" s="2"/>
    </row>
    <row r="22" spans="2:11" customFormat="1" ht="15" x14ac:dyDescent="0.25">
      <c r="B22" s="2"/>
      <c r="C22" s="2"/>
      <c r="D22" s="2"/>
      <c r="E22" s="2"/>
      <c r="F22" s="2"/>
      <c r="G22" s="2"/>
      <c r="H22" s="2"/>
      <c r="I22" s="2"/>
      <c r="J22" s="2"/>
      <c r="K22" s="3"/>
    </row>
  </sheetData>
  <mergeCells count="2">
    <mergeCell ref="B4:F4"/>
    <mergeCell ref="B6:C6"/>
  </mergeCells>
  <pageMargins left="0.46" right="0.25" top="0.75" bottom="0.75" header="0.30000000000000004" footer="0.30000000000000004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33"/>
  <sheetViews>
    <sheetView workbookViewId="0"/>
  </sheetViews>
  <sheetFormatPr defaultColWidth="9.140625" defaultRowHeight="14.25" x14ac:dyDescent="0.2"/>
  <cols>
    <col min="1" max="1" width="4" style="72" customWidth="1"/>
    <col min="2" max="2" width="18" style="72" customWidth="1"/>
    <col min="3" max="3" width="11.85546875" style="72" customWidth="1"/>
    <col min="4" max="4" width="11.42578125" style="72" customWidth="1"/>
    <col min="5" max="5" width="9.140625" style="72"/>
    <col min="6" max="6" width="13.28515625" style="72" customWidth="1"/>
    <col min="7" max="7" width="13.42578125" style="72" customWidth="1"/>
    <col min="8" max="8" width="11.85546875" style="72" customWidth="1"/>
    <col min="9" max="9" width="13.7109375" style="72" customWidth="1"/>
    <col min="10" max="10" width="6.85546875" style="72" customWidth="1"/>
    <col min="11" max="11" width="4.7109375" style="72" customWidth="1"/>
    <col min="12" max="16384" width="9.140625" style="72"/>
  </cols>
  <sheetData>
    <row r="1" spans="2:9" s="73" customFormat="1" ht="15" x14ac:dyDescent="0.25">
      <c r="B1" s="58"/>
      <c r="C1" s="58"/>
      <c r="D1" s="58"/>
      <c r="E1" s="58"/>
      <c r="F1" s="58"/>
      <c r="G1" s="58"/>
      <c r="H1" s="58"/>
      <c r="I1" s="58"/>
    </row>
    <row r="2" spans="2:9" s="73" customFormat="1" ht="16.5" x14ac:dyDescent="0.3">
      <c r="B2" s="173"/>
      <c r="C2" s="173"/>
      <c r="D2" s="173"/>
      <c r="E2" s="173"/>
      <c r="F2" s="173"/>
      <c r="G2" s="173"/>
      <c r="H2" s="173"/>
      <c r="I2" s="173" t="s">
        <v>380</v>
      </c>
    </row>
    <row r="3" spans="2:9" s="338" customFormat="1" ht="16.5" x14ac:dyDescent="0.3">
      <c r="B3" s="173"/>
      <c r="C3" s="173"/>
      <c r="D3" s="173"/>
      <c r="E3" s="173"/>
      <c r="F3" s="173"/>
      <c r="G3" s="173"/>
      <c r="H3" s="173"/>
      <c r="I3" s="173"/>
    </row>
    <row r="4" spans="2:9" s="73" customFormat="1" ht="18.75" x14ac:dyDescent="0.3">
      <c r="B4" s="763" t="s">
        <v>501</v>
      </c>
      <c r="C4" s="763"/>
      <c r="D4" s="763"/>
      <c r="E4" s="763"/>
      <c r="F4" s="763"/>
      <c r="G4" s="763"/>
      <c r="H4" s="763"/>
      <c r="I4" s="763"/>
    </row>
    <row r="5" spans="2:9" s="73" customFormat="1" ht="16.5" x14ac:dyDescent="0.3">
      <c r="B5" s="173"/>
      <c r="C5" s="173"/>
      <c r="D5" s="173"/>
      <c r="E5" s="173"/>
      <c r="F5" s="173"/>
      <c r="G5" s="173"/>
      <c r="H5" s="173"/>
      <c r="I5" s="173"/>
    </row>
    <row r="6" spans="2:9" s="73" customFormat="1" ht="16.5" x14ac:dyDescent="0.3">
      <c r="B6" s="173"/>
      <c r="C6" s="173"/>
      <c r="D6" s="173"/>
      <c r="E6" s="173"/>
      <c r="F6" s="173"/>
      <c r="G6" s="173"/>
      <c r="H6" s="173"/>
      <c r="I6" s="173"/>
    </row>
    <row r="7" spans="2:9" s="73" customFormat="1" ht="15" x14ac:dyDescent="0.25">
      <c r="B7" s="764"/>
      <c r="C7" s="766" t="s">
        <v>381</v>
      </c>
      <c r="D7" s="766" t="s">
        <v>382</v>
      </c>
      <c r="E7" s="766" t="s">
        <v>383</v>
      </c>
      <c r="F7" s="766" t="s">
        <v>384</v>
      </c>
      <c r="G7" s="766" t="s">
        <v>385</v>
      </c>
      <c r="H7" s="766" t="s">
        <v>386</v>
      </c>
      <c r="I7" s="766" t="s">
        <v>387</v>
      </c>
    </row>
    <row r="8" spans="2:9" s="73" customFormat="1" ht="15" x14ac:dyDescent="0.25">
      <c r="B8" s="765"/>
      <c r="C8" s="767"/>
      <c r="D8" s="767"/>
      <c r="E8" s="767"/>
      <c r="F8" s="767"/>
      <c r="G8" s="767"/>
      <c r="H8" s="767"/>
      <c r="I8" s="767"/>
    </row>
    <row r="9" spans="2:9" s="73" customFormat="1" ht="15" x14ac:dyDescent="0.25">
      <c r="B9" s="765"/>
      <c r="C9" s="767"/>
      <c r="D9" s="767"/>
      <c r="E9" s="767"/>
      <c r="F9" s="767"/>
      <c r="G9" s="767"/>
      <c r="H9" s="767"/>
      <c r="I9" s="767"/>
    </row>
    <row r="10" spans="2:9" s="73" customFormat="1" ht="15.75" x14ac:dyDescent="0.3">
      <c r="B10" s="452" t="s">
        <v>388</v>
      </c>
      <c r="C10" s="448">
        <v>31</v>
      </c>
      <c r="D10" s="449">
        <v>1</v>
      </c>
      <c r="E10" s="449">
        <v>4</v>
      </c>
      <c r="F10" s="450">
        <v>7</v>
      </c>
      <c r="G10" s="450">
        <v>6</v>
      </c>
      <c r="H10" s="450">
        <v>7</v>
      </c>
      <c r="I10" s="454">
        <v>56</v>
      </c>
    </row>
    <row r="11" spans="2:9" s="73" customFormat="1" ht="15.75" x14ac:dyDescent="0.3">
      <c r="B11" s="452" t="s">
        <v>389</v>
      </c>
      <c r="C11" s="448">
        <v>40</v>
      </c>
      <c r="D11" s="449">
        <v>2</v>
      </c>
      <c r="E11" s="449">
        <v>3</v>
      </c>
      <c r="F11" s="450">
        <v>9</v>
      </c>
      <c r="G11" s="450">
        <v>7</v>
      </c>
      <c r="H11" s="450">
        <v>11</v>
      </c>
      <c r="I11" s="454">
        <v>72</v>
      </c>
    </row>
    <row r="12" spans="2:9" s="73" customFormat="1" ht="15.75" x14ac:dyDescent="0.3">
      <c r="B12" s="452" t="s">
        <v>390</v>
      </c>
      <c r="C12" s="448">
        <v>58</v>
      </c>
      <c r="D12" s="449">
        <v>2</v>
      </c>
      <c r="E12" s="449">
        <v>2</v>
      </c>
      <c r="F12" s="450">
        <v>14</v>
      </c>
      <c r="G12" s="450">
        <v>12</v>
      </c>
      <c r="H12" s="451">
        <v>0</v>
      </c>
      <c r="I12" s="454">
        <v>88</v>
      </c>
    </row>
    <row r="13" spans="2:9" s="73" customFormat="1" ht="15.75" x14ac:dyDescent="0.3">
      <c r="B13" s="452" t="s">
        <v>391</v>
      </c>
      <c r="C13" s="448">
        <v>35</v>
      </c>
      <c r="D13" s="449">
        <v>3</v>
      </c>
      <c r="E13" s="449">
        <v>5</v>
      </c>
      <c r="F13" s="450">
        <v>6</v>
      </c>
      <c r="G13" s="451">
        <v>8</v>
      </c>
      <c r="H13" s="451">
        <v>6</v>
      </c>
      <c r="I13" s="454">
        <v>63</v>
      </c>
    </row>
    <row r="14" spans="2:9" s="73" customFormat="1" ht="15.75" x14ac:dyDescent="0.3">
      <c r="B14" s="452" t="s">
        <v>392</v>
      </c>
      <c r="C14" s="448">
        <v>33</v>
      </c>
      <c r="D14" s="449">
        <v>2</v>
      </c>
      <c r="E14" s="449">
        <v>4</v>
      </c>
      <c r="F14" s="450">
        <v>5</v>
      </c>
      <c r="G14" s="451">
        <v>7</v>
      </c>
      <c r="H14" s="451">
        <v>7.5</v>
      </c>
      <c r="I14" s="454">
        <v>58.5</v>
      </c>
    </row>
    <row r="15" spans="2:9" s="73" customFormat="1" ht="15.75" x14ac:dyDescent="0.3">
      <c r="B15" s="452" t="s">
        <v>393</v>
      </c>
      <c r="C15" s="448">
        <v>48</v>
      </c>
      <c r="D15" s="449">
        <v>2</v>
      </c>
      <c r="E15" s="449">
        <v>3</v>
      </c>
      <c r="F15" s="450">
        <v>9</v>
      </c>
      <c r="G15" s="451">
        <v>12</v>
      </c>
      <c r="H15" s="451">
        <v>12</v>
      </c>
      <c r="I15" s="454">
        <v>86</v>
      </c>
    </row>
    <row r="16" spans="2:9" s="73" customFormat="1" ht="15.75" x14ac:dyDescent="0.3">
      <c r="B16" s="452" t="s">
        <v>394</v>
      </c>
      <c r="C16" s="448">
        <v>16</v>
      </c>
      <c r="D16" s="449">
        <v>2</v>
      </c>
      <c r="E16" s="449">
        <v>1</v>
      </c>
      <c r="F16" s="450">
        <v>3</v>
      </c>
      <c r="G16" s="451">
        <v>6</v>
      </c>
      <c r="H16" s="451">
        <v>6</v>
      </c>
      <c r="I16" s="454">
        <v>34</v>
      </c>
    </row>
    <row r="17" spans="2:12" s="73" customFormat="1" ht="15.75" x14ac:dyDescent="0.3">
      <c r="B17" s="452" t="s">
        <v>395</v>
      </c>
      <c r="C17" s="448">
        <v>50</v>
      </c>
      <c r="D17" s="449">
        <v>2</v>
      </c>
      <c r="E17" s="449">
        <v>3</v>
      </c>
      <c r="F17" s="450">
        <v>11</v>
      </c>
      <c r="G17" s="451">
        <v>12</v>
      </c>
      <c r="H17" s="451">
        <v>11</v>
      </c>
      <c r="I17" s="454">
        <v>89</v>
      </c>
    </row>
    <row r="18" spans="2:12" s="73" customFormat="1" ht="15.75" x14ac:dyDescent="0.3">
      <c r="B18" s="452" t="s">
        <v>396</v>
      </c>
      <c r="C18" s="448">
        <v>5</v>
      </c>
      <c r="D18" s="449">
        <v>0</v>
      </c>
      <c r="E18" s="449">
        <v>0</v>
      </c>
      <c r="F18" s="450">
        <v>1</v>
      </c>
      <c r="G18" s="451">
        <v>1</v>
      </c>
      <c r="H18" s="451">
        <v>0</v>
      </c>
      <c r="I18" s="454">
        <v>7</v>
      </c>
      <c r="J18" s="58"/>
      <c r="K18" s="58"/>
      <c r="L18" s="58"/>
    </row>
    <row r="19" spans="2:12" s="73" customFormat="1" ht="16.5" customHeight="1" x14ac:dyDescent="0.3">
      <c r="B19" s="452" t="s">
        <v>397</v>
      </c>
      <c r="C19" s="448">
        <v>50</v>
      </c>
      <c r="D19" s="449">
        <v>0</v>
      </c>
      <c r="E19" s="449">
        <v>0</v>
      </c>
      <c r="F19" s="450">
        <v>0</v>
      </c>
      <c r="G19" s="451">
        <v>0</v>
      </c>
      <c r="H19" s="451">
        <v>0</v>
      </c>
      <c r="I19" s="454">
        <v>50</v>
      </c>
      <c r="J19" s="58"/>
      <c r="K19" s="58"/>
      <c r="L19" s="58"/>
    </row>
    <row r="20" spans="2:12" s="73" customFormat="1" ht="15.75" x14ac:dyDescent="0.3">
      <c r="B20" s="452" t="s">
        <v>398</v>
      </c>
      <c r="C20" s="448">
        <v>6</v>
      </c>
      <c r="D20" s="449">
        <v>0</v>
      </c>
      <c r="E20" s="449">
        <v>0</v>
      </c>
      <c r="F20" s="450">
        <v>0</v>
      </c>
      <c r="G20" s="451">
        <v>0</v>
      </c>
      <c r="H20" s="451">
        <v>0</v>
      </c>
      <c r="I20" s="454">
        <v>6</v>
      </c>
      <c r="J20" s="59"/>
      <c r="K20" s="58"/>
      <c r="L20" s="58"/>
    </row>
    <row r="21" spans="2:12" s="73" customFormat="1" ht="15" x14ac:dyDescent="0.25">
      <c r="B21" s="453" t="s">
        <v>130</v>
      </c>
      <c r="C21" s="455">
        <f t="shared" ref="C21:I21" si="0">SUM(C10:C20)</f>
        <v>372</v>
      </c>
      <c r="D21" s="455">
        <f t="shared" si="0"/>
        <v>16</v>
      </c>
      <c r="E21" s="456">
        <f t="shared" si="0"/>
        <v>25</v>
      </c>
      <c r="F21" s="455">
        <f t="shared" si="0"/>
        <v>65</v>
      </c>
      <c r="G21" s="455">
        <f t="shared" si="0"/>
        <v>71</v>
      </c>
      <c r="H21" s="455">
        <f t="shared" si="0"/>
        <v>60.5</v>
      </c>
      <c r="I21" s="455">
        <f t="shared" si="0"/>
        <v>609.5</v>
      </c>
      <c r="J21" s="58"/>
      <c r="K21" s="58"/>
      <c r="L21" s="58"/>
    </row>
    <row r="22" spans="2:12" s="73" customFormat="1" ht="15" x14ac:dyDescent="0.25">
      <c r="B22" s="58"/>
      <c r="C22" s="58"/>
      <c r="D22" s="58"/>
      <c r="E22" s="58"/>
      <c r="F22" s="58"/>
      <c r="G22" s="58"/>
      <c r="H22" s="58"/>
      <c r="I22" s="60"/>
      <c r="J22" s="58"/>
      <c r="K22" s="58"/>
      <c r="L22" s="58"/>
    </row>
    <row r="29" spans="2:12" s="73" customFormat="1" ht="15" x14ac:dyDescent="0.2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762"/>
    </row>
    <row r="30" spans="2:12" s="73" customFormat="1" ht="15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762"/>
    </row>
    <row r="31" spans="2:12" s="73" customFormat="1" ht="15" x14ac:dyDescent="0.2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762"/>
    </row>
    <row r="32" spans="2:12" s="73" customFormat="1" ht="15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762"/>
    </row>
    <row r="33" spans="2:12" s="73" customFormat="1" ht="15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762"/>
    </row>
  </sheetData>
  <mergeCells count="10">
    <mergeCell ref="L29:L33"/>
    <mergeCell ref="B4:I4"/>
    <mergeCell ref="B7:B9"/>
    <mergeCell ref="C7:C9"/>
    <mergeCell ref="D7:D9"/>
    <mergeCell ref="E7:E9"/>
    <mergeCell ref="F7:F9"/>
    <mergeCell ref="G7:G9"/>
    <mergeCell ref="H7:H9"/>
    <mergeCell ref="I7:I9"/>
  </mergeCells>
  <pageMargins left="0.51181102362204722" right="0.11811023622047245" top="0.74803149606299213" bottom="0.74803149606299213" header="0.31496062992125984" footer="0.31496062992125984"/>
  <pageSetup paperSize="9" scale="90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25"/>
  <sheetViews>
    <sheetView workbookViewId="0"/>
  </sheetViews>
  <sheetFormatPr defaultColWidth="9.140625" defaultRowHeight="14.25" x14ac:dyDescent="0.2"/>
  <cols>
    <col min="1" max="1" width="9.140625" style="337"/>
    <col min="2" max="2" width="16.140625" style="72" customWidth="1"/>
    <col min="3" max="3" width="6.140625" style="72" customWidth="1"/>
    <col min="4" max="4" width="9.85546875" style="72" customWidth="1"/>
    <col min="5" max="5" width="5.42578125" style="72" customWidth="1"/>
    <col min="6" max="6" width="5.7109375" style="72" customWidth="1"/>
    <col min="7" max="7" width="5.42578125" style="72" customWidth="1"/>
    <col min="8" max="8" width="6" style="72" customWidth="1"/>
    <col min="9" max="9" width="7.42578125" style="72" customWidth="1"/>
    <col min="10" max="11" width="5.42578125" style="72" customWidth="1"/>
    <col min="12" max="12" width="5" style="72" customWidth="1"/>
    <col min="13" max="13" width="5.7109375" style="72" customWidth="1"/>
    <col min="14" max="14" width="6.7109375" style="72" customWidth="1"/>
    <col min="15" max="15" width="8" style="72" customWidth="1"/>
    <col min="16" max="16" width="8.85546875" style="72" customWidth="1"/>
    <col min="17" max="17" width="11" style="72" customWidth="1"/>
    <col min="18" max="18" width="6.42578125" style="72" customWidth="1"/>
    <col min="19" max="19" width="6.7109375" style="72" customWidth="1"/>
    <col min="20" max="20" width="8.42578125" style="72" customWidth="1"/>
    <col min="21" max="21" width="6.7109375" style="72" customWidth="1"/>
    <col min="22" max="16384" width="9.140625" style="72"/>
  </cols>
  <sheetData>
    <row r="1" spans="1:24" s="73" customFormat="1" ht="15" x14ac:dyDescent="0.25">
      <c r="A1" s="338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s="73" customFormat="1" ht="16.5" x14ac:dyDescent="0.3">
      <c r="A2" s="338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5" t="s">
        <v>399</v>
      </c>
      <c r="U2" s="174"/>
      <c r="V2" s="61"/>
      <c r="W2" s="61"/>
      <c r="X2" s="61"/>
    </row>
    <row r="3" spans="1:24" s="73" customFormat="1" ht="16.5" x14ac:dyDescent="0.3">
      <c r="A3" s="338"/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174"/>
      <c r="V3" s="61"/>
      <c r="W3" s="61"/>
      <c r="X3" s="61"/>
    </row>
    <row r="4" spans="1:24" s="73" customFormat="1" ht="17.100000000000001" customHeight="1" x14ac:dyDescent="0.3">
      <c r="A4" s="338"/>
      <c r="B4" s="771" t="s">
        <v>502</v>
      </c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174"/>
      <c r="V4" s="74"/>
      <c r="W4" s="74"/>
      <c r="X4" s="74"/>
    </row>
    <row r="5" spans="1:24" s="73" customFormat="1" ht="21.95" customHeight="1" x14ac:dyDescent="0.35">
      <c r="A5" s="338"/>
      <c r="B5" s="772" t="s">
        <v>503</v>
      </c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4"/>
      <c r="W5" s="74"/>
      <c r="X5" s="74"/>
    </row>
    <row r="6" spans="1:24" s="73" customFormat="1" ht="8.25" customHeight="1" x14ac:dyDescent="0.3">
      <c r="A6" s="338"/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3"/>
      <c r="V6" s="74"/>
      <c r="W6" s="74"/>
      <c r="X6" s="74"/>
    </row>
    <row r="7" spans="1:24" s="10" customFormat="1" ht="80.25" customHeight="1" x14ac:dyDescent="0.25">
      <c r="B7" s="437" t="s">
        <v>400</v>
      </c>
      <c r="C7" s="446" t="s">
        <v>647</v>
      </c>
      <c r="D7" s="446" t="s">
        <v>648</v>
      </c>
      <c r="E7" s="447" t="s">
        <v>10</v>
      </c>
      <c r="F7" s="447" t="s">
        <v>12</v>
      </c>
      <c r="G7" s="447" t="s">
        <v>14</v>
      </c>
      <c r="H7" s="447" t="s">
        <v>16</v>
      </c>
      <c r="I7" s="446" t="s">
        <v>471</v>
      </c>
      <c r="J7" s="447" t="s">
        <v>18</v>
      </c>
      <c r="K7" s="447" t="s">
        <v>20</v>
      </c>
      <c r="L7" s="447" t="s">
        <v>22</v>
      </c>
      <c r="M7" s="447" t="s">
        <v>24</v>
      </c>
      <c r="N7" s="447" t="s">
        <v>27</v>
      </c>
      <c r="O7" s="447" t="s">
        <v>401</v>
      </c>
      <c r="P7" s="446" t="s">
        <v>402</v>
      </c>
      <c r="Q7" s="446" t="s">
        <v>403</v>
      </c>
      <c r="R7" s="446" t="s">
        <v>404</v>
      </c>
      <c r="S7" s="446" t="s">
        <v>405</v>
      </c>
      <c r="T7" s="446" t="s">
        <v>406</v>
      </c>
      <c r="U7" s="446" t="s">
        <v>407</v>
      </c>
      <c r="V7" s="62"/>
      <c r="W7" s="62"/>
      <c r="X7" s="62"/>
    </row>
    <row r="8" spans="1:24" s="73" customFormat="1" ht="15" x14ac:dyDescent="0.25">
      <c r="A8" s="338"/>
      <c r="B8" s="438" t="s">
        <v>408</v>
      </c>
      <c r="C8" s="430">
        <v>0</v>
      </c>
      <c r="D8" s="430">
        <v>0</v>
      </c>
      <c r="E8" s="430">
        <v>49</v>
      </c>
      <c r="F8" s="430">
        <v>61</v>
      </c>
      <c r="G8" s="430">
        <v>55</v>
      </c>
      <c r="H8" s="430">
        <v>67</v>
      </c>
      <c r="I8" s="441">
        <v>232</v>
      </c>
      <c r="J8" s="430">
        <v>47</v>
      </c>
      <c r="K8" s="430">
        <v>53</v>
      </c>
      <c r="L8" s="430">
        <v>55</v>
      </c>
      <c r="M8" s="430">
        <v>53</v>
      </c>
      <c r="N8" s="430">
        <v>39</v>
      </c>
      <c r="O8" s="441">
        <v>247</v>
      </c>
      <c r="P8" s="441">
        <v>479</v>
      </c>
      <c r="Q8" s="445">
        <v>-14</v>
      </c>
      <c r="R8" s="430">
        <v>22</v>
      </c>
      <c r="S8" s="430">
        <v>202</v>
      </c>
      <c r="T8" s="430">
        <v>13</v>
      </c>
      <c r="U8" s="431">
        <v>1</v>
      </c>
      <c r="V8" s="74"/>
      <c r="W8" s="74"/>
      <c r="X8" s="74"/>
    </row>
    <row r="9" spans="1:24" s="73" customFormat="1" ht="15" x14ac:dyDescent="0.25">
      <c r="A9" s="338"/>
      <c r="B9" s="438" t="s">
        <v>409</v>
      </c>
      <c r="C9" s="430">
        <v>0</v>
      </c>
      <c r="D9" s="430">
        <v>0</v>
      </c>
      <c r="E9" s="430">
        <v>65</v>
      </c>
      <c r="F9" s="430">
        <v>64</v>
      </c>
      <c r="G9" s="430">
        <v>63</v>
      </c>
      <c r="H9" s="430">
        <v>74</v>
      </c>
      <c r="I9" s="441">
        <v>266</v>
      </c>
      <c r="J9" s="430">
        <v>73</v>
      </c>
      <c r="K9" s="430">
        <v>65</v>
      </c>
      <c r="L9" s="430">
        <v>82</v>
      </c>
      <c r="M9" s="430">
        <v>71</v>
      </c>
      <c r="N9" s="430">
        <v>54</v>
      </c>
      <c r="O9" s="441">
        <v>345</v>
      </c>
      <c r="P9" s="441">
        <v>611</v>
      </c>
      <c r="Q9" s="445">
        <v>-24</v>
      </c>
      <c r="R9" s="430">
        <v>27</v>
      </c>
      <c r="S9" s="430">
        <v>213</v>
      </c>
      <c r="T9" s="430">
        <v>13</v>
      </c>
      <c r="U9" s="431">
        <v>1</v>
      </c>
      <c r="V9" s="74"/>
      <c r="W9" s="74"/>
      <c r="X9" s="74"/>
    </row>
    <row r="10" spans="1:24" s="73" customFormat="1" ht="15" x14ac:dyDescent="0.25">
      <c r="A10" s="338"/>
      <c r="B10" s="438" t="s">
        <v>410</v>
      </c>
      <c r="C10" s="430">
        <v>0</v>
      </c>
      <c r="D10" s="430">
        <v>0</v>
      </c>
      <c r="E10" s="430">
        <v>70</v>
      </c>
      <c r="F10" s="430">
        <v>88</v>
      </c>
      <c r="G10" s="430">
        <v>88</v>
      </c>
      <c r="H10" s="430">
        <v>85</v>
      </c>
      <c r="I10" s="441">
        <v>331</v>
      </c>
      <c r="J10" s="430">
        <v>115</v>
      </c>
      <c r="K10" s="430">
        <v>89</v>
      </c>
      <c r="L10" s="430">
        <v>99</v>
      </c>
      <c r="M10" s="430">
        <v>103</v>
      </c>
      <c r="N10" s="430">
        <v>87</v>
      </c>
      <c r="O10" s="441">
        <v>493</v>
      </c>
      <c r="P10" s="441">
        <v>824</v>
      </c>
      <c r="Q10" s="445">
        <v>-36</v>
      </c>
      <c r="R10" s="430">
        <v>38</v>
      </c>
      <c r="S10" s="430">
        <v>302</v>
      </c>
      <c r="T10" s="430">
        <v>38</v>
      </c>
      <c r="U10" s="431">
        <v>1</v>
      </c>
      <c r="V10" s="74"/>
      <c r="W10" s="74"/>
      <c r="X10" s="74"/>
    </row>
    <row r="11" spans="1:24" s="73" customFormat="1" ht="15" x14ac:dyDescent="0.25">
      <c r="A11" s="338"/>
      <c r="B11" s="438" t="s">
        <v>411</v>
      </c>
      <c r="C11" s="430">
        <v>0</v>
      </c>
      <c r="D11" s="430">
        <v>0</v>
      </c>
      <c r="E11" s="430">
        <v>49</v>
      </c>
      <c r="F11" s="430">
        <v>48</v>
      </c>
      <c r="G11" s="430">
        <v>49</v>
      </c>
      <c r="H11" s="430">
        <v>47</v>
      </c>
      <c r="I11" s="441">
        <v>193</v>
      </c>
      <c r="J11" s="430">
        <v>47</v>
      </c>
      <c r="K11" s="430">
        <v>44</v>
      </c>
      <c r="L11" s="430">
        <v>39</v>
      </c>
      <c r="M11" s="430">
        <v>43</v>
      </c>
      <c r="N11" s="430">
        <v>40</v>
      </c>
      <c r="O11" s="441">
        <v>213</v>
      </c>
      <c r="P11" s="441">
        <v>406</v>
      </c>
      <c r="Q11" s="445">
        <v>36</v>
      </c>
      <c r="R11" s="430">
        <v>18</v>
      </c>
      <c r="S11" s="430">
        <v>158</v>
      </c>
      <c r="T11" s="430">
        <v>28</v>
      </c>
      <c r="U11" s="431">
        <v>1</v>
      </c>
      <c r="V11" s="74"/>
      <c r="W11" s="74"/>
      <c r="X11" s="74"/>
    </row>
    <row r="12" spans="1:24" s="73" customFormat="1" ht="30" x14ac:dyDescent="0.25">
      <c r="A12" s="338"/>
      <c r="B12" s="439" t="s">
        <v>472</v>
      </c>
      <c r="C12" s="430">
        <v>0</v>
      </c>
      <c r="D12" s="430">
        <v>0</v>
      </c>
      <c r="E12" s="430">
        <v>19</v>
      </c>
      <c r="F12" s="430">
        <v>14</v>
      </c>
      <c r="G12" s="430">
        <v>12</v>
      </c>
      <c r="H12" s="430">
        <v>9</v>
      </c>
      <c r="I12" s="441">
        <v>54</v>
      </c>
      <c r="J12" s="430">
        <v>0</v>
      </c>
      <c r="K12" s="430">
        <v>13</v>
      </c>
      <c r="L12" s="430">
        <v>9</v>
      </c>
      <c r="M12" s="430">
        <v>0</v>
      </c>
      <c r="N12" s="430">
        <v>0</v>
      </c>
      <c r="O12" s="441">
        <v>22</v>
      </c>
      <c r="P12" s="441">
        <v>76</v>
      </c>
      <c r="Q12" s="445"/>
      <c r="R12" s="430"/>
      <c r="S12" s="430"/>
      <c r="T12" s="430"/>
      <c r="U12" s="431"/>
      <c r="V12" s="74"/>
      <c r="W12" s="74"/>
      <c r="X12" s="74"/>
    </row>
    <row r="13" spans="1:24" s="73" customFormat="1" ht="15" x14ac:dyDescent="0.25">
      <c r="A13" s="338"/>
      <c r="B13" s="438" t="s">
        <v>412</v>
      </c>
      <c r="C13" s="432">
        <v>0</v>
      </c>
      <c r="D13" s="432">
        <v>0</v>
      </c>
      <c r="E13" s="432">
        <v>48</v>
      </c>
      <c r="F13" s="432">
        <v>45</v>
      </c>
      <c r="G13" s="432">
        <v>35</v>
      </c>
      <c r="H13" s="432">
        <v>44</v>
      </c>
      <c r="I13" s="441">
        <v>172</v>
      </c>
      <c r="J13" s="430">
        <v>44</v>
      </c>
      <c r="K13" s="430">
        <v>31</v>
      </c>
      <c r="L13" s="430">
        <v>35</v>
      </c>
      <c r="M13" s="430">
        <v>27</v>
      </c>
      <c r="N13" s="430">
        <v>24</v>
      </c>
      <c r="O13" s="441">
        <v>161</v>
      </c>
      <c r="P13" s="441">
        <v>333</v>
      </c>
      <c r="Q13" s="445">
        <v>48</v>
      </c>
      <c r="R13" s="430">
        <v>16</v>
      </c>
      <c r="S13" s="430">
        <v>145</v>
      </c>
      <c r="T13" s="430">
        <v>29</v>
      </c>
      <c r="U13" s="431">
        <v>0</v>
      </c>
      <c r="V13" s="74"/>
      <c r="W13" s="74"/>
      <c r="X13" s="74"/>
    </row>
    <row r="14" spans="1:24" s="73" customFormat="1" ht="15" x14ac:dyDescent="0.25">
      <c r="A14" s="338"/>
      <c r="B14" s="438" t="s">
        <v>413</v>
      </c>
      <c r="C14" s="430">
        <v>0</v>
      </c>
      <c r="D14" s="430">
        <v>0</v>
      </c>
      <c r="E14" s="430">
        <v>82</v>
      </c>
      <c r="F14" s="430">
        <v>89</v>
      </c>
      <c r="G14" s="430">
        <v>64</v>
      </c>
      <c r="H14" s="430">
        <v>91</v>
      </c>
      <c r="I14" s="441">
        <v>326</v>
      </c>
      <c r="J14" s="430">
        <v>99</v>
      </c>
      <c r="K14" s="430">
        <v>95</v>
      </c>
      <c r="L14" s="430">
        <v>108</v>
      </c>
      <c r="M14" s="430">
        <v>70</v>
      </c>
      <c r="N14" s="430">
        <v>72</v>
      </c>
      <c r="O14" s="441">
        <v>444</v>
      </c>
      <c r="P14" s="441">
        <v>770</v>
      </c>
      <c r="Q14" s="445">
        <v>22</v>
      </c>
      <c r="R14" s="430">
        <v>34</v>
      </c>
      <c r="S14" s="430">
        <v>237</v>
      </c>
      <c r="T14" s="430">
        <v>28</v>
      </c>
      <c r="U14" s="431">
        <v>2</v>
      </c>
      <c r="V14" s="74"/>
      <c r="W14" s="74"/>
      <c r="X14" s="74"/>
    </row>
    <row r="15" spans="1:24" s="73" customFormat="1" ht="15" x14ac:dyDescent="0.25">
      <c r="A15" s="338"/>
      <c r="B15" s="438" t="s">
        <v>414</v>
      </c>
      <c r="C15" s="430">
        <v>0</v>
      </c>
      <c r="D15" s="430">
        <v>0</v>
      </c>
      <c r="E15" s="430">
        <v>7</v>
      </c>
      <c r="F15" s="430">
        <v>3</v>
      </c>
      <c r="G15" s="430">
        <v>9</v>
      </c>
      <c r="H15" s="430">
        <v>8</v>
      </c>
      <c r="I15" s="441">
        <v>27</v>
      </c>
      <c r="J15" s="430">
        <v>0</v>
      </c>
      <c r="K15" s="430">
        <v>0</v>
      </c>
      <c r="L15" s="430">
        <v>0</v>
      </c>
      <c r="M15" s="430">
        <v>0</v>
      </c>
      <c r="N15" s="430">
        <v>0</v>
      </c>
      <c r="O15" s="441">
        <v>0</v>
      </c>
      <c r="P15" s="441">
        <v>27</v>
      </c>
      <c r="Q15" s="445">
        <v>-9</v>
      </c>
      <c r="R15" s="430">
        <v>2</v>
      </c>
      <c r="S15" s="430">
        <v>18</v>
      </c>
      <c r="T15" s="430">
        <v>1</v>
      </c>
      <c r="U15" s="431">
        <v>0</v>
      </c>
      <c r="V15" s="74"/>
      <c r="W15" s="74"/>
      <c r="X15" s="74"/>
    </row>
    <row r="16" spans="1:24" s="73" customFormat="1" ht="15" x14ac:dyDescent="0.25">
      <c r="A16" s="338"/>
      <c r="B16" s="438" t="s">
        <v>415</v>
      </c>
      <c r="C16" s="430">
        <v>0</v>
      </c>
      <c r="D16" s="430">
        <v>0</v>
      </c>
      <c r="E16" s="430">
        <v>90</v>
      </c>
      <c r="F16" s="430">
        <v>91</v>
      </c>
      <c r="G16" s="430">
        <v>92</v>
      </c>
      <c r="H16" s="430">
        <v>85</v>
      </c>
      <c r="I16" s="441">
        <v>358</v>
      </c>
      <c r="J16" s="430">
        <v>88</v>
      </c>
      <c r="K16" s="430">
        <v>85</v>
      </c>
      <c r="L16" s="430">
        <v>75</v>
      </c>
      <c r="M16" s="430">
        <v>81</v>
      </c>
      <c r="N16" s="430">
        <v>71</v>
      </c>
      <c r="O16" s="443">
        <v>400</v>
      </c>
      <c r="P16" s="441">
        <v>758</v>
      </c>
      <c r="Q16" s="445">
        <v>21</v>
      </c>
      <c r="R16" s="430">
        <v>31</v>
      </c>
      <c r="S16" s="430">
        <v>304</v>
      </c>
      <c r="T16" s="430">
        <v>24</v>
      </c>
      <c r="U16" s="431">
        <v>2</v>
      </c>
      <c r="V16" s="74"/>
      <c r="W16" s="74"/>
      <c r="X16" s="74"/>
    </row>
    <row r="17" spans="1:21" s="73" customFormat="1" ht="24.75" customHeight="1" x14ac:dyDescent="0.25">
      <c r="A17" s="338"/>
      <c r="B17" s="438" t="s">
        <v>416</v>
      </c>
      <c r="C17" s="430">
        <v>10</v>
      </c>
      <c r="D17" s="430">
        <v>8</v>
      </c>
      <c r="E17" s="430">
        <v>22</v>
      </c>
      <c r="F17" s="430">
        <v>22</v>
      </c>
      <c r="G17" s="430">
        <v>28</v>
      </c>
      <c r="H17" s="430">
        <v>28</v>
      </c>
      <c r="I17" s="441">
        <v>118</v>
      </c>
      <c r="J17" s="430">
        <v>24</v>
      </c>
      <c r="K17" s="430">
        <v>29</v>
      </c>
      <c r="L17" s="430">
        <v>22</v>
      </c>
      <c r="M17" s="430">
        <v>24</v>
      </c>
      <c r="N17" s="430">
        <v>26</v>
      </c>
      <c r="O17" s="441">
        <v>125</v>
      </c>
      <c r="P17" s="441">
        <v>243</v>
      </c>
      <c r="Q17" s="445">
        <v>9</v>
      </c>
      <c r="R17" s="430">
        <v>9</v>
      </c>
      <c r="S17" s="430">
        <v>79</v>
      </c>
      <c r="T17" s="430">
        <v>15</v>
      </c>
      <c r="U17" s="431">
        <v>3</v>
      </c>
    </row>
    <row r="18" spans="1:21" s="73" customFormat="1" ht="30" x14ac:dyDescent="0.25">
      <c r="A18" s="338"/>
      <c r="B18" s="439" t="s">
        <v>417</v>
      </c>
      <c r="C18" s="441">
        <f t="shared" ref="C18:P18" si="0">SUM(C8:C17)</f>
        <v>10</v>
      </c>
      <c r="D18" s="441">
        <f t="shared" si="0"/>
        <v>8</v>
      </c>
      <c r="E18" s="441">
        <f t="shared" si="0"/>
        <v>501</v>
      </c>
      <c r="F18" s="441">
        <f t="shared" si="0"/>
        <v>525</v>
      </c>
      <c r="G18" s="443">
        <f t="shared" si="0"/>
        <v>495</v>
      </c>
      <c r="H18" s="441">
        <f t="shared" si="0"/>
        <v>538</v>
      </c>
      <c r="I18" s="441">
        <f t="shared" si="0"/>
        <v>2077</v>
      </c>
      <c r="J18" s="441">
        <f t="shared" si="0"/>
        <v>537</v>
      </c>
      <c r="K18" s="441">
        <f t="shared" si="0"/>
        <v>504</v>
      </c>
      <c r="L18" s="441">
        <f t="shared" si="0"/>
        <v>524</v>
      </c>
      <c r="M18" s="441">
        <f t="shared" si="0"/>
        <v>472</v>
      </c>
      <c r="N18" s="441">
        <f t="shared" si="0"/>
        <v>413</v>
      </c>
      <c r="O18" s="441">
        <f t="shared" si="0"/>
        <v>2450</v>
      </c>
      <c r="P18" s="441">
        <f t="shared" si="0"/>
        <v>4527</v>
      </c>
      <c r="Q18" s="441">
        <v>53</v>
      </c>
      <c r="R18" s="441">
        <f>SUM(R8:R17)</f>
        <v>197</v>
      </c>
      <c r="S18" s="441">
        <f>SUM(S8:S17)</f>
        <v>1658</v>
      </c>
      <c r="T18" s="441">
        <f>SUM(T8:T17)</f>
        <v>189</v>
      </c>
      <c r="U18" s="444">
        <f>SUM(U8:U17)</f>
        <v>11</v>
      </c>
    </row>
    <row r="19" spans="1:21" s="73" customFormat="1" ht="26.25" customHeight="1" x14ac:dyDescent="0.25">
      <c r="A19" s="338"/>
      <c r="B19" s="440" t="s">
        <v>418</v>
      </c>
      <c r="C19" s="433">
        <v>1</v>
      </c>
      <c r="D19" s="433">
        <v>1</v>
      </c>
      <c r="E19" s="433">
        <v>24</v>
      </c>
      <c r="F19" s="433">
        <v>24</v>
      </c>
      <c r="G19" s="433">
        <v>23</v>
      </c>
      <c r="H19" s="433">
        <v>24</v>
      </c>
      <c r="I19" s="442" t="s">
        <v>649</v>
      </c>
      <c r="J19" s="433">
        <v>22</v>
      </c>
      <c r="K19" s="433">
        <v>21</v>
      </c>
      <c r="L19" s="433">
        <v>21</v>
      </c>
      <c r="M19" s="433">
        <v>20</v>
      </c>
      <c r="N19" s="433">
        <v>20</v>
      </c>
      <c r="O19" s="442" t="s">
        <v>649</v>
      </c>
      <c r="P19" s="442" t="s">
        <v>649</v>
      </c>
      <c r="Q19" s="434" t="s">
        <v>649</v>
      </c>
      <c r="R19" s="435" t="s">
        <v>649</v>
      </c>
      <c r="S19" s="433" t="s">
        <v>649</v>
      </c>
      <c r="T19" s="433" t="s">
        <v>649</v>
      </c>
      <c r="U19" s="436" t="s">
        <v>649</v>
      </c>
    </row>
    <row r="20" spans="1:21" s="73" customFormat="1" ht="15" customHeight="1" x14ac:dyDescent="0.3">
      <c r="A20" s="33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</row>
    <row r="21" spans="1:21" s="73" customFormat="1" ht="15.75" x14ac:dyDescent="0.3">
      <c r="A21" s="338"/>
      <c r="B21" s="774" t="s">
        <v>790</v>
      </c>
      <c r="C21" s="774"/>
      <c r="D21" s="774"/>
      <c r="E21" s="774"/>
      <c r="F21" s="774"/>
      <c r="G21" s="774"/>
      <c r="H21" s="774"/>
      <c r="I21" s="774"/>
      <c r="J21" s="774"/>
      <c r="K21" s="774"/>
      <c r="L21" s="774"/>
      <c r="M21" s="774"/>
      <c r="N21" s="774"/>
      <c r="O21" s="774"/>
      <c r="P21" s="774"/>
      <c r="Q21" s="774"/>
      <c r="R21" s="774"/>
      <c r="S21" s="774"/>
      <c r="T21" s="774"/>
      <c r="U21" s="774"/>
    </row>
    <row r="22" spans="1:21" s="73" customFormat="1" ht="15.75" x14ac:dyDescent="0.3">
      <c r="A22" s="338"/>
      <c r="B22" s="769" t="s">
        <v>791</v>
      </c>
      <c r="C22" s="769"/>
      <c r="D22" s="769"/>
      <c r="E22" s="769"/>
      <c r="F22" s="769"/>
      <c r="G22" s="769"/>
      <c r="H22" s="769"/>
      <c r="I22" s="769"/>
      <c r="J22" s="769"/>
      <c r="K22" s="769"/>
      <c r="L22" s="769"/>
      <c r="M22" s="769"/>
      <c r="N22" s="769"/>
      <c r="O22" s="769"/>
      <c r="P22" s="769"/>
      <c r="Q22" s="769"/>
      <c r="R22" s="769"/>
      <c r="S22" s="769"/>
      <c r="T22" s="769"/>
      <c r="U22" s="177"/>
    </row>
    <row r="23" spans="1:21" s="73" customFormat="1" ht="15.75" x14ac:dyDescent="0.3">
      <c r="A23" s="338"/>
      <c r="B23" s="769" t="s">
        <v>650</v>
      </c>
      <c r="C23" s="769"/>
      <c r="D23" s="769"/>
      <c r="E23" s="769"/>
      <c r="F23" s="769"/>
      <c r="G23" s="769"/>
      <c r="H23" s="769"/>
      <c r="I23" s="769"/>
      <c r="J23" s="769"/>
      <c r="K23" s="177"/>
      <c r="L23" s="177"/>
      <c r="M23" s="177"/>
      <c r="N23" s="177"/>
      <c r="O23" s="769"/>
      <c r="P23" s="769"/>
      <c r="Q23" s="769"/>
      <c r="R23" s="769"/>
      <c r="S23" s="769"/>
      <c r="T23" s="769"/>
      <c r="U23" s="177"/>
    </row>
    <row r="24" spans="1:21" s="73" customFormat="1" ht="15.75" x14ac:dyDescent="0.3">
      <c r="A24" s="338"/>
      <c r="B24" s="768" t="s">
        <v>792</v>
      </c>
      <c r="C24" s="768"/>
      <c r="D24" s="768"/>
      <c r="E24" s="768"/>
      <c r="F24" s="768"/>
      <c r="G24" s="768"/>
      <c r="H24" s="768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</row>
    <row r="25" spans="1:21" s="73" customFormat="1" ht="15.75" x14ac:dyDescent="0.3">
      <c r="A25" s="338"/>
      <c r="B25" s="769" t="s">
        <v>793</v>
      </c>
      <c r="C25" s="769"/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  <c r="P25" s="769"/>
      <c r="Q25" s="769"/>
      <c r="R25" s="769"/>
      <c r="S25" s="769"/>
      <c r="T25" s="769"/>
      <c r="U25" s="769"/>
    </row>
  </sheetData>
  <mergeCells count="11">
    <mergeCell ref="B24:H24"/>
    <mergeCell ref="B25:U25"/>
    <mergeCell ref="B3:T3"/>
    <mergeCell ref="B4:T4"/>
    <mergeCell ref="B5:U5"/>
    <mergeCell ref="B6:U6"/>
    <mergeCell ref="B21:U21"/>
    <mergeCell ref="B22:I22"/>
    <mergeCell ref="J22:T22"/>
    <mergeCell ref="B23:J23"/>
    <mergeCell ref="O23:T23"/>
  </mergeCells>
  <pageMargins left="0.51181102362204722" right="0.31496062992125984" top="0.74803149606299213" bottom="0.74803149606299213" header="0.31496062992125984" footer="0.31496062992125984"/>
  <pageSetup paperSize="9" scale="95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M21"/>
  <sheetViews>
    <sheetView workbookViewId="0"/>
  </sheetViews>
  <sheetFormatPr defaultRowHeight="14.25" x14ac:dyDescent="0.2"/>
  <cols>
    <col min="1" max="1" width="9.140625" style="1" customWidth="1"/>
    <col min="2" max="2" width="3.42578125" style="4" customWidth="1"/>
    <col min="3" max="3" width="56.7109375" style="1" customWidth="1"/>
    <col min="4" max="4" width="15.85546875" style="33" customWidth="1"/>
    <col min="5" max="5" width="9.140625" style="1" customWidth="1"/>
    <col min="6" max="6" width="13" style="1" customWidth="1"/>
    <col min="7" max="7" width="11.7109375" style="1" customWidth="1"/>
    <col min="8" max="8" width="11.85546875" style="1" customWidth="1"/>
    <col min="9" max="9" width="12.42578125" style="1" customWidth="1"/>
    <col min="10" max="10" width="9.140625" style="1" customWidth="1"/>
    <col min="11" max="16384" width="9.140625" style="1"/>
  </cols>
  <sheetData>
    <row r="2" spans="2:13" ht="16.5" x14ac:dyDescent="0.3">
      <c r="B2" s="156"/>
      <c r="C2" s="113"/>
      <c r="D2" s="114" t="s">
        <v>419</v>
      </c>
    </row>
    <row r="3" spans="2:13" ht="16.5" x14ac:dyDescent="0.3">
      <c r="B3" s="156"/>
      <c r="C3" s="113"/>
      <c r="D3" s="114"/>
    </row>
    <row r="4" spans="2:13" ht="16.5" x14ac:dyDescent="0.3">
      <c r="B4" s="775" t="s">
        <v>420</v>
      </c>
      <c r="C4" s="775"/>
      <c r="D4" s="775"/>
    </row>
    <row r="5" spans="2:13" ht="15.75" x14ac:dyDescent="0.3">
      <c r="B5" s="421"/>
      <c r="C5" s="422"/>
      <c r="D5" s="427" t="s">
        <v>421</v>
      </c>
      <c r="M5" s="35"/>
    </row>
    <row r="6" spans="2:13" ht="15.75" x14ac:dyDescent="0.3">
      <c r="B6" s="421">
        <v>1</v>
      </c>
      <c r="C6" s="423" t="s">
        <v>422</v>
      </c>
      <c r="D6" s="428">
        <v>38353</v>
      </c>
    </row>
    <row r="7" spans="2:13" ht="15.75" x14ac:dyDescent="0.3">
      <c r="B7" s="421">
        <v>2</v>
      </c>
      <c r="C7" s="423" t="s">
        <v>423</v>
      </c>
      <c r="D7" s="428">
        <v>37257</v>
      </c>
      <c r="F7" s="38"/>
    </row>
    <row r="8" spans="2:13" ht="15.75" x14ac:dyDescent="0.3">
      <c r="B8" s="421">
        <v>3</v>
      </c>
      <c r="C8" s="423" t="s">
        <v>424</v>
      </c>
      <c r="D8" s="428">
        <v>37438</v>
      </c>
    </row>
    <row r="9" spans="2:13" ht="15.75" x14ac:dyDescent="0.3">
      <c r="B9" s="421">
        <v>4</v>
      </c>
      <c r="C9" s="423" t="s">
        <v>425</v>
      </c>
      <c r="D9" s="428">
        <v>37438</v>
      </c>
    </row>
    <row r="10" spans="2:13" ht="15.75" x14ac:dyDescent="0.3">
      <c r="B10" s="421">
        <v>5</v>
      </c>
      <c r="C10" s="423" t="s">
        <v>426</v>
      </c>
      <c r="D10" s="428">
        <v>37438</v>
      </c>
      <c r="F10" s="38"/>
    </row>
    <row r="11" spans="2:13" ht="15.75" x14ac:dyDescent="0.3">
      <c r="B11" s="421">
        <v>6</v>
      </c>
      <c r="C11" s="423" t="s">
        <v>427</v>
      </c>
      <c r="D11" s="428">
        <v>37438</v>
      </c>
      <c r="F11" s="38"/>
    </row>
    <row r="12" spans="2:13" ht="15.75" x14ac:dyDescent="0.3">
      <c r="B12" s="421">
        <v>7</v>
      </c>
      <c r="C12" s="423" t="s">
        <v>428</v>
      </c>
      <c r="D12" s="428">
        <v>37438</v>
      </c>
      <c r="H12" s="38"/>
    </row>
    <row r="13" spans="2:13" ht="15.75" x14ac:dyDescent="0.3">
      <c r="B13" s="421">
        <v>8</v>
      </c>
      <c r="C13" s="423" t="s">
        <v>429</v>
      </c>
      <c r="D13" s="428">
        <v>37438</v>
      </c>
      <c r="H13" s="38"/>
    </row>
    <row r="14" spans="2:13" ht="15.75" x14ac:dyDescent="0.3">
      <c r="B14" s="421">
        <v>9</v>
      </c>
      <c r="C14" s="423" t="s">
        <v>430</v>
      </c>
      <c r="D14" s="428">
        <v>37438</v>
      </c>
      <c r="H14" s="38"/>
    </row>
    <row r="15" spans="2:13" ht="15.75" x14ac:dyDescent="0.3">
      <c r="B15" s="421">
        <v>10</v>
      </c>
      <c r="C15" s="423" t="s">
        <v>431</v>
      </c>
      <c r="D15" s="428">
        <v>37438</v>
      </c>
      <c r="F15" s="38"/>
    </row>
    <row r="16" spans="2:13" ht="15.75" x14ac:dyDescent="0.3">
      <c r="B16" s="421">
        <v>11</v>
      </c>
      <c r="C16" s="423" t="s">
        <v>432</v>
      </c>
      <c r="D16" s="428">
        <v>37438</v>
      </c>
      <c r="H16" s="38"/>
    </row>
    <row r="17" spans="2:9" ht="15.75" x14ac:dyDescent="0.3">
      <c r="B17" s="421">
        <v>12</v>
      </c>
      <c r="C17" s="423" t="s">
        <v>433</v>
      </c>
      <c r="D17" s="428">
        <v>37438</v>
      </c>
      <c r="G17" s="38"/>
    </row>
    <row r="18" spans="2:9" ht="15.75" x14ac:dyDescent="0.3">
      <c r="B18" s="421">
        <v>13</v>
      </c>
      <c r="C18" s="423" t="s">
        <v>434</v>
      </c>
      <c r="D18" s="428">
        <v>37438</v>
      </c>
      <c r="I18" s="38"/>
    </row>
    <row r="19" spans="2:9" ht="15.75" x14ac:dyDescent="0.3">
      <c r="B19" s="421">
        <v>14</v>
      </c>
      <c r="C19" s="423" t="s">
        <v>435</v>
      </c>
      <c r="D19" s="428">
        <v>41640</v>
      </c>
      <c r="H19" s="38"/>
    </row>
    <row r="20" spans="2:9" ht="15.75" x14ac:dyDescent="0.3">
      <c r="B20" s="421"/>
      <c r="C20" s="424"/>
      <c r="D20" s="427"/>
      <c r="H20" s="38"/>
    </row>
    <row r="21" spans="2:9" ht="15.75" x14ac:dyDescent="0.3">
      <c r="B21" s="425"/>
      <c r="C21" s="426" t="s">
        <v>492</v>
      </c>
      <c r="D21" s="429"/>
      <c r="H21" s="38"/>
    </row>
  </sheetData>
  <mergeCells count="1">
    <mergeCell ref="B4:D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34"/>
  <sheetViews>
    <sheetView workbookViewId="0"/>
  </sheetViews>
  <sheetFormatPr defaultRowHeight="16.5" x14ac:dyDescent="0.3"/>
  <cols>
    <col min="1" max="1" width="9.140625" style="113" customWidth="1"/>
    <col min="2" max="2" width="6.7109375" style="113" bestFit="1" customWidth="1"/>
    <col min="3" max="3" width="61.28515625" style="113" bestFit="1" customWidth="1"/>
    <col min="4" max="4" width="18.42578125" style="417" customWidth="1"/>
    <col min="5" max="5" width="9.140625" style="113" customWidth="1"/>
    <col min="6" max="16384" width="9.140625" style="113"/>
  </cols>
  <sheetData>
    <row r="2" spans="2:4" x14ac:dyDescent="0.3">
      <c r="D2" s="113" t="s">
        <v>436</v>
      </c>
    </row>
    <row r="3" spans="2:4" ht="37.5" customHeight="1" x14ac:dyDescent="0.3">
      <c r="B3" s="776" t="s">
        <v>932</v>
      </c>
      <c r="C3" s="776"/>
      <c r="D3" s="776"/>
    </row>
    <row r="4" spans="2:4" x14ac:dyDescent="0.3">
      <c r="B4" s="418"/>
      <c r="D4" s="419"/>
    </row>
    <row r="5" spans="2:4" ht="30" x14ac:dyDescent="0.3">
      <c r="B5" s="542" t="s">
        <v>437</v>
      </c>
      <c r="C5" s="543" t="s">
        <v>438</v>
      </c>
      <c r="D5" s="543" t="s">
        <v>933</v>
      </c>
    </row>
    <row r="6" spans="2:4" x14ac:dyDescent="0.3">
      <c r="B6" s="544">
        <v>1</v>
      </c>
      <c r="C6" s="545" t="s">
        <v>439</v>
      </c>
      <c r="D6" s="546">
        <f>D7+D8+D9+D10</f>
        <v>68981985</v>
      </c>
    </row>
    <row r="7" spans="2:4" x14ac:dyDescent="0.3">
      <c r="B7" s="421">
        <v>2</v>
      </c>
      <c r="C7" s="547" t="s">
        <v>440</v>
      </c>
      <c r="D7" s="471">
        <v>35115435</v>
      </c>
    </row>
    <row r="8" spans="2:4" x14ac:dyDescent="0.3">
      <c r="B8" s="421">
        <v>3</v>
      </c>
      <c r="C8" s="547" t="s">
        <v>441</v>
      </c>
      <c r="D8" s="471">
        <v>5991752</v>
      </c>
    </row>
    <row r="9" spans="2:4" x14ac:dyDescent="0.3">
      <c r="B9" s="421">
        <v>4</v>
      </c>
      <c r="C9" s="547" t="s">
        <v>442</v>
      </c>
      <c r="D9" s="471">
        <v>16375089</v>
      </c>
    </row>
    <row r="10" spans="2:4" x14ac:dyDescent="0.3">
      <c r="B10" s="421">
        <v>5</v>
      </c>
      <c r="C10" s="547" t="s">
        <v>443</v>
      </c>
      <c r="D10" s="471">
        <f>D11+D12</f>
        <v>11499709</v>
      </c>
    </row>
    <row r="11" spans="2:4" x14ac:dyDescent="0.3">
      <c r="B11" s="421">
        <v>6</v>
      </c>
      <c r="C11" s="547" t="s">
        <v>444</v>
      </c>
      <c r="D11" s="471">
        <v>11499709</v>
      </c>
    </row>
    <row r="12" spans="2:4" x14ac:dyDescent="0.3">
      <c r="B12" s="421">
        <v>7</v>
      </c>
      <c r="C12" s="547" t="s">
        <v>445</v>
      </c>
      <c r="D12" s="471">
        <v>0</v>
      </c>
    </row>
    <row r="13" spans="2:4" x14ac:dyDescent="0.3">
      <c r="B13" s="544">
        <v>8</v>
      </c>
      <c r="C13" s="545" t="s">
        <v>446</v>
      </c>
      <c r="D13" s="546">
        <f>D14+D15+D16</f>
        <v>55613473</v>
      </c>
    </row>
    <row r="14" spans="2:4" x14ac:dyDescent="0.3">
      <c r="B14" s="421">
        <v>9</v>
      </c>
      <c r="C14" s="547" t="s">
        <v>447</v>
      </c>
      <c r="D14" s="471">
        <v>46950765</v>
      </c>
    </row>
    <row r="15" spans="2:4" x14ac:dyDescent="0.3">
      <c r="B15" s="421">
        <v>10</v>
      </c>
      <c r="C15" s="547" t="s">
        <v>448</v>
      </c>
      <c r="D15" s="471">
        <v>6559152</v>
      </c>
    </row>
    <row r="16" spans="2:4" x14ac:dyDescent="0.3">
      <c r="B16" s="421">
        <v>11</v>
      </c>
      <c r="C16" s="547" t="s">
        <v>449</v>
      </c>
      <c r="D16" s="471">
        <v>2103556</v>
      </c>
    </row>
    <row r="17" spans="2:4" x14ac:dyDescent="0.3">
      <c r="B17" s="548">
        <v>12</v>
      </c>
      <c r="C17" s="549" t="s">
        <v>450</v>
      </c>
      <c r="D17" s="550">
        <f>D6-D13</f>
        <v>13368512</v>
      </c>
    </row>
    <row r="18" spans="2:4" ht="30" x14ac:dyDescent="0.3">
      <c r="B18" s="548">
        <v>13</v>
      </c>
      <c r="C18" s="551" t="s">
        <v>451</v>
      </c>
      <c r="D18" s="550">
        <f>D6-D10-D13+D16</f>
        <v>3972359</v>
      </c>
    </row>
    <row r="19" spans="2:4" x14ac:dyDescent="0.3">
      <c r="B19" s="421"/>
      <c r="C19" s="552"/>
      <c r="D19" s="553"/>
    </row>
    <row r="20" spans="2:4" x14ac:dyDescent="0.3">
      <c r="B20" s="544">
        <v>14</v>
      </c>
      <c r="C20" s="554" t="s">
        <v>452</v>
      </c>
      <c r="D20" s="555">
        <f>D21-D22</f>
        <v>-69172</v>
      </c>
    </row>
    <row r="21" spans="2:4" x14ac:dyDescent="0.3">
      <c r="B21" s="421">
        <v>15</v>
      </c>
      <c r="C21" s="547" t="s">
        <v>928</v>
      </c>
      <c r="D21" s="471">
        <v>1367454</v>
      </c>
    </row>
    <row r="22" spans="2:4" x14ac:dyDescent="0.3">
      <c r="B22" s="421">
        <v>16</v>
      </c>
      <c r="C22" s="547" t="s">
        <v>929</v>
      </c>
      <c r="D22" s="471">
        <v>1436626</v>
      </c>
    </row>
    <row r="23" spans="2:4" x14ac:dyDescent="0.3">
      <c r="B23" s="544">
        <v>17</v>
      </c>
      <c r="C23" s="554" t="s">
        <v>453</v>
      </c>
      <c r="D23" s="555">
        <f>D25-D24</f>
        <v>-909426</v>
      </c>
    </row>
    <row r="24" spans="2:4" x14ac:dyDescent="0.3">
      <c r="B24" s="421">
        <v>18</v>
      </c>
      <c r="C24" s="547" t="s">
        <v>930</v>
      </c>
      <c r="D24" s="471">
        <v>5075222</v>
      </c>
    </row>
    <row r="25" spans="2:4" x14ac:dyDescent="0.3">
      <c r="B25" s="421">
        <v>19</v>
      </c>
      <c r="C25" s="547" t="s">
        <v>931</v>
      </c>
      <c r="D25" s="471">
        <v>4165796</v>
      </c>
    </row>
    <row r="26" spans="2:4" x14ac:dyDescent="0.3">
      <c r="B26" s="544">
        <v>20</v>
      </c>
      <c r="C26" s="545" t="s">
        <v>454</v>
      </c>
      <c r="D26" s="546">
        <f>D20+D23</f>
        <v>-978598</v>
      </c>
    </row>
    <row r="27" spans="2:4" x14ac:dyDescent="0.3">
      <c r="B27" s="556">
        <v>21</v>
      </c>
      <c r="C27" s="556" t="s">
        <v>455</v>
      </c>
      <c r="D27" s="557">
        <f>D18+D26</f>
        <v>2993761</v>
      </c>
    </row>
    <row r="28" spans="2:4" x14ac:dyDescent="0.3">
      <c r="B28" s="420" t="s">
        <v>161</v>
      </c>
    </row>
    <row r="29" spans="2:4" ht="48" customHeight="1" x14ac:dyDescent="0.3">
      <c r="B29" s="777" t="s">
        <v>456</v>
      </c>
      <c r="C29" s="777"/>
      <c r="D29" s="777"/>
    </row>
    <row r="30" spans="2:4" ht="107.25" customHeight="1" x14ac:dyDescent="0.3">
      <c r="B30" s="777" t="s">
        <v>457</v>
      </c>
      <c r="C30" s="777"/>
      <c r="D30" s="777"/>
    </row>
    <row r="31" spans="2:4" ht="29.25" customHeight="1" x14ac:dyDescent="0.3">
      <c r="B31" s="777" t="s">
        <v>458</v>
      </c>
      <c r="C31" s="777"/>
      <c r="D31" s="777"/>
    </row>
    <row r="32" spans="2:4" x14ac:dyDescent="0.3">
      <c r="B32" s="418"/>
    </row>
    <row r="33" spans="2:3" x14ac:dyDescent="0.3">
      <c r="B33" s="418"/>
      <c r="C33" s="420"/>
    </row>
    <row r="34" spans="2:3" x14ac:dyDescent="0.3">
      <c r="B34" s="418"/>
    </row>
  </sheetData>
  <mergeCells count="4">
    <mergeCell ref="B3:D3"/>
    <mergeCell ref="B29:D29"/>
    <mergeCell ref="B30:D30"/>
    <mergeCell ref="B31:D3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74"/>
  <sheetViews>
    <sheetView workbookViewId="0"/>
  </sheetViews>
  <sheetFormatPr defaultRowHeight="14.25" x14ac:dyDescent="0.2"/>
  <cols>
    <col min="1" max="1" width="9.140625" style="1" customWidth="1"/>
    <col min="2" max="2" width="22.7109375" style="1" customWidth="1"/>
    <col min="3" max="3" width="12.42578125" style="1" customWidth="1"/>
    <col min="4" max="4" width="13.28515625" style="1" customWidth="1"/>
    <col min="5" max="5" width="13.5703125" style="1" customWidth="1"/>
    <col min="6" max="6" width="13.28515625" style="1" customWidth="1"/>
    <col min="7" max="7" width="13.140625" style="1" customWidth="1"/>
    <col min="8" max="8" width="13" style="1" customWidth="1"/>
    <col min="9" max="9" width="11.5703125" style="1" customWidth="1"/>
    <col min="10" max="10" width="13.42578125" style="1" customWidth="1"/>
    <col min="11" max="11" width="10.28515625" style="1" customWidth="1"/>
    <col min="12" max="12" width="9.140625" style="1" customWidth="1"/>
    <col min="13" max="16384" width="9.140625" style="1"/>
  </cols>
  <sheetData>
    <row r="2" spans="2:11" ht="16.5" x14ac:dyDescent="0.3">
      <c r="B2" s="113"/>
      <c r="C2" s="113"/>
      <c r="D2" s="113"/>
      <c r="E2" s="113"/>
      <c r="F2" s="113"/>
      <c r="G2" s="110" t="s">
        <v>68</v>
      </c>
    </row>
    <row r="3" spans="2:11" ht="23.25" customHeight="1" x14ac:dyDescent="0.2">
      <c r="B3" s="647" t="s">
        <v>69</v>
      </c>
      <c r="C3" s="647"/>
      <c r="D3" s="647"/>
      <c r="E3" s="647"/>
      <c r="F3" s="647"/>
      <c r="G3" s="647"/>
      <c r="H3" s="16"/>
      <c r="I3" s="16"/>
      <c r="J3" s="16"/>
      <c r="K3" s="16"/>
    </row>
    <row r="4" spans="2:11" ht="21.75" customHeight="1" x14ac:dyDescent="0.3">
      <c r="B4" s="113"/>
      <c r="C4" s="113"/>
      <c r="D4" s="113"/>
      <c r="E4" s="113"/>
      <c r="F4" s="113"/>
      <c r="G4" s="113"/>
    </row>
    <row r="5" spans="2:11" s="17" customFormat="1" ht="18.75" customHeight="1" x14ac:dyDescent="0.35">
      <c r="B5" s="648" t="s">
        <v>70</v>
      </c>
      <c r="C5" s="648"/>
      <c r="D5" s="648"/>
      <c r="E5" s="241">
        <f>E6+E12+E16+E18+E23+E28+E20</f>
        <v>1244863.6599999999</v>
      </c>
      <c r="F5" s="155"/>
      <c r="G5" s="155"/>
    </row>
    <row r="6" spans="2:11" ht="16.5" x14ac:dyDescent="0.35">
      <c r="B6" s="645" t="s">
        <v>71</v>
      </c>
      <c r="C6" s="645"/>
      <c r="D6" s="645"/>
      <c r="E6" s="242">
        <f>SUM(E7:E11)</f>
        <v>64708.259999999995</v>
      </c>
      <c r="F6" s="155"/>
      <c r="G6" s="155"/>
    </row>
    <row r="7" spans="2:11" ht="16.5" x14ac:dyDescent="0.35">
      <c r="B7" s="641" t="s">
        <v>474</v>
      </c>
      <c r="C7" s="641"/>
      <c r="D7" s="641"/>
      <c r="E7" s="215">
        <f>10756+1618</f>
        <v>12374</v>
      </c>
      <c r="F7" s="155"/>
      <c r="G7" s="155"/>
    </row>
    <row r="8" spans="2:11" ht="16.5" x14ac:dyDescent="0.35">
      <c r="B8" s="641" t="s">
        <v>72</v>
      </c>
      <c r="C8" s="641"/>
      <c r="D8" s="641"/>
      <c r="E8" s="215">
        <v>39302.11</v>
      </c>
      <c r="F8" s="155"/>
      <c r="G8" s="155"/>
    </row>
    <row r="9" spans="2:11" ht="16.5" x14ac:dyDescent="0.35">
      <c r="B9" s="641" t="s">
        <v>73</v>
      </c>
      <c r="C9" s="641"/>
      <c r="D9" s="641"/>
      <c r="E9" s="215">
        <v>3612</v>
      </c>
      <c r="F9" s="155"/>
      <c r="G9" s="155"/>
    </row>
    <row r="10" spans="2:11" ht="16.5" x14ac:dyDescent="0.35">
      <c r="B10" s="641" t="s">
        <v>74</v>
      </c>
      <c r="C10" s="641"/>
      <c r="D10" s="641"/>
      <c r="E10" s="215">
        <v>8818.9500000000007</v>
      </c>
      <c r="F10" s="155"/>
      <c r="G10" s="155"/>
    </row>
    <row r="11" spans="2:11" ht="16.5" x14ac:dyDescent="0.35">
      <c r="B11" s="641" t="s">
        <v>75</v>
      </c>
      <c r="C11" s="641"/>
      <c r="D11" s="641"/>
      <c r="E11" s="215">
        <v>601.20000000000005</v>
      </c>
      <c r="F11" s="155"/>
      <c r="G11" s="155"/>
    </row>
    <row r="12" spans="2:11" ht="16.5" x14ac:dyDescent="0.35">
      <c r="B12" s="645" t="s">
        <v>76</v>
      </c>
      <c r="C12" s="645"/>
      <c r="D12" s="645"/>
      <c r="E12" s="242">
        <f>SUM(E13:E15)</f>
        <v>409619.17</v>
      </c>
      <c r="F12" s="155"/>
      <c r="G12" s="155"/>
    </row>
    <row r="13" spans="2:11" ht="16.5" x14ac:dyDescent="0.35">
      <c r="B13" s="641" t="s">
        <v>77</v>
      </c>
      <c r="C13" s="641"/>
      <c r="D13" s="641"/>
      <c r="E13" s="215">
        <v>210681.13</v>
      </c>
      <c r="F13" s="155"/>
      <c r="G13" s="155"/>
    </row>
    <row r="14" spans="2:11" ht="16.5" x14ac:dyDescent="0.35">
      <c r="B14" s="641" t="s">
        <v>78</v>
      </c>
      <c r="C14" s="641"/>
      <c r="D14" s="641"/>
      <c r="E14" s="215">
        <v>198503.24</v>
      </c>
      <c r="F14" s="155"/>
      <c r="G14" s="155"/>
    </row>
    <row r="15" spans="2:11" ht="16.5" x14ac:dyDescent="0.35">
      <c r="B15" s="641" t="s">
        <v>79</v>
      </c>
      <c r="C15" s="641"/>
      <c r="D15" s="641"/>
      <c r="E15" s="215">
        <v>434.8</v>
      </c>
      <c r="F15" s="155"/>
      <c r="G15" s="155"/>
    </row>
    <row r="16" spans="2:11" ht="16.5" x14ac:dyDescent="0.35">
      <c r="B16" s="645" t="s">
        <v>80</v>
      </c>
      <c r="C16" s="645"/>
      <c r="D16" s="645"/>
      <c r="E16" s="242">
        <f>E17</f>
        <v>174972.92</v>
      </c>
      <c r="F16" s="155"/>
      <c r="G16" s="155"/>
    </row>
    <row r="17" spans="2:12" ht="31.5" customHeight="1" x14ac:dyDescent="0.35">
      <c r="B17" s="641" t="s">
        <v>81</v>
      </c>
      <c r="C17" s="641"/>
      <c r="D17" s="641"/>
      <c r="E17" s="243">
        <v>174972.92</v>
      </c>
      <c r="F17" s="155"/>
      <c r="G17" s="155"/>
    </row>
    <row r="18" spans="2:12" ht="16.5" x14ac:dyDescent="0.35">
      <c r="B18" s="645" t="s">
        <v>82</v>
      </c>
      <c r="C18" s="645"/>
      <c r="D18" s="645"/>
      <c r="E18" s="242">
        <f>E19</f>
        <v>922.6</v>
      </c>
      <c r="F18" s="155"/>
      <c r="G18" s="155"/>
    </row>
    <row r="19" spans="2:12" ht="16.5" x14ac:dyDescent="0.35">
      <c r="B19" s="646" t="s">
        <v>83</v>
      </c>
      <c r="C19" s="646"/>
      <c r="D19" s="646"/>
      <c r="E19" s="215">
        <v>922.6</v>
      </c>
      <c r="F19" s="155"/>
      <c r="G19" s="155"/>
    </row>
    <row r="20" spans="2:12" ht="16.5" x14ac:dyDescent="0.35">
      <c r="B20" s="645" t="s">
        <v>84</v>
      </c>
      <c r="C20" s="645"/>
      <c r="D20" s="645"/>
      <c r="E20" s="242">
        <f>E22+E21</f>
        <v>8440.4500000000007</v>
      </c>
      <c r="F20" s="155"/>
      <c r="G20" s="155"/>
    </row>
    <row r="21" spans="2:12" ht="16.5" x14ac:dyDescent="0.35">
      <c r="B21" s="646" t="s">
        <v>85</v>
      </c>
      <c r="C21" s="646"/>
      <c r="D21" s="646"/>
      <c r="E21" s="215">
        <v>3600</v>
      </c>
      <c r="F21" s="155"/>
      <c r="G21" s="155"/>
    </row>
    <row r="22" spans="2:12" ht="16.5" x14ac:dyDescent="0.35">
      <c r="B22" s="646" t="s">
        <v>86</v>
      </c>
      <c r="C22" s="646"/>
      <c r="D22" s="646"/>
      <c r="E22" s="215">
        <v>4840.45</v>
      </c>
      <c r="F22" s="155"/>
      <c r="G22" s="155"/>
    </row>
    <row r="23" spans="2:12" ht="16.5" x14ac:dyDescent="0.35">
      <c r="B23" s="645" t="s">
        <v>87</v>
      </c>
      <c r="C23" s="645"/>
      <c r="D23" s="645"/>
      <c r="E23" s="242">
        <f>SUM(E24:E27)</f>
        <v>231566.69</v>
      </c>
      <c r="F23" s="155"/>
      <c r="G23" s="155"/>
    </row>
    <row r="24" spans="2:12" ht="16.5" x14ac:dyDescent="0.35">
      <c r="B24" s="641" t="s">
        <v>88</v>
      </c>
      <c r="C24" s="641"/>
      <c r="D24" s="641"/>
      <c r="E24" s="215">
        <v>118119.58</v>
      </c>
      <c r="F24" s="155"/>
      <c r="G24" s="155"/>
    </row>
    <row r="25" spans="2:12" ht="16.5" x14ac:dyDescent="0.35">
      <c r="B25" s="641" t="s">
        <v>89</v>
      </c>
      <c r="C25" s="641"/>
      <c r="D25" s="641"/>
      <c r="E25" s="215">
        <v>86504.39</v>
      </c>
      <c r="F25" s="155"/>
      <c r="G25" s="155"/>
    </row>
    <row r="26" spans="2:12" ht="16.5" x14ac:dyDescent="0.35">
      <c r="B26" s="641" t="s">
        <v>475</v>
      </c>
      <c r="C26" s="641"/>
      <c r="D26" s="641"/>
      <c r="E26" s="215">
        <v>26903.3</v>
      </c>
      <c r="F26" s="155"/>
      <c r="G26" s="155"/>
    </row>
    <row r="27" spans="2:12" ht="16.5" x14ac:dyDescent="0.35">
      <c r="B27" s="641" t="s">
        <v>90</v>
      </c>
      <c r="C27" s="641"/>
      <c r="D27" s="641"/>
      <c r="E27" s="215">
        <v>39.42</v>
      </c>
      <c r="F27" s="155"/>
      <c r="G27" s="155"/>
    </row>
    <row r="28" spans="2:12" ht="16.5" x14ac:dyDescent="0.35">
      <c r="B28" s="645" t="s">
        <v>91</v>
      </c>
      <c r="C28" s="645"/>
      <c r="D28" s="645"/>
      <c r="E28" s="242">
        <f>SUM(E29:E35)</f>
        <v>354633.57</v>
      </c>
      <c r="F28" s="155"/>
      <c r="G28" s="155"/>
    </row>
    <row r="29" spans="2:12" s="40" customFormat="1" ht="14.25" customHeight="1" x14ac:dyDescent="0.35">
      <c r="B29" s="641" t="s">
        <v>476</v>
      </c>
      <c r="C29" s="641"/>
      <c r="D29" s="641"/>
      <c r="E29" s="215">
        <v>664.09</v>
      </c>
      <c r="F29" s="155"/>
      <c r="G29" s="155"/>
      <c r="H29" s="1"/>
      <c r="I29" s="1"/>
      <c r="J29" s="1"/>
      <c r="K29" s="1"/>
      <c r="L29" s="1"/>
    </row>
    <row r="30" spans="2:12" customFormat="1" ht="16.5" x14ac:dyDescent="0.35">
      <c r="B30" s="641" t="s">
        <v>92</v>
      </c>
      <c r="C30" s="641"/>
      <c r="D30" s="641"/>
      <c r="E30" s="215">
        <v>9.8000000000000007</v>
      </c>
      <c r="F30" s="155"/>
      <c r="G30" s="155"/>
      <c r="H30" s="1"/>
      <c r="I30" s="1"/>
      <c r="J30" s="1"/>
      <c r="K30" s="1"/>
      <c r="L30" s="1"/>
    </row>
    <row r="31" spans="2:12" customFormat="1" ht="16.5" x14ac:dyDescent="0.35">
      <c r="B31" s="643" t="s">
        <v>93</v>
      </c>
      <c r="C31" s="643"/>
      <c r="D31" s="643"/>
      <c r="E31" s="215">
        <v>5205.42</v>
      </c>
      <c r="F31" s="155"/>
      <c r="G31" s="155"/>
      <c r="H31" s="1"/>
      <c r="I31" s="1"/>
      <c r="J31" s="1"/>
      <c r="K31" s="1"/>
      <c r="L31" s="1"/>
    </row>
    <row r="32" spans="2:12" customFormat="1" ht="16.5" x14ac:dyDescent="0.35">
      <c r="B32" s="643" t="s">
        <v>94</v>
      </c>
      <c r="C32" s="643"/>
      <c r="D32" s="643"/>
      <c r="E32" s="215">
        <v>7219</v>
      </c>
      <c r="F32" s="155"/>
      <c r="G32" s="155"/>
      <c r="H32" s="1"/>
      <c r="I32" s="1"/>
      <c r="J32" s="1"/>
      <c r="K32" s="1"/>
    </row>
    <row r="33" spans="2:12" customFormat="1" ht="16.5" x14ac:dyDescent="0.35">
      <c r="B33" s="644" t="s">
        <v>459</v>
      </c>
      <c r="C33" s="644"/>
      <c r="D33" s="644"/>
      <c r="E33" s="244">
        <f>37926.54+190318.85+17010+26468.82+7366.83+47944.22</f>
        <v>327035.26</v>
      </c>
      <c r="F33" s="155"/>
      <c r="G33" s="155"/>
      <c r="H33" s="1"/>
      <c r="I33" s="1"/>
      <c r="J33" s="1"/>
      <c r="K33" s="1"/>
    </row>
    <row r="34" spans="2:12" s="105" customFormat="1" ht="16.5" x14ac:dyDescent="0.35">
      <c r="B34" s="644" t="s">
        <v>95</v>
      </c>
      <c r="C34" s="644"/>
      <c r="D34" s="644"/>
      <c r="E34" s="244">
        <v>4500</v>
      </c>
      <c r="F34" s="155"/>
      <c r="G34" s="155"/>
      <c r="H34" s="104"/>
      <c r="I34" s="104"/>
      <c r="J34" s="104"/>
      <c r="K34" s="104"/>
    </row>
    <row r="35" spans="2:12" customFormat="1" ht="16.5" x14ac:dyDescent="0.35">
      <c r="B35" s="642" t="s">
        <v>676</v>
      </c>
      <c r="C35" s="642"/>
      <c r="D35" s="642"/>
      <c r="E35" s="245">
        <v>10000</v>
      </c>
      <c r="F35" s="155"/>
      <c r="G35" s="155"/>
      <c r="H35" s="1"/>
      <c r="I35" s="1"/>
      <c r="J35" s="1"/>
      <c r="K35" s="1"/>
    </row>
    <row r="36" spans="2:12" customFormat="1" ht="16.5" x14ac:dyDescent="0.35">
      <c r="B36" s="155"/>
      <c r="C36" s="155"/>
      <c r="D36" s="155"/>
      <c r="E36" s="155"/>
      <c r="F36" s="155"/>
      <c r="G36" s="155"/>
      <c r="H36" s="1"/>
      <c r="I36" s="1"/>
      <c r="J36" s="1"/>
      <c r="K36" s="1"/>
      <c r="L36" s="1"/>
    </row>
    <row r="37" spans="2:12" s="184" customFormat="1" ht="16.5" x14ac:dyDescent="0.35">
      <c r="B37" s="155"/>
      <c r="C37" s="155"/>
      <c r="D37" s="155"/>
      <c r="E37" s="155"/>
      <c r="F37" s="155"/>
      <c r="G37" s="155"/>
      <c r="H37" s="183"/>
      <c r="I37" s="183"/>
      <c r="J37" s="183"/>
      <c r="K37" s="183"/>
      <c r="L37" s="183"/>
    </row>
    <row r="38" spans="2:12" s="4" customFormat="1" ht="40.5" x14ac:dyDescent="0.25">
      <c r="B38" s="219" t="s">
        <v>52</v>
      </c>
      <c r="C38" s="289" t="s">
        <v>883</v>
      </c>
      <c r="D38" s="289" t="s">
        <v>884</v>
      </c>
      <c r="E38" s="289" t="s">
        <v>885</v>
      </c>
      <c r="F38" s="289" t="s">
        <v>886</v>
      </c>
      <c r="G38" s="238"/>
    </row>
    <row r="39" spans="2:12" customFormat="1" ht="16.5" x14ac:dyDescent="0.35">
      <c r="B39" s="246" t="s">
        <v>53</v>
      </c>
      <c r="C39" s="247">
        <v>111503.91</v>
      </c>
      <c r="D39" s="247">
        <v>42454.7</v>
      </c>
      <c r="E39" s="247">
        <v>56126</v>
      </c>
      <c r="F39" s="247">
        <v>424957.64</v>
      </c>
      <c r="G39" s="155"/>
      <c r="H39" s="1"/>
      <c r="I39" s="1"/>
      <c r="J39" s="1"/>
      <c r="K39" s="1"/>
      <c r="L39" s="1"/>
    </row>
    <row r="40" spans="2:12" customFormat="1" ht="16.5" x14ac:dyDescent="0.35">
      <c r="B40" s="246" t="s">
        <v>54</v>
      </c>
      <c r="C40" s="247">
        <v>40481.599999999999</v>
      </c>
      <c r="D40" s="247">
        <v>14424.38</v>
      </c>
      <c r="E40" s="247">
        <v>20455.53</v>
      </c>
      <c r="F40" s="247">
        <v>152469.69</v>
      </c>
      <c r="G40" s="155"/>
      <c r="H40" s="1"/>
      <c r="I40" s="1"/>
      <c r="J40" s="1"/>
      <c r="K40" s="1"/>
      <c r="L40" s="1"/>
    </row>
    <row r="41" spans="2:12" customFormat="1" ht="16.5" x14ac:dyDescent="0.35">
      <c r="B41" s="246" t="s">
        <v>55</v>
      </c>
      <c r="C41" s="247">
        <f>SUM(C42:C48)</f>
        <v>43121.54</v>
      </c>
      <c r="D41" s="247">
        <f>SUM(D42:D48)</f>
        <v>18335.63</v>
      </c>
      <c r="E41" s="247">
        <f>SUM(E42:E48)</f>
        <v>9873.630000000001</v>
      </c>
      <c r="F41" s="247">
        <f>SUM(F42:F48)</f>
        <v>230744.58000000002</v>
      </c>
      <c r="G41" s="155"/>
      <c r="H41" s="1"/>
      <c r="I41" s="1"/>
      <c r="J41" s="1"/>
      <c r="K41" s="1"/>
      <c r="L41" s="1"/>
    </row>
    <row r="42" spans="2:12" customFormat="1" ht="16.5" x14ac:dyDescent="0.35">
      <c r="B42" s="220" t="s">
        <v>96</v>
      </c>
      <c r="C42" s="201">
        <v>0</v>
      </c>
      <c r="D42" s="201">
        <v>0</v>
      </c>
      <c r="E42" s="201">
        <v>82.36</v>
      </c>
      <c r="F42" s="201">
        <v>0</v>
      </c>
      <c r="G42" s="155"/>
      <c r="H42" s="1"/>
      <c r="I42" s="1"/>
      <c r="J42" s="1"/>
      <c r="K42" s="1"/>
      <c r="L42" s="1"/>
    </row>
    <row r="43" spans="2:12" customFormat="1" ht="16.5" x14ac:dyDescent="0.35">
      <c r="B43" s="220" t="s">
        <v>56</v>
      </c>
      <c r="C43" s="201">
        <v>16440.52</v>
      </c>
      <c r="D43" s="201">
        <v>3738.91</v>
      </c>
      <c r="E43" s="201">
        <v>4302.1400000000003</v>
      </c>
      <c r="F43" s="201">
        <v>55762</v>
      </c>
      <c r="G43" s="155"/>
      <c r="H43" s="1"/>
      <c r="I43" s="1"/>
      <c r="J43" s="1"/>
      <c r="K43" s="1"/>
      <c r="L43" s="1"/>
    </row>
    <row r="44" spans="2:12" customFormat="1" ht="16.5" x14ac:dyDescent="0.35">
      <c r="B44" s="220" t="s">
        <v>57</v>
      </c>
      <c r="C44" s="201">
        <v>15346.41</v>
      </c>
      <c r="D44" s="201">
        <v>3898.28</v>
      </c>
      <c r="E44" s="201">
        <v>1210.6400000000001</v>
      </c>
      <c r="F44" s="201">
        <v>26981.05</v>
      </c>
      <c r="G44" s="155"/>
      <c r="H44" s="1"/>
      <c r="I44" s="1"/>
      <c r="J44" s="1"/>
      <c r="K44" s="1"/>
      <c r="L44" s="1"/>
    </row>
    <row r="45" spans="2:12" customFormat="1" ht="16.5" x14ac:dyDescent="0.35">
      <c r="B45" s="220" t="s">
        <v>58</v>
      </c>
      <c r="C45" s="201">
        <v>0</v>
      </c>
      <c r="D45" s="201">
        <v>0</v>
      </c>
      <c r="E45" s="201">
        <v>0</v>
      </c>
      <c r="F45" s="201">
        <v>820.01</v>
      </c>
      <c r="G45" s="155"/>
      <c r="H45" s="1"/>
      <c r="I45" s="1"/>
      <c r="J45" s="1"/>
      <c r="K45" s="1"/>
      <c r="L45" s="6"/>
    </row>
    <row r="46" spans="2:12" customFormat="1" ht="15.75" customHeight="1" x14ac:dyDescent="0.35">
      <c r="B46" s="220" t="s">
        <v>59</v>
      </c>
      <c r="C46" s="201">
        <v>6272.6</v>
      </c>
      <c r="D46" s="201">
        <v>313.12</v>
      </c>
      <c r="E46" s="201">
        <v>358.12</v>
      </c>
      <c r="F46" s="201">
        <v>1923.77</v>
      </c>
      <c r="G46" s="155"/>
      <c r="H46" s="1"/>
      <c r="I46" s="1"/>
      <c r="J46" s="1"/>
      <c r="K46" s="1"/>
      <c r="L46" s="1"/>
    </row>
    <row r="47" spans="2:12" s="105" customFormat="1" ht="15.75" customHeight="1" x14ac:dyDescent="0.35">
      <c r="B47" s="220" t="s">
        <v>60</v>
      </c>
      <c r="C47" s="201"/>
      <c r="D47" s="201">
        <v>0</v>
      </c>
      <c r="E47" s="201">
        <v>0</v>
      </c>
      <c r="F47" s="201">
        <v>2850</v>
      </c>
      <c r="G47" s="155"/>
      <c r="H47" s="104"/>
      <c r="I47" s="104"/>
      <c r="J47" s="104"/>
      <c r="K47" s="104"/>
      <c r="L47" s="104"/>
    </row>
    <row r="48" spans="2:12" customFormat="1" ht="16.5" x14ac:dyDescent="0.35">
      <c r="B48" s="220" t="s">
        <v>61</v>
      </c>
      <c r="C48" s="201">
        <f>4762.41+299.6</f>
        <v>5062.01</v>
      </c>
      <c r="D48" s="201">
        <v>10385.32</v>
      </c>
      <c r="E48" s="201">
        <f>3489.83+430.54</f>
        <v>3920.37</v>
      </c>
      <c r="F48" s="201">
        <f>140671.78+1735.97</f>
        <v>142407.75</v>
      </c>
      <c r="G48" s="155"/>
      <c r="H48" s="1"/>
      <c r="I48" s="1"/>
      <c r="J48" s="1"/>
      <c r="K48" s="1"/>
      <c r="L48" s="1"/>
    </row>
    <row r="49" spans="2:12" customFormat="1" ht="16.5" x14ac:dyDescent="0.35">
      <c r="B49" s="250" t="s">
        <v>62</v>
      </c>
      <c r="C49" s="251">
        <v>1700.15</v>
      </c>
      <c r="D49" s="251">
        <v>2187.06</v>
      </c>
      <c r="E49" s="251">
        <v>193.7</v>
      </c>
      <c r="F49" s="251">
        <v>2612.38</v>
      </c>
      <c r="G49" s="155"/>
      <c r="H49" s="1"/>
      <c r="I49" s="1"/>
      <c r="J49" s="1"/>
      <c r="K49" s="1"/>
      <c r="L49" s="1"/>
    </row>
    <row r="50" spans="2:12" customFormat="1" ht="16.5" x14ac:dyDescent="0.35">
      <c r="B50" s="226" t="s">
        <v>97</v>
      </c>
      <c r="C50" s="227">
        <f>C39+C40+C41+C49</f>
        <v>196807.2</v>
      </c>
      <c r="D50" s="227">
        <f>D39+D40+D41+D49</f>
        <v>77401.76999999999</v>
      </c>
      <c r="E50" s="227">
        <f>E39+E40+E41+E49</f>
        <v>86648.86</v>
      </c>
      <c r="F50" s="227">
        <f>F39+F40+F41+F49</f>
        <v>810784.29000000015</v>
      </c>
      <c r="G50" s="155"/>
      <c r="H50" s="1"/>
      <c r="I50" s="1"/>
      <c r="J50" s="1"/>
      <c r="K50" s="1"/>
      <c r="L50" s="1"/>
    </row>
    <row r="51" spans="2:12" ht="16.5" x14ac:dyDescent="0.35">
      <c r="B51" s="226" t="s">
        <v>99</v>
      </c>
      <c r="C51" s="227">
        <v>7788</v>
      </c>
      <c r="D51" s="227">
        <v>0</v>
      </c>
      <c r="E51" s="227">
        <v>0</v>
      </c>
      <c r="F51" s="227">
        <f>3996+19485.22+19174.8</f>
        <v>42656.020000000004</v>
      </c>
      <c r="G51" s="155"/>
    </row>
    <row r="52" spans="2:12" ht="23.25" customHeight="1" x14ac:dyDescent="0.35">
      <c r="B52" s="155"/>
      <c r="C52" s="155"/>
      <c r="D52" s="155"/>
      <c r="E52" s="155"/>
      <c r="F52" s="155"/>
      <c r="G52" s="155"/>
    </row>
    <row r="53" spans="2:12" s="183" customFormat="1" ht="23.25" customHeight="1" x14ac:dyDescent="0.35">
      <c r="B53" s="155"/>
      <c r="C53" s="155"/>
      <c r="D53" s="155"/>
      <c r="E53" s="155"/>
      <c r="F53" s="155"/>
      <c r="G53" s="155"/>
    </row>
    <row r="54" spans="2:12" ht="54" x14ac:dyDescent="0.2">
      <c r="B54" s="219" t="s">
        <v>52</v>
      </c>
      <c r="C54" s="289" t="s">
        <v>890</v>
      </c>
      <c r="D54" s="289" t="s">
        <v>887</v>
      </c>
      <c r="E54" s="289" t="s">
        <v>888</v>
      </c>
      <c r="F54" s="289" t="s">
        <v>889</v>
      </c>
      <c r="G54" s="291" t="s">
        <v>98</v>
      </c>
    </row>
    <row r="55" spans="2:12" ht="16.5" x14ac:dyDescent="0.35">
      <c r="B55" s="246" t="s">
        <v>53</v>
      </c>
      <c r="C55" s="247">
        <v>866871.31</v>
      </c>
      <c r="D55" s="247">
        <v>622042.92000000004</v>
      </c>
      <c r="E55" s="247">
        <v>10518.57</v>
      </c>
      <c r="F55" s="247">
        <v>124487.05</v>
      </c>
      <c r="G55" s="253">
        <f t="shared" ref="G55:G62" si="0">C39+D39+E39+F39+C55+D55+E55+F55</f>
        <v>2258962.0999999996</v>
      </c>
    </row>
    <row r="56" spans="2:12" ht="16.5" x14ac:dyDescent="0.35">
      <c r="B56" s="246" t="s">
        <v>54</v>
      </c>
      <c r="C56" s="247">
        <v>305458.26</v>
      </c>
      <c r="D56" s="247">
        <v>214489.24</v>
      </c>
      <c r="E56" s="247">
        <v>3050.59</v>
      </c>
      <c r="F56" s="247">
        <v>47103.02</v>
      </c>
      <c r="G56" s="253">
        <f t="shared" si="0"/>
        <v>797932.30999999994</v>
      </c>
    </row>
    <row r="57" spans="2:12" ht="16.5" x14ac:dyDescent="0.35">
      <c r="B57" s="246" t="s">
        <v>55</v>
      </c>
      <c r="C57" s="247">
        <f>SUM(C58:C64)</f>
        <v>420925.26</v>
      </c>
      <c r="D57" s="247">
        <f>SUM(D58:D64)</f>
        <v>50205.079999999994</v>
      </c>
      <c r="E57" s="247">
        <f>SUM(E58:E64)</f>
        <v>3165.49</v>
      </c>
      <c r="F57" s="247">
        <f>SUM(F58:F64)</f>
        <v>30945.549999999996</v>
      </c>
      <c r="G57" s="253">
        <f t="shared" si="0"/>
        <v>807316.76</v>
      </c>
    </row>
    <row r="58" spans="2:12" ht="16.5" x14ac:dyDescent="0.35">
      <c r="B58" s="220" t="s">
        <v>96</v>
      </c>
      <c r="C58" s="201">
        <v>0</v>
      </c>
      <c r="D58" s="201">
        <v>127.88</v>
      </c>
      <c r="E58" s="201">
        <v>0</v>
      </c>
      <c r="F58" s="201">
        <v>0</v>
      </c>
      <c r="G58" s="254">
        <f t="shared" si="0"/>
        <v>210.24</v>
      </c>
    </row>
    <row r="59" spans="2:12" ht="16.5" x14ac:dyDescent="0.35">
      <c r="B59" s="220" t="s">
        <v>56</v>
      </c>
      <c r="C59" s="201">
        <v>96331.09</v>
      </c>
      <c r="D59" s="201">
        <v>719.33</v>
      </c>
      <c r="E59" s="201">
        <v>7.67</v>
      </c>
      <c r="F59" s="201">
        <v>2079.94</v>
      </c>
      <c r="G59" s="254">
        <f t="shared" si="0"/>
        <v>179381.6</v>
      </c>
    </row>
    <row r="60" spans="2:12" ht="16.5" x14ac:dyDescent="0.35">
      <c r="B60" s="220" t="s">
        <v>57</v>
      </c>
      <c r="C60" s="201">
        <v>60001.34</v>
      </c>
      <c r="D60" s="201">
        <v>4369.62</v>
      </c>
      <c r="E60" s="201">
        <v>12.3</v>
      </c>
      <c r="F60" s="201">
        <v>3340.29</v>
      </c>
      <c r="G60" s="254">
        <f t="shared" si="0"/>
        <v>115159.93</v>
      </c>
    </row>
    <row r="61" spans="2:12" ht="16.5" x14ac:dyDescent="0.35">
      <c r="B61" s="220" t="s">
        <v>58</v>
      </c>
      <c r="C61" s="201">
        <v>999.6</v>
      </c>
      <c r="D61" s="201">
        <v>4790.91</v>
      </c>
      <c r="E61" s="201">
        <v>2574.7600000000002</v>
      </c>
      <c r="F61" s="201">
        <v>1181.9100000000001</v>
      </c>
      <c r="G61" s="254">
        <f t="shared" si="0"/>
        <v>10367.19</v>
      </c>
    </row>
    <row r="62" spans="2:12" ht="15" customHeight="1" x14ac:dyDescent="0.35">
      <c r="B62" s="220" t="s">
        <v>59</v>
      </c>
      <c r="C62" s="201">
        <v>17128.41</v>
      </c>
      <c r="D62" s="201">
        <v>0</v>
      </c>
      <c r="E62" s="201">
        <v>0</v>
      </c>
      <c r="F62" s="201">
        <v>617.6</v>
      </c>
      <c r="G62" s="254">
        <f t="shared" si="0"/>
        <v>26613.62</v>
      </c>
    </row>
    <row r="63" spans="2:12" s="104" customFormat="1" ht="15.75" customHeight="1" x14ac:dyDescent="0.35">
      <c r="B63" s="220" t="s">
        <v>60</v>
      </c>
      <c r="C63" s="201"/>
      <c r="D63" s="201">
        <v>0</v>
      </c>
      <c r="E63" s="201">
        <v>0</v>
      </c>
      <c r="F63" s="201">
        <v>0</v>
      </c>
      <c r="G63" s="254">
        <f>C63+D63+E63+F63+C47+D47+E47+F47</f>
        <v>2850</v>
      </c>
    </row>
    <row r="64" spans="2:12" ht="16.5" x14ac:dyDescent="0.35">
      <c r="B64" s="220" t="s">
        <v>61</v>
      </c>
      <c r="C64" s="201">
        <f>243912.35+2552.47</f>
        <v>246464.82</v>
      </c>
      <c r="D64" s="201">
        <f>37911.25+2286.09</f>
        <v>40197.339999999997</v>
      </c>
      <c r="E64" s="201">
        <f>570.76+0</f>
        <v>570.76</v>
      </c>
      <c r="F64" s="201">
        <f>22939.3+786.51</f>
        <v>23725.809999999998</v>
      </c>
      <c r="G64" s="254">
        <f>C48+D48+E48+F48+C64+D64+E64+F64</f>
        <v>472734.18</v>
      </c>
    </row>
    <row r="65" spans="2:7" ht="16.5" x14ac:dyDescent="0.35">
      <c r="B65" s="250" t="s">
        <v>62</v>
      </c>
      <c r="C65" s="251">
        <v>11676.64</v>
      </c>
      <c r="D65" s="251">
        <v>5871.9</v>
      </c>
      <c r="E65" s="251">
        <v>0</v>
      </c>
      <c r="F65" s="251">
        <v>843.46</v>
      </c>
      <c r="G65" s="255">
        <f>C49+D49+E49+F49+C65+D65+E65+F65</f>
        <v>25085.29</v>
      </c>
    </row>
    <row r="66" spans="2:7" ht="15" x14ac:dyDescent="0.2">
      <c r="B66" s="226" t="s">
        <v>97</v>
      </c>
      <c r="C66" s="227">
        <f>C55+C56+C57+C65</f>
        <v>1604931.47</v>
      </c>
      <c r="D66" s="227">
        <f>D55+D56+D57+D65</f>
        <v>892609.14</v>
      </c>
      <c r="E66" s="227">
        <f>E55+E56+E57+E65</f>
        <v>16734.650000000001</v>
      </c>
      <c r="F66" s="227">
        <f>F55+F56+F57+F65</f>
        <v>203379.08</v>
      </c>
      <c r="G66" s="234">
        <f>C50+D50+E50+F50+C66+D66+E66+F66</f>
        <v>3889296.46</v>
      </c>
    </row>
    <row r="67" spans="2:7" ht="15" x14ac:dyDescent="0.2">
      <c r="B67" s="226" t="s">
        <v>99</v>
      </c>
      <c r="C67" s="227">
        <v>49779.59</v>
      </c>
      <c r="D67" s="227">
        <v>0</v>
      </c>
      <c r="E67" s="227">
        <v>0</v>
      </c>
      <c r="F67" s="227">
        <v>0</v>
      </c>
      <c r="G67" s="234">
        <f>C67+F51+C51</f>
        <v>100223.61</v>
      </c>
    </row>
    <row r="68" spans="2:7" x14ac:dyDescent="0.2">
      <c r="B68" s="239"/>
      <c r="C68" s="239"/>
      <c r="D68" s="239"/>
      <c r="E68" s="239"/>
      <c r="F68" s="239"/>
      <c r="G68" s="239"/>
    </row>
    <row r="69" spans="2:7" x14ac:dyDescent="0.2">
      <c r="B69" s="239"/>
      <c r="C69" s="239"/>
      <c r="D69" s="239"/>
      <c r="E69" s="239"/>
      <c r="F69" s="239"/>
      <c r="G69" s="239"/>
    </row>
    <row r="70" spans="2:7" x14ac:dyDescent="0.2">
      <c r="B70" s="239"/>
      <c r="C70" s="239"/>
      <c r="D70" s="239"/>
      <c r="E70" s="239"/>
      <c r="F70" s="239"/>
      <c r="G70" s="240"/>
    </row>
    <row r="71" spans="2:7" x14ac:dyDescent="0.2">
      <c r="B71" s="239"/>
      <c r="C71" s="239"/>
      <c r="D71" s="239"/>
      <c r="E71" s="239"/>
      <c r="F71" s="239"/>
      <c r="G71" s="240"/>
    </row>
    <row r="72" spans="2:7" x14ac:dyDescent="0.2">
      <c r="B72" s="239"/>
      <c r="C72" s="239"/>
      <c r="D72" s="239"/>
      <c r="E72" s="239"/>
      <c r="F72" s="239"/>
      <c r="G72" s="239"/>
    </row>
    <row r="73" spans="2:7" x14ac:dyDescent="0.2">
      <c r="B73" s="239"/>
      <c r="C73" s="239"/>
      <c r="D73" s="239"/>
      <c r="E73" s="239"/>
      <c r="F73" s="239"/>
      <c r="G73" s="239"/>
    </row>
    <row r="74" spans="2:7" x14ac:dyDescent="0.2">
      <c r="B74" s="239"/>
      <c r="C74" s="239"/>
      <c r="D74" s="239"/>
      <c r="E74" s="239"/>
      <c r="F74" s="239"/>
      <c r="G74" s="239"/>
    </row>
  </sheetData>
  <mergeCells count="32">
    <mergeCell ref="B15:D15"/>
    <mergeCell ref="B3:G3"/>
    <mergeCell ref="B5:D5"/>
    <mergeCell ref="B6:D6"/>
    <mergeCell ref="B8:D8"/>
    <mergeCell ref="B9:D9"/>
    <mergeCell ref="B10:D10"/>
    <mergeCell ref="B11:D11"/>
    <mergeCell ref="B12:D12"/>
    <mergeCell ref="B13:D13"/>
    <mergeCell ref="B14:D14"/>
    <mergeCell ref="B7:D7"/>
    <mergeCell ref="B29:D29"/>
    <mergeCell ref="B34:D34"/>
    <mergeCell ref="B28:D28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7:D27"/>
    <mergeCell ref="B26:D26"/>
    <mergeCell ref="B35:D35"/>
    <mergeCell ref="B30:D30"/>
    <mergeCell ref="B31:D31"/>
    <mergeCell ref="B32:D32"/>
    <mergeCell ref="B33:D33"/>
  </mergeCells>
  <phoneticPr fontId="29" type="noConversion"/>
  <pageMargins left="0.86614173228346458" right="0.59055118110236227" top="0.51181102362204722" bottom="0.55118110236220474" header="0.11811023622047245" footer="0.15748031496062992"/>
  <pageSetup paperSize="9" scale="8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3"/>
  <sheetViews>
    <sheetView workbookViewId="0"/>
  </sheetViews>
  <sheetFormatPr defaultRowHeight="12.75" x14ac:dyDescent="0.2"/>
  <cols>
    <col min="1" max="1" width="5.140625" style="2" customWidth="1"/>
    <col min="2" max="2" width="23.7109375" style="2" customWidth="1"/>
    <col min="3" max="3" width="12.140625" style="2" customWidth="1"/>
    <col min="4" max="4" width="10.85546875" style="2" customWidth="1"/>
    <col min="5" max="5" width="11.28515625" style="2" customWidth="1"/>
    <col min="6" max="6" width="10.7109375" style="2" customWidth="1"/>
    <col min="7" max="7" width="11.7109375" style="2" customWidth="1"/>
    <col min="8" max="8" width="10.140625" style="2" bestFit="1" customWidth="1"/>
    <col min="9" max="9" width="9.140625" style="2" customWidth="1"/>
    <col min="10" max="16384" width="9.140625" style="2"/>
  </cols>
  <sheetData>
    <row r="1" spans="2:11" ht="27.75" customHeight="1" x14ac:dyDescent="0.3">
      <c r="B1" s="110"/>
      <c r="C1" s="110"/>
      <c r="D1" s="110"/>
      <c r="E1" s="110"/>
      <c r="F1" s="110"/>
      <c r="G1" s="110"/>
      <c r="H1" s="154" t="s">
        <v>100</v>
      </c>
    </row>
    <row r="2" spans="2:11" ht="18.75" customHeight="1" x14ac:dyDescent="0.3">
      <c r="B2" s="650" t="s">
        <v>101</v>
      </c>
      <c r="C2" s="650"/>
      <c r="D2" s="650"/>
      <c r="E2" s="650"/>
      <c r="F2" s="650"/>
      <c r="G2" s="650"/>
      <c r="H2" s="650"/>
    </row>
    <row r="3" spans="2:11" ht="22.5" customHeight="1" x14ac:dyDescent="0.3">
      <c r="B3" s="110"/>
      <c r="C3" s="110"/>
      <c r="D3" s="110"/>
      <c r="E3" s="110"/>
      <c r="F3" s="110"/>
      <c r="G3" s="110"/>
      <c r="H3" s="110"/>
    </row>
    <row r="4" spans="2:11" ht="21" customHeight="1" x14ac:dyDescent="0.35">
      <c r="B4" s="651" t="s">
        <v>102</v>
      </c>
      <c r="C4" s="651"/>
      <c r="D4" s="651"/>
      <c r="E4" s="651"/>
      <c r="F4" s="155"/>
      <c r="G4" s="155"/>
      <c r="H4" s="155"/>
      <c r="I4" s="239"/>
      <c r="J4" s="239"/>
      <c r="K4" s="239"/>
    </row>
    <row r="5" spans="2:11" ht="30.75" customHeight="1" x14ac:dyDescent="0.35">
      <c r="B5" s="641" t="s">
        <v>103</v>
      </c>
      <c r="C5" s="641"/>
      <c r="D5" s="641"/>
      <c r="E5" s="261">
        <v>4770.12</v>
      </c>
      <c r="F5" s="155"/>
      <c r="G5" s="155"/>
      <c r="H5" s="155"/>
      <c r="I5" s="239"/>
      <c r="J5" s="239"/>
      <c r="K5" s="239"/>
    </row>
    <row r="6" spans="2:11" ht="14.25" customHeight="1" x14ac:dyDescent="0.35">
      <c r="B6" s="641" t="s">
        <v>104</v>
      </c>
      <c r="C6" s="641"/>
      <c r="D6" s="641"/>
      <c r="E6" s="261">
        <v>56016.81</v>
      </c>
      <c r="F6" s="155"/>
      <c r="G6" s="155"/>
      <c r="H6" s="155"/>
      <c r="I6" s="239"/>
      <c r="J6" s="239"/>
      <c r="K6" s="239"/>
    </row>
    <row r="7" spans="2:11" ht="15" x14ac:dyDescent="0.35">
      <c r="B7" s="643" t="s">
        <v>105</v>
      </c>
      <c r="C7" s="643"/>
      <c r="D7" s="643"/>
      <c r="E7" s="261">
        <v>159403.03</v>
      </c>
      <c r="F7" s="155"/>
      <c r="G7" s="155"/>
      <c r="H7" s="155"/>
      <c r="I7" s="239"/>
      <c r="J7" s="239"/>
      <c r="K7" s="239"/>
    </row>
    <row r="8" spans="2:11" ht="15" x14ac:dyDescent="0.35">
      <c r="B8" s="643" t="s">
        <v>106</v>
      </c>
      <c r="C8" s="643"/>
      <c r="D8" s="643"/>
      <c r="E8" s="261">
        <v>200192.37</v>
      </c>
      <c r="F8" s="155"/>
      <c r="G8" s="155"/>
      <c r="H8" s="155"/>
      <c r="I8" s="239"/>
      <c r="J8" s="239"/>
      <c r="K8" s="239"/>
    </row>
    <row r="9" spans="2:11" s="18" customFormat="1" ht="15" x14ac:dyDescent="0.35">
      <c r="B9" s="639" t="s">
        <v>49</v>
      </c>
      <c r="C9" s="639"/>
      <c r="D9" s="639"/>
      <c r="E9" s="243">
        <v>20490.32</v>
      </c>
      <c r="F9" s="256"/>
      <c r="G9" s="256"/>
      <c r="H9" s="256"/>
      <c r="I9" s="257"/>
      <c r="J9" s="257"/>
      <c r="K9" s="257"/>
    </row>
    <row r="10" spans="2:11" ht="15" x14ac:dyDescent="0.35">
      <c r="B10" s="639" t="s">
        <v>673</v>
      </c>
      <c r="C10" s="639"/>
      <c r="D10" s="639"/>
      <c r="E10" s="243">
        <v>1309.9000000000001</v>
      </c>
      <c r="F10" s="155"/>
      <c r="G10" s="155"/>
      <c r="H10" s="155"/>
      <c r="I10" s="239"/>
      <c r="J10" s="239"/>
      <c r="K10" s="239"/>
    </row>
    <row r="11" spans="2:11" s="41" customFormat="1" ht="15" x14ac:dyDescent="0.35">
      <c r="B11" s="639" t="s">
        <v>107</v>
      </c>
      <c r="C11" s="639"/>
      <c r="D11" s="639"/>
      <c r="E11" s="243">
        <v>1614.39</v>
      </c>
      <c r="F11" s="155"/>
      <c r="G11" s="155"/>
      <c r="H11" s="155"/>
      <c r="I11" s="239"/>
      <c r="J11" s="239"/>
      <c r="K11" s="239"/>
    </row>
    <row r="12" spans="2:11" s="19" customFormat="1" ht="21.75" customHeight="1" x14ac:dyDescent="0.25">
      <c r="B12" s="649" t="s">
        <v>98</v>
      </c>
      <c r="C12" s="649"/>
      <c r="D12" s="649"/>
      <c r="E12" s="249">
        <f>SUM(E5:E11)</f>
        <v>443796.94</v>
      </c>
      <c r="F12" s="258"/>
      <c r="G12" s="258"/>
      <c r="H12" s="258"/>
      <c r="I12" s="259"/>
      <c r="J12" s="259"/>
      <c r="K12" s="259"/>
    </row>
    <row r="13" spans="2:11" ht="15" x14ac:dyDescent="0.35">
      <c r="B13" s="155"/>
      <c r="C13" s="155"/>
      <c r="D13" s="155"/>
      <c r="E13" s="155"/>
      <c r="F13" s="155"/>
      <c r="G13" s="155"/>
      <c r="H13" s="155"/>
      <c r="I13" s="239"/>
      <c r="J13" s="239"/>
      <c r="K13" s="239"/>
    </row>
    <row r="14" spans="2:11" ht="13.5" customHeight="1" x14ac:dyDescent="0.35">
      <c r="B14" s="155"/>
      <c r="C14" s="155"/>
      <c r="D14" s="155"/>
      <c r="E14" s="155"/>
      <c r="F14" s="155"/>
      <c r="G14" s="155"/>
      <c r="H14" s="155"/>
      <c r="I14" s="239"/>
      <c r="J14" s="239"/>
      <c r="K14" s="239"/>
    </row>
    <row r="15" spans="2:11" ht="15" x14ac:dyDescent="0.35">
      <c r="B15" s="155"/>
      <c r="C15" s="155"/>
      <c r="D15" s="155"/>
      <c r="E15" s="155"/>
      <c r="F15" s="155"/>
      <c r="G15" s="155"/>
      <c r="H15" s="155"/>
      <c r="I15" s="239"/>
      <c r="J15" s="239"/>
      <c r="K15" s="239"/>
    </row>
    <row r="16" spans="2:11" s="20" customFormat="1" ht="54" x14ac:dyDescent="0.25">
      <c r="B16" s="219" t="s">
        <v>52</v>
      </c>
      <c r="C16" s="289" t="s">
        <v>891</v>
      </c>
      <c r="D16" s="289" t="s">
        <v>892</v>
      </c>
      <c r="E16" s="289" t="s">
        <v>893</v>
      </c>
      <c r="F16" s="289" t="s">
        <v>894</v>
      </c>
      <c r="G16" s="289" t="s">
        <v>895</v>
      </c>
      <c r="H16" s="290" t="s">
        <v>98</v>
      </c>
      <c r="I16" s="260"/>
      <c r="J16" s="260"/>
      <c r="K16" s="260"/>
    </row>
    <row r="17" spans="2:11" s="19" customFormat="1" ht="15" x14ac:dyDescent="0.25">
      <c r="B17" s="246" t="s">
        <v>53</v>
      </c>
      <c r="C17" s="263">
        <v>2122360.87</v>
      </c>
      <c r="D17" s="263">
        <v>51210.83</v>
      </c>
      <c r="E17" s="263">
        <v>13903.58</v>
      </c>
      <c r="F17" s="263">
        <v>397537.98</v>
      </c>
      <c r="G17" s="263">
        <v>107276.03</v>
      </c>
      <c r="H17" s="263">
        <f t="shared" ref="H17:H27" si="0">C17+D17+E17+F17+G17</f>
        <v>2692289.29</v>
      </c>
      <c r="I17" s="259"/>
      <c r="J17" s="259"/>
      <c r="K17" s="259"/>
    </row>
    <row r="18" spans="2:11" s="19" customFormat="1" ht="15" x14ac:dyDescent="0.25">
      <c r="B18" s="246" t="s">
        <v>54</v>
      </c>
      <c r="C18" s="263">
        <v>780492.84</v>
      </c>
      <c r="D18" s="263">
        <v>18303.29</v>
      </c>
      <c r="E18" s="263">
        <v>5187.5</v>
      </c>
      <c r="F18" s="263">
        <v>142601.92000000001</v>
      </c>
      <c r="G18" s="263">
        <v>38780.43</v>
      </c>
      <c r="H18" s="263">
        <f t="shared" si="0"/>
        <v>985365.9800000001</v>
      </c>
      <c r="I18" s="259"/>
      <c r="J18" s="259"/>
      <c r="K18" s="259"/>
    </row>
    <row r="19" spans="2:11" s="19" customFormat="1" ht="15" x14ac:dyDescent="0.25">
      <c r="B19" s="246" t="s">
        <v>55</v>
      </c>
      <c r="C19" s="263">
        <f>SUM(C20:C26)</f>
        <v>768602.23</v>
      </c>
      <c r="D19" s="263">
        <f t="shared" ref="D19:G19" si="1">SUM(D20:D26)</f>
        <v>9777.1200000000008</v>
      </c>
      <c r="E19" s="263">
        <f t="shared" si="1"/>
        <v>795.01</v>
      </c>
      <c r="F19" s="263">
        <f t="shared" si="1"/>
        <v>322291.97000000003</v>
      </c>
      <c r="G19" s="263">
        <f t="shared" si="1"/>
        <v>56539.479999999996</v>
      </c>
      <c r="H19" s="263">
        <f>C19+D19+E19+F19+G19</f>
        <v>1158005.81</v>
      </c>
      <c r="I19" s="259"/>
      <c r="J19" s="259"/>
      <c r="K19" s="259"/>
    </row>
    <row r="20" spans="2:11" s="19" customFormat="1" ht="15" x14ac:dyDescent="0.25">
      <c r="B20" s="220" t="s">
        <v>96</v>
      </c>
      <c r="C20" s="261">
        <v>16.440000000000001</v>
      </c>
      <c r="D20" s="261">
        <v>0</v>
      </c>
      <c r="E20" s="261">
        <v>0</v>
      </c>
      <c r="F20" s="261">
        <v>0</v>
      </c>
      <c r="G20" s="261">
        <v>0</v>
      </c>
      <c r="H20" s="262">
        <f t="shared" ref="H20" si="2">C20+D20+E20+F20+G20</f>
        <v>16.440000000000001</v>
      </c>
      <c r="I20" s="259"/>
      <c r="J20" s="259"/>
      <c r="K20" s="259"/>
    </row>
    <row r="21" spans="2:11" s="19" customFormat="1" ht="15" x14ac:dyDescent="0.25">
      <c r="B21" s="220" t="s">
        <v>56</v>
      </c>
      <c r="C21" s="261">
        <v>268965.86</v>
      </c>
      <c r="D21" s="261">
        <v>2667.43</v>
      </c>
      <c r="E21" s="261">
        <v>620</v>
      </c>
      <c r="F21" s="261">
        <v>256.56</v>
      </c>
      <c r="G21" s="261">
        <v>763.21</v>
      </c>
      <c r="H21" s="262">
        <f t="shared" si="0"/>
        <v>273273.06</v>
      </c>
      <c r="I21" s="259"/>
      <c r="J21" s="259"/>
      <c r="K21" s="259"/>
    </row>
    <row r="22" spans="2:11" s="19" customFormat="1" ht="15" x14ac:dyDescent="0.25">
      <c r="B22" s="220" t="s">
        <v>57</v>
      </c>
      <c r="C22" s="261">
        <v>233387.44</v>
      </c>
      <c r="D22" s="261">
        <v>4639.93</v>
      </c>
      <c r="E22" s="261">
        <v>10.58</v>
      </c>
      <c r="F22" s="261">
        <v>271849.07</v>
      </c>
      <c r="G22" s="261">
        <v>8617.7000000000007</v>
      </c>
      <c r="H22" s="262">
        <f t="shared" si="0"/>
        <v>518504.72000000003</v>
      </c>
      <c r="I22" s="259"/>
      <c r="J22" s="259"/>
      <c r="K22" s="259"/>
    </row>
    <row r="23" spans="2:11" s="19" customFormat="1" ht="15" x14ac:dyDescent="0.25">
      <c r="B23" s="220" t="s">
        <v>58</v>
      </c>
      <c r="C23" s="261">
        <v>0</v>
      </c>
      <c r="D23" s="261">
        <v>0</v>
      </c>
      <c r="E23" s="261">
        <v>0</v>
      </c>
      <c r="F23" s="261">
        <v>0</v>
      </c>
      <c r="G23" s="261">
        <v>2773.77</v>
      </c>
      <c r="H23" s="262">
        <f t="shared" si="0"/>
        <v>2773.77</v>
      </c>
      <c r="I23" s="259"/>
      <c r="J23" s="259"/>
      <c r="K23" s="259"/>
    </row>
    <row r="24" spans="2:11" s="19" customFormat="1" ht="15" x14ac:dyDescent="0.25">
      <c r="B24" s="220" t="s">
        <v>59</v>
      </c>
      <c r="C24" s="261">
        <v>181326.59</v>
      </c>
      <c r="D24" s="261">
        <v>75.8</v>
      </c>
      <c r="E24" s="261">
        <v>0</v>
      </c>
      <c r="F24" s="261">
        <v>35824.76</v>
      </c>
      <c r="G24" s="261">
        <v>0</v>
      </c>
      <c r="H24" s="262">
        <f t="shared" si="0"/>
        <v>217227.15</v>
      </c>
      <c r="I24" s="259"/>
      <c r="J24" s="259"/>
      <c r="K24" s="259"/>
    </row>
    <row r="25" spans="2:11" s="19" customFormat="1" ht="15" x14ac:dyDescent="0.25">
      <c r="B25" s="220" t="s">
        <v>60</v>
      </c>
      <c r="C25" s="261">
        <v>17427.54</v>
      </c>
      <c r="D25" s="261">
        <v>0</v>
      </c>
      <c r="E25" s="261">
        <v>0</v>
      </c>
      <c r="F25" s="261">
        <v>0</v>
      </c>
      <c r="G25" s="261">
        <v>2454.6</v>
      </c>
      <c r="H25" s="262">
        <f t="shared" si="0"/>
        <v>19882.14</v>
      </c>
      <c r="I25" s="259"/>
      <c r="J25" s="259"/>
      <c r="K25" s="259"/>
    </row>
    <row r="26" spans="2:11" s="19" customFormat="1" ht="15" x14ac:dyDescent="0.25">
      <c r="B26" s="220" t="s">
        <v>61</v>
      </c>
      <c r="C26" s="261">
        <v>67478.36</v>
      </c>
      <c r="D26" s="261">
        <v>2393.96</v>
      </c>
      <c r="E26" s="261">
        <v>164.43</v>
      </c>
      <c r="F26" s="261">
        <v>14361.58</v>
      </c>
      <c r="G26" s="261">
        <v>41930.199999999997</v>
      </c>
      <c r="H26" s="262">
        <f t="shared" si="0"/>
        <v>126328.53</v>
      </c>
      <c r="I26" s="259"/>
      <c r="J26" s="259"/>
      <c r="K26" s="259"/>
    </row>
    <row r="27" spans="2:11" ht="15" x14ac:dyDescent="0.35">
      <c r="B27" s="250" t="s">
        <v>62</v>
      </c>
      <c r="C27" s="251">
        <v>37043.42</v>
      </c>
      <c r="D27" s="251">
        <v>607.70000000000005</v>
      </c>
      <c r="E27" s="251">
        <v>0</v>
      </c>
      <c r="F27" s="251">
        <v>1963.56</v>
      </c>
      <c r="G27" s="251">
        <v>760.14</v>
      </c>
      <c r="H27" s="251">
        <f t="shared" si="0"/>
        <v>40374.819999999992</v>
      </c>
      <c r="I27" s="239"/>
      <c r="J27" s="239"/>
      <c r="K27" s="239"/>
    </row>
    <row r="28" spans="2:11" ht="15" x14ac:dyDescent="0.2">
      <c r="B28" s="226" t="s">
        <v>63</v>
      </c>
      <c r="C28" s="227">
        <f>C17+C18+C19+C27</f>
        <v>3708499.36</v>
      </c>
      <c r="D28" s="227">
        <f>D17+D18+D19+D27</f>
        <v>79898.939999999988</v>
      </c>
      <c r="E28" s="227">
        <f>E17+E18+E19+E27</f>
        <v>19886.09</v>
      </c>
      <c r="F28" s="227">
        <f>F17+F18+F19+F27</f>
        <v>864395.43000000017</v>
      </c>
      <c r="G28" s="227">
        <f>G17+G18+G19+G27</f>
        <v>203356.08000000002</v>
      </c>
      <c r="H28" s="227">
        <f>G28+F28+E28+D28+C28</f>
        <v>4876035.9000000004</v>
      </c>
      <c r="I28" s="239"/>
      <c r="J28" s="240"/>
      <c r="K28" s="239"/>
    </row>
    <row r="29" spans="2:11" ht="15" x14ac:dyDescent="0.2">
      <c r="B29" s="226" t="s">
        <v>64</v>
      </c>
      <c r="C29" s="227">
        <v>24878.400000000001</v>
      </c>
      <c r="D29" s="227">
        <v>0</v>
      </c>
      <c r="E29" s="227">
        <v>0</v>
      </c>
      <c r="F29" s="227">
        <v>0</v>
      </c>
      <c r="G29" s="227">
        <v>0</v>
      </c>
      <c r="H29" s="227">
        <f>G29+F29+E29+D29+C29</f>
        <v>24878.400000000001</v>
      </c>
      <c r="I29" s="239"/>
      <c r="J29" s="239"/>
      <c r="K29" s="239"/>
    </row>
    <row r="30" spans="2:11" x14ac:dyDescent="0.2">
      <c r="B30" s="239"/>
      <c r="C30" s="240"/>
      <c r="D30" s="240"/>
      <c r="E30" s="240"/>
      <c r="F30" s="240"/>
      <c r="G30" s="240"/>
      <c r="H30" s="239"/>
      <c r="I30" s="239"/>
      <c r="J30" s="239"/>
      <c r="K30" s="239"/>
    </row>
    <row r="31" spans="2:11" x14ac:dyDescent="0.2"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pans="2:11" x14ac:dyDescent="0.2">
      <c r="B32" s="239"/>
      <c r="C32" s="239"/>
      <c r="D32" s="239"/>
      <c r="E32" s="239"/>
      <c r="F32" s="239"/>
      <c r="G32" s="239"/>
      <c r="H32" s="240"/>
      <c r="I32" s="239"/>
      <c r="J32" s="239"/>
      <c r="K32" s="239"/>
    </row>
    <row r="33" spans="2:11" x14ac:dyDescent="0.2">
      <c r="B33" s="239"/>
      <c r="C33" s="239"/>
      <c r="D33" s="239"/>
      <c r="E33" s="239"/>
      <c r="F33" s="239"/>
      <c r="G33" s="239"/>
      <c r="H33" s="240"/>
      <c r="I33" s="239"/>
      <c r="J33" s="239"/>
      <c r="K33" s="239"/>
    </row>
  </sheetData>
  <mergeCells count="10">
    <mergeCell ref="B9:D9"/>
    <mergeCell ref="B10:D10"/>
    <mergeCell ref="B12:D12"/>
    <mergeCell ref="B2:H2"/>
    <mergeCell ref="B4:E4"/>
    <mergeCell ref="B5:D5"/>
    <mergeCell ref="B6:D6"/>
    <mergeCell ref="B7:D7"/>
    <mergeCell ref="B8:D8"/>
    <mergeCell ref="B11:D11"/>
  </mergeCells>
  <pageMargins left="0.78740157480314965" right="0.27559055118110237" top="0.98425196850393704" bottom="0.98425196850393704" header="0.51181102362204722" footer="0.51181102362204722"/>
  <pageSetup paperSize="9" scale="90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4"/>
  <sheetViews>
    <sheetView workbookViewId="0"/>
  </sheetViews>
  <sheetFormatPr defaultRowHeight="12.75" x14ac:dyDescent="0.2"/>
  <cols>
    <col min="1" max="1" width="9.42578125" style="22" customWidth="1"/>
    <col min="2" max="2" width="18.28515625" style="22" customWidth="1"/>
    <col min="3" max="3" width="10.140625" style="22" customWidth="1"/>
    <col min="4" max="4" width="11.140625" style="22" customWidth="1"/>
    <col min="5" max="5" width="11" style="22" customWidth="1"/>
    <col min="6" max="6" width="8.42578125" style="22" customWidth="1"/>
    <col min="7" max="7" width="11" style="22" customWidth="1"/>
    <col min="8" max="8" width="9.85546875" style="22" customWidth="1"/>
    <col min="9" max="9" width="11" style="22" customWidth="1"/>
    <col min="10" max="10" width="10" style="22" customWidth="1"/>
    <col min="11" max="248" width="9.42578125" style="22" customWidth="1"/>
    <col min="249" max="249" width="16.42578125" style="22" customWidth="1"/>
    <col min="250" max="250" width="10.140625" style="22" customWidth="1"/>
    <col min="251" max="251" width="8.42578125" style="22" customWidth="1"/>
    <col min="252" max="252" width="10" style="22" customWidth="1"/>
    <col min="253" max="253" width="8.42578125" style="22" customWidth="1"/>
    <col min="254" max="254" width="11" style="22" customWidth="1"/>
    <col min="255" max="255" width="9" style="22" customWidth="1"/>
    <col min="256" max="256" width="11.42578125" style="22" customWidth="1"/>
    <col min="257" max="257" width="12" style="22" customWidth="1"/>
    <col min="258" max="504" width="9.42578125" style="22" customWidth="1"/>
    <col min="505" max="505" width="16.42578125" style="22" customWidth="1"/>
    <col min="506" max="506" width="10.140625" style="22" customWidth="1"/>
    <col min="507" max="507" width="8.42578125" style="22" customWidth="1"/>
    <col min="508" max="508" width="10" style="22" customWidth="1"/>
    <col min="509" max="509" width="8.42578125" style="22" customWidth="1"/>
    <col min="510" max="510" width="11" style="22" customWidth="1"/>
    <col min="511" max="511" width="9" style="22" customWidth="1"/>
    <col min="512" max="512" width="11.42578125" style="22" customWidth="1"/>
    <col min="513" max="513" width="12" style="22" customWidth="1"/>
    <col min="514" max="760" width="9.42578125" style="22" customWidth="1"/>
    <col min="761" max="761" width="16.42578125" style="22" customWidth="1"/>
    <col min="762" max="762" width="10.140625" style="22" customWidth="1"/>
    <col min="763" max="763" width="8.42578125" style="22" customWidth="1"/>
    <col min="764" max="764" width="10" style="22" customWidth="1"/>
    <col min="765" max="765" width="8.42578125" style="22" customWidth="1"/>
    <col min="766" max="766" width="11" style="22" customWidth="1"/>
    <col min="767" max="767" width="9" style="22" customWidth="1"/>
    <col min="768" max="768" width="11.42578125" style="22" customWidth="1"/>
    <col min="769" max="769" width="12" style="22" customWidth="1"/>
    <col min="770" max="1016" width="9.42578125" style="22" customWidth="1"/>
    <col min="1017" max="1017" width="16.42578125" style="22" customWidth="1"/>
    <col min="1018" max="1018" width="10.140625" style="22" customWidth="1"/>
    <col min="1019" max="1019" width="8.42578125" style="22" customWidth="1"/>
    <col min="1020" max="1020" width="10" style="22" customWidth="1"/>
    <col min="1021" max="1021" width="8.42578125" style="22" customWidth="1"/>
    <col min="1022" max="1022" width="11" style="22" customWidth="1"/>
    <col min="1023" max="1023" width="9" style="22" customWidth="1"/>
    <col min="1024" max="1024" width="11.42578125" style="22" customWidth="1"/>
    <col min="1025" max="1025" width="12" style="22" customWidth="1"/>
    <col min="1026" max="1272" width="9.42578125" style="22" customWidth="1"/>
    <col min="1273" max="1273" width="16.42578125" style="22" customWidth="1"/>
    <col min="1274" max="1274" width="10.140625" style="22" customWidth="1"/>
    <col min="1275" max="1275" width="8.42578125" style="22" customWidth="1"/>
    <col min="1276" max="1276" width="10" style="22" customWidth="1"/>
    <col min="1277" max="1277" width="8.42578125" style="22" customWidth="1"/>
    <col min="1278" max="1278" width="11" style="22" customWidth="1"/>
    <col min="1279" max="1279" width="9" style="22" customWidth="1"/>
    <col min="1280" max="1280" width="11.42578125" style="22" customWidth="1"/>
    <col min="1281" max="1281" width="12" style="22" customWidth="1"/>
    <col min="1282" max="1528" width="9.42578125" style="22" customWidth="1"/>
    <col min="1529" max="1529" width="16.42578125" style="22" customWidth="1"/>
    <col min="1530" max="1530" width="10.140625" style="22" customWidth="1"/>
    <col min="1531" max="1531" width="8.42578125" style="22" customWidth="1"/>
    <col min="1532" max="1532" width="10" style="22" customWidth="1"/>
    <col min="1533" max="1533" width="8.42578125" style="22" customWidth="1"/>
    <col min="1534" max="1534" width="11" style="22" customWidth="1"/>
    <col min="1535" max="1535" width="9" style="22" customWidth="1"/>
    <col min="1536" max="1536" width="11.42578125" style="22" customWidth="1"/>
    <col min="1537" max="1537" width="12" style="22" customWidth="1"/>
    <col min="1538" max="1784" width="9.42578125" style="22" customWidth="1"/>
    <col min="1785" max="1785" width="16.42578125" style="22" customWidth="1"/>
    <col min="1786" max="1786" width="10.140625" style="22" customWidth="1"/>
    <col min="1787" max="1787" width="8.42578125" style="22" customWidth="1"/>
    <col min="1788" max="1788" width="10" style="22" customWidth="1"/>
    <col min="1789" max="1789" width="8.42578125" style="22" customWidth="1"/>
    <col min="1790" max="1790" width="11" style="22" customWidth="1"/>
    <col min="1791" max="1791" width="9" style="22" customWidth="1"/>
    <col min="1792" max="1792" width="11.42578125" style="22" customWidth="1"/>
    <col min="1793" max="1793" width="12" style="22" customWidth="1"/>
    <col min="1794" max="2040" width="9.42578125" style="22" customWidth="1"/>
    <col min="2041" max="2041" width="16.42578125" style="22" customWidth="1"/>
    <col min="2042" max="2042" width="10.140625" style="22" customWidth="1"/>
    <col min="2043" max="2043" width="8.42578125" style="22" customWidth="1"/>
    <col min="2044" max="2044" width="10" style="22" customWidth="1"/>
    <col min="2045" max="2045" width="8.42578125" style="22" customWidth="1"/>
    <col min="2046" max="2046" width="11" style="22" customWidth="1"/>
    <col min="2047" max="2047" width="9" style="22" customWidth="1"/>
    <col min="2048" max="2048" width="11.42578125" style="22" customWidth="1"/>
    <col min="2049" max="2049" width="12" style="22" customWidth="1"/>
    <col min="2050" max="2296" width="9.42578125" style="22" customWidth="1"/>
    <col min="2297" max="2297" width="16.42578125" style="22" customWidth="1"/>
    <col min="2298" max="2298" width="10.140625" style="22" customWidth="1"/>
    <col min="2299" max="2299" width="8.42578125" style="22" customWidth="1"/>
    <col min="2300" max="2300" width="10" style="22" customWidth="1"/>
    <col min="2301" max="2301" width="8.42578125" style="22" customWidth="1"/>
    <col min="2302" max="2302" width="11" style="22" customWidth="1"/>
    <col min="2303" max="2303" width="9" style="22" customWidth="1"/>
    <col min="2304" max="2304" width="11.42578125" style="22" customWidth="1"/>
    <col min="2305" max="2305" width="12" style="22" customWidth="1"/>
    <col min="2306" max="2552" width="9.42578125" style="22" customWidth="1"/>
    <col min="2553" max="2553" width="16.42578125" style="22" customWidth="1"/>
    <col min="2554" max="2554" width="10.140625" style="22" customWidth="1"/>
    <col min="2555" max="2555" width="8.42578125" style="22" customWidth="1"/>
    <col min="2556" max="2556" width="10" style="22" customWidth="1"/>
    <col min="2557" max="2557" width="8.42578125" style="22" customWidth="1"/>
    <col min="2558" max="2558" width="11" style="22" customWidth="1"/>
    <col min="2559" max="2559" width="9" style="22" customWidth="1"/>
    <col min="2560" max="2560" width="11.42578125" style="22" customWidth="1"/>
    <col min="2561" max="2561" width="12" style="22" customWidth="1"/>
    <col min="2562" max="2808" width="9.42578125" style="22" customWidth="1"/>
    <col min="2809" max="2809" width="16.42578125" style="22" customWidth="1"/>
    <col min="2810" max="2810" width="10.140625" style="22" customWidth="1"/>
    <col min="2811" max="2811" width="8.42578125" style="22" customWidth="1"/>
    <col min="2812" max="2812" width="10" style="22" customWidth="1"/>
    <col min="2813" max="2813" width="8.42578125" style="22" customWidth="1"/>
    <col min="2814" max="2814" width="11" style="22" customWidth="1"/>
    <col min="2815" max="2815" width="9" style="22" customWidth="1"/>
    <col min="2816" max="2816" width="11.42578125" style="22" customWidth="1"/>
    <col min="2817" max="2817" width="12" style="22" customWidth="1"/>
    <col min="2818" max="3064" width="9.42578125" style="22" customWidth="1"/>
    <col min="3065" max="3065" width="16.42578125" style="22" customWidth="1"/>
    <col min="3066" max="3066" width="10.140625" style="22" customWidth="1"/>
    <col min="3067" max="3067" width="8.42578125" style="22" customWidth="1"/>
    <col min="3068" max="3068" width="10" style="22" customWidth="1"/>
    <col min="3069" max="3069" width="8.42578125" style="22" customWidth="1"/>
    <col min="3070" max="3070" width="11" style="22" customWidth="1"/>
    <col min="3071" max="3071" width="9" style="22" customWidth="1"/>
    <col min="3072" max="3072" width="11.42578125" style="22" customWidth="1"/>
    <col min="3073" max="3073" width="12" style="22" customWidth="1"/>
    <col min="3074" max="3320" width="9.42578125" style="22" customWidth="1"/>
    <col min="3321" max="3321" width="16.42578125" style="22" customWidth="1"/>
    <col min="3322" max="3322" width="10.140625" style="22" customWidth="1"/>
    <col min="3323" max="3323" width="8.42578125" style="22" customWidth="1"/>
    <col min="3324" max="3324" width="10" style="22" customWidth="1"/>
    <col min="3325" max="3325" width="8.42578125" style="22" customWidth="1"/>
    <col min="3326" max="3326" width="11" style="22" customWidth="1"/>
    <col min="3327" max="3327" width="9" style="22" customWidth="1"/>
    <col min="3328" max="3328" width="11.42578125" style="22" customWidth="1"/>
    <col min="3329" max="3329" width="12" style="22" customWidth="1"/>
    <col min="3330" max="3576" width="9.42578125" style="22" customWidth="1"/>
    <col min="3577" max="3577" width="16.42578125" style="22" customWidth="1"/>
    <col min="3578" max="3578" width="10.140625" style="22" customWidth="1"/>
    <col min="3579" max="3579" width="8.42578125" style="22" customWidth="1"/>
    <col min="3580" max="3580" width="10" style="22" customWidth="1"/>
    <col min="3581" max="3581" width="8.42578125" style="22" customWidth="1"/>
    <col min="3582" max="3582" width="11" style="22" customWidth="1"/>
    <col min="3583" max="3583" width="9" style="22" customWidth="1"/>
    <col min="3584" max="3584" width="11.42578125" style="22" customWidth="1"/>
    <col min="3585" max="3585" width="12" style="22" customWidth="1"/>
    <col min="3586" max="3832" width="9.42578125" style="22" customWidth="1"/>
    <col min="3833" max="3833" width="16.42578125" style="22" customWidth="1"/>
    <col min="3834" max="3834" width="10.140625" style="22" customWidth="1"/>
    <col min="3835" max="3835" width="8.42578125" style="22" customWidth="1"/>
    <col min="3836" max="3836" width="10" style="22" customWidth="1"/>
    <col min="3837" max="3837" width="8.42578125" style="22" customWidth="1"/>
    <col min="3838" max="3838" width="11" style="22" customWidth="1"/>
    <col min="3839" max="3839" width="9" style="22" customWidth="1"/>
    <col min="3840" max="3840" width="11.42578125" style="22" customWidth="1"/>
    <col min="3841" max="3841" width="12" style="22" customWidth="1"/>
    <col min="3842" max="4088" width="9.42578125" style="22" customWidth="1"/>
    <col min="4089" max="4089" width="16.42578125" style="22" customWidth="1"/>
    <col min="4090" max="4090" width="10.140625" style="22" customWidth="1"/>
    <col min="4091" max="4091" width="8.42578125" style="22" customWidth="1"/>
    <col min="4092" max="4092" width="10" style="22" customWidth="1"/>
    <col min="4093" max="4093" width="8.42578125" style="22" customWidth="1"/>
    <col min="4094" max="4094" width="11" style="22" customWidth="1"/>
    <col min="4095" max="4095" width="9" style="22" customWidth="1"/>
    <col min="4096" max="4096" width="11.42578125" style="22" customWidth="1"/>
    <col min="4097" max="4097" width="12" style="22" customWidth="1"/>
    <col min="4098" max="4344" width="9.42578125" style="22" customWidth="1"/>
    <col min="4345" max="4345" width="16.42578125" style="22" customWidth="1"/>
    <col min="4346" max="4346" width="10.140625" style="22" customWidth="1"/>
    <col min="4347" max="4347" width="8.42578125" style="22" customWidth="1"/>
    <col min="4348" max="4348" width="10" style="22" customWidth="1"/>
    <col min="4349" max="4349" width="8.42578125" style="22" customWidth="1"/>
    <col min="4350" max="4350" width="11" style="22" customWidth="1"/>
    <col min="4351" max="4351" width="9" style="22" customWidth="1"/>
    <col min="4352" max="4352" width="11.42578125" style="22" customWidth="1"/>
    <col min="4353" max="4353" width="12" style="22" customWidth="1"/>
    <col min="4354" max="4600" width="9.42578125" style="22" customWidth="1"/>
    <col min="4601" max="4601" width="16.42578125" style="22" customWidth="1"/>
    <col min="4602" max="4602" width="10.140625" style="22" customWidth="1"/>
    <col min="4603" max="4603" width="8.42578125" style="22" customWidth="1"/>
    <col min="4604" max="4604" width="10" style="22" customWidth="1"/>
    <col min="4605" max="4605" width="8.42578125" style="22" customWidth="1"/>
    <col min="4606" max="4606" width="11" style="22" customWidth="1"/>
    <col min="4607" max="4607" width="9" style="22" customWidth="1"/>
    <col min="4608" max="4608" width="11.42578125" style="22" customWidth="1"/>
    <col min="4609" max="4609" width="12" style="22" customWidth="1"/>
    <col min="4610" max="4856" width="9.42578125" style="22" customWidth="1"/>
    <col min="4857" max="4857" width="16.42578125" style="22" customWidth="1"/>
    <col min="4858" max="4858" width="10.140625" style="22" customWidth="1"/>
    <col min="4859" max="4859" width="8.42578125" style="22" customWidth="1"/>
    <col min="4860" max="4860" width="10" style="22" customWidth="1"/>
    <col min="4861" max="4861" width="8.42578125" style="22" customWidth="1"/>
    <col min="4862" max="4862" width="11" style="22" customWidth="1"/>
    <col min="4863" max="4863" width="9" style="22" customWidth="1"/>
    <col min="4864" max="4864" width="11.42578125" style="22" customWidth="1"/>
    <col min="4865" max="4865" width="12" style="22" customWidth="1"/>
    <col min="4866" max="5112" width="9.42578125" style="22" customWidth="1"/>
    <col min="5113" max="5113" width="16.42578125" style="22" customWidth="1"/>
    <col min="5114" max="5114" width="10.140625" style="22" customWidth="1"/>
    <col min="5115" max="5115" width="8.42578125" style="22" customWidth="1"/>
    <col min="5116" max="5116" width="10" style="22" customWidth="1"/>
    <col min="5117" max="5117" width="8.42578125" style="22" customWidth="1"/>
    <col min="5118" max="5118" width="11" style="22" customWidth="1"/>
    <col min="5119" max="5119" width="9" style="22" customWidth="1"/>
    <col min="5120" max="5120" width="11.42578125" style="22" customWidth="1"/>
    <col min="5121" max="5121" width="12" style="22" customWidth="1"/>
    <col min="5122" max="5368" width="9.42578125" style="22" customWidth="1"/>
    <col min="5369" max="5369" width="16.42578125" style="22" customWidth="1"/>
    <col min="5370" max="5370" width="10.140625" style="22" customWidth="1"/>
    <col min="5371" max="5371" width="8.42578125" style="22" customWidth="1"/>
    <col min="5372" max="5372" width="10" style="22" customWidth="1"/>
    <col min="5373" max="5373" width="8.42578125" style="22" customWidth="1"/>
    <col min="5374" max="5374" width="11" style="22" customWidth="1"/>
    <col min="5375" max="5375" width="9" style="22" customWidth="1"/>
    <col min="5376" max="5376" width="11.42578125" style="22" customWidth="1"/>
    <col min="5377" max="5377" width="12" style="22" customWidth="1"/>
    <col min="5378" max="5624" width="9.42578125" style="22" customWidth="1"/>
    <col min="5625" max="5625" width="16.42578125" style="22" customWidth="1"/>
    <col min="5626" max="5626" width="10.140625" style="22" customWidth="1"/>
    <col min="5627" max="5627" width="8.42578125" style="22" customWidth="1"/>
    <col min="5628" max="5628" width="10" style="22" customWidth="1"/>
    <col min="5629" max="5629" width="8.42578125" style="22" customWidth="1"/>
    <col min="5630" max="5630" width="11" style="22" customWidth="1"/>
    <col min="5631" max="5631" width="9" style="22" customWidth="1"/>
    <col min="5632" max="5632" width="11.42578125" style="22" customWidth="1"/>
    <col min="5633" max="5633" width="12" style="22" customWidth="1"/>
    <col min="5634" max="5880" width="9.42578125" style="22" customWidth="1"/>
    <col min="5881" max="5881" width="16.42578125" style="22" customWidth="1"/>
    <col min="5882" max="5882" width="10.140625" style="22" customWidth="1"/>
    <col min="5883" max="5883" width="8.42578125" style="22" customWidth="1"/>
    <col min="5884" max="5884" width="10" style="22" customWidth="1"/>
    <col min="5885" max="5885" width="8.42578125" style="22" customWidth="1"/>
    <col min="5886" max="5886" width="11" style="22" customWidth="1"/>
    <col min="5887" max="5887" width="9" style="22" customWidth="1"/>
    <col min="5888" max="5888" width="11.42578125" style="22" customWidth="1"/>
    <col min="5889" max="5889" width="12" style="22" customWidth="1"/>
    <col min="5890" max="6136" width="9.42578125" style="22" customWidth="1"/>
    <col min="6137" max="6137" width="16.42578125" style="22" customWidth="1"/>
    <col min="6138" max="6138" width="10.140625" style="22" customWidth="1"/>
    <col min="6139" max="6139" width="8.42578125" style="22" customWidth="1"/>
    <col min="6140" max="6140" width="10" style="22" customWidth="1"/>
    <col min="6141" max="6141" width="8.42578125" style="22" customWidth="1"/>
    <col min="6142" max="6142" width="11" style="22" customWidth="1"/>
    <col min="6143" max="6143" width="9" style="22" customWidth="1"/>
    <col min="6144" max="6144" width="11.42578125" style="22" customWidth="1"/>
    <col min="6145" max="6145" width="12" style="22" customWidth="1"/>
    <col min="6146" max="6392" width="9.42578125" style="22" customWidth="1"/>
    <col min="6393" max="6393" width="16.42578125" style="22" customWidth="1"/>
    <col min="6394" max="6394" width="10.140625" style="22" customWidth="1"/>
    <col min="6395" max="6395" width="8.42578125" style="22" customWidth="1"/>
    <col min="6396" max="6396" width="10" style="22" customWidth="1"/>
    <col min="6397" max="6397" width="8.42578125" style="22" customWidth="1"/>
    <col min="6398" max="6398" width="11" style="22" customWidth="1"/>
    <col min="6399" max="6399" width="9" style="22" customWidth="1"/>
    <col min="6400" max="6400" width="11.42578125" style="22" customWidth="1"/>
    <col min="6401" max="6401" width="12" style="22" customWidth="1"/>
    <col min="6402" max="6648" width="9.42578125" style="22" customWidth="1"/>
    <col min="6649" max="6649" width="16.42578125" style="22" customWidth="1"/>
    <col min="6650" max="6650" width="10.140625" style="22" customWidth="1"/>
    <col min="6651" max="6651" width="8.42578125" style="22" customWidth="1"/>
    <col min="6652" max="6652" width="10" style="22" customWidth="1"/>
    <col min="6653" max="6653" width="8.42578125" style="22" customWidth="1"/>
    <col min="6654" max="6654" width="11" style="22" customWidth="1"/>
    <col min="6655" max="6655" width="9" style="22" customWidth="1"/>
    <col min="6656" max="6656" width="11.42578125" style="22" customWidth="1"/>
    <col min="6657" max="6657" width="12" style="22" customWidth="1"/>
    <col min="6658" max="6904" width="9.42578125" style="22" customWidth="1"/>
    <col min="6905" max="6905" width="16.42578125" style="22" customWidth="1"/>
    <col min="6906" max="6906" width="10.140625" style="22" customWidth="1"/>
    <col min="6907" max="6907" width="8.42578125" style="22" customWidth="1"/>
    <col min="6908" max="6908" width="10" style="22" customWidth="1"/>
    <col min="6909" max="6909" width="8.42578125" style="22" customWidth="1"/>
    <col min="6910" max="6910" width="11" style="22" customWidth="1"/>
    <col min="6911" max="6911" width="9" style="22" customWidth="1"/>
    <col min="6912" max="6912" width="11.42578125" style="22" customWidth="1"/>
    <col min="6913" max="6913" width="12" style="22" customWidth="1"/>
    <col min="6914" max="7160" width="9.42578125" style="22" customWidth="1"/>
    <col min="7161" max="7161" width="16.42578125" style="22" customWidth="1"/>
    <col min="7162" max="7162" width="10.140625" style="22" customWidth="1"/>
    <col min="7163" max="7163" width="8.42578125" style="22" customWidth="1"/>
    <col min="7164" max="7164" width="10" style="22" customWidth="1"/>
    <col min="7165" max="7165" width="8.42578125" style="22" customWidth="1"/>
    <col min="7166" max="7166" width="11" style="22" customWidth="1"/>
    <col min="7167" max="7167" width="9" style="22" customWidth="1"/>
    <col min="7168" max="7168" width="11.42578125" style="22" customWidth="1"/>
    <col min="7169" max="7169" width="12" style="22" customWidth="1"/>
    <col min="7170" max="7416" width="9.42578125" style="22" customWidth="1"/>
    <col min="7417" max="7417" width="16.42578125" style="22" customWidth="1"/>
    <col min="7418" max="7418" width="10.140625" style="22" customWidth="1"/>
    <col min="7419" max="7419" width="8.42578125" style="22" customWidth="1"/>
    <col min="7420" max="7420" width="10" style="22" customWidth="1"/>
    <col min="7421" max="7421" width="8.42578125" style="22" customWidth="1"/>
    <col min="7422" max="7422" width="11" style="22" customWidth="1"/>
    <col min="7423" max="7423" width="9" style="22" customWidth="1"/>
    <col min="7424" max="7424" width="11.42578125" style="22" customWidth="1"/>
    <col min="7425" max="7425" width="12" style="22" customWidth="1"/>
    <col min="7426" max="7672" width="9.42578125" style="22" customWidth="1"/>
    <col min="7673" max="7673" width="16.42578125" style="22" customWidth="1"/>
    <col min="7674" max="7674" width="10.140625" style="22" customWidth="1"/>
    <col min="7675" max="7675" width="8.42578125" style="22" customWidth="1"/>
    <col min="7676" max="7676" width="10" style="22" customWidth="1"/>
    <col min="7677" max="7677" width="8.42578125" style="22" customWidth="1"/>
    <col min="7678" max="7678" width="11" style="22" customWidth="1"/>
    <col min="7679" max="7679" width="9" style="22" customWidth="1"/>
    <col min="7680" max="7680" width="11.42578125" style="22" customWidth="1"/>
    <col min="7681" max="7681" width="12" style="22" customWidth="1"/>
    <col min="7682" max="7928" width="9.42578125" style="22" customWidth="1"/>
    <col min="7929" max="7929" width="16.42578125" style="22" customWidth="1"/>
    <col min="7930" max="7930" width="10.140625" style="22" customWidth="1"/>
    <col min="7931" max="7931" width="8.42578125" style="22" customWidth="1"/>
    <col min="7932" max="7932" width="10" style="22" customWidth="1"/>
    <col min="7933" max="7933" width="8.42578125" style="22" customWidth="1"/>
    <col min="7934" max="7934" width="11" style="22" customWidth="1"/>
    <col min="7935" max="7935" width="9" style="22" customWidth="1"/>
    <col min="7936" max="7936" width="11.42578125" style="22" customWidth="1"/>
    <col min="7937" max="7937" width="12" style="22" customWidth="1"/>
    <col min="7938" max="8184" width="9.42578125" style="22" customWidth="1"/>
    <col min="8185" max="8185" width="16.42578125" style="22" customWidth="1"/>
    <col min="8186" max="8186" width="10.140625" style="22" customWidth="1"/>
    <col min="8187" max="8187" width="8.42578125" style="22" customWidth="1"/>
    <col min="8188" max="8188" width="10" style="22" customWidth="1"/>
    <col min="8189" max="8189" width="8.42578125" style="22" customWidth="1"/>
    <col min="8190" max="8190" width="11" style="22" customWidth="1"/>
    <col min="8191" max="8191" width="9" style="22" customWidth="1"/>
    <col min="8192" max="8192" width="11.42578125" style="22" customWidth="1"/>
    <col min="8193" max="8193" width="12" style="22" customWidth="1"/>
    <col min="8194" max="8440" width="9.42578125" style="22" customWidth="1"/>
    <col min="8441" max="8441" width="16.42578125" style="22" customWidth="1"/>
    <col min="8442" max="8442" width="10.140625" style="22" customWidth="1"/>
    <col min="8443" max="8443" width="8.42578125" style="22" customWidth="1"/>
    <col min="8444" max="8444" width="10" style="22" customWidth="1"/>
    <col min="8445" max="8445" width="8.42578125" style="22" customWidth="1"/>
    <col min="8446" max="8446" width="11" style="22" customWidth="1"/>
    <col min="8447" max="8447" width="9" style="22" customWidth="1"/>
    <col min="8448" max="8448" width="11.42578125" style="22" customWidth="1"/>
    <col min="8449" max="8449" width="12" style="22" customWidth="1"/>
    <col min="8450" max="8696" width="9.42578125" style="22" customWidth="1"/>
    <col min="8697" max="8697" width="16.42578125" style="22" customWidth="1"/>
    <col min="8698" max="8698" width="10.140625" style="22" customWidth="1"/>
    <col min="8699" max="8699" width="8.42578125" style="22" customWidth="1"/>
    <col min="8700" max="8700" width="10" style="22" customWidth="1"/>
    <col min="8701" max="8701" width="8.42578125" style="22" customWidth="1"/>
    <col min="8702" max="8702" width="11" style="22" customWidth="1"/>
    <col min="8703" max="8703" width="9" style="22" customWidth="1"/>
    <col min="8704" max="8704" width="11.42578125" style="22" customWidth="1"/>
    <col min="8705" max="8705" width="12" style="22" customWidth="1"/>
    <col min="8706" max="8952" width="9.42578125" style="22" customWidth="1"/>
    <col min="8953" max="8953" width="16.42578125" style="22" customWidth="1"/>
    <col min="8954" max="8954" width="10.140625" style="22" customWidth="1"/>
    <col min="8955" max="8955" width="8.42578125" style="22" customWidth="1"/>
    <col min="8956" max="8956" width="10" style="22" customWidth="1"/>
    <col min="8957" max="8957" width="8.42578125" style="22" customWidth="1"/>
    <col min="8958" max="8958" width="11" style="22" customWidth="1"/>
    <col min="8959" max="8959" width="9" style="22" customWidth="1"/>
    <col min="8960" max="8960" width="11.42578125" style="22" customWidth="1"/>
    <col min="8961" max="8961" width="12" style="22" customWidth="1"/>
    <col min="8962" max="9208" width="9.42578125" style="22" customWidth="1"/>
    <col min="9209" max="9209" width="16.42578125" style="22" customWidth="1"/>
    <col min="9210" max="9210" width="10.140625" style="22" customWidth="1"/>
    <col min="9211" max="9211" width="8.42578125" style="22" customWidth="1"/>
    <col min="9212" max="9212" width="10" style="22" customWidth="1"/>
    <col min="9213" max="9213" width="8.42578125" style="22" customWidth="1"/>
    <col min="9214" max="9214" width="11" style="22" customWidth="1"/>
    <col min="9215" max="9215" width="9" style="22" customWidth="1"/>
    <col min="9216" max="9216" width="11.42578125" style="22" customWidth="1"/>
    <col min="9217" max="9217" width="12" style="22" customWidth="1"/>
    <col min="9218" max="9464" width="9.42578125" style="22" customWidth="1"/>
    <col min="9465" max="9465" width="16.42578125" style="22" customWidth="1"/>
    <col min="9466" max="9466" width="10.140625" style="22" customWidth="1"/>
    <col min="9467" max="9467" width="8.42578125" style="22" customWidth="1"/>
    <col min="9468" max="9468" width="10" style="22" customWidth="1"/>
    <col min="9469" max="9469" width="8.42578125" style="22" customWidth="1"/>
    <col min="9470" max="9470" width="11" style="22" customWidth="1"/>
    <col min="9471" max="9471" width="9" style="22" customWidth="1"/>
    <col min="9472" max="9472" width="11.42578125" style="22" customWidth="1"/>
    <col min="9473" max="9473" width="12" style="22" customWidth="1"/>
    <col min="9474" max="9720" width="9.42578125" style="22" customWidth="1"/>
    <col min="9721" max="9721" width="16.42578125" style="22" customWidth="1"/>
    <col min="9722" max="9722" width="10.140625" style="22" customWidth="1"/>
    <col min="9723" max="9723" width="8.42578125" style="22" customWidth="1"/>
    <col min="9724" max="9724" width="10" style="22" customWidth="1"/>
    <col min="9725" max="9725" width="8.42578125" style="22" customWidth="1"/>
    <col min="9726" max="9726" width="11" style="22" customWidth="1"/>
    <col min="9727" max="9727" width="9" style="22" customWidth="1"/>
    <col min="9728" max="9728" width="11.42578125" style="22" customWidth="1"/>
    <col min="9729" max="9729" width="12" style="22" customWidth="1"/>
    <col min="9730" max="9976" width="9.42578125" style="22" customWidth="1"/>
    <col min="9977" max="9977" width="16.42578125" style="22" customWidth="1"/>
    <col min="9978" max="9978" width="10.140625" style="22" customWidth="1"/>
    <col min="9979" max="9979" width="8.42578125" style="22" customWidth="1"/>
    <col min="9980" max="9980" width="10" style="22" customWidth="1"/>
    <col min="9981" max="9981" width="8.42578125" style="22" customWidth="1"/>
    <col min="9982" max="9982" width="11" style="22" customWidth="1"/>
    <col min="9983" max="9983" width="9" style="22" customWidth="1"/>
    <col min="9984" max="9984" width="11.42578125" style="22" customWidth="1"/>
    <col min="9985" max="9985" width="12" style="22" customWidth="1"/>
    <col min="9986" max="10232" width="9.42578125" style="22" customWidth="1"/>
    <col min="10233" max="10233" width="16.42578125" style="22" customWidth="1"/>
    <col min="10234" max="10234" width="10.140625" style="22" customWidth="1"/>
    <col min="10235" max="10235" width="8.42578125" style="22" customWidth="1"/>
    <col min="10236" max="10236" width="10" style="22" customWidth="1"/>
    <col min="10237" max="10237" width="8.42578125" style="22" customWidth="1"/>
    <col min="10238" max="10238" width="11" style="22" customWidth="1"/>
    <col min="10239" max="10239" width="9" style="22" customWidth="1"/>
    <col min="10240" max="10240" width="11.42578125" style="22" customWidth="1"/>
    <col min="10241" max="10241" width="12" style="22" customWidth="1"/>
    <col min="10242" max="10488" width="9.42578125" style="22" customWidth="1"/>
    <col min="10489" max="10489" width="16.42578125" style="22" customWidth="1"/>
    <col min="10490" max="10490" width="10.140625" style="22" customWidth="1"/>
    <col min="10491" max="10491" width="8.42578125" style="22" customWidth="1"/>
    <col min="10492" max="10492" width="10" style="22" customWidth="1"/>
    <col min="10493" max="10493" width="8.42578125" style="22" customWidth="1"/>
    <col min="10494" max="10494" width="11" style="22" customWidth="1"/>
    <col min="10495" max="10495" width="9" style="22" customWidth="1"/>
    <col min="10496" max="10496" width="11.42578125" style="22" customWidth="1"/>
    <col min="10497" max="10497" width="12" style="22" customWidth="1"/>
    <col min="10498" max="10744" width="9.42578125" style="22" customWidth="1"/>
    <col min="10745" max="10745" width="16.42578125" style="22" customWidth="1"/>
    <col min="10746" max="10746" width="10.140625" style="22" customWidth="1"/>
    <col min="10747" max="10747" width="8.42578125" style="22" customWidth="1"/>
    <col min="10748" max="10748" width="10" style="22" customWidth="1"/>
    <col min="10749" max="10749" width="8.42578125" style="22" customWidth="1"/>
    <col min="10750" max="10750" width="11" style="22" customWidth="1"/>
    <col min="10751" max="10751" width="9" style="22" customWidth="1"/>
    <col min="10752" max="10752" width="11.42578125" style="22" customWidth="1"/>
    <col min="10753" max="10753" width="12" style="22" customWidth="1"/>
    <col min="10754" max="11000" width="9.42578125" style="22" customWidth="1"/>
    <col min="11001" max="11001" width="16.42578125" style="22" customWidth="1"/>
    <col min="11002" max="11002" width="10.140625" style="22" customWidth="1"/>
    <col min="11003" max="11003" width="8.42578125" style="22" customWidth="1"/>
    <col min="11004" max="11004" width="10" style="22" customWidth="1"/>
    <col min="11005" max="11005" width="8.42578125" style="22" customWidth="1"/>
    <col min="11006" max="11006" width="11" style="22" customWidth="1"/>
    <col min="11007" max="11007" width="9" style="22" customWidth="1"/>
    <col min="11008" max="11008" width="11.42578125" style="22" customWidth="1"/>
    <col min="11009" max="11009" width="12" style="22" customWidth="1"/>
    <col min="11010" max="11256" width="9.42578125" style="22" customWidth="1"/>
    <col min="11257" max="11257" width="16.42578125" style="22" customWidth="1"/>
    <col min="11258" max="11258" width="10.140625" style="22" customWidth="1"/>
    <col min="11259" max="11259" width="8.42578125" style="22" customWidth="1"/>
    <col min="11260" max="11260" width="10" style="22" customWidth="1"/>
    <col min="11261" max="11261" width="8.42578125" style="22" customWidth="1"/>
    <col min="11262" max="11262" width="11" style="22" customWidth="1"/>
    <col min="11263" max="11263" width="9" style="22" customWidth="1"/>
    <col min="11264" max="11264" width="11.42578125" style="22" customWidth="1"/>
    <col min="11265" max="11265" width="12" style="22" customWidth="1"/>
    <col min="11266" max="11512" width="9.42578125" style="22" customWidth="1"/>
    <col min="11513" max="11513" width="16.42578125" style="22" customWidth="1"/>
    <col min="11514" max="11514" width="10.140625" style="22" customWidth="1"/>
    <col min="11515" max="11515" width="8.42578125" style="22" customWidth="1"/>
    <col min="11516" max="11516" width="10" style="22" customWidth="1"/>
    <col min="11517" max="11517" width="8.42578125" style="22" customWidth="1"/>
    <col min="11518" max="11518" width="11" style="22" customWidth="1"/>
    <col min="11519" max="11519" width="9" style="22" customWidth="1"/>
    <col min="11520" max="11520" width="11.42578125" style="22" customWidth="1"/>
    <col min="11521" max="11521" width="12" style="22" customWidth="1"/>
    <col min="11522" max="11768" width="9.42578125" style="22" customWidth="1"/>
    <col min="11769" max="11769" width="16.42578125" style="22" customWidth="1"/>
    <col min="11770" max="11770" width="10.140625" style="22" customWidth="1"/>
    <col min="11771" max="11771" width="8.42578125" style="22" customWidth="1"/>
    <col min="11772" max="11772" width="10" style="22" customWidth="1"/>
    <col min="11773" max="11773" width="8.42578125" style="22" customWidth="1"/>
    <col min="11774" max="11774" width="11" style="22" customWidth="1"/>
    <col min="11775" max="11775" width="9" style="22" customWidth="1"/>
    <col min="11776" max="11776" width="11.42578125" style="22" customWidth="1"/>
    <col min="11777" max="11777" width="12" style="22" customWidth="1"/>
    <col min="11778" max="12024" width="9.42578125" style="22" customWidth="1"/>
    <col min="12025" max="12025" width="16.42578125" style="22" customWidth="1"/>
    <col min="12026" max="12026" width="10.140625" style="22" customWidth="1"/>
    <col min="12027" max="12027" width="8.42578125" style="22" customWidth="1"/>
    <col min="12028" max="12028" width="10" style="22" customWidth="1"/>
    <col min="12029" max="12029" width="8.42578125" style="22" customWidth="1"/>
    <col min="12030" max="12030" width="11" style="22" customWidth="1"/>
    <col min="12031" max="12031" width="9" style="22" customWidth="1"/>
    <col min="12032" max="12032" width="11.42578125" style="22" customWidth="1"/>
    <col min="12033" max="12033" width="12" style="22" customWidth="1"/>
    <col min="12034" max="12280" width="9.42578125" style="22" customWidth="1"/>
    <col min="12281" max="12281" width="16.42578125" style="22" customWidth="1"/>
    <col min="12282" max="12282" width="10.140625" style="22" customWidth="1"/>
    <col min="12283" max="12283" width="8.42578125" style="22" customWidth="1"/>
    <col min="12284" max="12284" width="10" style="22" customWidth="1"/>
    <col min="12285" max="12285" width="8.42578125" style="22" customWidth="1"/>
    <col min="12286" max="12286" width="11" style="22" customWidth="1"/>
    <col min="12287" max="12287" width="9" style="22" customWidth="1"/>
    <col min="12288" max="12288" width="11.42578125" style="22" customWidth="1"/>
    <col min="12289" max="12289" width="12" style="22" customWidth="1"/>
    <col min="12290" max="12536" width="9.42578125" style="22" customWidth="1"/>
    <col min="12537" max="12537" width="16.42578125" style="22" customWidth="1"/>
    <col min="12538" max="12538" width="10.140625" style="22" customWidth="1"/>
    <col min="12539" max="12539" width="8.42578125" style="22" customWidth="1"/>
    <col min="12540" max="12540" width="10" style="22" customWidth="1"/>
    <col min="12541" max="12541" width="8.42578125" style="22" customWidth="1"/>
    <col min="12542" max="12542" width="11" style="22" customWidth="1"/>
    <col min="12543" max="12543" width="9" style="22" customWidth="1"/>
    <col min="12544" max="12544" width="11.42578125" style="22" customWidth="1"/>
    <col min="12545" max="12545" width="12" style="22" customWidth="1"/>
    <col min="12546" max="12792" width="9.42578125" style="22" customWidth="1"/>
    <col min="12793" max="12793" width="16.42578125" style="22" customWidth="1"/>
    <col min="12794" max="12794" width="10.140625" style="22" customWidth="1"/>
    <col min="12795" max="12795" width="8.42578125" style="22" customWidth="1"/>
    <col min="12796" max="12796" width="10" style="22" customWidth="1"/>
    <col min="12797" max="12797" width="8.42578125" style="22" customWidth="1"/>
    <col min="12798" max="12798" width="11" style="22" customWidth="1"/>
    <col min="12799" max="12799" width="9" style="22" customWidth="1"/>
    <col min="12800" max="12800" width="11.42578125" style="22" customWidth="1"/>
    <col min="12801" max="12801" width="12" style="22" customWidth="1"/>
    <col min="12802" max="13048" width="9.42578125" style="22" customWidth="1"/>
    <col min="13049" max="13049" width="16.42578125" style="22" customWidth="1"/>
    <col min="13050" max="13050" width="10.140625" style="22" customWidth="1"/>
    <col min="13051" max="13051" width="8.42578125" style="22" customWidth="1"/>
    <col min="13052" max="13052" width="10" style="22" customWidth="1"/>
    <col min="13053" max="13053" width="8.42578125" style="22" customWidth="1"/>
    <col min="13054" max="13054" width="11" style="22" customWidth="1"/>
    <col min="13055" max="13055" width="9" style="22" customWidth="1"/>
    <col min="13056" max="13056" width="11.42578125" style="22" customWidth="1"/>
    <col min="13057" max="13057" width="12" style="22" customWidth="1"/>
    <col min="13058" max="13304" width="9.42578125" style="22" customWidth="1"/>
    <col min="13305" max="13305" width="16.42578125" style="22" customWidth="1"/>
    <col min="13306" max="13306" width="10.140625" style="22" customWidth="1"/>
    <col min="13307" max="13307" width="8.42578125" style="22" customWidth="1"/>
    <col min="13308" max="13308" width="10" style="22" customWidth="1"/>
    <col min="13309" max="13309" width="8.42578125" style="22" customWidth="1"/>
    <col min="13310" max="13310" width="11" style="22" customWidth="1"/>
    <col min="13311" max="13311" width="9" style="22" customWidth="1"/>
    <col min="13312" max="13312" width="11.42578125" style="22" customWidth="1"/>
    <col min="13313" max="13313" width="12" style="22" customWidth="1"/>
    <col min="13314" max="13560" width="9.42578125" style="22" customWidth="1"/>
    <col min="13561" max="13561" width="16.42578125" style="22" customWidth="1"/>
    <col min="13562" max="13562" width="10.140625" style="22" customWidth="1"/>
    <col min="13563" max="13563" width="8.42578125" style="22" customWidth="1"/>
    <col min="13564" max="13564" width="10" style="22" customWidth="1"/>
    <col min="13565" max="13565" width="8.42578125" style="22" customWidth="1"/>
    <col min="13566" max="13566" width="11" style="22" customWidth="1"/>
    <col min="13567" max="13567" width="9" style="22" customWidth="1"/>
    <col min="13568" max="13568" width="11.42578125" style="22" customWidth="1"/>
    <col min="13569" max="13569" width="12" style="22" customWidth="1"/>
    <col min="13570" max="13816" width="9.42578125" style="22" customWidth="1"/>
    <col min="13817" max="13817" width="16.42578125" style="22" customWidth="1"/>
    <col min="13818" max="13818" width="10.140625" style="22" customWidth="1"/>
    <col min="13819" max="13819" width="8.42578125" style="22" customWidth="1"/>
    <col min="13820" max="13820" width="10" style="22" customWidth="1"/>
    <col min="13821" max="13821" width="8.42578125" style="22" customWidth="1"/>
    <col min="13822" max="13822" width="11" style="22" customWidth="1"/>
    <col min="13823" max="13823" width="9" style="22" customWidth="1"/>
    <col min="13824" max="13824" width="11.42578125" style="22" customWidth="1"/>
    <col min="13825" max="13825" width="12" style="22" customWidth="1"/>
    <col min="13826" max="14072" width="9.42578125" style="22" customWidth="1"/>
    <col min="14073" max="14073" width="16.42578125" style="22" customWidth="1"/>
    <col min="14074" max="14074" width="10.140625" style="22" customWidth="1"/>
    <col min="14075" max="14075" width="8.42578125" style="22" customWidth="1"/>
    <col min="14076" max="14076" width="10" style="22" customWidth="1"/>
    <col min="14077" max="14077" width="8.42578125" style="22" customWidth="1"/>
    <col min="14078" max="14078" width="11" style="22" customWidth="1"/>
    <col min="14079" max="14079" width="9" style="22" customWidth="1"/>
    <col min="14080" max="14080" width="11.42578125" style="22" customWidth="1"/>
    <col min="14081" max="14081" width="12" style="22" customWidth="1"/>
    <col min="14082" max="14328" width="9.42578125" style="22" customWidth="1"/>
    <col min="14329" max="14329" width="16.42578125" style="22" customWidth="1"/>
    <col min="14330" max="14330" width="10.140625" style="22" customWidth="1"/>
    <col min="14331" max="14331" width="8.42578125" style="22" customWidth="1"/>
    <col min="14332" max="14332" width="10" style="22" customWidth="1"/>
    <col min="14333" max="14333" width="8.42578125" style="22" customWidth="1"/>
    <col min="14334" max="14334" width="11" style="22" customWidth="1"/>
    <col min="14335" max="14335" width="9" style="22" customWidth="1"/>
    <col min="14336" max="14336" width="11.42578125" style="22" customWidth="1"/>
    <col min="14337" max="14337" width="12" style="22" customWidth="1"/>
    <col min="14338" max="14584" width="9.42578125" style="22" customWidth="1"/>
    <col min="14585" max="14585" width="16.42578125" style="22" customWidth="1"/>
    <col min="14586" max="14586" width="10.140625" style="22" customWidth="1"/>
    <col min="14587" max="14587" width="8.42578125" style="22" customWidth="1"/>
    <col min="14588" max="14588" width="10" style="22" customWidth="1"/>
    <col min="14589" max="14589" width="8.42578125" style="22" customWidth="1"/>
    <col min="14590" max="14590" width="11" style="22" customWidth="1"/>
    <col min="14591" max="14591" width="9" style="22" customWidth="1"/>
    <col min="14592" max="14592" width="11.42578125" style="22" customWidth="1"/>
    <col min="14593" max="14593" width="12" style="22" customWidth="1"/>
    <col min="14594" max="14840" width="9.42578125" style="22" customWidth="1"/>
    <col min="14841" max="14841" width="16.42578125" style="22" customWidth="1"/>
    <col min="14842" max="14842" width="10.140625" style="22" customWidth="1"/>
    <col min="14843" max="14843" width="8.42578125" style="22" customWidth="1"/>
    <col min="14844" max="14844" width="10" style="22" customWidth="1"/>
    <col min="14845" max="14845" width="8.42578125" style="22" customWidth="1"/>
    <col min="14846" max="14846" width="11" style="22" customWidth="1"/>
    <col min="14847" max="14847" width="9" style="22" customWidth="1"/>
    <col min="14848" max="14848" width="11.42578125" style="22" customWidth="1"/>
    <col min="14849" max="14849" width="12" style="22" customWidth="1"/>
    <col min="14850" max="15096" width="9.42578125" style="22" customWidth="1"/>
    <col min="15097" max="15097" width="16.42578125" style="22" customWidth="1"/>
    <col min="15098" max="15098" width="10.140625" style="22" customWidth="1"/>
    <col min="15099" max="15099" width="8.42578125" style="22" customWidth="1"/>
    <col min="15100" max="15100" width="10" style="22" customWidth="1"/>
    <col min="15101" max="15101" width="8.42578125" style="22" customWidth="1"/>
    <col min="15102" max="15102" width="11" style="22" customWidth="1"/>
    <col min="15103" max="15103" width="9" style="22" customWidth="1"/>
    <col min="15104" max="15104" width="11.42578125" style="22" customWidth="1"/>
    <col min="15105" max="15105" width="12" style="22" customWidth="1"/>
    <col min="15106" max="15352" width="9.42578125" style="22" customWidth="1"/>
    <col min="15353" max="15353" width="16.42578125" style="22" customWidth="1"/>
    <col min="15354" max="15354" width="10.140625" style="22" customWidth="1"/>
    <col min="15355" max="15355" width="8.42578125" style="22" customWidth="1"/>
    <col min="15356" max="15356" width="10" style="22" customWidth="1"/>
    <col min="15357" max="15357" width="8.42578125" style="22" customWidth="1"/>
    <col min="15358" max="15358" width="11" style="22" customWidth="1"/>
    <col min="15359" max="15359" width="9" style="22" customWidth="1"/>
    <col min="15360" max="15360" width="11.42578125" style="22" customWidth="1"/>
    <col min="15361" max="15361" width="12" style="22" customWidth="1"/>
    <col min="15362" max="15608" width="9.42578125" style="22" customWidth="1"/>
    <col min="15609" max="15609" width="16.42578125" style="22" customWidth="1"/>
    <col min="15610" max="15610" width="10.140625" style="22" customWidth="1"/>
    <col min="15611" max="15611" width="8.42578125" style="22" customWidth="1"/>
    <col min="15612" max="15612" width="10" style="22" customWidth="1"/>
    <col min="15613" max="15613" width="8.42578125" style="22" customWidth="1"/>
    <col min="15614" max="15614" width="11" style="22" customWidth="1"/>
    <col min="15615" max="15615" width="9" style="22" customWidth="1"/>
    <col min="15616" max="15616" width="11.42578125" style="22" customWidth="1"/>
    <col min="15617" max="15617" width="12" style="22" customWidth="1"/>
    <col min="15618" max="15864" width="9.42578125" style="22" customWidth="1"/>
    <col min="15865" max="15865" width="16.42578125" style="22" customWidth="1"/>
    <col min="15866" max="15866" width="10.140625" style="22" customWidth="1"/>
    <col min="15867" max="15867" width="8.42578125" style="22" customWidth="1"/>
    <col min="15868" max="15868" width="10" style="22" customWidth="1"/>
    <col min="15869" max="15869" width="8.42578125" style="22" customWidth="1"/>
    <col min="15870" max="15870" width="11" style="22" customWidth="1"/>
    <col min="15871" max="15871" width="9" style="22" customWidth="1"/>
    <col min="15872" max="15872" width="11.42578125" style="22" customWidth="1"/>
    <col min="15873" max="15873" width="12" style="22" customWidth="1"/>
    <col min="15874" max="16120" width="9.42578125" style="22" customWidth="1"/>
    <col min="16121" max="16121" width="16.42578125" style="22" customWidth="1"/>
    <col min="16122" max="16122" width="10.140625" style="22" customWidth="1"/>
    <col min="16123" max="16123" width="8.42578125" style="22" customWidth="1"/>
    <col min="16124" max="16124" width="10" style="22" customWidth="1"/>
    <col min="16125" max="16125" width="8.42578125" style="22" customWidth="1"/>
    <col min="16126" max="16126" width="11" style="22" customWidth="1"/>
    <col min="16127" max="16127" width="9" style="22" customWidth="1"/>
    <col min="16128" max="16128" width="11.42578125" style="22" customWidth="1"/>
    <col min="16129" max="16129" width="12" style="22" customWidth="1"/>
    <col min="16130" max="16384" width="9.42578125" style="22" customWidth="1"/>
  </cols>
  <sheetData>
    <row r="1" spans="1:13" customFormat="1" ht="15" x14ac:dyDescent="0.25">
      <c r="A1" s="73"/>
      <c r="B1" s="76"/>
      <c r="C1" s="76"/>
      <c r="D1" s="76"/>
      <c r="E1" s="76"/>
      <c r="F1" s="76"/>
      <c r="G1" s="76"/>
      <c r="H1" s="76"/>
      <c r="I1" s="76"/>
      <c r="J1" s="76"/>
      <c r="K1" s="77"/>
      <c r="L1" s="73"/>
      <c r="M1" s="73"/>
    </row>
    <row r="2" spans="1:13" customFormat="1" ht="15.75" x14ac:dyDescent="0.3">
      <c r="A2" s="73"/>
      <c r="B2" s="142"/>
      <c r="C2" s="142"/>
      <c r="D2" s="142"/>
      <c r="E2" s="142"/>
      <c r="F2" s="142"/>
      <c r="G2" s="142"/>
      <c r="H2" s="142"/>
      <c r="I2" s="143" t="s">
        <v>109</v>
      </c>
      <c r="J2" s="76"/>
      <c r="K2" s="77"/>
      <c r="L2" s="73"/>
      <c r="M2" s="73"/>
    </row>
    <row r="3" spans="1:13" customFormat="1" ht="21" x14ac:dyDescent="0.35">
      <c r="A3" s="73"/>
      <c r="B3" s="656" t="s">
        <v>110</v>
      </c>
      <c r="C3" s="656"/>
      <c r="D3" s="656"/>
      <c r="E3" s="656"/>
      <c r="F3" s="656"/>
      <c r="G3" s="656"/>
      <c r="H3" s="656"/>
      <c r="I3" s="656"/>
      <c r="J3" s="79"/>
      <c r="K3" s="77"/>
      <c r="L3" s="73"/>
      <c r="M3" s="73"/>
    </row>
    <row r="4" spans="1:13" customFormat="1" ht="9.75" customHeight="1" x14ac:dyDescent="0.3">
      <c r="A4" s="73"/>
      <c r="B4" s="142"/>
      <c r="C4" s="142"/>
      <c r="D4" s="142"/>
      <c r="E4" s="142"/>
      <c r="F4" s="142"/>
      <c r="G4" s="142"/>
      <c r="H4" s="142"/>
      <c r="I4" s="142"/>
      <c r="J4" s="76"/>
      <c r="K4" s="77"/>
      <c r="L4" s="73"/>
      <c r="M4" s="73"/>
    </row>
    <row r="5" spans="1:13" customFormat="1" ht="18" customHeight="1" x14ac:dyDescent="0.3">
      <c r="A5" s="73"/>
      <c r="B5" s="144" t="s">
        <v>111</v>
      </c>
      <c r="C5" s="145"/>
      <c r="D5" s="145"/>
      <c r="E5" s="142"/>
      <c r="F5" s="142"/>
      <c r="G5" s="142"/>
      <c r="H5" s="142"/>
      <c r="I5" s="142"/>
      <c r="J5" s="76"/>
      <c r="K5" s="77"/>
      <c r="L5" s="73"/>
      <c r="M5" s="73"/>
    </row>
    <row r="6" spans="1:13" s="49" customFormat="1" ht="15.75" x14ac:dyDescent="0.3">
      <c r="A6" s="73"/>
      <c r="B6" s="142"/>
      <c r="C6" s="142"/>
      <c r="D6" s="142"/>
      <c r="E6" s="142"/>
      <c r="F6" s="142"/>
      <c r="G6" s="142"/>
      <c r="H6" s="146"/>
      <c r="I6" s="146"/>
      <c r="J6" s="78"/>
      <c r="K6" s="77"/>
      <c r="L6" s="73"/>
      <c r="M6" s="73"/>
    </row>
    <row r="7" spans="1:13" s="49" customFormat="1" ht="16.5" x14ac:dyDescent="0.35">
      <c r="A7" s="73"/>
      <c r="B7" s="657" t="s">
        <v>112</v>
      </c>
      <c r="C7" s="659" t="s">
        <v>113</v>
      </c>
      <c r="D7" s="659" t="s">
        <v>114</v>
      </c>
      <c r="E7" s="661" t="s">
        <v>52</v>
      </c>
      <c r="F7" s="661"/>
      <c r="G7" s="661"/>
      <c r="H7" s="661"/>
      <c r="I7" s="661"/>
      <c r="J7" s="80"/>
      <c r="K7" s="77"/>
      <c r="L7" s="73"/>
      <c r="M7" s="73"/>
    </row>
    <row r="8" spans="1:13" customFormat="1" ht="12.95" customHeight="1" x14ac:dyDescent="0.25">
      <c r="A8" s="73"/>
      <c r="B8" s="658"/>
      <c r="C8" s="660"/>
      <c r="D8" s="660"/>
      <c r="E8" s="662">
        <v>610</v>
      </c>
      <c r="F8" s="662">
        <v>620</v>
      </c>
      <c r="G8" s="662">
        <v>630</v>
      </c>
      <c r="H8" s="662">
        <v>640</v>
      </c>
      <c r="I8" s="662" t="s">
        <v>98</v>
      </c>
      <c r="J8" s="77"/>
      <c r="K8" s="75"/>
      <c r="L8" s="73"/>
      <c r="M8" s="73"/>
    </row>
    <row r="9" spans="1:13" customFormat="1" ht="5.25" customHeight="1" x14ac:dyDescent="0.25">
      <c r="A9" s="73"/>
      <c r="B9" s="658"/>
      <c r="C9" s="660"/>
      <c r="D9" s="660"/>
      <c r="E9" s="662"/>
      <c r="F9" s="662"/>
      <c r="G9" s="662"/>
      <c r="H9" s="662"/>
      <c r="I9" s="662"/>
      <c r="J9" s="77"/>
      <c r="K9" s="75"/>
      <c r="L9" s="73"/>
      <c r="M9" s="73"/>
    </row>
    <row r="10" spans="1:13" customFormat="1" ht="16.5" x14ac:dyDescent="0.35">
      <c r="A10" s="73"/>
      <c r="B10" s="264" t="s">
        <v>115</v>
      </c>
      <c r="C10" s="265">
        <v>62</v>
      </c>
      <c r="D10" s="266">
        <v>22434</v>
      </c>
      <c r="E10" s="267">
        <v>106932</v>
      </c>
      <c r="F10" s="267">
        <v>39338</v>
      </c>
      <c r="G10" s="267">
        <v>44084</v>
      </c>
      <c r="H10" s="267">
        <v>2592</v>
      </c>
      <c r="I10" s="268">
        <v>192946</v>
      </c>
      <c r="J10" s="77"/>
      <c r="K10" s="75"/>
      <c r="L10" s="73"/>
      <c r="M10" s="73"/>
    </row>
    <row r="11" spans="1:13" customFormat="1" ht="16.5" x14ac:dyDescent="0.35">
      <c r="A11" s="73"/>
      <c r="B11" s="264" t="s">
        <v>116</v>
      </c>
      <c r="C11" s="265">
        <v>113</v>
      </c>
      <c r="D11" s="266">
        <v>34664</v>
      </c>
      <c r="E11" s="267">
        <v>200615</v>
      </c>
      <c r="F11" s="267">
        <v>73546</v>
      </c>
      <c r="G11" s="267">
        <v>57327</v>
      </c>
      <c r="H11" s="267">
        <v>7712</v>
      </c>
      <c r="I11" s="268">
        <v>339200</v>
      </c>
      <c r="J11" s="77"/>
      <c r="K11" s="75"/>
      <c r="L11" s="73"/>
      <c r="M11" s="73"/>
    </row>
    <row r="12" spans="1:13" customFormat="1" ht="16.5" x14ac:dyDescent="0.35">
      <c r="A12" s="73"/>
      <c r="B12" s="264" t="s">
        <v>117</v>
      </c>
      <c r="C12" s="265">
        <v>66</v>
      </c>
      <c r="D12" s="266">
        <v>23826</v>
      </c>
      <c r="E12" s="267">
        <v>108587</v>
      </c>
      <c r="F12" s="267">
        <v>40698</v>
      </c>
      <c r="G12" s="267">
        <v>36540</v>
      </c>
      <c r="H12" s="267">
        <v>2622</v>
      </c>
      <c r="I12" s="268">
        <v>188447</v>
      </c>
      <c r="J12" s="77"/>
      <c r="K12" s="75"/>
      <c r="L12" s="73"/>
      <c r="M12" s="73"/>
    </row>
    <row r="13" spans="1:13" customFormat="1" ht="16.5" x14ac:dyDescent="0.35">
      <c r="A13" s="73"/>
      <c r="B13" s="264" t="s">
        <v>118</v>
      </c>
      <c r="C13" s="265">
        <v>88</v>
      </c>
      <c r="D13" s="266">
        <v>28837</v>
      </c>
      <c r="E13" s="267">
        <v>127786</v>
      </c>
      <c r="F13" s="267">
        <v>47892</v>
      </c>
      <c r="G13" s="267">
        <v>62863</v>
      </c>
      <c r="H13" s="267">
        <v>467</v>
      </c>
      <c r="I13" s="268">
        <v>239008</v>
      </c>
      <c r="J13" s="77"/>
      <c r="K13" s="75"/>
      <c r="L13" s="73"/>
      <c r="M13" s="73"/>
    </row>
    <row r="14" spans="1:13" customFormat="1" ht="16.5" x14ac:dyDescent="0.35">
      <c r="A14" s="73"/>
      <c r="B14" s="264" t="s">
        <v>119</v>
      </c>
      <c r="C14" s="265">
        <v>67</v>
      </c>
      <c r="D14" s="266">
        <v>23004</v>
      </c>
      <c r="E14" s="267">
        <v>127648</v>
      </c>
      <c r="F14" s="267">
        <v>46570</v>
      </c>
      <c r="G14" s="267">
        <v>56946</v>
      </c>
      <c r="H14" s="267">
        <v>397</v>
      </c>
      <c r="I14" s="268">
        <v>231561</v>
      </c>
      <c r="J14" s="77"/>
      <c r="K14" s="75"/>
      <c r="L14" s="73"/>
      <c r="M14" s="73"/>
    </row>
    <row r="15" spans="1:13" customFormat="1" ht="16.5" x14ac:dyDescent="0.35">
      <c r="A15" s="73"/>
      <c r="B15" s="264" t="s">
        <v>120</v>
      </c>
      <c r="C15" s="265">
        <v>120</v>
      </c>
      <c r="D15" s="266">
        <v>40634</v>
      </c>
      <c r="E15" s="267">
        <v>200777</v>
      </c>
      <c r="F15" s="267">
        <v>73858</v>
      </c>
      <c r="G15" s="267">
        <v>72951</v>
      </c>
      <c r="H15" s="267">
        <v>4257</v>
      </c>
      <c r="I15" s="268">
        <v>351843</v>
      </c>
      <c r="J15" s="77"/>
      <c r="K15" s="75"/>
      <c r="L15" s="73"/>
      <c r="M15" s="73"/>
    </row>
    <row r="16" spans="1:13" customFormat="1" ht="16.5" x14ac:dyDescent="0.35">
      <c r="A16" s="73"/>
      <c r="B16" s="264" t="s">
        <v>121</v>
      </c>
      <c r="C16" s="265">
        <v>126</v>
      </c>
      <c r="D16" s="266">
        <v>40743</v>
      </c>
      <c r="E16" s="267">
        <v>186820</v>
      </c>
      <c r="F16" s="267">
        <v>68278</v>
      </c>
      <c r="G16" s="267">
        <v>92509</v>
      </c>
      <c r="H16" s="267">
        <v>2961</v>
      </c>
      <c r="I16" s="268">
        <v>350568</v>
      </c>
      <c r="J16" s="77"/>
      <c r="K16" s="75"/>
      <c r="L16" s="73"/>
      <c r="M16" s="73"/>
    </row>
    <row r="17" spans="1:13" customFormat="1" ht="16.5" x14ac:dyDescent="0.35">
      <c r="A17" s="73"/>
      <c r="B17" s="264" t="s">
        <v>122</v>
      </c>
      <c r="C17" s="265">
        <v>64</v>
      </c>
      <c r="D17" s="266">
        <v>20732</v>
      </c>
      <c r="E17" s="267">
        <v>122914</v>
      </c>
      <c r="F17" s="267">
        <v>45608</v>
      </c>
      <c r="G17" s="267">
        <v>34138</v>
      </c>
      <c r="H17" s="267">
        <v>2722</v>
      </c>
      <c r="I17" s="268">
        <v>205382</v>
      </c>
      <c r="J17" s="77"/>
      <c r="K17" s="75"/>
      <c r="L17" s="75"/>
      <c r="M17" s="75"/>
    </row>
    <row r="18" spans="1:13" customFormat="1" ht="16.5" x14ac:dyDescent="0.35">
      <c r="A18" s="73"/>
      <c r="B18" s="264" t="s">
        <v>123</v>
      </c>
      <c r="C18" s="265">
        <v>118</v>
      </c>
      <c r="D18" s="266">
        <v>36566</v>
      </c>
      <c r="E18" s="267">
        <v>175739</v>
      </c>
      <c r="F18" s="267">
        <v>63517</v>
      </c>
      <c r="G18" s="267">
        <v>70336</v>
      </c>
      <c r="H18" s="267">
        <v>2014</v>
      </c>
      <c r="I18" s="268">
        <v>311606</v>
      </c>
      <c r="J18" s="81"/>
      <c r="K18" s="75"/>
      <c r="L18" s="75"/>
      <c r="M18" s="75"/>
    </row>
    <row r="19" spans="1:13" customFormat="1" ht="16.5" x14ac:dyDescent="0.35">
      <c r="A19" s="73"/>
      <c r="B19" s="264" t="s">
        <v>124</v>
      </c>
      <c r="C19" s="265">
        <v>118</v>
      </c>
      <c r="D19" s="266">
        <v>41369</v>
      </c>
      <c r="E19" s="267">
        <v>197283</v>
      </c>
      <c r="F19" s="267">
        <v>73679</v>
      </c>
      <c r="G19" s="267">
        <v>70132</v>
      </c>
      <c r="H19" s="267">
        <v>3150</v>
      </c>
      <c r="I19" s="268">
        <v>344244</v>
      </c>
      <c r="J19" s="81"/>
      <c r="K19" s="75"/>
      <c r="L19" s="75"/>
      <c r="M19" s="75"/>
    </row>
    <row r="20" spans="1:13" customFormat="1" ht="16.5" x14ac:dyDescent="0.35">
      <c r="A20" s="73"/>
      <c r="B20" s="264" t="s">
        <v>125</v>
      </c>
      <c r="C20" s="265">
        <v>72</v>
      </c>
      <c r="D20" s="266">
        <v>22794</v>
      </c>
      <c r="E20" s="267">
        <v>125128</v>
      </c>
      <c r="F20" s="267">
        <v>45866</v>
      </c>
      <c r="G20" s="267">
        <v>38011</v>
      </c>
      <c r="H20" s="267">
        <v>569</v>
      </c>
      <c r="I20" s="268">
        <v>209574</v>
      </c>
      <c r="J20" s="81"/>
      <c r="K20" s="75"/>
      <c r="L20" s="75"/>
      <c r="M20" s="75"/>
    </row>
    <row r="21" spans="1:13" customFormat="1" ht="16.5" x14ac:dyDescent="0.35">
      <c r="A21" s="73"/>
      <c r="B21" s="264" t="s">
        <v>126</v>
      </c>
      <c r="C21" s="265">
        <v>33</v>
      </c>
      <c r="D21" s="266">
        <v>10461</v>
      </c>
      <c r="E21" s="267">
        <v>67723</v>
      </c>
      <c r="F21" s="267">
        <v>23438</v>
      </c>
      <c r="G21" s="267">
        <v>20992</v>
      </c>
      <c r="H21" s="267">
        <v>2247</v>
      </c>
      <c r="I21" s="268">
        <v>114400</v>
      </c>
      <c r="J21" s="81"/>
      <c r="K21" s="75"/>
      <c r="L21" s="75"/>
      <c r="M21" s="75"/>
    </row>
    <row r="22" spans="1:13" customFormat="1" ht="16.5" x14ac:dyDescent="0.35">
      <c r="A22" s="73"/>
      <c r="B22" s="264" t="s">
        <v>127</v>
      </c>
      <c r="C22" s="265">
        <v>42</v>
      </c>
      <c r="D22" s="266">
        <v>22396</v>
      </c>
      <c r="E22" s="267">
        <v>82839</v>
      </c>
      <c r="F22" s="267">
        <v>30333</v>
      </c>
      <c r="G22" s="267">
        <v>15604</v>
      </c>
      <c r="H22" s="267">
        <v>0</v>
      </c>
      <c r="I22" s="268">
        <v>128776</v>
      </c>
      <c r="J22" s="81"/>
      <c r="K22" s="75"/>
      <c r="L22" s="75"/>
      <c r="M22" s="75"/>
    </row>
    <row r="23" spans="1:13" customFormat="1" ht="16.5" x14ac:dyDescent="0.35">
      <c r="A23" s="73"/>
      <c r="B23" s="264" t="s">
        <v>128</v>
      </c>
      <c r="C23" s="265">
        <v>39</v>
      </c>
      <c r="D23" s="266">
        <v>4334</v>
      </c>
      <c r="E23" s="267">
        <v>76488</v>
      </c>
      <c r="F23" s="267">
        <v>27999</v>
      </c>
      <c r="G23" s="267">
        <v>26100</v>
      </c>
      <c r="H23" s="267">
        <v>2399</v>
      </c>
      <c r="I23" s="268">
        <v>132986</v>
      </c>
      <c r="J23" s="81"/>
      <c r="K23" s="75"/>
      <c r="L23" s="75"/>
      <c r="M23" s="75"/>
    </row>
    <row r="24" spans="1:13" customFormat="1" ht="16.5" x14ac:dyDescent="0.35">
      <c r="A24" s="73"/>
      <c r="B24" s="264" t="s">
        <v>129</v>
      </c>
      <c r="C24" s="265">
        <v>138</v>
      </c>
      <c r="D24" s="266">
        <v>16689</v>
      </c>
      <c r="E24" s="267">
        <v>215082</v>
      </c>
      <c r="F24" s="267">
        <v>79872</v>
      </c>
      <c r="G24" s="267">
        <v>67276</v>
      </c>
      <c r="H24" s="267">
        <v>2934</v>
      </c>
      <c r="I24" s="268">
        <v>365164</v>
      </c>
      <c r="J24" s="81"/>
      <c r="K24" s="75"/>
      <c r="L24" s="75"/>
      <c r="M24" s="75"/>
    </row>
    <row r="25" spans="1:13" customFormat="1" ht="16.5" x14ac:dyDescent="0.35">
      <c r="A25" s="73"/>
      <c r="B25" s="276" t="s">
        <v>505</v>
      </c>
      <c r="C25" s="277"/>
      <c r="D25" s="278"/>
      <c r="E25" s="279"/>
      <c r="F25" s="279"/>
      <c r="G25" s="279">
        <v>2793</v>
      </c>
      <c r="H25" s="279"/>
      <c r="I25" s="280">
        <v>2793</v>
      </c>
      <c r="J25" s="81"/>
      <c r="K25" s="75"/>
      <c r="L25" s="75"/>
      <c r="M25" s="75"/>
    </row>
    <row r="26" spans="1:13" s="23" customFormat="1" ht="17.25" customHeight="1" x14ac:dyDescent="0.25">
      <c r="B26" s="282" t="s">
        <v>130</v>
      </c>
      <c r="C26" s="283">
        <v>1266</v>
      </c>
      <c r="D26" s="283">
        <v>389483</v>
      </c>
      <c r="E26" s="283">
        <v>2122361</v>
      </c>
      <c r="F26" s="283">
        <v>780492</v>
      </c>
      <c r="G26" s="283">
        <v>768602</v>
      </c>
      <c r="H26" s="283">
        <v>37043</v>
      </c>
      <c r="I26" s="283">
        <v>3708498</v>
      </c>
      <c r="J26" s="82"/>
      <c r="K26" s="82"/>
      <c r="L26" s="82"/>
      <c r="M26" s="82"/>
    </row>
    <row r="27" spans="1:13" customFormat="1" ht="3.75" customHeight="1" x14ac:dyDescent="0.35">
      <c r="A27" s="73"/>
      <c r="B27" s="281"/>
      <c r="C27" s="281"/>
      <c r="D27" s="281"/>
      <c r="E27" s="281"/>
      <c r="F27" s="281"/>
      <c r="G27" s="281"/>
      <c r="H27" s="281"/>
      <c r="I27" s="281"/>
      <c r="J27" s="81"/>
      <c r="K27" s="75"/>
      <c r="L27" s="75"/>
      <c r="M27" s="75"/>
    </row>
    <row r="28" spans="1:13" customFormat="1" ht="19.5" customHeight="1" x14ac:dyDescent="0.35">
      <c r="A28" s="73"/>
      <c r="B28" s="270" t="s">
        <v>5</v>
      </c>
      <c r="C28" s="271">
        <v>183</v>
      </c>
      <c r="D28" s="272">
        <v>25233</v>
      </c>
      <c r="E28" s="273">
        <v>332671</v>
      </c>
      <c r="F28" s="274">
        <v>121394</v>
      </c>
      <c r="G28" s="274">
        <v>135412</v>
      </c>
      <c r="H28" s="274">
        <v>1981</v>
      </c>
      <c r="I28" s="275">
        <v>591458</v>
      </c>
      <c r="J28" s="81"/>
      <c r="K28" s="75"/>
      <c r="L28" s="75"/>
      <c r="M28" s="75"/>
    </row>
    <row r="29" spans="1:13" customFormat="1" ht="15.75" x14ac:dyDescent="0.3">
      <c r="A29" s="73"/>
      <c r="B29" s="142"/>
      <c r="C29" s="142"/>
      <c r="D29" s="142"/>
      <c r="E29" s="142"/>
      <c r="F29" s="142"/>
      <c r="G29" s="142"/>
      <c r="H29" s="142"/>
      <c r="I29" s="142"/>
      <c r="J29" s="83"/>
      <c r="K29" s="81"/>
      <c r="L29" s="75"/>
      <c r="M29" s="75"/>
    </row>
    <row r="30" spans="1:13" customFormat="1" ht="18.75" customHeight="1" x14ac:dyDescent="0.3">
      <c r="A30" s="73"/>
      <c r="B30" s="144" t="s">
        <v>131</v>
      </c>
      <c r="C30" s="145"/>
      <c r="D30" s="145"/>
      <c r="E30" s="142"/>
      <c r="F30" s="142"/>
      <c r="G30" s="142"/>
      <c r="H30" s="142"/>
      <c r="I30" s="142"/>
      <c r="J30" s="76"/>
      <c r="K30" s="81"/>
      <c r="L30" s="75"/>
      <c r="M30" s="75"/>
    </row>
    <row r="31" spans="1:13" customFormat="1" ht="15.75" x14ac:dyDescent="0.3">
      <c r="A31" s="73"/>
      <c r="B31" s="142"/>
      <c r="C31" s="142"/>
      <c r="D31" s="142"/>
      <c r="E31" s="142"/>
      <c r="F31" s="142"/>
      <c r="G31" s="142"/>
      <c r="H31" s="143"/>
      <c r="I31" s="146"/>
      <c r="J31" s="76"/>
      <c r="K31" s="81"/>
      <c r="L31" s="75"/>
      <c r="M31" s="75"/>
    </row>
    <row r="32" spans="1:13" customFormat="1" ht="16.5" x14ac:dyDescent="0.3">
      <c r="A32" s="73"/>
      <c r="B32" s="653" t="s">
        <v>112</v>
      </c>
      <c r="C32" s="655" t="s">
        <v>52</v>
      </c>
      <c r="D32" s="655"/>
      <c r="E32" s="655"/>
      <c r="F32" s="655"/>
      <c r="G32" s="655"/>
      <c r="H32" s="147"/>
      <c r="I32" s="148"/>
      <c r="J32" s="84"/>
      <c r="K32" s="84"/>
      <c r="L32" s="84"/>
      <c r="M32" s="84"/>
    </row>
    <row r="33" spans="1:13" customFormat="1" ht="16.5" x14ac:dyDescent="0.3">
      <c r="A33" s="73"/>
      <c r="B33" s="654"/>
      <c r="C33" s="269">
        <v>610</v>
      </c>
      <c r="D33" s="269">
        <v>620</v>
      </c>
      <c r="E33" s="269">
        <v>630</v>
      </c>
      <c r="F33" s="269">
        <v>640</v>
      </c>
      <c r="G33" s="269" t="s">
        <v>98</v>
      </c>
      <c r="H33" s="148"/>
      <c r="I33" s="148"/>
      <c r="J33" s="84"/>
      <c r="K33" s="84"/>
      <c r="L33" s="84"/>
      <c r="M33" s="84"/>
    </row>
    <row r="34" spans="1:13" customFormat="1" ht="17.25" x14ac:dyDescent="0.35">
      <c r="A34" s="73"/>
      <c r="B34" s="264" t="s">
        <v>115</v>
      </c>
      <c r="C34" s="267">
        <v>21550</v>
      </c>
      <c r="D34" s="267">
        <v>7710</v>
      </c>
      <c r="E34" s="267">
        <v>23671</v>
      </c>
      <c r="F34" s="267">
        <v>111</v>
      </c>
      <c r="G34" s="268">
        <v>53042</v>
      </c>
      <c r="H34" s="148"/>
      <c r="I34" s="148"/>
      <c r="J34" s="84"/>
      <c r="K34" s="84"/>
      <c r="L34" s="84"/>
      <c r="M34" s="84"/>
    </row>
    <row r="35" spans="1:13" customFormat="1" ht="17.25" x14ac:dyDescent="0.35">
      <c r="A35" s="73"/>
      <c r="B35" s="264" t="s">
        <v>116</v>
      </c>
      <c r="C35" s="267">
        <v>33767</v>
      </c>
      <c r="D35" s="267">
        <v>12184</v>
      </c>
      <c r="E35" s="267">
        <v>23517</v>
      </c>
      <c r="F35" s="267">
        <v>130</v>
      </c>
      <c r="G35" s="268">
        <v>69598</v>
      </c>
      <c r="H35" s="148"/>
      <c r="I35" s="148"/>
      <c r="J35" s="84"/>
      <c r="K35" s="84"/>
      <c r="L35" s="84"/>
      <c r="M35" s="84"/>
    </row>
    <row r="36" spans="1:13" customFormat="1" ht="17.25" x14ac:dyDescent="0.35">
      <c r="A36" s="73"/>
      <c r="B36" s="264" t="s">
        <v>117</v>
      </c>
      <c r="C36" s="267">
        <v>22554</v>
      </c>
      <c r="D36" s="267">
        <v>7962</v>
      </c>
      <c r="E36" s="267">
        <v>27988</v>
      </c>
      <c r="F36" s="267">
        <v>0</v>
      </c>
      <c r="G36" s="268">
        <v>58504</v>
      </c>
      <c r="H36" s="148"/>
      <c r="I36" s="148"/>
      <c r="J36" s="84"/>
      <c r="K36" s="84"/>
      <c r="L36" s="84"/>
      <c r="M36" s="84"/>
    </row>
    <row r="37" spans="1:13" customFormat="1" ht="17.25" x14ac:dyDescent="0.35">
      <c r="A37" s="73"/>
      <c r="B37" s="264" t="s">
        <v>118</v>
      </c>
      <c r="C37" s="267">
        <v>24492</v>
      </c>
      <c r="D37" s="267">
        <v>8872</v>
      </c>
      <c r="E37" s="267">
        <v>27613</v>
      </c>
      <c r="F37" s="267">
        <v>0</v>
      </c>
      <c r="G37" s="268">
        <v>60977</v>
      </c>
      <c r="H37" s="148"/>
      <c r="I37" s="148"/>
      <c r="J37" s="84"/>
      <c r="K37" s="84"/>
      <c r="L37" s="84"/>
      <c r="M37" s="84"/>
    </row>
    <row r="38" spans="1:13" customFormat="1" ht="17.25" x14ac:dyDescent="0.35">
      <c r="A38" s="73"/>
      <c r="B38" s="264" t="s">
        <v>119</v>
      </c>
      <c r="C38" s="267">
        <v>27276</v>
      </c>
      <c r="D38" s="267">
        <v>9775</v>
      </c>
      <c r="E38" s="267">
        <v>18048</v>
      </c>
      <c r="F38" s="267">
        <v>315</v>
      </c>
      <c r="G38" s="268">
        <v>55414</v>
      </c>
      <c r="H38" s="148"/>
      <c r="I38" s="148"/>
      <c r="J38" s="84"/>
      <c r="K38" s="84"/>
      <c r="L38" s="84"/>
      <c r="M38" s="84"/>
    </row>
    <row r="39" spans="1:13" customFormat="1" ht="17.25" x14ac:dyDescent="0.35">
      <c r="A39" s="73"/>
      <c r="B39" s="264" t="s">
        <v>120</v>
      </c>
      <c r="C39" s="267">
        <v>40378</v>
      </c>
      <c r="D39" s="267">
        <v>14392</v>
      </c>
      <c r="E39" s="267">
        <v>30448</v>
      </c>
      <c r="F39" s="267">
        <v>296</v>
      </c>
      <c r="G39" s="268">
        <v>85514</v>
      </c>
      <c r="H39" s="148"/>
      <c r="I39" s="148"/>
      <c r="J39" s="84"/>
      <c r="K39" s="84"/>
      <c r="L39" s="84"/>
      <c r="M39" s="84"/>
    </row>
    <row r="40" spans="1:13" customFormat="1" ht="17.25" x14ac:dyDescent="0.35">
      <c r="A40" s="73"/>
      <c r="B40" s="264" t="s">
        <v>5</v>
      </c>
      <c r="C40" s="267">
        <v>41702</v>
      </c>
      <c r="D40" s="267">
        <v>15378</v>
      </c>
      <c r="E40" s="267">
        <v>31651</v>
      </c>
      <c r="F40" s="267">
        <v>289</v>
      </c>
      <c r="G40" s="268">
        <v>89020</v>
      </c>
      <c r="H40" s="148"/>
      <c r="I40" s="148"/>
      <c r="J40" s="84"/>
      <c r="K40" s="84"/>
      <c r="L40" s="84"/>
      <c r="M40" s="84"/>
    </row>
    <row r="41" spans="1:13" customFormat="1" ht="17.25" x14ac:dyDescent="0.35">
      <c r="A41" s="73"/>
      <c r="B41" s="264" t="s">
        <v>121</v>
      </c>
      <c r="C41" s="267">
        <v>38604</v>
      </c>
      <c r="D41" s="267">
        <v>13200</v>
      </c>
      <c r="E41" s="267">
        <v>29552</v>
      </c>
      <c r="F41" s="267">
        <v>433</v>
      </c>
      <c r="G41" s="268">
        <v>81789</v>
      </c>
      <c r="H41" s="148"/>
      <c r="I41" s="148"/>
      <c r="J41" s="84"/>
      <c r="K41" s="84"/>
      <c r="L41" s="84"/>
      <c r="M41" s="84"/>
    </row>
    <row r="42" spans="1:13" customFormat="1" ht="17.25" x14ac:dyDescent="0.35">
      <c r="A42" s="73"/>
      <c r="B42" s="264" t="s">
        <v>122</v>
      </c>
      <c r="C42" s="267">
        <v>22541</v>
      </c>
      <c r="D42" s="267">
        <v>8176</v>
      </c>
      <c r="E42" s="267">
        <v>17772</v>
      </c>
      <c r="F42" s="267">
        <v>390</v>
      </c>
      <c r="G42" s="268">
        <v>48879</v>
      </c>
      <c r="H42" s="148"/>
      <c r="I42" s="148"/>
      <c r="J42" s="84"/>
      <c r="K42" s="84"/>
      <c r="L42" s="84"/>
      <c r="M42" s="84"/>
    </row>
    <row r="43" spans="1:13" customFormat="1" ht="17.25" x14ac:dyDescent="0.35">
      <c r="A43" s="73"/>
      <c r="B43" s="264" t="s">
        <v>123</v>
      </c>
      <c r="C43" s="267">
        <v>24913</v>
      </c>
      <c r="D43" s="267">
        <v>9092</v>
      </c>
      <c r="E43" s="267">
        <v>22054</v>
      </c>
      <c r="F43" s="267">
        <v>0</v>
      </c>
      <c r="G43" s="268">
        <v>56059</v>
      </c>
      <c r="H43" s="148"/>
      <c r="I43" s="148"/>
      <c r="J43" s="84"/>
      <c r="K43" s="84"/>
      <c r="L43" s="84"/>
      <c r="M43" s="84"/>
    </row>
    <row r="44" spans="1:13" customFormat="1" ht="17.25" x14ac:dyDescent="0.35">
      <c r="A44" s="73"/>
      <c r="B44" s="264" t="s">
        <v>124</v>
      </c>
      <c r="C44" s="267">
        <v>35306</v>
      </c>
      <c r="D44" s="267">
        <v>13109</v>
      </c>
      <c r="E44" s="267">
        <v>26985</v>
      </c>
      <c r="F44" s="267">
        <v>0</v>
      </c>
      <c r="G44" s="268">
        <v>75400</v>
      </c>
      <c r="H44" s="148"/>
      <c r="I44" s="148"/>
      <c r="J44" s="84"/>
      <c r="K44" s="84"/>
      <c r="L44" s="84"/>
      <c r="M44" s="84"/>
    </row>
    <row r="45" spans="1:13" customFormat="1" ht="17.25" x14ac:dyDescent="0.35">
      <c r="A45" s="73"/>
      <c r="B45" s="264" t="s">
        <v>125</v>
      </c>
      <c r="C45" s="267">
        <v>27442</v>
      </c>
      <c r="D45" s="267">
        <v>9886</v>
      </c>
      <c r="E45" s="267">
        <v>17271</v>
      </c>
      <c r="F45" s="267">
        <v>0</v>
      </c>
      <c r="G45" s="268">
        <v>54599</v>
      </c>
      <c r="H45" s="148"/>
      <c r="I45" s="148"/>
      <c r="J45" s="84"/>
      <c r="K45" s="84"/>
      <c r="L45" s="84"/>
      <c r="M45" s="84"/>
    </row>
    <row r="46" spans="1:13" customFormat="1" ht="17.25" x14ac:dyDescent="0.35">
      <c r="A46" s="73"/>
      <c r="B46" s="264" t="s">
        <v>126</v>
      </c>
      <c r="C46" s="267">
        <v>15616</v>
      </c>
      <c r="D46" s="267">
        <v>5303</v>
      </c>
      <c r="E46" s="267">
        <v>9500</v>
      </c>
      <c r="F46" s="267">
        <v>0</v>
      </c>
      <c r="G46" s="268">
        <v>30419</v>
      </c>
      <c r="H46" s="148"/>
      <c r="I46" s="148"/>
      <c r="J46" s="84"/>
      <c r="K46" s="84"/>
      <c r="L46" s="84"/>
      <c r="M46" s="84"/>
    </row>
    <row r="47" spans="1:13" customFormat="1" ht="17.25" x14ac:dyDescent="0.35">
      <c r="A47" s="73"/>
      <c r="B47" s="276" t="s">
        <v>127</v>
      </c>
      <c r="C47" s="279">
        <v>21398</v>
      </c>
      <c r="D47" s="279">
        <v>7563</v>
      </c>
      <c r="E47" s="279">
        <v>16221</v>
      </c>
      <c r="F47" s="279">
        <v>0</v>
      </c>
      <c r="G47" s="280">
        <v>45182</v>
      </c>
      <c r="H47" s="148"/>
      <c r="I47" s="148"/>
      <c r="J47" s="84"/>
      <c r="K47" s="84"/>
      <c r="L47" s="84"/>
      <c r="M47" s="84"/>
    </row>
    <row r="48" spans="1:13" customFormat="1" ht="20.25" customHeight="1" x14ac:dyDescent="0.3">
      <c r="A48" s="73"/>
      <c r="B48" s="282" t="s">
        <v>130</v>
      </c>
      <c r="C48" s="284">
        <v>398149</v>
      </c>
      <c r="D48" s="284">
        <v>143222</v>
      </c>
      <c r="E48" s="284">
        <v>322921</v>
      </c>
      <c r="F48" s="284">
        <v>2604</v>
      </c>
      <c r="G48" s="284">
        <v>864396</v>
      </c>
      <c r="H48" s="142"/>
      <c r="I48" s="142"/>
      <c r="J48" s="84"/>
      <c r="K48" s="84"/>
      <c r="L48" s="84"/>
      <c r="M48" s="84"/>
    </row>
    <row r="49" spans="1:13" customFormat="1" ht="15.75" x14ac:dyDescent="0.3">
      <c r="A49" s="73"/>
      <c r="B49" s="149"/>
      <c r="C49" s="150"/>
      <c r="D49" s="150"/>
      <c r="E49" s="150"/>
      <c r="F49" s="150"/>
      <c r="G49" s="150"/>
      <c r="H49" s="150"/>
      <c r="I49" s="142"/>
      <c r="J49" s="84"/>
      <c r="K49" s="84"/>
      <c r="L49" s="84"/>
      <c r="M49" s="84"/>
    </row>
    <row r="50" spans="1:13" s="50" customFormat="1" ht="15.75" x14ac:dyDescent="0.3">
      <c r="A50" s="73"/>
      <c r="B50" s="149"/>
      <c r="C50" s="150"/>
      <c r="D50" s="150"/>
      <c r="E50" s="150"/>
      <c r="F50" s="150"/>
      <c r="G50" s="150"/>
      <c r="H50" s="150"/>
      <c r="I50" s="142"/>
      <c r="J50" s="84"/>
      <c r="K50" s="84"/>
      <c r="L50" s="84"/>
      <c r="M50" s="84"/>
    </row>
    <row r="51" spans="1:13" customFormat="1" ht="15.75" x14ac:dyDescent="0.3">
      <c r="A51" s="73"/>
      <c r="B51" s="142"/>
      <c r="C51" s="142"/>
      <c r="D51" s="142"/>
      <c r="E51" s="142"/>
      <c r="F51" s="142"/>
      <c r="G51" s="142"/>
      <c r="H51" s="142"/>
      <c r="I51" s="142"/>
      <c r="J51" s="83"/>
      <c r="K51" s="77"/>
      <c r="L51" s="75"/>
      <c r="M51" s="75"/>
    </row>
    <row r="52" spans="1:13" customFormat="1" ht="21.75" customHeight="1" x14ac:dyDescent="0.3">
      <c r="A52" s="73"/>
      <c r="B52" s="652" t="s">
        <v>132</v>
      </c>
      <c r="C52" s="652"/>
      <c r="D52" s="652"/>
      <c r="E52" s="652"/>
      <c r="F52" s="652"/>
      <c r="G52" s="652"/>
      <c r="H52" s="652"/>
      <c r="I52" s="142"/>
      <c r="J52" s="83"/>
      <c r="K52" s="77"/>
      <c r="L52" s="75"/>
      <c r="M52" s="75"/>
    </row>
    <row r="53" spans="1:13" s="49" customFormat="1" ht="15.75" x14ac:dyDescent="0.3">
      <c r="A53" s="73"/>
      <c r="B53" s="142"/>
      <c r="C53" s="142"/>
      <c r="D53" s="142"/>
      <c r="E53" s="142"/>
      <c r="F53" s="142"/>
      <c r="G53" s="142"/>
      <c r="H53" s="143"/>
      <c r="I53" s="142"/>
      <c r="J53" s="76"/>
      <c r="K53" s="77"/>
      <c r="L53" s="75"/>
      <c r="M53" s="75"/>
    </row>
    <row r="54" spans="1:13" s="49" customFormat="1" ht="15.75" x14ac:dyDescent="0.3">
      <c r="A54" s="73"/>
      <c r="B54" s="653" t="s">
        <v>112</v>
      </c>
      <c r="C54" s="655" t="s">
        <v>52</v>
      </c>
      <c r="D54" s="655"/>
      <c r="E54" s="655"/>
      <c r="F54" s="655"/>
      <c r="G54" s="655"/>
      <c r="H54" s="147"/>
      <c r="I54" s="142"/>
      <c r="J54" s="76"/>
      <c r="K54" s="85"/>
      <c r="L54" s="75"/>
      <c r="M54" s="75"/>
    </row>
    <row r="55" spans="1:13" s="49" customFormat="1" ht="15.75" x14ac:dyDescent="0.3">
      <c r="A55" s="73"/>
      <c r="B55" s="654"/>
      <c r="C55" s="269">
        <v>610</v>
      </c>
      <c r="D55" s="269">
        <v>620</v>
      </c>
      <c r="E55" s="269">
        <v>630</v>
      </c>
      <c r="F55" s="269">
        <v>640</v>
      </c>
      <c r="G55" s="269" t="s">
        <v>98</v>
      </c>
      <c r="H55" s="142"/>
      <c r="I55" s="142"/>
      <c r="J55" s="77"/>
      <c r="K55" s="75"/>
      <c r="L55" s="75"/>
      <c r="M55" s="75"/>
    </row>
    <row r="56" spans="1:13" customFormat="1" ht="16.5" x14ac:dyDescent="0.35">
      <c r="A56" s="73"/>
      <c r="B56" s="264" t="s">
        <v>115</v>
      </c>
      <c r="C56" s="285">
        <v>128482</v>
      </c>
      <c r="D56" s="285">
        <v>47048</v>
      </c>
      <c r="E56" s="285">
        <v>67755</v>
      </c>
      <c r="F56" s="285">
        <v>2703</v>
      </c>
      <c r="G56" s="286">
        <v>245988</v>
      </c>
      <c r="H56" s="142"/>
      <c r="I56" s="142"/>
      <c r="J56" s="77"/>
      <c r="K56" s="75"/>
      <c r="L56" s="75"/>
      <c r="M56" s="75"/>
    </row>
    <row r="57" spans="1:13" customFormat="1" ht="16.5" x14ac:dyDescent="0.35">
      <c r="A57" s="73"/>
      <c r="B57" s="264" t="s">
        <v>116</v>
      </c>
      <c r="C57" s="285">
        <v>234382</v>
      </c>
      <c r="D57" s="285">
        <v>85730</v>
      </c>
      <c r="E57" s="285">
        <v>80844</v>
      </c>
      <c r="F57" s="285">
        <v>7842</v>
      </c>
      <c r="G57" s="286">
        <v>408798</v>
      </c>
      <c r="H57" s="142"/>
      <c r="I57" s="142"/>
      <c r="J57" s="77"/>
      <c r="K57" s="75"/>
      <c r="L57" s="75"/>
      <c r="M57" s="75"/>
    </row>
    <row r="58" spans="1:13" customFormat="1" ht="16.5" x14ac:dyDescent="0.35">
      <c r="A58" s="73"/>
      <c r="B58" s="264" t="s">
        <v>117</v>
      </c>
      <c r="C58" s="285">
        <v>131141</v>
      </c>
      <c r="D58" s="285">
        <v>48660</v>
      </c>
      <c r="E58" s="285">
        <v>64528</v>
      </c>
      <c r="F58" s="285">
        <v>2622</v>
      </c>
      <c r="G58" s="286">
        <v>246951</v>
      </c>
      <c r="H58" s="142"/>
      <c r="I58" s="142"/>
      <c r="J58" s="77"/>
      <c r="K58" s="75"/>
      <c r="L58" s="75"/>
      <c r="M58" s="75"/>
    </row>
    <row r="59" spans="1:13" customFormat="1" ht="16.5" x14ac:dyDescent="0.35">
      <c r="A59" s="73"/>
      <c r="B59" s="264" t="s">
        <v>118</v>
      </c>
      <c r="C59" s="285">
        <v>152278</v>
      </c>
      <c r="D59" s="285">
        <v>56764</v>
      </c>
      <c r="E59" s="285">
        <v>90476</v>
      </c>
      <c r="F59" s="285">
        <v>467</v>
      </c>
      <c r="G59" s="286">
        <v>299985</v>
      </c>
      <c r="H59" s="142"/>
      <c r="I59" s="142"/>
      <c r="J59" s="77"/>
      <c r="K59" s="75"/>
      <c r="L59" s="75"/>
      <c r="M59" s="75"/>
    </row>
    <row r="60" spans="1:13" customFormat="1" ht="16.5" x14ac:dyDescent="0.35">
      <c r="A60" s="73"/>
      <c r="B60" s="264" t="s">
        <v>119</v>
      </c>
      <c r="C60" s="285">
        <v>154924</v>
      </c>
      <c r="D60" s="285">
        <v>56345</v>
      </c>
      <c r="E60" s="285">
        <v>74994</v>
      </c>
      <c r="F60" s="285">
        <v>712</v>
      </c>
      <c r="G60" s="286">
        <v>286975</v>
      </c>
      <c r="H60" s="142"/>
      <c r="I60" s="142"/>
      <c r="J60" s="77"/>
      <c r="K60" s="75"/>
      <c r="L60" s="75"/>
      <c r="M60" s="75"/>
    </row>
    <row r="61" spans="1:13" customFormat="1" ht="16.5" x14ac:dyDescent="0.35">
      <c r="A61" s="73"/>
      <c r="B61" s="264" t="s">
        <v>120</v>
      </c>
      <c r="C61" s="285">
        <v>241155</v>
      </c>
      <c r="D61" s="285">
        <v>88250</v>
      </c>
      <c r="E61" s="285">
        <v>103399</v>
      </c>
      <c r="F61" s="285">
        <v>4553</v>
      </c>
      <c r="G61" s="286">
        <v>437357</v>
      </c>
      <c r="H61" s="142"/>
      <c r="I61" s="142"/>
      <c r="J61" s="77"/>
      <c r="K61" s="75"/>
      <c r="L61" s="75"/>
      <c r="M61" s="75"/>
    </row>
    <row r="62" spans="1:13" customFormat="1" ht="16.5" x14ac:dyDescent="0.35">
      <c r="A62" s="73"/>
      <c r="B62" s="264" t="s">
        <v>5</v>
      </c>
      <c r="C62" s="285">
        <v>374373</v>
      </c>
      <c r="D62" s="285">
        <v>136772</v>
      </c>
      <c r="E62" s="285">
        <v>167063</v>
      </c>
      <c r="F62" s="285">
        <v>2270</v>
      </c>
      <c r="G62" s="286">
        <v>680478</v>
      </c>
      <c r="H62" s="142"/>
      <c r="I62" s="142"/>
      <c r="J62" s="77"/>
      <c r="K62" s="75"/>
      <c r="L62" s="75"/>
      <c r="M62" s="75"/>
    </row>
    <row r="63" spans="1:13" customFormat="1" ht="16.5" x14ac:dyDescent="0.35">
      <c r="A63" s="73"/>
      <c r="B63" s="264" t="s">
        <v>121</v>
      </c>
      <c r="C63" s="285">
        <v>225424</v>
      </c>
      <c r="D63" s="285">
        <v>81478</v>
      </c>
      <c r="E63" s="285">
        <v>122061</v>
      </c>
      <c r="F63" s="285">
        <v>3394</v>
      </c>
      <c r="G63" s="286">
        <v>432357</v>
      </c>
      <c r="H63" s="142"/>
      <c r="I63" s="142"/>
      <c r="J63" s="77"/>
      <c r="K63" s="75"/>
      <c r="L63" s="75"/>
      <c r="M63" s="75"/>
    </row>
    <row r="64" spans="1:13" customFormat="1" ht="16.5" x14ac:dyDescent="0.35">
      <c r="A64" s="73"/>
      <c r="B64" s="264" t="s">
        <v>122</v>
      </c>
      <c r="C64" s="285">
        <v>145455</v>
      </c>
      <c r="D64" s="285">
        <v>53784</v>
      </c>
      <c r="E64" s="285">
        <v>51910</v>
      </c>
      <c r="F64" s="285">
        <v>3112</v>
      </c>
      <c r="G64" s="286">
        <v>254261</v>
      </c>
      <c r="H64" s="142"/>
      <c r="I64" s="142"/>
      <c r="J64" s="77"/>
      <c r="K64" s="75"/>
      <c r="L64" s="75"/>
      <c r="M64" s="75"/>
    </row>
    <row r="65" spans="1:13" customFormat="1" ht="16.5" x14ac:dyDescent="0.35">
      <c r="A65" s="73"/>
      <c r="B65" s="264" t="s">
        <v>123</v>
      </c>
      <c r="C65" s="285">
        <v>200652</v>
      </c>
      <c r="D65" s="285">
        <v>72609</v>
      </c>
      <c r="E65" s="285">
        <v>92390</v>
      </c>
      <c r="F65" s="285">
        <v>2014</v>
      </c>
      <c r="G65" s="286">
        <v>367665</v>
      </c>
      <c r="H65" s="142"/>
      <c r="I65" s="142"/>
      <c r="J65" s="75"/>
      <c r="K65" s="75"/>
      <c r="L65" s="73"/>
      <c r="M65" s="73"/>
    </row>
    <row r="66" spans="1:13" customFormat="1" ht="16.5" x14ac:dyDescent="0.35">
      <c r="A66" s="73"/>
      <c r="B66" s="264" t="s">
        <v>124</v>
      </c>
      <c r="C66" s="285">
        <v>232589</v>
      </c>
      <c r="D66" s="285">
        <v>86788</v>
      </c>
      <c r="E66" s="285">
        <v>97117</v>
      </c>
      <c r="F66" s="285">
        <v>3150</v>
      </c>
      <c r="G66" s="286">
        <v>419644</v>
      </c>
      <c r="H66" s="142"/>
      <c r="I66" s="142"/>
      <c r="J66" s="75"/>
      <c r="K66" s="75"/>
      <c r="L66" s="73"/>
      <c r="M66" s="73"/>
    </row>
    <row r="67" spans="1:13" customFormat="1" ht="16.5" x14ac:dyDescent="0.35">
      <c r="A67" s="73"/>
      <c r="B67" s="264" t="s">
        <v>125</v>
      </c>
      <c r="C67" s="285">
        <v>152570</v>
      </c>
      <c r="D67" s="285">
        <v>55752</v>
      </c>
      <c r="E67" s="285">
        <v>55282</v>
      </c>
      <c r="F67" s="285">
        <v>569</v>
      </c>
      <c r="G67" s="286">
        <v>264173</v>
      </c>
      <c r="H67" s="142"/>
      <c r="I67" s="142"/>
      <c r="J67" s="75"/>
      <c r="K67" s="75"/>
      <c r="L67" s="73"/>
      <c r="M67" s="73"/>
    </row>
    <row r="68" spans="1:13" customFormat="1" ht="16.5" x14ac:dyDescent="0.35">
      <c r="A68" s="73"/>
      <c r="B68" s="264" t="s">
        <v>126</v>
      </c>
      <c r="C68" s="285">
        <v>83339</v>
      </c>
      <c r="D68" s="285">
        <v>28741</v>
      </c>
      <c r="E68" s="285">
        <v>30492</v>
      </c>
      <c r="F68" s="285">
        <v>2247</v>
      </c>
      <c r="G68" s="286">
        <v>144819</v>
      </c>
      <c r="H68" s="142"/>
      <c r="I68" s="142"/>
      <c r="J68" s="75"/>
      <c r="K68" s="75"/>
      <c r="L68" s="73"/>
      <c r="M68" s="73"/>
    </row>
    <row r="69" spans="1:13" customFormat="1" ht="16.5" x14ac:dyDescent="0.35">
      <c r="A69" s="73"/>
      <c r="B69" s="264" t="s">
        <v>127</v>
      </c>
      <c r="C69" s="285">
        <v>104237</v>
      </c>
      <c r="D69" s="285">
        <v>37896</v>
      </c>
      <c r="E69" s="285">
        <v>31825</v>
      </c>
      <c r="F69" s="285">
        <v>0</v>
      </c>
      <c r="G69" s="286">
        <v>173958</v>
      </c>
      <c r="H69" s="142"/>
      <c r="I69" s="142"/>
      <c r="J69" s="75"/>
      <c r="K69" s="75"/>
      <c r="L69" s="73"/>
      <c r="M69" s="73"/>
    </row>
    <row r="70" spans="1:13" customFormat="1" ht="16.5" x14ac:dyDescent="0.35">
      <c r="A70" s="73"/>
      <c r="B70" s="264" t="s">
        <v>128</v>
      </c>
      <c r="C70" s="285">
        <v>76488</v>
      </c>
      <c r="D70" s="285">
        <v>27999</v>
      </c>
      <c r="E70" s="285">
        <v>26100</v>
      </c>
      <c r="F70" s="285">
        <v>2399</v>
      </c>
      <c r="G70" s="286">
        <v>132986</v>
      </c>
      <c r="H70" s="142"/>
      <c r="I70" s="142"/>
      <c r="J70" s="75"/>
      <c r="K70" s="75"/>
      <c r="L70" s="73"/>
      <c r="M70" s="73"/>
    </row>
    <row r="71" spans="1:13" customFormat="1" ht="16.5" x14ac:dyDescent="0.35">
      <c r="A71" s="73"/>
      <c r="B71" s="276" t="s">
        <v>129</v>
      </c>
      <c r="C71" s="287">
        <v>215082</v>
      </c>
      <c r="D71" s="287">
        <v>79872</v>
      </c>
      <c r="E71" s="287">
        <v>67276</v>
      </c>
      <c r="F71" s="287">
        <v>2934</v>
      </c>
      <c r="G71" s="288">
        <v>365164</v>
      </c>
      <c r="H71" s="142"/>
      <c r="I71" s="142"/>
      <c r="J71" s="75"/>
      <c r="K71" s="75"/>
      <c r="L71" s="73"/>
      <c r="M71" s="73"/>
    </row>
    <row r="72" spans="1:13" s="23" customFormat="1" ht="21.75" customHeight="1" x14ac:dyDescent="0.25">
      <c r="B72" s="282" t="s">
        <v>130</v>
      </c>
      <c r="C72" s="284">
        <v>2852571</v>
      </c>
      <c r="D72" s="284">
        <v>1044488</v>
      </c>
      <c r="E72" s="284">
        <v>1223512</v>
      </c>
      <c r="F72" s="284">
        <v>40988</v>
      </c>
      <c r="G72" s="284">
        <v>5161559</v>
      </c>
      <c r="H72" s="151"/>
      <c r="I72" s="152"/>
      <c r="J72" s="86"/>
      <c r="K72" s="86"/>
    </row>
    <row r="73" spans="1:13" customFormat="1" ht="15.75" x14ac:dyDescent="0.3">
      <c r="A73" s="73"/>
      <c r="B73" s="142"/>
      <c r="C73" s="142"/>
      <c r="D73" s="142"/>
      <c r="E73" s="142"/>
      <c r="F73" s="142"/>
      <c r="G73" s="142"/>
      <c r="H73" s="142"/>
      <c r="I73" s="153"/>
      <c r="J73" s="76"/>
      <c r="K73" s="75"/>
      <c r="L73" s="73"/>
      <c r="M73" s="73"/>
    </row>
    <row r="74" spans="1:13" customFormat="1" ht="12" customHeight="1" x14ac:dyDescent="0.3">
      <c r="A74" s="73"/>
      <c r="B74" s="142"/>
      <c r="C74" s="153"/>
      <c r="D74" s="153"/>
      <c r="E74" s="153"/>
      <c r="F74" s="153"/>
      <c r="G74" s="153"/>
      <c r="H74" s="153"/>
      <c r="I74" s="142"/>
      <c r="J74" s="76"/>
      <c r="K74" s="75"/>
      <c r="L74" s="73"/>
      <c r="M74" s="73"/>
    </row>
    <row r="75" spans="1:13" customFormat="1" ht="15.75" x14ac:dyDescent="0.3">
      <c r="A75" s="73"/>
      <c r="B75" s="142"/>
      <c r="C75" s="142"/>
      <c r="D75" s="142"/>
      <c r="E75" s="142"/>
      <c r="F75" s="153"/>
      <c r="G75" s="153"/>
      <c r="H75" s="142"/>
      <c r="I75" s="142"/>
      <c r="J75" s="76"/>
      <c r="K75" s="75"/>
      <c r="L75" s="73"/>
      <c r="M75" s="73"/>
    </row>
    <row r="76" spans="1:13" customFormat="1" ht="15.75" x14ac:dyDescent="0.3">
      <c r="A76" s="73"/>
      <c r="B76" s="142"/>
      <c r="C76" s="142"/>
      <c r="D76" s="142"/>
      <c r="E76" s="142"/>
      <c r="F76" s="142"/>
      <c r="G76" s="153"/>
      <c r="H76" s="142"/>
      <c r="I76" s="142"/>
      <c r="J76" s="76"/>
      <c r="K76" s="75"/>
      <c r="L76" s="73"/>
      <c r="M76" s="73"/>
    </row>
    <row r="84" spans="4:4" x14ac:dyDescent="0.2">
      <c r="D84" s="83"/>
    </row>
  </sheetData>
  <mergeCells count="15">
    <mergeCell ref="B52:H52"/>
    <mergeCell ref="B54:B55"/>
    <mergeCell ref="C54:G54"/>
    <mergeCell ref="B3:I3"/>
    <mergeCell ref="B7:B9"/>
    <mergeCell ref="C7:C9"/>
    <mergeCell ref="D7:D9"/>
    <mergeCell ref="E7:I7"/>
    <mergeCell ref="E8:E9"/>
    <mergeCell ref="F8:F9"/>
    <mergeCell ref="G8:G9"/>
    <mergeCell ref="H8:H9"/>
    <mergeCell ref="I8:I9"/>
    <mergeCell ref="B32:B33"/>
    <mergeCell ref="C32:G32"/>
  </mergeCells>
  <pageMargins left="0.43307086614173229" right="0.23622047244094491" top="0.55118110236220474" bottom="0.55118110236220474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359"/>
  <sheetViews>
    <sheetView workbookViewId="0"/>
  </sheetViews>
  <sheetFormatPr defaultRowHeight="12.75" x14ac:dyDescent="0.2"/>
  <cols>
    <col min="1" max="1" width="5.42578125" style="2" customWidth="1"/>
    <col min="2" max="2" width="24" style="2" customWidth="1"/>
    <col min="3" max="3" width="13" style="2" customWidth="1"/>
    <col min="4" max="4" width="11.28515625" style="2" customWidth="1"/>
    <col min="5" max="5" width="11" style="2" customWidth="1"/>
    <col min="6" max="6" width="12" style="46" bestFit="1" customWidth="1"/>
    <col min="7" max="7" width="11.140625" style="2" customWidth="1"/>
    <col min="8" max="8" width="10.85546875" style="2" customWidth="1"/>
    <col min="9" max="9" width="11.42578125" style="2" customWidth="1"/>
    <col min="10" max="10" width="10.85546875" style="43" customWidth="1"/>
    <col min="11" max="11" width="10.28515625" style="46" customWidth="1"/>
    <col min="12" max="12" width="11.5703125" style="2" customWidth="1"/>
    <col min="13" max="13" width="12" style="2" customWidth="1"/>
    <col min="14" max="14" width="12.5703125" style="2" customWidth="1"/>
    <col min="15" max="15" width="13.5703125" style="2" customWidth="1"/>
    <col min="16" max="16" width="9.140625" style="2" customWidth="1"/>
    <col min="17" max="16384" width="9.140625" style="2"/>
  </cols>
  <sheetData>
    <row r="2" spans="2:12" s="46" customFormat="1" x14ac:dyDescent="0.2"/>
    <row r="3" spans="2:12" s="46" customFormat="1" x14ac:dyDescent="0.2"/>
    <row r="5" spans="2:12" s="46" customFormat="1" x14ac:dyDescent="0.2"/>
    <row r="6" spans="2:12" s="46" customFormat="1" x14ac:dyDescent="0.2"/>
    <row r="7" spans="2:12" ht="18.75" x14ac:dyDescent="0.3">
      <c r="B7" s="122" t="s">
        <v>133</v>
      </c>
      <c r="C7" s="110"/>
      <c r="D7" s="110"/>
      <c r="E7" s="110"/>
      <c r="F7" s="110"/>
      <c r="G7" s="110"/>
      <c r="H7" s="110"/>
      <c r="I7" s="110"/>
      <c r="J7" s="110" t="s">
        <v>134</v>
      </c>
      <c r="K7" s="110"/>
      <c r="L7" s="110"/>
    </row>
    <row r="8" spans="2:12" ht="14.25" customHeight="1" x14ac:dyDescent="0.3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2:12" s="19" customFormat="1" ht="22.5" customHeight="1" x14ac:dyDescent="0.25">
      <c r="B9" s="651" t="s">
        <v>102</v>
      </c>
      <c r="C9" s="651"/>
      <c r="D9" s="651"/>
      <c r="E9" s="651"/>
      <c r="F9" s="123"/>
      <c r="G9" s="124"/>
      <c r="H9" s="124"/>
      <c r="I9" s="124"/>
      <c r="J9" s="124"/>
      <c r="K9" s="124"/>
      <c r="L9" s="124"/>
    </row>
    <row r="10" spans="2:12" ht="15.75" x14ac:dyDescent="0.35">
      <c r="B10" s="641" t="s">
        <v>135</v>
      </c>
      <c r="C10" s="641"/>
      <c r="D10" s="641"/>
      <c r="E10" s="201">
        <v>15516.4</v>
      </c>
      <c r="F10" s="125"/>
      <c r="G10" s="110"/>
      <c r="H10" s="110"/>
      <c r="I10" s="110"/>
      <c r="J10" s="110"/>
      <c r="K10" s="110"/>
      <c r="L10" s="110"/>
    </row>
    <row r="11" spans="2:12" ht="15.75" x14ac:dyDescent="0.35">
      <c r="B11" s="641" t="s">
        <v>136</v>
      </c>
      <c r="C11" s="641"/>
      <c r="D11" s="641"/>
      <c r="E11" s="201">
        <v>40809.17</v>
      </c>
      <c r="F11" s="125"/>
      <c r="G11" s="110"/>
      <c r="H11" s="110"/>
      <c r="I11" s="110"/>
      <c r="J11" s="110"/>
      <c r="K11" s="110"/>
      <c r="L11" s="110"/>
    </row>
    <row r="12" spans="2:12" ht="15.75" x14ac:dyDescent="0.35">
      <c r="B12" s="641" t="s">
        <v>137</v>
      </c>
      <c r="C12" s="641"/>
      <c r="D12" s="641"/>
      <c r="E12" s="201">
        <v>21280.27</v>
      </c>
      <c r="F12" s="125"/>
      <c r="G12" s="110"/>
      <c r="H12" s="110"/>
      <c r="I12" s="110"/>
      <c r="J12" s="110"/>
      <c r="K12" s="110"/>
      <c r="L12" s="110"/>
    </row>
    <row r="13" spans="2:12" s="18" customFormat="1" ht="15" x14ac:dyDescent="0.25">
      <c r="B13" s="664" t="s">
        <v>106</v>
      </c>
      <c r="C13" s="664"/>
      <c r="D13" s="664"/>
      <c r="E13" s="299">
        <v>64643.16</v>
      </c>
      <c r="F13" s="126"/>
      <c r="G13" s="127"/>
      <c r="H13" s="127"/>
      <c r="I13" s="127"/>
      <c r="J13" s="127"/>
      <c r="K13" s="127"/>
      <c r="L13" s="127"/>
    </row>
    <row r="14" spans="2:12" s="18" customFormat="1" ht="15" x14ac:dyDescent="0.25">
      <c r="B14" s="300" t="s">
        <v>49</v>
      </c>
      <c r="C14" s="300"/>
      <c r="D14" s="300"/>
      <c r="E14" s="299">
        <v>217.18</v>
      </c>
      <c r="F14" s="126"/>
      <c r="G14" s="127"/>
      <c r="H14" s="127"/>
      <c r="I14" s="127"/>
      <c r="J14" s="127"/>
      <c r="K14" s="127"/>
      <c r="L14" s="127"/>
    </row>
    <row r="15" spans="2:12" s="18" customFormat="1" ht="13.5" customHeight="1" x14ac:dyDescent="0.25">
      <c r="B15" s="664" t="s">
        <v>139</v>
      </c>
      <c r="C15" s="664"/>
      <c r="D15" s="664"/>
      <c r="E15" s="299">
        <v>25214.880000000001</v>
      </c>
      <c r="F15" s="126"/>
      <c r="G15" s="127"/>
      <c r="H15" s="127"/>
      <c r="I15" s="127"/>
      <c r="J15" s="127"/>
      <c r="K15" s="127"/>
      <c r="L15" s="127"/>
    </row>
    <row r="16" spans="2:12" s="19" customFormat="1" ht="16.5" customHeight="1" x14ac:dyDescent="0.25">
      <c r="B16" s="649" t="s">
        <v>98</v>
      </c>
      <c r="C16" s="649"/>
      <c r="D16" s="649"/>
      <c r="E16" s="249">
        <f>SUM(E10:E15)</f>
        <v>167681.06</v>
      </c>
      <c r="F16" s="128"/>
      <c r="G16" s="124"/>
      <c r="H16" s="124"/>
      <c r="I16" s="124"/>
      <c r="J16" s="124"/>
      <c r="K16" s="124"/>
      <c r="L16" s="124"/>
    </row>
    <row r="17" spans="2:16" customFormat="1" ht="15" customHeight="1" x14ac:dyDescent="0.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2"/>
      <c r="M17" s="2"/>
      <c r="N17" s="2"/>
      <c r="O17" s="2"/>
    </row>
    <row r="18" spans="2:16" s="20" customFormat="1" ht="40.5" x14ac:dyDescent="0.25">
      <c r="B18" s="219" t="s">
        <v>52</v>
      </c>
      <c r="C18" s="663" t="s">
        <v>896</v>
      </c>
      <c r="D18" s="663"/>
      <c r="E18" s="663" t="s">
        <v>897</v>
      </c>
      <c r="F18" s="663"/>
      <c r="G18" s="310" t="s">
        <v>898</v>
      </c>
      <c r="H18" s="289" t="s">
        <v>899</v>
      </c>
      <c r="I18" s="291" t="s">
        <v>98</v>
      </c>
      <c r="J18" s="129"/>
      <c r="K18" s="129"/>
    </row>
    <row r="19" spans="2:16" s="20" customFormat="1" ht="15" x14ac:dyDescent="0.25">
      <c r="B19" s="294"/>
      <c r="C19" s="295" t="s">
        <v>322</v>
      </c>
      <c r="D19" s="295" t="s">
        <v>324</v>
      </c>
      <c r="E19" s="295" t="s">
        <v>331</v>
      </c>
      <c r="F19" s="295" t="s">
        <v>333</v>
      </c>
      <c r="G19" s="295" t="s">
        <v>326</v>
      </c>
      <c r="H19" s="295" t="s">
        <v>342</v>
      </c>
      <c r="I19" s="297"/>
      <c r="J19" s="129"/>
      <c r="K19" s="129"/>
    </row>
    <row r="20" spans="2:16" customFormat="1" ht="16.5" x14ac:dyDescent="0.35">
      <c r="B20" s="321" t="s">
        <v>53</v>
      </c>
      <c r="C20" s="202">
        <v>424340</v>
      </c>
      <c r="D20" s="202">
        <v>689390.23</v>
      </c>
      <c r="E20" s="202">
        <v>55919.46</v>
      </c>
      <c r="F20" s="202">
        <v>77889.83</v>
      </c>
      <c r="G20" s="202">
        <v>133524.38</v>
      </c>
      <c r="H20" s="202"/>
      <c r="I20" s="322">
        <f>C20+D20+E20+F20+G20+H20</f>
        <v>1381063.9</v>
      </c>
      <c r="J20" s="110"/>
      <c r="K20" s="110"/>
      <c r="L20" s="2"/>
      <c r="M20" s="2"/>
    </row>
    <row r="21" spans="2:16" customFormat="1" ht="16.5" x14ac:dyDescent="0.35">
      <c r="B21" s="321" t="s">
        <v>54</v>
      </c>
      <c r="C21" s="202">
        <v>148271.65</v>
      </c>
      <c r="D21" s="202">
        <v>247133.79</v>
      </c>
      <c r="E21" s="202">
        <v>19649.68</v>
      </c>
      <c r="F21" s="202">
        <v>27895.85</v>
      </c>
      <c r="G21" s="202">
        <v>49173.62</v>
      </c>
      <c r="H21" s="202"/>
      <c r="I21" s="322">
        <f t="shared" ref="I21:I30" si="0">C21+D21+E21+F21+G21+H21</f>
        <v>492124.58999999997</v>
      </c>
      <c r="J21" s="110"/>
      <c r="K21" s="110"/>
      <c r="L21" s="2"/>
      <c r="M21" s="2"/>
    </row>
    <row r="22" spans="2:16" customFormat="1" ht="16.5" x14ac:dyDescent="0.35">
      <c r="B22" s="321" t="s">
        <v>55</v>
      </c>
      <c r="C22" s="202">
        <f t="shared" ref="C22:G22" si="1">SUM(C23:C29)</f>
        <v>74265.350000000006</v>
      </c>
      <c r="D22" s="202">
        <f t="shared" si="1"/>
        <v>195192.60000000003</v>
      </c>
      <c r="E22" s="202">
        <f t="shared" si="1"/>
        <v>16464</v>
      </c>
      <c r="F22" s="202">
        <f t="shared" si="1"/>
        <v>133336.41</v>
      </c>
      <c r="G22" s="202">
        <f t="shared" si="1"/>
        <v>20311</v>
      </c>
      <c r="H22" s="202"/>
      <c r="I22" s="322">
        <f t="shared" si="0"/>
        <v>439569.3600000001</v>
      </c>
      <c r="J22" s="110"/>
      <c r="K22" s="110"/>
      <c r="L22" s="2"/>
      <c r="M22" s="2"/>
    </row>
    <row r="23" spans="2:16" customFormat="1" ht="16.5" x14ac:dyDescent="0.35">
      <c r="B23" s="220" t="s">
        <v>66</v>
      </c>
      <c r="C23" s="201">
        <v>4</v>
      </c>
      <c r="D23" s="201">
        <v>6.4</v>
      </c>
      <c r="E23" s="201">
        <v>0</v>
      </c>
      <c r="F23" s="201">
        <v>0</v>
      </c>
      <c r="G23" s="201">
        <v>0</v>
      </c>
      <c r="H23" s="201"/>
      <c r="I23" s="254">
        <f t="shared" si="0"/>
        <v>10.4</v>
      </c>
      <c r="J23" s="110"/>
      <c r="K23" s="110"/>
      <c r="L23" s="2"/>
      <c r="M23" s="2"/>
    </row>
    <row r="24" spans="2:16" customFormat="1" ht="16.5" x14ac:dyDescent="0.35">
      <c r="B24" s="220" t="s">
        <v>56</v>
      </c>
      <c r="C24" s="201">
        <v>15953.26</v>
      </c>
      <c r="D24" s="201">
        <v>61375.9</v>
      </c>
      <c r="E24" s="201">
        <v>7378.98</v>
      </c>
      <c r="F24" s="201">
        <v>11070</v>
      </c>
      <c r="G24" s="201">
        <v>9820</v>
      </c>
      <c r="H24" s="201"/>
      <c r="I24" s="254">
        <f t="shared" si="0"/>
        <v>105598.14</v>
      </c>
      <c r="J24" s="110"/>
      <c r="K24" s="110"/>
      <c r="L24" s="2"/>
      <c r="M24" s="2"/>
    </row>
    <row r="25" spans="2:16" customFormat="1" ht="16.5" x14ac:dyDescent="0.35">
      <c r="B25" s="220" t="s">
        <v>57</v>
      </c>
      <c r="C25" s="201">
        <v>27015.38</v>
      </c>
      <c r="D25" s="201">
        <v>69373.94</v>
      </c>
      <c r="E25" s="201">
        <v>3970</v>
      </c>
      <c r="F25" s="201">
        <v>94081.19</v>
      </c>
      <c r="G25" s="201">
        <v>6711</v>
      </c>
      <c r="H25" s="201"/>
      <c r="I25" s="254">
        <f t="shared" si="0"/>
        <v>201151.51</v>
      </c>
      <c r="J25" s="110"/>
      <c r="K25" s="110"/>
      <c r="L25" s="2"/>
      <c r="M25" s="2"/>
    </row>
    <row r="26" spans="2:16" s="44" customFormat="1" ht="16.5" x14ac:dyDescent="0.35">
      <c r="B26" s="220" t="s">
        <v>58</v>
      </c>
      <c r="C26" s="201">
        <v>0</v>
      </c>
      <c r="D26" s="201">
        <v>1550.4</v>
      </c>
      <c r="E26" s="201">
        <v>0</v>
      </c>
      <c r="F26" s="201">
        <v>0</v>
      </c>
      <c r="G26" s="201">
        <v>0</v>
      </c>
      <c r="H26" s="201"/>
      <c r="I26" s="254">
        <f t="shared" si="0"/>
        <v>1550.4</v>
      </c>
      <c r="J26" s="110"/>
      <c r="K26" s="110"/>
      <c r="L26" s="45"/>
      <c r="M26" s="45"/>
    </row>
    <row r="27" spans="2:16" customFormat="1" ht="16.5" x14ac:dyDescent="0.35">
      <c r="B27" s="220" t="s">
        <v>59</v>
      </c>
      <c r="C27" s="201">
        <v>6686.24</v>
      </c>
      <c r="D27" s="201">
        <v>18112.14</v>
      </c>
      <c r="E27" s="201">
        <v>2500</v>
      </c>
      <c r="F27" s="201">
        <v>3330</v>
      </c>
      <c r="G27" s="201">
        <v>0</v>
      </c>
      <c r="H27" s="201"/>
      <c r="I27" s="254">
        <f t="shared" si="0"/>
        <v>30628.379999999997</v>
      </c>
      <c r="J27" s="110"/>
      <c r="K27" s="110"/>
      <c r="L27" s="2"/>
      <c r="M27" s="2"/>
    </row>
    <row r="28" spans="2:16" customFormat="1" ht="16.5" x14ac:dyDescent="0.35">
      <c r="B28" s="220" t="s">
        <v>60</v>
      </c>
      <c r="C28" s="201">
        <v>550.91</v>
      </c>
      <c r="D28" s="201">
        <v>1815.46</v>
      </c>
      <c r="E28" s="201">
        <v>0</v>
      </c>
      <c r="F28" s="201">
        <v>0</v>
      </c>
      <c r="G28" s="201">
        <v>0</v>
      </c>
      <c r="H28" s="201"/>
      <c r="I28" s="254">
        <f t="shared" si="0"/>
        <v>2366.37</v>
      </c>
      <c r="J28" s="110"/>
      <c r="K28" s="110"/>
      <c r="L28" s="2"/>
      <c r="M28" s="2"/>
    </row>
    <row r="29" spans="2:16" customFormat="1" ht="16.5" x14ac:dyDescent="0.35">
      <c r="B29" s="220" t="s">
        <v>61</v>
      </c>
      <c r="C29" s="201">
        <v>24055.56</v>
      </c>
      <c r="D29" s="201">
        <v>42958.36</v>
      </c>
      <c r="E29" s="201">
        <v>2615.02</v>
      </c>
      <c r="F29" s="201">
        <v>24855.22</v>
      </c>
      <c r="G29" s="201">
        <v>3780</v>
      </c>
      <c r="H29" s="201"/>
      <c r="I29" s="254">
        <f t="shared" si="0"/>
        <v>98264.16</v>
      </c>
      <c r="J29" s="110"/>
      <c r="K29" s="110"/>
      <c r="L29" s="2"/>
      <c r="M29" s="2"/>
    </row>
    <row r="30" spans="2:16" customFormat="1" ht="16.5" x14ac:dyDescent="0.35">
      <c r="B30" s="321" t="s">
        <v>62</v>
      </c>
      <c r="C30" s="202">
        <v>3740</v>
      </c>
      <c r="D30" s="202">
        <v>4460</v>
      </c>
      <c r="E30" s="202">
        <v>1908</v>
      </c>
      <c r="F30" s="202">
        <v>583.36</v>
      </c>
      <c r="G30" s="202">
        <v>288.70999999999998</v>
      </c>
      <c r="H30" s="202">
        <v>49.8</v>
      </c>
      <c r="I30" s="322">
        <f t="shared" si="0"/>
        <v>11029.869999999999</v>
      </c>
      <c r="J30" s="110"/>
      <c r="K30" s="110"/>
      <c r="L30" s="2"/>
      <c r="M30" s="2"/>
    </row>
    <row r="31" spans="2:16" customFormat="1" ht="18.75" customHeight="1" x14ac:dyDescent="0.3">
      <c r="B31" s="248" t="s">
        <v>98</v>
      </c>
      <c r="C31" s="249">
        <f>C20+C21+C22+C30</f>
        <v>650617</v>
      </c>
      <c r="D31" s="249">
        <f>D20+D21+D22+D30</f>
        <v>1136176.6200000001</v>
      </c>
      <c r="E31" s="249">
        <f>E20+E21+E22+E30</f>
        <v>93941.14</v>
      </c>
      <c r="F31" s="249">
        <f t="shared" ref="F31:H31" si="2">F20+F21+F22+F30</f>
        <v>239705.44999999998</v>
      </c>
      <c r="G31" s="249">
        <f t="shared" si="2"/>
        <v>203297.71</v>
      </c>
      <c r="H31" s="249">
        <f t="shared" si="2"/>
        <v>49.8</v>
      </c>
      <c r="I31" s="301">
        <f>C31+D31+E31+F31+G31+H31</f>
        <v>2323787.7199999997</v>
      </c>
      <c r="J31" s="110"/>
      <c r="K31" s="110"/>
      <c r="L31" s="2"/>
      <c r="M31" s="2"/>
    </row>
    <row r="32" spans="2:16" customFormat="1" ht="18.75" customHeight="1" x14ac:dyDescent="0.3">
      <c r="B32" s="110"/>
      <c r="C32" s="110"/>
      <c r="D32" s="110"/>
      <c r="E32" s="110"/>
      <c r="F32" s="110"/>
      <c r="G32" s="110"/>
      <c r="H32" s="111"/>
      <c r="I32" s="110"/>
      <c r="J32" s="110"/>
      <c r="K32" s="110"/>
      <c r="L32" s="110"/>
      <c r="M32" s="2"/>
      <c r="N32" s="2"/>
      <c r="O32" s="2"/>
      <c r="P32" s="2"/>
    </row>
    <row r="33" spans="2:16" s="68" customFormat="1" ht="18.75" customHeight="1" x14ac:dyDescent="0.3">
      <c r="B33" s="110"/>
      <c r="C33" s="110"/>
      <c r="D33" s="110"/>
      <c r="E33" s="110"/>
      <c r="F33" s="110"/>
      <c r="G33" s="110"/>
      <c r="H33" s="111"/>
      <c r="I33" s="110"/>
      <c r="J33" s="110"/>
      <c r="K33" s="110"/>
      <c r="L33" s="110"/>
      <c r="M33" s="46"/>
      <c r="N33" s="46"/>
      <c r="O33" s="46"/>
      <c r="P33" s="46"/>
    </row>
    <row r="34" spans="2:16" s="68" customFormat="1" ht="18.75" customHeight="1" x14ac:dyDescent="0.3">
      <c r="B34" s="110"/>
      <c r="C34" s="110"/>
      <c r="D34" s="110"/>
      <c r="E34" s="110"/>
      <c r="F34" s="110"/>
      <c r="G34" s="110"/>
      <c r="H34" s="111"/>
      <c r="I34" s="110"/>
      <c r="J34" s="110"/>
      <c r="K34" s="110"/>
      <c r="L34" s="110"/>
      <c r="M34" s="46"/>
      <c r="N34" s="46"/>
      <c r="O34" s="46"/>
      <c r="P34" s="46"/>
    </row>
    <row r="35" spans="2:16" customFormat="1" ht="18.75" x14ac:dyDescent="0.3">
      <c r="B35" s="122" t="s">
        <v>140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2"/>
      <c r="N35" s="2"/>
      <c r="O35" s="2"/>
      <c r="P35" s="2"/>
    </row>
    <row r="36" spans="2:16" customFormat="1" ht="15.75" x14ac:dyDescent="0.3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2"/>
      <c r="N36" s="2"/>
      <c r="O36" s="2"/>
      <c r="P36" s="2"/>
    </row>
    <row r="37" spans="2:16" s="19" customFormat="1" ht="16.5" customHeight="1" x14ac:dyDescent="0.25">
      <c r="B37" s="651" t="s">
        <v>102</v>
      </c>
      <c r="C37" s="651"/>
      <c r="D37" s="651"/>
      <c r="E37" s="651"/>
      <c r="F37" s="123"/>
      <c r="G37" s="124"/>
      <c r="H37" s="124"/>
      <c r="I37" s="124"/>
      <c r="J37" s="124"/>
      <c r="K37" s="124"/>
      <c r="L37" s="124"/>
    </row>
    <row r="38" spans="2:16" customFormat="1" ht="16.5" x14ac:dyDescent="0.35">
      <c r="B38" s="641" t="s">
        <v>135</v>
      </c>
      <c r="C38" s="641"/>
      <c r="D38" s="641"/>
      <c r="E38" s="201">
        <v>965.48</v>
      </c>
      <c r="F38" s="125"/>
      <c r="G38" s="110"/>
      <c r="H38" s="110"/>
      <c r="I38" s="110"/>
      <c r="J38" s="110"/>
      <c r="K38" s="110"/>
      <c r="L38" s="110"/>
      <c r="M38" s="2"/>
      <c r="N38" s="2"/>
      <c r="O38" s="2"/>
      <c r="P38" s="2"/>
    </row>
    <row r="39" spans="2:16" customFormat="1" ht="16.5" x14ac:dyDescent="0.35">
      <c r="B39" s="641" t="s">
        <v>136</v>
      </c>
      <c r="C39" s="641"/>
      <c r="D39" s="641"/>
      <c r="E39" s="201">
        <v>21478.1</v>
      </c>
      <c r="F39" s="125"/>
      <c r="G39" s="110"/>
      <c r="H39" s="110"/>
      <c r="I39" s="110"/>
      <c r="J39" s="110"/>
      <c r="K39" s="110"/>
      <c r="L39" s="110"/>
      <c r="M39" s="2"/>
      <c r="N39" s="2"/>
      <c r="O39" s="2"/>
      <c r="P39" s="2"/>
    </row>
    <row r="40" spans="2:16" customFormat="1" ht="16.5" x14ac:dyDescent="0.35">
      <c r="B40" s="641" t="s">
        <v>137</v>
      </c>
      <c r="C40" s="641"/>
      <c r="D40" s="641"/>
      <c r="E40" s="201">
        <v>17151.419999999998</v>
      </c>
      <c r="F40" s="125"/>
      <c r="G40" s="110"/>
      <c r="H40" s="110"/>
      <c r="I40" s="110"/>
      <c r="J40" s="110"/>
      <c r="K40" s="110"/>
      <c r="L40" s="110"/>
      <c r="M40" s="2"/>
      <c r="N40" s="2"/>
      <c r="O40" s="2"/>
      <c r="P40" s="2"/>
    </row>
    <row r="41" spans="2:16" customFormat="1" ht="16.5" x14ac:dyDescent="0.35">
      <c r="B41" s="641" t="s">
        <v>106</v>
      </c>
      <c r="C41" s="641"/>
      <c r="D41" s="641"/>
      <c r="E41" s="201">
        <v>48098.85</v>
      </c>
      <c r="F41" s="125"/>
      <c r="G41" s="110"/>
      <c r="H41" s="110"/>
      <c r="I41" s="110"/>
      <c r="J41" s="110"/>
      <c r="K41" s="110"/>
      <c r="L41" s="110"/>
      <c r="M41" s="2"/>
      <c r="N41" s="2"/>
      <c r="O41" s="2"/>
      <c r="P41" s="2"/>
    </row>
    <row r="42" spans="2:16" s="103" customFormat="1" ht="16.5" x14ac:dyDescent="0.35">
      <c r="B42" s="213" t="s">
        <v>49</v>
      </c>
      <c r="C42" s="213"/>
      <c r="D42" s="213"/>
      <c r="E42" s="201">
        <v>1901.34</v>
      </c>
      <c r="F42" s="125"/>
      <c r="G42" s="110"/>
      <c r="H42" s="110"/>
      <c r="I42" s="110"/>
      <c r="J42" s="110"/>
      <c r="K42" s="110"/>
      <c r="L42" s="110"/>
      <c r="M42" s="46"/>
      <c r="N42" s="46"/>
      <c r="O42" s="46"/>
      <c r="P42" s="46"/>
    </row>
    <row r="43" spans="2:16" s="103" customFormat="1" ht="16.5" x14ac:dyDescent="0.35">
      <c r="B43" s="213" t="s">
        <v>673</v>
      </c>
      <c r="C43" s="213"/>
      <c r="D43" s="213"/>
      <c r="E43" s="201">
        <v>4945.33</v>
      </c>
      <c r="F43" s="125"/>
      <c r="G43" s="110"/>
      <c r="H43" s="110"/>
      <c r="I43" s="110"/>
      <c r="J43" s="110"/>
      <c r="K43" s="110"/>
      <c r="L43" s="110"/>
      <c r="M43" s="46"/>
      <c r="N43" s="46"/>
      <c r="O43" s="46"/>
      <c r="P43" s="46"/>
    </row>
    <row r="44" spans="2:16" s="18" customFormat="1" ht="15" x14ac:dyDescent="0.25">
      <c r="B44" s="220" t="s">
        <v>138</v>
      </c>
      <c r="C44" s="220"/>
      <c r="D44" s="220"/>
      <c r="E44" s="299">
        <v>612.55999999999995</v>
      </c>
      <c r="F44" s="126"/>
      <c r="G44" s="127"/>
      <c r="H44" s="127"/>
      <c r="I44" s="127"/>
      <c r="J44" s="127"/>
      <c r="K44" s="127"/>
      <c r="L44" s="127"/>
    </row>
    <row r="45" spans="2:16" s="18" customFormat="1" ht="12.75" customHeight="1" x14ac:dyDescent="0.25">
      <c r="B45" s="664" t="s">
        <v>139</v>
      </c>
      <c r="C45" s="664"/>
      <c r="D45" s="664"/>
      <c r="E45" s="299">
        <v>7115.5</v>
      </c>
      <c r="F45" s="126"/>
      <c r="G45" s="127"/>
      <c r="H45" s="127"/>
      <c r="I45" s="127"/>
      <c r="J45" s="127"/>
      <c r="K45" s="127"/>
      <c r="L45" s="127"/>
    </row>
    <row r="46" spans="2:16" s="19" customFormat="1" ht="18.75" customHeight="1" x14ac:dyDescent="0.25">
      <c r="B46" s="649" t="s">
        <v>98</v>
      </c>
      <c r="C46" s="649"/>
      <c r="D46" s="649"/>
      <c r="E46" s="249">
        <f>SUM(E38:E45)</f>
        <v>102268.58</v>
      </c>
      <c r="F46" s="128"/>
      <c r="G46" s="124"/>
      <c r="H46" s="124"/>
      <c r="I46" s="124"/>
      <c r="J46" s="124"/>
      <c r="K46" s="124"/>
      <c r="L46" s="124"/>
    </row>
    <row r="47" spans="2:16" customFormat="1" ht="15.75" x14ac:dyDescent="0.3"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2"/>
      <c r="N47" s="2"/>
      <c r="O47" s="2"/>
      <c r="P47" s="2"/>
    </row>
    <row r="48" spans="2:16" s="20" customFormat="1" ht="40.5" x14ac:dyDescent="0.25">
      <c r="B48" s="219" t="s">
        <v>52</v>
      </c>
      <c r="C48" s="663" t="s">
        <v>896</v>
      </c>
      <c r="D48" s="663"/>
      <c r="E48" s="663" t="s">
        <v>897</v>
      </c>
      <c r="F48" s="663"/>
      <c r="G48" s="310" t="s">
        <v>898</v>
      </c>
      <c r="H48" s="289" t="s">
        <v>899</v>
      </c>
      <c r="I48" s="291" t="s">
        <v>98</v>
      </c>
      <c r="J48" s="129"/>
      <c r="K48" s="129"/>
    </row>
    <row r="49" spans="2:16" s="20" customFormat="1" ht="15" x14ac:dyDescent="0.25">
      <c r="B49" s="294"/>
      <c r="C49" s="295" t="s">
        <v>322</v>
      </c>
      <c r="D49" s="295" t="s">
        <v>324</v>
      </c>
      <c r="E49" s="295" t="s">
        <v>331</v>
      </c>
      <c r="F49" s="295" t="s">
        <v>333</v>
      </c>
      <c r="G49" s="295" t="s">
        <v>326</v>
      </c>
      <c r="H49" s="295" t="s">
        <v>342</v>
      </c>
      <c r="I49" s="297"/>
      <c r="J49" s="129"/>
      <c r="K49" s="129"/>
    </row>
    <row r="50" spans="2:16" customFormat="1" ht="16.5" x14ac:dyDescent="0.35">
      <c r="B50" s="321" t="s">
        <v>53</v>
      </c>
      <c r="C50" s="202">
        <v>309844</v>
      </c>
      <c r="D50" s="202">
        <v>437853.96</v>
      </c>
      <c r="E50" s="202">
        <v>28326.02</v>
      </c>
      <c r="F50" s="202">
        <v>28326.01</v>
      </c>
      <c r="G50" s="202">
        <v>86000</v>
      </c>
      <c r="H50" s="202"/>
      <c r="I50" s="322">
        <f>C50+D50+E50+F50+G50+H50</f>
        <v>890349.99</v>
      </c>
      <c r="J50" s="110"/>
      <c r="K50" s="110"/>
      <c r="L50" s="2"/>
      <c r="M50" s="2"/>
    </row>
    <row r="51" spans="2:16" customFormat="1" ht="16.5" x14ac:dyDescent="0.35">
      <c r="B51" s="321" t="s">
        <v>54</v>
      </c>
      <c r="C51" s="202">
        <v>111884</v>
      </c>
      <c r="D51" s="202">
        <v>156667.51</v>
      </c>
      <c r="E51" s="202">
        <v>9976.61</v>
      </c>
      <c r="F51" s="202">
        <v>9976.6299999999992</v>
      </c>
      <c r="G51" s="202">
        <v>29795.43</v>
      </c>
      <c r="H51" s="202"/>
      <c r="I51" s="322">
        <f t="shared" ref="I51:I63" si="3">C51+D51+E51+F51+G51+H51</f>
        <v>318300.18</v>
      </c>
      <c r="J51" s="110"/>
      <c r="K51" s="110"/>
      <c r="L51" s="2"/>
      <c r="M51" s="2"/>
    </row>
    <row r="52" spans="2:16" customFormat="1" ht="16.5" x14ac:dyDescent="0.35">
      <c r="B52" s="321" t="s">
        <v>55</v>
      </c>
      <c r="C52" s="202">
        <f t="shared" ref="C52:H52" si="4">SUM(C53:C59)</f>
        <v>78196</v>
      </c>
      <c r="D52" s="202">
        <f t="shared" si="4"/>
        <v>124883.77</v>
      </c>
      <c r="E52" s="202">
        <f t="shared" si="4"/>
        <v>64569.89</v>
      </c>
      <c r="F52" s="202">
        <f t="shared" si="4"/>
        <v>68140.260000000009</v>
      </c>
      <c r="G52" s="202">
        <f t="shared" si="4"/>
        <v>18750</v>
      </c>
      <c r="H52" s="202">
        <f t="shared" si="4"/>
        <v>33.200000000000003</v>
      </c>
      <c r="I52" s="322">
        <f t="shared" si="3"/>
        <v>354573.12000000005</v>
      </c>
      <c r="J52" s="110"/>
      <c r="K52" s="110"/>
      <c r="L52" s="2"/>
      <c r="M52" s="2"/>
    </row>
    <row r="53" spans="2:16" customFormat="1" ht="16.5" x14ac:dyDescent="0.35">
      <c r="B53" s="220" t="s">
        <v>66</v>
      </c>
      <c r="C53" s="201">
        <v>12.1</v>
      </c>
      <c r="D53" s="201">
        <v>12.1</v>
      </c>
      <c r="E53" s="201">
        <v>0</v>
      </c>
      <c r="F53" s="201">
        <v>0</v>
      </c>
      <c r="G53" s="201">
        <v>0</v>
      </c>
      <c r="H53" s="201"/>
      <c r="I53" s="254">
        <f t="shared" si="3"/>
        <v>24.2</v>
      </c>
      <c r="J53" s="110"/>
      <c r="K53" s="110"/>
      <c r="L53" s="2"/>
      <c r="M53" s="2"/>
    </row>
    <row r="54" spans="2:16" customFormat="1" ht="16.5" x14ac:dyDescent="0.35">
      <c r="B54" s="220" t="s">
        <v>56</v>
      </c>
      <c r="C54" s="201">
        <v>9800</v>
      </c>
      <c r="D54" s="201">
        <v>19651.29</v>
      </c>
      <c r="E54" s="201">
        <v>14700</v>
      </c>
      <c r="F54" s="201">
        <v>14700</v>
      </c>
      <c r="G54" s="201">
        <v>2100</v>
      </c>
      <c r="H54" s="201"/>
      <c r="I54" s="254">
        <f t="shared" si="3"/>
        <v>60951.29</v>
      </c>
      <c r="J54" s="110"/>
      <c r="K54" s="110"/>
      <c r="L54" s="2"/>
      <c r="M54" s="2"/>
    </row>
    <row r="55" spans="2:16" customFormat="1" ht="16.5" x14ac:dyDescent="0.35">
      <c r="B55" s="220" t="s">
        <v>57</v>
      </c>
      <c r="C55" s="201">
        <v>26846</v>
      </c>
      <c r="D55" s="201">
        <v>30030</v>
      </c>
      <c r="E55" s="201">
        <v>39718.99</v>
      </c>
      <c r="F55" s="201">
        <v>43289.26</v>
      </c>
      <c r="G55" s="201">
        <v>430</v>
      </c>
      <c r="H55" s="201">
        <v>33.200000000000003</v>
      </c>
      <c r="I55" s="254">
        <f t="shared" si="3"/>
        <v>140347.45000000001</v>
      </c>
      <c r="J55" s="110"/>
      <c r="K55" s="110"/>
      <c r="L55" s="2"/>
      <c r="M55" s="2"/>
    </row>
    <row r="56" spans="2:16" customFormat="1" ht="16.5" x14ac:dyDescent="0.35">
      <c r="B56" s="220" t="s">
        <v>58</v>
      </c>
      <c r="C56" s="201">
        <v>408</v>
      </c>
      <c r="D56" s="201">
        <v>0</v>
      </c>
      <c r="E56" s="201">
        <v>0</v>
      </c>
      <c r="F56" s="201">
        <v>0</v>
      </c>
      <c r="G56" s="201">
        <v>0</v>
      </c>
      <c r="H56" s="201"/>
      <c r="I56" s="254">
        <f t="shared" si="3"/>
        <v>408</v>
      </c>
      <c r="J56" s="110"/>
      <c r="K56" s="110"/>
      <c r="L56" s="2"/>
      <c r="M56" s="2"/>
    </row>
    <row r="57" spans="2:16" customFormat="1" ht="16.5" x14ac:dyDescent="0.35">
      <c r="B57" s="220" t="s">
        <v>59</v>
      </c>
      <c r="C57" s="201">
        <v>10915</v>
      </c>
      <c r="D57" s="201">
        <v>10915</v>
      </c>
      <c r="E57" s="201">
        <v>5240.8999999999996</v>
      </c>
      <c r="F57" s="201">
        <v>5240.8999999999996</v>
      </c>
      <c r="G57" s="201">
        <v>3120</v>
      </c>
      <c r="H57" s="201"/>
      <c r="I57" s="254">
        <f t="shared" si="3"/>
        <v>35431.800000000003</v>
      </c>
      <c r="J57" s="110"/>
      <c r="K57" s="110"/>
      <c r="L57" s="2"/>
      <c r="M57" s="2"/>
    </row>
    <row r="58" spans="2:16" customFormat="1" ht="16.5" x14ac:dyDescent="0.35">
      <c r="B58" s="220" t="s">
        <v>60</v>
      </c>
      <c r="C58" s="201">
        <v>339.9</v>
      </c>
      <c r="D58" s="201">
        <v>339.9</v>
      </c>
      <c r="E58" s="201">
        <v>0</v>
      </c>
      <c r="F58" s="201">
        <v>0</v>
      </c>
      <c r="G58" s="201">
        <v>0</v>
      </c>
      <c r="H58" s="201"/>
      <c r="I58" s="254">
        <f t="shared" si="3"/>
        <v>679.8</v>
      </c>
      <c r="J58" s="110"/>
      <c r="K58" s="110"/>
      <c r="L58" s="2"/>
      <c r="M58" s="2"/>
    </row>
    <row r="59" spans="2:16" customFormat="1" ht="16.5" x14ac:dyDescent="0.35">
      <c r="B59" s="220" t="s">
        <v>61</v>
      </c>
      <c r="C59" s="201">
        <v>29875</v>
      </c>
      <c r="D59" s="201">
        <v>63935.48</v>
      </c>
      <c r="E59" s="201">
        <v>4910</v>
      </c>
      <c r="F59" s="201">
        <v>4910.1000000000004</v>
      </c>
      <c r="G59" s="201">
        <v>13100</v>
      </c>
      <c r="H59" s="201"/>
      <c r="I59" s="254">
        <f t="shared" si="3"/>
        <v>116730.58000000002</v>
      </c>
      <c r="J59" s="110"/>
      <c r="K59" s="110"/>
      <c r="L59" s="2"/>
      <c r="M59" s="2"/>
    </row>
    <row r="60" spans="2:16" customFormat="1" ht="16.5" x14ac:dyDescent="0.35">
      <c r="B60" s="321" t="s">
        <v>62</v>
      </c>
      <c r="C60" s="202">
        <v>2609.9</v>
      </c>
      <c r="D60" s="202">
        <v>2500</v>
      </c>
      <c r="E60" s="202">
        <v>665.33</v>
      </c>
      <c r="F60" s="202">
        <v>858.03</v>
      </c>
      <c r="G60" s="202">
        <v>851.37</v>
      </c>
      <c r="H60" s="202"/>
      <c r="I60" s="322">
        <f t="shared" si="3"/>
        <v>7484.6299999999992</v>
      </c>
      <c r="J60" s="110"/>
      <c r="K60" s="110"/>
      <c r="L60" s="2"/>
      <c r="M60" s="2"/>
    </row>
    <row r="61" spans="2:16" s="103" customFormat="1" ht="16.5" x14ac:dyDescent="0.35">
      <c r="B61" s="321" t="s">
        <v>674</v>
      </c>
      <c r="C61" s="202"/>
      <c r="D61" s="202">
        <v>4893.3</v>
      </c>
      <c r="E61" s="202"/>
      <c r="F61" s="202">
        <v>1940</v>
      </c>
      <c r="G61" s="202"/>
      <c r="H61" s="202"/>
      <c r="I61" s="322">
        <f t="shared" si="3"/>
        <v>6833.3</v>
      </c>
      <c r="J61" s="110"/>
      <c r="K61" s="110"/>
      <c r="L61" s="46"/>
      <c r="M61" s="46"/>
    </row>
    <row r="62" spans="2:16" s="69" customFormat="1" ht="15" x14ac:dyDescent="0.25">
      <c r="B62" s="321" t="s">
        <v>901</v>
      </c>
      <c r="C62" s="323"/>
      <c r="D62" s="323"/>
      <c r="E62" s="323"/>
      <c r="F62" s="323">
        <v>2650</v>
      </c>
      <c r="G62" s="323"/>
      <c r="H62" s="323"/>
      <c r="I62" s="324">
        <f t="shared" si="3"/>
        <v>2650</v>
      </c>
      <c r="J62" s="124"/>
      <c r="K62" s="124"/>
      <c r="L62" s="19"/>
      <c r="M62" s="19"/>
    </row>
    <row r="63" spans="2:16" customFormat="1" ht="22.5" customHeight="1" x14ac:dyDescent="0.3">
      <c r="B63" s="248" t="s">
        <v>98</v>
      </c>
      <c r="C63" s="249">
        <f>C50+C51+C52+C60+C62+C61</f>
        <v>502533.9</v>
      </c>
      <c r="D63" s="249">
        <f>D50+D51+D52+D60+D62+D61</f>
        <v>726798.54</v>
      </c>
      <c r="E63" s="249">
        <f t="shared" ref="E63:H63" si="5">E50+E51+E52+E60+E62+E61</f>
        <v>103537.85</v>
      </c>
      <c r="F63" s="249">
        <f t="shared" si="5"/>
        <v>111890.93000000001</v>
      </c>
      <c r="G63" s="249">
        <f t="shared" si="5"/>
        <v>135396.79999999999</v>
      </c>
      <c r="H63" s="249">
        <f t="shared" si="5"/>
        <v>33.200000000000003</v>
      </c>
      <c r="I63" s="301">
        <f t="shared" si="3"/>
        <v>1580191.22</v>
      </c>
      <c r="J63" s="110"/>
      <c r="K63" s="130"/>
      <c r="L63" s="2"/>
      <c r="M63" s="2"/>
    </row>
    <row r="64" spans="2:16" customFormat="1" ht="15.75" x14ac:dyDescent="0.3"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2"/>
      <c r="N64" s="2"/>
      <c r="O64" s="2"/>
      <c r="P64" s="2"/>
    </row>
    <row r="65" spans="2:16" customFormat="1" ht="15.75" x14ac:dyDescent="0.3"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2"/>
      <c r="N65" s="2"/>
      <c r="O65" s="2"/>
      <c r="P65" s="2"/>
    </row>
    <row r="66" spans="2:16" s="50" customFormat="1" ht="15.75" x14ac:dyDescent="0.3"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46"/>
      <c r="N66" s="46"/>
      <c r="O66" s="46"/>
      <c r="P66" s="46"/>
    </row>
    <row r="67" spans="2:16" s="50" customFormat="1" ht="15.75" x14ac:dyDescent="0.3"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46"/>
      <c r="N67" s="46"/>
      <c r="O67" s="46"/>
      <c r="P67" s="46"/>
    </row>
    <row r="68" spans="2:16" customFormat="1" ht="18.75" x14ac:dyDescent="0.3">
      <c r="B68" s="122" t="s">
        <v>141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2"/>
      <c r="N68" s="2"/>
      <c r="O68" s="2"/>
      <c r="P68" s="2"/>
    </row>
    <row r="69" spans="2:16" customFormat="1" ht="15.75" x14ac:dyDescent="0.3"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2"/>
      <c r="N69" s="2"/>
      <c r="O69" s="2"/>
      <c r="P69" s="2"/>
    </row>
    <row r="70" spans="2:16" s="19" customFormat="1" ht="17.25" customHeight="1" x14ac:dyDescent="0.25">
      <c r="B70" s="651" t="s">
        <v>102</v>
      </c>
      <c r="C70" s="651"/>
      <c r="D70" s="651"/>
      <c r="E70" s="651"/>
      <c r="F70" s="123"/>
      <c r="G70" s="124"/>
      <c r="H70" s="124"/>
      <c r="I70" s="124"/>
      <c r="J70" s="124"/>
      <c r="K70" s="124"/>
      <c r="L70" s="124"/>
    </row>
    <row r="71" spans="2:16" customFormat="1" ht="16.5" x14ac:dyDescent="0.35">
      <c r="B71" s="641" t="s">
        <v>135</v>
      </c>
      <c r="C71" s="641"/>
      <c r="D71" s="641"/>
      <c r="E71" s="201">
        <v>3397.4</v>
      </c>
      <c r="F71" s="125"/>
      <c r="G71" s="110"/>
      <c r="H71" s="110"/>
      <c r="I71" s="110"/>
      <c r="J71" s="110"/>
      <c r="K71" s="110"/>
      <c r="L71" s="110"/>
      <c r="M71" s="2"/>
      <c r="N71" s="2"/>
      <c r="O71" s="2"/>
      <c r="P71" s="2"/>
    </row>
    <row r="72" spans="2:16" customFormat="1" ht="16.5" x14ac:dyDescent="0.35">
      <c r="B72" s="641" t="s">
        <v>136</v>
      </c>
      <c r="C72" s="641"/>
      <c r="D72" s="641"/>
      <c r="E72" s="201">
        <v>32244.799999999999</v>
      </c>
      <c r="F72" s="125"/>
      <c r="G72" s="110"/>
      <c r="H72" s="110"/>
      <c r="I72" s="110"/>
      <c r="J72" s="110"/>
      <c r="K72" s="110"/>
      <c r="L72" s="110"/>
      <c r="M72" s="2"/>
      <c r="N72" s="2"/>
      <c r="O72" s="2"/>
      <c r="P72" s="2"/>
    </row>
    <row r="73" spans="2:16" customFormat="1" ht="16.5" x14ac:dyDescent="0.35">
      <c r="B73" s="641" t="s">
        <v>137</v>
      </c>
      <c r="C73" s="641"/>
      <c r="D73" s="641"/>
      <c r="E73" s="201">
        <v>13596.4</v>
      </c>
      <c r="F73" s="125"/>
      <c r="G73" s="110"/>
      <c r="H73" s="110"/>
      <c r="I73" s="110"/>
      <c r="J73" s="110"/>
      <c r="K73" s="110"/>
      <c r="L73" s="110"/>
      <c r="M73" s="2"/>
      <c r="N73" s="2"/>
      <c r="O73" s="2"/>
      <c r="P73" s="2"/>
    </row>
    <row r="74" spans="2:16" s="18" customFormat="1" ht="15" x14ac:dyDescent="0.25">
      <c r="B74" s="664" t="s">
        <v>106</v>
      </c>
      <c r="C74" s="664"/>
      <c r="D74" s="664"/>
      <c r="E74" s="299">
        <v>64334.82</v>
      </c>
      <c r="F74" s="126"/>
      <c r="G74" s="127"/>
      <c r="H74" s="127"/>
      <c r="I74" s="127"/>
      <c r="J74" s="127"/>
      <c r="K74" s="127"/>
      <c r="L74" s="127"/>
    </row>
    <row r="75" spans="2:16" s="18" customFormat="1" ht="15" x14ac:dyDescent="0.25">
      <c r="B75" s="300" t="s">
        <v>473</v>
      </c>
      <c r="C75" s="300"/>
      <c r="D75" s="300"/>
      <c r="E75" s="299">
        <v>491.43</v>
      </c>
      <c r="F75" s="126"/>
      <c r="G75" s="127"/>
      <c r="H75" s="127"/>
      <c r="I75" s="127"/>
      <c r="J75" s="127"/>
      <c r="K75" s="127"/>
      <c r="L75" s="127"/>
    </row>
    <row r="76" spans="2:16" s="18" customFormat="1" ht="15" x14ac:dyDescent="0.25">
      <c r="B76" s="300" t="s">
        <v>138</v>
      </c>
      <c r="C76" s="300"/>
      <c r="D76" s="300"/>
      <c r="E76" s="299">
        <v>514.91</v>
      </c>
      <c r="F76" s="126"/>
      <c r="G76" s="127"/>
      <c r="H76" s="127"/>
      <c r="I76" s="127"/>
      <c r="J76" s="127"/>
      <c r="K76" s="127"/>
      <c r="L76" s="127"/>
    </row>
    <row r="77" spans="2:16" s="103" customFormat="1" ht="16.5" customHeight="1" x14ac:dyDescent="0.35">
      <c r="B77" s="664" t="s">
        <v>108</v>
      </c>
      <c r="C77" s="664"/>
      <c r="D77" s="664"/>
      <c r="E77" s="215">
        <v>1879.34</v>
      </c>
      <c r="F77" s="131"/>
      <c r="G77" s="110"/>
      <c r="H77" s="110"/>
      <c r="I77" s="110"/>
      <c r="J77" s="110"/>
      <c r="K77" s="110"/>
      <c r="L77" s="110"/>
      <c r="M77" s="46"/>
      <c r="N77" s="46"/>
      <c r="O77" s="46"/>
      <c r="P77" s="46"/>
    </row>
    <row r="78" spans="2:16" customFormat="1" ht="18.75" customHeight="1" x14ac:dyDescent="0.3">
      <c r="B78" s="649" t="s">
        <v>98</v>
      </c>
      <c r="C78" s="649"/>
      <c r="D78" s="649"/>
      <c r="E78" s="249">
        <f>SUM(E71:E77)</f>
        <v>116459.09999999999</v>
      </c>
      <c r="F78" s="128"/>
      <c r="G78" s="110"/>
      <c r="H78" s="110"/>
      <c r="I78" s="110"/>
      <c r="J78" s="110"/>
      <c r="K78" s="110"/>
      <c r="L78" s="110"/>
      <c r="M78" s="2"/>
      <c r="N78" s="2"/>
      <c r="O78" s="2"/>
      <c r="P78" s="2"/>
    </row>
    <row r="79" spans="2:16" customFormat="1" ht="15.75" x14ac:dyDescent="0.3"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2"/>
      <c r="N79" s="2"/>
      <c r="O79" s="2"/>
      <c r="P79" s="2"/>
    </row>
    <row r="80" spans="2:16" s="20" customFormat="1" ht="40.5" x14ac:dyDescent="0.25">
      <c r="B80" s="219" t="s">
        <v>52</v>
      </c>
      <c r="C80" s="663" t="s">
        <v>896</v>
      </c>
      <c r="D80" s="663"/>
      <c r="E80" s="663" t="s">
        <v>897</v>
      </c>
      <c r="F80" s="663"/>
      <c r="G80" s="310" t="s">
        <v>898</v>
      </c>
      <c r="H80" s="289" t="s">
        <v>899</v>
      </c>
      <c r="I80" s="291" t="s">
        <v>98</v>
      </c>
      <c r="J80" s="129"/>
      <c r="K80" s="129"/>
    </row>
    <row r="81" spans="2:16" s="20" customFormat="1" ht="15" x14ac:dyDescent="0.25">
      <c r="B81" s="294"/>
      <c r="C81" s="295" t="s">
        <v>322</v>
      </c>
      <c r="D81" s="295" t="s">
        <v>324</v>
      </c>
      <c r="E81" s="295" t="s">
        <v>331</v>
      </c>
      <c r="F81" s="295" t="s">
        <v>333</v>
      </c>
      <c r="G81" s="295" t="s">
        <v>326</v>
      </c>
      <c r="H81" s="295" t="s">
        <v>342</v>
      </c>
      <c r="I81" s="297"/>
      <c r="J81" s="129"/>
      <c r="K81" s="129"/>
    </row>
    <row r="82" spans="2:16" customFormat="1" ht="16.5" x14ac:dyDescent="0.35">
      <c r="B82" s="321" t="s">
        <v>53</v>
      </c>
      <c r="C82" s="202">
        <v>272032.81</v>
      </c>
      <c r="D82" s="202">
        <v>304462.59999999998</v>
      </c>
      <c r="E82" s="202"/>
      <c r="F82" s="202">
        <v>36579.699999999997</v>
      </c>
      <c r="G82" s="202">
        <v>37539.82</v>
      </c>
      <c r="H82" s="202">
        <v>70343.8</v>
      </c>
      <c r="I82" s="322">
        <f>C82+D82+F82+G82+H82+E82</f>
        <v>720958.72999999986</v>
      </c>
      <c r="J82" s="110"/>
      <c r="K82" s="110"/>
      <c r="L82" s="2"/>
      <c r="M82" s="2"/>
    </row>
    <row r="83" spans="2:16" customFormat="1" ht="16.5" x14ac:dyDescent="0.35">
      <c r="B83" s="321" t="s">
        <v>54</v>
      </c>
      <c r="C83" s="202">
        <v>97796.17</v>
      </c>
      <c r="D83" s="202">
        <v>107461.75999999999</v>
      </c>
      <c r="E83" s="202"/>
      <c r="F83" s="202">
        <v>12703.29</v>
      </c>
      <c r="G83" s="202">
        <v>13008.21</v>
      </c>
      <c r="H83" s="202">
        <v>25181.46</v>
      </c>
      <c r="I83" s="322">
        <f t="shared" ref="I83:I94" si="6">C83+D83+F83+G83+H83+E83</f>
        <v>256150.88999999998</v>
      </c>
      <c r="J83" s="110"/>
      <c r="K83" s="110"/>
      <c r="L83" s="2"/>
      <c r="M83" s="2"/>
    </row>
    <row r="84" spans="2:16" customFormat="1" ht="16.5" x14ac:dyDescent="0.35">
      <c r="B84" s="321" t="s">
        <v>55</v>
      </c>
      <c r="C84" s="202">
        <f t="shared" ref="C84:H84" si="7">SUM(C85:C91)</f>
        <v>36368.910000000003</v>
      </c>
      <c r="D84" s="202">
        <f t="shared" si="7"/>
        <v>132027.05000000002</v>
      </c>
      <c r="E84" s="202">
        <f t="shared" si="7"/>
        <v>20717.62</v>
      </c>
      <c r="F84" s="202">
        <f t="shared" si="7"/>
        <v>45766.71</v>
      </c>
      <c r="G84" s="202">
        <f t="shared" si="7"/>
        <v>76968.850000000006</v>
      </c>
      <c r="H84" s="202">
        <f t="shared" si="7"/>
        <v>26984</v>
      </c>
      <c r="I84" s="322">
        <f t="shared" si="6"/>
        <v>338833.14</v>
      </c>
      <c r="J84" s="110"/>
      <c r="K84" s="110"/>
      <c r="L84" s="2"/>
      <c r="M84" s="2"/>
    </row>
    <row r="85" spans="2:16" customFormat="1" ht="16.5" x14ac:dyDescent="0.35">
      <c r="B85" s="220" t="s">
        <v>66</v>
      </c>
      <c r="C85" s="201">
        <v>0</v>
      </c>
      <c r="D85" s="201">
        <v>39.28</v>
      </c>
      <c r="E85" s="201"/>
      <c r="F85" s="201">
        <v>0</v>
      </c>
      <c r="G85" s="201">
        <v>0</v>
      </c>
      <c r="H85" s="201">
        <v>0</v>
      </c>
      <c r="I85" s="254">
        <f t="shared" si="6"/>
        <v>39.28</v>
      </c>
      <c r="J85" s="110"/>
      <c r="K85" s="110"/>
      <c r="L85" s="2"/>
      <c r="M85" s="2"/>
    </row>
    <row r="86" spans="2:16" customFormat="1" ht="16.5" x14ac:dyDescent="0.35">
      <c r="B86" s="220" t="s">
        <v>56</v>
      </c>
      <c r="C86" s="201">
        <v>13000</v>
      </c>
      <c r="D86" s="201">
        <v>77722.14</v>
      </c>
      <c r="E86" s="201"/>
      <c r="F86" s="201">
        <v>12186</v>
      </c>
      <c r="G86" s="201">
        <v>20163</v>
      </c>
      <c r="H86" s="201">
        <v>4000</v>
      </c>
      <c r="I86" s="254">
        <f t="shared" si="6"/>
        <v>127071.14</v>
      </c>
      <c r="J86" s="110"/>
      <c r="K86" s="110"/>
      <c r="L86" s="2"/>
      <c r="M86" s="2"/>
    </row>
    <row r="87" spans="2:16" customFormat="1" ht="16.5" x14ac:dyDescent="0.35">
      <c r="B87" s="220" t="s">
        <v>57</v>
      </c>
      <c r="C87" s="201">
        <v>12958.91</v>
      </c>
      <c r="D87" s="201">
        <v>21633.38</v>
      </c>
      <c r="E87" s="201">
        <v>20717.62</v>
      </c>
      <c r="F87" s="201">
        <v>25750.71</v>
      </c>
      <c r="G87" s="201">
        <v>34325.85</v>
      </c>
      <c r="H87" s="201">
        <v>9000</v>
      </c>
      <c r="I87" s="254">
        <f t="shared" si="6"/>
        <v>124386.47</v>
      </c>
      <c r="J87" s="110"/>
      <c r="K87" s="110"/>
      <c r="L87" s="2"/>
      <c r="M87" s="2"/>
    </row>
    <row r="88" spans="2:16" s="64" customFormat="1" ht="16.5" x14ac:dyDescent="0.35">
      <c r="B88" s="220" t="s">
        <v>58</v>
      </c>
      <c r="C88" s="201">
        <v>720</v>
      </c>
      <c r="D88" s="201">
        <v>0</v>
      </c>
      <c r="E88" s="201"/>
      <c r="F88" s="201">
        <v>0</v>
      </c>
      <c r="G88" s="201">
        <v>0</v>
      </c>
      <c r="H88" s="201">
        <v>0</v>
      </c>
      <c r="I88" s="254">
        <f t="shared" si="6"/>
        <v>720</v>
      </c>
      <c r="J88" s="110"/>
      <c r="K88" s="110"/>
      <c r="L88" s="46"/>
      <c r="M88" s="46"/>
    </row>
    <row r="89" spans="2:16" customFormat="1" ht="16.5" x14ac:dyDescent="0.35">
      <c r="B89" s="220" t="s">
        <v>59</v>
      </c>
      <c r="C89" s="201">
        <v>959</v>
      </c>
      <c r="D89" s="201">
        <v>19781</v>
      </c>
      <c r="E89" s="201"/>
      <c r="F89" s="201">
        <v>2728</v>
      </c>
      <c r="G89" s="201">
        <v>18001</v>
      </c>
      <c r="H89" s="201">
        <v>9000</v>
      </c>
      <c r="I89" s="254">
        <f t="shared" si="6"/>
        <v>50469</v>
      </c>
      <c r="J89" s="110"/>
      <c r="K89" s="110"/>
      <c r="L89" s="2"/>
      <c r="M89" s="2"/>
    </row>
    <row r="90" spans="2:16" customFormat="1" ht="16.5" x14ac:dyDescent="0.35">
      <c r="B90" s="220" t="s">
        <v>60</v>
      </c>
      <c r="C90" s="201">
        <v>14</v>
      </c>
      <c r="D90" s="201">
        <v>14.66</v>
      </c>
      <c r="E90" s="201"/>
      <c r="F90" s="201">
        <v>62</v>
      </c>
      <c r="G90" s="201">
        <v>62</v>
      </c>
      <c r="H90" s="201">
        <v>0</v>
      </c>
      <c r="I90" s="254">
        <f t="shared" si="6"/>
        <v>152.66</v>
      </c>
      <c r="J90" s="110"/>
      <c r="K90" s="110"/>
      <c r="L90" s="2"/>
      <c r="M90" s="2"/>
    </row>
    <row r="91" spans="2:16" customFormat="1" ht="16.5" x14ac:dyDescent="0.35">
      <c r="B91" s="220" t="s">
        <v>61</v>
      </c>
      <c r="C91" s="201">
        <v>8717</v>
      </c>
      <c r="D91" s="201">
        <v>12836.59</v>
      </c>
      <c r="E91" s="201"/>
      <c r="F91" s="201">
        <v>5040</v>
      </c>
      <c r="G91" s="201">
        <v>4417</v>
      </c>
      <c r="H91" s="201">
        <v>4984</v>
      </c>
      <c r="I91" s="254">
        <f t="shared" si="6"/>
        <v>35994.589999999997</v>
      </c>
      <c r="J91" s="110"/>
      <c r="K91" s="110"/>
      <c r="L91" s="2"/>
      <c r="M91" s="2"/>
    </row>
    <row r="92" spans="2:16" customFormat="1" ht="16.5" x14ac:dyDescent="0.35">
      <c r="B92" s="321" t="s">
        <v>62</v>
      </c>
      <c r="C92" s="202">
        <v>90.37</v>
      </c>
      <c r="D92" s="202">
        <v>3773</v>
      </c>
      <c r="E92" s="202"/>
      <c r="F92" s="202">
        <v>833.25</v>
      </c>
      <c r="G92" s="202">
        <v>203.77</v>
      </c>
      <c r="H92" s="202">
        <v>947.64</v>
      </c>
      <c r="I92" s="322">
        <f t="shared" si="6"/>
        <v>5848.0300000000007</v>
      </c>
      <c r="J92" s="110"/>
      <c r="K92" s="110"/>
      <c r="L92" s="2"/>
      <c r="M92" s="2"/>
    </row>
    <row r="93" spans="2:16" s="103" customFormat="1" ht="16.5" x14ac:dyDescent="0.35">
      <c r="B93" s="321" t="s">
        <v>901</v>
      </c>
      <c r="C93" s="202"/>
      <c r="D93" s="202"/>
      <c r="E93" s="202"/>
      <c r="F93" s="202">
        <v>5522.1</v>
      </c>
      <c r="G93" s="202"/>
      <c r="H93" s="202"/>
      <c r="I93" s="322">
        <f t="shared" si="6"/>
        <v>5522.1</v>
      </c>
      <c r="J93" s="110"/>
      <c r="K93" s="110"/>
      <c r="L93" s="46"/>
      <c r="M93" s="46"/>
    </row>
    <row r="94" spans="2:16" customFormat="1" ht="22.5" customHeight="1" x14ac:dyDescent="0.3">
      <c r="B94" s="302" t="s">
        <v>98</v>
      </c>
      <c r="C94" s="303">
        <f t="shared" ref="C94:H94" si="8">C82+C83+C84+C92</f>
        <v>406288.26</v>
      </c>
      <c r="D94" s="303">
        <f t="shared" si="8"/>
        <v>547724.41</v>
      </c>
      <c r="E94" s="303">
        <f t="shared" si="8"/>
        <v>20717.62</v>
      </c>
      <c r="F94" s="303">
        <f>F82+F83+F84+F92+F93</f>
        <v>101405.05</v>
      </c>
      <c r="G94" s="303">
        <f t="shared" si="8"/>
        <v>127720.65000000001</v>
      </c>
      <c r="H94" s="303">
        <f t="shared" si="8"/>
        <v>123456.90000000001</v>
      </c>
      <c r="I94" s="304">
        <f t="shared" si="6"/>
        <v>1327312.8899999999</v>
      </c>
      <c r="J94" s="110"/>
      <c r="K94" s="110"/>
      <c r="L94" s="2"/>
      <c r="M94" s="2"/>
    </row>
    <row r="95" spans="2:16" customFormat="1" ht="15.75" x14ac:dyDescent="0.3"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2"/>
      <c r="N95" s="2"/>
      <c r="O95" s="2"/>
      <c r="P95" s="2"/>
    </row>
    <row r="96" spans="2:16" s="68" customFormat="1" ht="15.75" x14ac:dyDescent="0.3"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46"/>
      <c r="N96" s="46"/>
      <c r="O96" s="46"/>
      <c r="P96" s="46"/>
    </row>
    <row r="97" spans="2:16" customFormat="1" ht="18.75" x14ac:dyDescent="0.3">
      <c r="B97" s="122" t="s">
        <v>142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2"/>
      <c r="N97" s="2"/>
      <c r="O97" s="2"/>
      <c r="P97" s="2"/>
    </row>
    <row r="98" spans="2:16" customFormat="1" ht="7.5" customHeight="1" x14ac:dyDescent="0.3"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2"/>
      <c r="N98" s="2"/>
      <c r="O98" s="2"/>
      <c r="P98" s="2"/>
    </row>
    <row r="99" spans="2:16" customFormat="1" ht="16.5" customHeight="1" x14ac:dyDescent="0.3">
      <c r="B99" s="651" t="s">
        <v>102</v>
      </c>
      <c r="C99" s="651"/>
      <c r="D99" s="651"/>
      <c r="E99" s="651"/>
      <c r="F99" s="123"/>
      <c r="G99" s="110"/>
      <c r="H99" s="110"/>
      <c r="I99" s="110"/>
      <c r="J99" s="110"/>
      <c r="K99" s="110"/>
      <c r="L99" s="110"/>
      <c r="M99" s="2"/>
      <c r="N99" s="2"/>
      <c r="O99" s="2"/>
      <c r="P99" s="2"/>
    </row>
    <row r="100" spans="2:16" customFormat="1" ht="16.5" x14ac:dyDescent="0.35">
      <c r="B100" s="641" t="s">
        <v>135</v>
      </c>
      <c r="C100" s="641"/>
      <c r="D100" s="641"/>
      <c r="E100" s="201">
        <v>1248.72</v>
      </c>
      <c r="F100" s="125"/>
      <c r="G100" s="110"/>
      <c r="H100" s="110"/>
      <c r="I100" s="110"/>
      <c r="J100" s="110"/>
      <c r="K100" s="110"/>
      <c r="L100" s="110"/>
      <c r="M100" s="2"/>
      <c r="N100" s="2"/>
      <c r="O100" s="2"/>
      <c r="P100" s="2"/>
    </row>
    <row r="101" spans="2:16" customFormat="1" ht="16.5" x14ac:dyDescent="0.35">
      <c r="B101" s="641" t="s">
        <v>136</v>
      </c>
      <c r="C101" s="641"/>
      <c r="D101" s="641"/>
      <c r="E101" s="201">
        <v>20467.5</v>
      </c>
      <c r="F101" s="125"/>
      <c r="G101" s="110"/>
      <c r="H101" s="110"/>
      <c r="I101" s="110"/>
      <c r="J101" s="110"/>
      <c r="K101" s="110"/>
      <c r="L101" s="110"/>
      <c r="M101" s="2"/>
      <c r="N101" s="2"/>
      <c r="O101" s="2"/>
      <c r="P101" s="2"/>
    </row>
    <row r="102" spans="2:16" customFormat="1" ht="16.5" x14ac:dyDescent="0.35">
      <c r="B102" s="641" t="s">
        <v>137</v>
      </c>
      <c r="C102" s="641"/>
      <c r="D102" s="641"/>
      <c r="E102" s="201">
        <v>17885.939999999999</v>
      </c>
      <c r="F102" s="125"/>
      <c r="G102" s="110"/>
      <c r="H102" s="110"/>
      <c r="I102" s="110"/>
      <c r="J102" s="110"/>
      <c r="K102" s="110"/>
      <c r="L102" s="110"/>
      <c r="M102" s="2"/>
      <c r="N102" s="2"/>
      <c r="O102" s="2"/>
      <c r="P102" s="2"/>
    </row>
    <row r="103" spans="2:16" s="18" customFormat="1" ht="15" x14ac:dyDescent="0.25">
      <c r="B103" s="664" t="s">
        <v>106</v>
      </c>
      <c r="C103" s="664"/>
      <c r="D103" s="664"/>
      <c r="E103" s="299">
        <v>50800.25</v>
      </c>
      <c r="F103" s="126"/>
      <c r="G103" s="127"/>
      <c r="H103" s="127"/>
      <c r="I103" s="127"/>
      <c r="J103" s="127"/>
      <c r="K103" s="127"/>
      <c r="L103" s="127"/>
    </row>
    <row r="104" spans="2:16" customFormat="1" ht="16.5" x14ac:dyDescent="0.35">
      <c r="B104" s="639" t="s">
        <v>49</v>
      </c>
      <c r="C104" s="639"/>
      <c r="D104" s="639"/>
      <c r="E104" s="215">
        <v>538.04999999999995</v>
      </c>
      <c r="F104" s="131"/>
      <c r="G104" s="110"/>
      <c r="H104" s="110"/>
      <c r="I104" s="110"/>
      <c r="J104" s="110"/>
      <c r="K104" s="110"/>
      <c r="L104" s="110"/>
      <c r="M104" s="2"/>
      <c r="N104" s="2"/>
      <c r="O104" s="2"/>
      <c r="P104" s="2"/>
    </row>
    <row r="105" spans="2:16" s="103" customFormat="1" ht="16.5" x14ac:dyDescent="0.35">
      <c r="B105" s="214" t="s">
        <v>673</v>
      </c>
      <c r="C105" s="214"/>
      <c r="D105" s="214"/>
      <c r="E105" s="215">
        <v>474.4</v>
      </c>
      <c r="F105" s="131"/>
      <c r="G105" s="110"/>
      <c r="H105" s="110"/>
      <c r="I105" s="110"/>
      <c r="J105" s="110"/>
      <c r="K105" s="110"/>
      <c r="L105" s="110"/>
      <c r="M105" s="46"/>
      <c r="N105" s="46"/>
      <c r="O105" s="46"/>
      <c r="P105" s="46"/>
    </row>
    <row r="106" spans="2:16" s="103" customFormat="1" ht="16.5" x14ac:dyDescent="0.35">
      <c r="B106" s="307" t="s">
        <v>675</v>
      </c>
      <c r="C106" s="307"/>
      <c r="D106" s="307"/>
      <c r="E106" s="215">
        <v>4898.5</v>
      </c>
      <c r="F106" s="131"/>
      <c r="G106" s="110"/>
      <c r="H106" s="110"/>
      <c r="I106" s="110"/>
      <c r="J106" s="110"/>
      <c r="K106" s="110"/>
      <c r="L106" s="110"/>
      <c r="M106" s="46"/>
      <c r="N106" s="46"/>
      <c r="O106" s="46"/>
      <c r="P106" s="46"/>
    </row>
    <row r="107" spans="2:16" customFormat="1" ht="18" customHeight="1" x14ac:dyDescent="0.3">
      <c r="B107" s="649" t="s">
        <v>98</v>
      </c>
      <c r="C107" s="649"/>
      <c r="D107" s="649"/>
      <c r="E107" s="249">
        <f>SUM(E100:E106)</f>
        <v>96313.36</v>
      </c>
      <c r="F107" s="128"/>
      <c r="G107" s="110"/>
      <c r="H107" s="110"/>
      <c r="I107" s="110"/>
      <c r="J107" s="110"/>
      <c r="K107" s="110"/>
      <c r="L107" s="110"/>
      <c r="M107" s="2"/>
      <c r="N107" s="2"/>
      <c r="O107" s="2"/>
      <c r="P107" s="2"/>
    </row>
    <row r="108" spans="2:16" ht="15" x14ac:dyDescent="0.3"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</row>
    <row r="109" spans="2:16" s="20" customFormat="1" ht="40.5" x14ac:dyDescent="0.25">
      <c r="B109" s="219" t="s">
        <v>52</v>
      </c>
      <c r="C109" s="663" t="s">
        <v>896</v>
      </c>
      <c r="D109" s="663"/>
      <c r="E109" s="663" t="s">
        <v>897</v>
      </c>
      <c r="F109" s="663"/>
      <c r="G109" s="310" t="s">
        <v>898</v>
      </c>
      <c r="H109" s="289" t="s">
        <v>899</v>
      </c>
      <c r="I109" s="291" t="s">
        <v>98</v>
      </c>
      <c r="J109" s="129"/>
      <c r="K109" s="129"/>
      <c r="L109" s="129"/>
    </row>
    <row r="110" spans="2:16" s="20" customFormat="1" ht="15" x14ac:dyDescent="0.25">
      <c r="B110" s="294"/>
      <c r="C110" s="295" t="s">
        <v>322</v>
      </c>
      <c r="D110" s="295" t="s">
        <v>324</v>
      </c>
      <c r="E110" s="295" t="s">
        <v>331</v>
      </c>
      <c r="F110" s="295" t="s">
        <v>333</v>
      </c>
      <c r="G110" s="295" t="s">
        <v>326</v>
      </c>
      <c r="H110" s="295" t="s">
        <v>342</v>
      </c>
      <c r="I110" s="297"/>
      <c r="J110" s="129"/>
      <c r="K110" s="129"/>
      <c r="L110" s="129"/>
    </row>
    <row r="111" spans="2:16" customFormat="1" ht="16.5" x14ac:dyDescent="0.35">
      <c r="B111" s="321" t="s">
        <v>53</v>
      </c>
      <c r="C111" s="202">
        <v>286873.67</v>
      </c>
      <c r="D111" s="202">
        <v>428040.86</v>
      </c>
      <c r="E111" s="202">
        <v>37316.68</v>
      </c>
      <c r="F111" s="202">
        <v>32735.63</v>
      </c>
      <c r="G111" s="202">
        <v>99695.3</v>
      </c>
      <c r="H111" s="202"/>
      <c r="I111" s="202">
        <f>C111+D111+E111+F111+G111+H111</f>
        <v>884662.14000000013</v>
      </c>
      <c r="J111" s="110"/>
      <c r="K111" s="110"/>
      <c r="L111" s="110"/>
      <c r="M111" s="2"/>
    </row>
    <row r="112" spans="2:16" customFormat="1" ht="16.5" x14ac:dyDescent="0.35">
      <c r="B112" s="321" t="s">
        <v>54</v>
      </c>
      <c r="C112" s="202">
        <v>100789.53</v>
      </c>
      <c r="D112" s="202">
        <v>151903.76999999999</v>
      </c>
      <c r="E112" s="202">
        <v>13301.71</v>
      </c>
      <c r="F112" s="202">
        <v>11720.37</v>
      </c>
      <c r="G112" s="202">
        <v>35068.85</v>
      </c>
      <c r="H112" s="202"/>
      <c r="I112" s="202">
        <f t="shared" ref="I112:I120" si="9">C112+D112+E112+F112+G112+H112</f>
        <v>312784.23</v>
      </c>
      <c r="J112" s="110"/>
      <c r="K112" s="110"/>
      <c r="L112" s="110"/>
      <c r="M112" s="2"/>
    </row>
    <row r="113" spans="2:16" customFormat="1" ht="16.5" x14ac:dyDescent="0.35">
      <c r="B113" s="321" t="s">
        <v>55</v>
      </c>
      <c r="C113" s="202">
        <f t="shared" ref="C113:H113" si="10">SUM(C114:C118)</f>
        <v>56719.39</v>
      </c>
      <c r="D113" s="202">
        <f t="shared" si="10"/>
        <v>129834.31000000001</v>
      </c>
      <c r="E113" s="202">
        <f t="shared" si="10"/>
        <v>52687.25</v>
      </c>
      <c r="F113" s="202">
        <f t="shared" si="10"/>
        <v>44781.700000000004</v>
      </c>
      <c r="G113" s="202">
        <f t="shared" si="10"/>
        <v>21813</v>
      </c>
      <c r="H113" s="202">
        <f t="shared" si="10"/>
        <v>16.600000000000001</v>
      </c>
      <c r="I113" s="202">
        <f t="shared" si="9"/>
        <v>305852.25</v>
      </c>
      <c r="J113" s="110"/>
      <c r="K113" s="110"/>
      <c r="L113" s="110"/>
      <c r="M113" s="2"/>
    </row>
    <row r="114" spans="2:16" customFormat="1" ht="16.5" x14ac:dyDescent="0.35">
      <c r="B114" s="220" t="s">
        <v>56</v>
      </c>
      <c r="C114" s="201">
        <v>25351.58</v>
      </c>
      <c r="D114" s="201">
        <v>20777.560000000001</v>
      </c>
      <c r="E114" s="201">
        <v>5769.77</v>
      </c>
      <c r="F114" s="201">
        <v>5769.76</v>
      </c>
      <c r="G114" s="201">
        <v>14311</v>
      </c>
      <c r="H114" s="201"/>
      <c r="I114" s="201">
        <f t="shared" si="9"/>
        <v>71979.670000000013</v>
      </c>
      <c r="J114" s="110"/>
      <c r="K114" s="110"/>
      <c r="L114" s="110"/>
      <c r="M114" s="2"/>
    </row>
    <row r="115" spans="2:16" customFormat="1" ht="16.5" x14ac:dyDescent="0.35">
      <c r="B115" s="220" t="s">
        <v>57</v>
      </c>
      <c r="C115" s="201">
        <v>15056.49</v>
      </c>
      <c r="D115" s="201">
        <v>30135.9</v>
      </c>
      <c r="E115" s="201">
        <v>39677.15</v>
      </c>
      <c r="F115" s="201">
        <v>31771.58</v>
      </c>
      <c r="G115" s="201">
        <v>4430</v>
      </c>
      <c r="H115" s="201">
        <v>16.600000000000001</v>
      </c>
      <c r="I115" s="201">
        <f t="shared" si="9"/>
        <v>121087.72000000002</v>
      </c>
      <c r="J115" s="110"/>
      <c r="K115" s="110"/>
      <c r="L115" s="110"/>
      <c r="M115" s="2"/>
    </row>
    <row r="116" spans="2:16" customFormat="1" ht="16.5" x14ac:dyDescent="0.35">
      <c r="B116" s="220" t="s">
        <v>58</v>
      </c>
      <c r="C116" s="201">
        <v>26.76</v>
      </c>
      <c r="D116" s="201">
        <v>1020.24</v>
      </c>
      <c r="E116" s="201">
        <v>0</v>
      </c>
      <c r="F116" s="201">
        <v>0</v>
      </c>
      <c r="G116" s="201">
        <v>0</v>
      </c>
      <c r="H116" s="201"/>
      <c r="I116" s="201">
        <f t="shared" si="9"/>
        <v>1047</v>
      </c>
      <c r="J116" s="110"/>
      <c r="K116" s="110"/>
      <c r="L116" s="110"/>
      <c r="M116" s="2"/>
    </row>
    <row r="117" spans="2:16" customFormat="1" ht="16.5" x14ac:dyDescent="0.35">
      <c r="B117" s="220" t="s">
        <v>59</v>
      </c>
      <c r="C117" s="201">
        <v>6206.38</v>
      </c>
      <c r="D117" s="201">
        <v>64743.22</v>
      </c>
      <c r="E117" s="201">
        <v>2733.23</v>
      </c>
      <c r="F117" s="201">
        <v>2733.24</v>
      </c>
      <c r="G117" s="201">
        <v>550</v>
      </c>
      <c r="H117" s="201"/>
      <c r="I117" s="201">
        <f t="shared" si="9"/>
        <v>76966.070000000007</v>
      </c>
      <c r="J117" s="110"/>
      <c r="K117" s="110"/>
      <c r="L117" s="110"/>
      <c r="M117" s="2"/>
    </row>
    <row r="118" spans="2:16" customFormat="1" ht="16.5" x14ac:dyDescent="0.35">
      <c r="B118" s="220" t="s">
        <v>61</v>
      </c>
      <c r="C118" s="201">
        <v>10078.18</v>
      </c>
      <c r="D118" s="201">
        <v>13157.39</v>
      </c>
      <c r="E118" s="201">
        <v>4507.1000000000004</v>
      </c>
      <c r="F118" s="201">
        <v>4507.12</v>
      </c>
      <c r="G118" s="201">
        <v>2522</v>
      </c>
      <c r="H118" s="201"/>
      <c r="I118" s="201">
        <f t="shared" si="9"/>
        <v>34771.789999999994</v>
      </c>
      <c r="J118" s="110"/>
      <c r="K118" s="110"/>
      <c r="L118" s="110"/>
      <c r="M118" s="2"/>
    </row>
    <row r="119" spans="2:16" customFormat="1" ht="16.5" x14ac:dyDescent="0.35">
      <c r="B119" s="321" t="s">
        <v>62</v>
      </c>
      <c r="C119" s="202">
        <v>6668.03</v>
      </c>
      <c r="D119" s="202">
        <v>439.63</v>
      </c>
      <c r="E119" s="202">
        <v>78.61</v>
      </c>
      <c r="F119" s="202">
        <v>242.4</v>
      </c>
      <c r="G119" s="202">
        <v>492.85</v>
      </c>
      <c r="H119" s="202"/>
      <c r="I119" s="202">
        <f t="shared" si="9"/>
        <v>7921.5199999999995</v>
      </c>
      <c r="J119" s="110"/>
      <c r="K119" s="110"/>
      <c r="L119" s="110"/>
      <c r="M119" s="2"/>
    </row>
    <row r="120" spans="2:16" s="42" customFormat="1" ht="16.5" x14ac:dyDescent="0.35">
      <c r="B120" s="321" t="s">
        <v>903</v>
      </c>
      <c r="C120" s="202"/>
      <c r="D120" s="202"/>
      <c r="E120" s="202"/>
      <c r="F120" s="325">
        <v>4700</v>
      </c>
      <c r="G120" s="325"/>
      <c r="H120" s="325"/>
      <c r="I120" s="325">
        <f t="shared" si="9"/>
        <v>4700</v>
      </c>
      <c r="J120" s="110"/>
      <c r="K120" s="110"/>
      <c r="L120" s="110"/>
      <c r="M120" s="43"/>
    </row>
    <row r="121" spans="2:16" customFormat="1" ht="21" customHeight="1" x14ac:dyDescent="0.3">
      <c r="B121" s="248" t="s">
        <v>98</v>
      </c>
      <c r="C121" s="249">
        <f t="shared" ref="C121:H121" si="11">C111+C112+C113+C119+C120</f>
        <v>451050.62</v>
      </c>
      <c r="D121" s="249">
        <f t="shared" si="11"/>
        <v>710218.57000000007</v>
      </c>
      <c r="E121" s="249">
        <f t="shared" si="11"/>
        <v>103384.25</v>
      </c>
      <c r="F121" s="249">
        <f t="shared" si="11"/>
        <v>94180.1</v>
      </c>
      <c r="G121" s="249">
        <f t="shared" si="11"/>
        <v>157070</v>
      </c>
      <c r="H121" s="249">
        <f t="shared" si="11"/>
        <v>16.600000000000001</v>
      </c>
      <c r="I121" s="249">
        <f>C121+D121+E121+F121+G121+H121</f>
        <v>1515920.1400000001</v>
      </c>
      <c r="J121" s="110"/>
      <c r="K121" s="110"/>
      <c r="L121" s="110"/>
      <c r="M121" s="2"/>
    </row>
    <row r="122" spans="2:16" customFormat="1" ht="15.75" x14ac:dyDescent="0.3"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2"/>
      <c r="N122" s="2"/>
      <c r="O122" s="2"/>
      <c r="P122" s="2"/>
    </row>
    <row r="123" spans="2:16" s="184" customFormat="1" ht="15.75" x14ac:dyDescent="0.3"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46"/>
      <c r="N123" s="46"/>
      <c r="O123" s="46"/>
      <c r="P123" s="46"/>
    </row>
    <row r="124" spans="2:16" s="184" customFormat="1" ht="15.75" x14ac:dyDescent="0.3"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46"/>
      <c r="N124" s="46"/>
      <c r="O124" s="46"/>
      <c r="P124" s="46"/>
    </row>
    <row r="125" spans="2:16" s="184" customFormat="1" ht="15.75" x14ac:dyDescent="0.3"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46"/>
      <c r="N125" s="46"/>
      <c r="O125" s="46"/>
      <c r="P125" s="46"/>
    </row>
    <row r="126" spans="2:16" s="184" customFormat="1" ht="15.75" x14ac:dyDescent="0.3"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46"/>
      <c r="N126" s="46"/>
      <c r="O126" s="46"/>
      <c r="P126" s="46"/>
    </row>
    <row r="127" spans="2:16" s="184" customFormat="1" ht="15.75" x14ac:dyDescent="0.3"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46"/>
      <c r="N127" s="46"/>
      <c r="O127" s="46"/>
      <c r="P127" s="46"/>
    </row>
    <row r="128" spans="2:16" s="184" customFormat="1" ht="15.75" x14ac:dyDescent="0.3"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46"/>
      <c r="N128" s="46"/>
      <c r="O128" s="46"/>
      <c r="P128" s="46"/>
    </row>
    <row r="129" spans="2:16" customFormat="1" ht="18.75" x14ac:dyDescent="0.3">
      <c r="B129" s="122" t="s">
        <v>143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2"/>
      <c r="N129" s="2"/>
      <c r="O129" s="2"/>
      <c r="P129" s="2"/>
    </row>
    <row r="130" spans="2:16" customFormat="1" ht="15.75" x14ac:dyDescent="0.3"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2"/>
      <c r="N130" s="2"/>
      <c r="O130" s="2"/>
      <c r="P130" s="2"/>
    </row>
    <row r="131" spans="2:16" customFormat="1" ht="22.5" customHeight="1" x14ac:dyDescent="0.3">
      <c r="B131" s="651" t="s">
        <v>102</v>
      </c>
      <c r="C131" s="651"/>
      <c r="D131" s="651"/>
      <c r="E131" s="651"/>
      <c r="F131" s="123"/>
      <c r="G131" s="110"/>
      <c r="H131" s="110"/>
      <c r="I131" s="110"/>
      <c r="J131" s="110"/>
      <c r="K131" s="110"/>
      <c r="L131" s="110"/>
      <c r="M131" s="2"/>
      <c r="N131" s="2"/>
      <c r="O131" s="2"/>
      <c r="P131" s="2"/>
    </row>
    <row r="132" spans="2:16" customFormat="1" ht="16.5" x14ac:dyDescent="0.35">
      <c r="B132" s="641" t="s">
        <v>135</v>
      </c>
      <c r="C132" s="641"/>
      <c r="D132" s="641"/>
      <c r="E132" s="215">
        <v>10571.31</v>
      </c>
      <c r="F132" s="131"/>
      <c r="G132" s="110"/>
      <c r="H132" s="110"/>
      <c r="I132" s="110"/>
      <c r="J132" s="110"/>
      <c r="K132" s="110"/>
      <c r="L132" s="110"/>
      <c r="M132" s="2"/>
      <c r="N132" s="2"/>
      <c r="O132" s="2"/>
      <c r="P132" s="2"/>
    </row>
    <row r="133" spans="2:16" customFormat="1" ht="15" customHeight="1" x14ac:dyDescent="0.35">
      <c r="B133" s="641" t="s">
        <v>137</v>
      </c>
      <c r="C133" s="641"/>
      <c r="D133" s="641"/>
      <c r="E133" s="215">
        <v>28438.55</v>
      </c>
      <c r="F133" s="131"/>
      <c r="G133" s="110"/>
      <c r="H133" s="110"/>
      <c r="I133" s="110"/>
      <c r="J133" s="110"/>
      <c r="K133" s="110"/>
      <c r="L133" s="110"/>
      <c r="M133" s="2"/>
      <c r="N133" s="2"/>
      <c r="O133" s="2"/>
      <c r="P133" s="2"/>
    </row>
    <row r="134" spans="2:16" customFormat="1" ht="16.5" x14ac:dyDescent="0.35">
      <c r="B134" s="200" t="s">
        <v>49</v>
      </c>
      <c r="C134" s="200"/>
      <c r="D134" s="200"/>
      <c r="E134" s="215">
        <v>4971.67</v>
      </c>
      <c r="F134" s="131"/>
      <c r="G134" s="110"/>
      <c r="H134" s="110"/>
      <c r="I134" s="110"/>
      <c r="J134" s="110"/>
      <c r="K134" s="110"/>
      <c r="L134" s="110"/>
      <c r="M134" s="2"/>
      <c r="N134" s="2"/>
      <c r="O134" s="2"/>
      <c r="P134" s="2"/>
    </row>
    <row r="135" spans="2:16" s="103" customFormat="1" ht="16.5" x14ac:dyDescent="0.35">
      <c r="B135" s="665" t="s">
        <v>139</v>
      </c>
      <c r="C135" s="665"/>
      <c r="D135" s="665"/>
      <c r="E135" s="215">
        <f>50735.04+450</f>
        <v>51185.04</v>
      </c>
      <c r="F135" s="131"/>
      <c r="G135" s="110"/>
      <c r="H135" s="110"/>
      <c r="I135" s="110"/>
      <c r="J135" s="110"/>
      <c r="K135" s="110"/>
      <c r="L135" s="110"/>
      <c r="M135" s="46"/>
      <c r="N135" s="46"/>
      <c r="O135" s="46"/>
      <c r="P135" s="46"/>
    </row>
    <row r="136" spans="2:16" customFormat="1" ht="19.5" customHeight="1" x14ac:dyDescent="0.3">
      <c r="B136" s="649" t="s">
        <v>98</v>
      </c>
      <c r="C136" s="649"/>
      <c r="D136" s="649"/>
      <c r="E136" s="309">
        <f>SUM(E132:E135)</f>
        <v>95166.57</v>
      </c>
      <c r="F136" s="132"/>
      <c r="G136" s="110"/>
      <c r="H136" s="110"/>
      <c r="I136" s="110"/>
      <c r="J136" s="110"/>
      <c r="K136" s="110"/>
      <c r="L136" s="110"/>
      <c r="M136" s="2"/>
      <c r="N136" s="2"/>
      <c r="O136" s="2"/>
      <c r="P136" s="2"/>
    </row>
    <row r="137" spans="2:16" customFormat="1" ht="15.75" x14ac:dyDescent="0.3"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2"/>
      <c r="N137" s="2"/>
      <c r="O137" s="2"/>
      <c r="P137" s="2"/>
    </row>
    <row r="138" spans="2:16" s="20" customFormat="1" ht="47.25" customHeight="1" x14ac:dyDescent="0.25">
      <c r="B138" s="219" t="s">
        <v>52</v>
      </c>
      <c r="C138" s="310" t="s">
        <v>900</v>
      </c>
      <c r="D138" s="663" t="s">
        <v>896</v>
      </c>
      <c r="E138" s="663"/>
      <c r="F138" s="310" t="s">
        <v>897</v>
      </c>
      <c r="G138" s="310" t="s">
        <v>898</v>
      </c>
      <c r="H138" s="289" t="s">
        <v>899</v>
      </c>
      <c r="I138" s="291" t="s">
        <v>98</v>
      </c>
      <c r="J138" s="129"/>
    </row>
    <row r="139" spans="2:16" s="20" customFormat="1" ht="15" x14ac:dyDescent="0.25">
      <c r="B139" s="294"/>
      <c r="C139" s="295" t="s">
        <v>310</v>
      </c>
      <c r="D139" s="295" t="s">
        <v>322</v>
      </c>
      <c r="E139" s="295" t="s">
        <v>324</v>
      </c>
      <c r="F139" s="295" t="s">
        <v>333</v>
      </c>
      <c r="G139" s="295" t="s">
        <v>326</v>
      </c>
      <c r="H139" s="295" t="s">
        <v>342</v>
      </c>
      <c r="I139" s="297"/>
      <c r="J139" s="129"/>
    </row>
    <row r="140" spans="2:16" customFormat="1" ht="16.5" x14ac:dyDescent="0.35">
      <c r="B140" s="321" t="s">
        <v>53</v>
      </c>
      <c r="C140" s="202"/>
      <c r="D140" s="202">
        <v>453522</v>
      </c>
      <c r="E140" s="202">
        <v>831461.99</v>
      </c>
      <c r="F140" s="202"/>
      <c r="G140" s="202">
        <v>195734.43</v>
      </c>
      <c r="H140" s="202"/>
      <c r="I140" s="322">
        <f>C140+D140+E140+F140+G140+H140</f>
        <v>1480718.42</v>
      </c>
      <c r="J140" s="110"/>
      <c r="K140" s="2"/>
      <c r="L140" s="2"/>
      <c r="M140" s="2"/>
    </row>
    <row r="141" spans="2:16" customFormat="1" ht="16.5" x14ac:dyDescent="0.35">
      <c r="B141" s="321" t="s">
        <v>54</v>
      </c>
      <c r="C141" s="202"/>
      <c r="D141" s="202">
        <v>165256</v>
      </c>
      <c r="E141" s="202">
        <v>305199.71000000002</v>
      </c>
      <c r="F141" s="202"/>
      <c r="G141" s="202">
        <v>71471.95</v>
      </c>
      <c r="H141" s="202"/>
      <c r="I141" s="322">
        <f t="shared" ref="I141:I150" si="12">C141+D141+E141+F141+G141+H141</f>
        <v>541927.66</v>
      </c>
      <c r="J141" s="110"/>
      <c r="K141" s="2"/>
      <c r="L141" s="2"/>
      <c r="M141" s="2"/>
    </row>
    <row r="142" spans="2:16" customFormat="1" ht="16.5" x14ac:dyDescent="0.35">
      <c r="B142" s="321" t="s">
        <v>55</v>
      </c>
      <c r="C142" s="202">
        <f t="shared" ref="C142:H142" si="13">SUM(C143:C147)</f>
        <v>51700</v>
      </c>
      <c r="D142" s="202">
        <f t="shared" si="13"/>
        <v>71655.94</v>
      </c>
      <c r="E142" s="202">
        <f t="shared" si="13"/>
        <v>174870.64</v>
      </c>
      <c r="F142" s="202">
        <f t="shared" si="13"/>
        <v>42213.5</v>
      </c>
      <c r="G142" s="202">
        <f t="shared" si="13"/>
        <v>39210.1</v>
      </c>
      <c r="H142" s="202">
        <f t="shared" si="13"/>
        <v>0</v>
      </c>
      <c r="I142" s="322">
        <f t="shared" si="12"/>
        <v>379650.18</v>
      </c>
      <c r="J142" s="110"/>
      <c r="K142" s="2"/>
      <c r="L142" s="2"/>
      <c r="M142" s="2"/>
    </row>
    <row r="143" spans="2:16" customFormat="1" ht="16.5" x14ac:dyDescent="0.35">
      <c r="B143" s="220" t="s">
        <v>56</v>
      </c>
      <c r="C143" s="201"/>
      <c r="D143" s="201">
        <v>26287.68</v>
      </c>
      <c r="E143" s="201">
        <v>78570.92</v>
      </c>
      <c r="F143" s="201"/>
      <c r="G143" s="201">
        <v>15599.63</v>
      </c>
      <c r="H143" s="201"/>
      <c r="I143" s="254">
        <f t="shared" si="12"/>
        <v>120458.23000000001</v>
      </c>
      <c r="J143" s="110"/>
      <c r="K143" s="2"/>
      <c r="L143" s="2"/>
      <c r="M143" s="2"/>
    </row>
    <row r="144" spans="2:16" customFormat="1" ht="16.5" x14ac:dyDescent="0.35">
      <c r="B144" s="220" t="s">
        <v>57</v>
      </c>
      <c r="C144" s="201"/>
      <c r="D144" s="201">
        <v>21070.240000000002</v>
      </c>
      <c r="E144" s="201">
        <v>29811</v>
      </c>
      <c r="F144" s="201"/>
      <c r="G144" s="201">
        <v>2259.71</v>
      </c>
      <c r="H144" s="201"/>
      <c r="I144" s="254">
        <f t="shared" si="12"/>
        <v>53140.950000000004</v>
      </c>
      <c r="J144" s="110"/>
      <c r="K144" s="2"/>
      <c r="L144" s="2"/>
      <c r="M144" s="2"/>
    </row>
    <row r="145" spans="2:16" customFormat="1" ht="16.5" x14ac:dyDescent="0.35">
      <c r="B145" s="220" t="s">
        <v>59</v>
      </c>
      <c r="C145" s="201"/>
      <c r="D145" s="201">
        <v>200</v>
      </c>
      <c r="E145" s="201">
        <v>29269.47</v>
      </c>
      <c r="F145" s="201"/>
      <c r="G145" s="201">
        <v>12000.29</v>
      </c>
      <c r="H145" s="201"/>
      <c r="I145" s="254">
        <f t="shared" si="12"/>
        <v>41469.760000000002</v>
      </c>
      <c r="J145" s="110"/>
      <c r="K145" s="2"/>
      <c r="L145" s="2"/>
      <c r="M145" s="2"/>
    </row>
    <row r="146" spans="2:16" customFormat="1" ht="16.5" x14ac:dyDescent="0.35">
      <c r="B146" s="220" t="s">
        <v>144</v>
      </c>
      <c r="C146" s="201">
        <v>51700</v>
      </c>
      <c r="D146" s="201">
        <v>1400</v>
      </c>
      <c r="E146" s="201">
        <v>1203.72</v>
      </c>
      <c r="F146" s="201"/>
      <c r="G146" s="201">
        <v>0</v>
      </c>
      <c r="H146" s="201"/>
      <c r="I146" s="254">
        <f t="shared" si="12"/>
        <v>54303.72</v>
      </c>
      <c r="J146" s="110"/>
      <c r="K146" s="2"/>
      <c r="L146" s="2"/>
      <c r="M146" s="2"/>
    </row>
    <row r="147" spans="2:16" customFormat="1" ht="16.5" x14ac:dyDescent="0.35">
      <c r="B147" s="220" t="s">
        <v>61</v>
      </c>
      <c r="C147" s="201"/>
      <c r="D147" s="201">
        <v>22698.02</v>
      </c>
      <c r="E147" s="201">
        <v>36015.53</v>
      </c>
      <c r="F147" s="201">
        <v>42213.5</v>
      </c>
      <c r="G147" s="201">
        <v>9350.4699999999993</v>
      </c>
      <c r="H147" s="201"/>
      <c r="I147" s="254">
        <f t="shared" si="12"/>
        <v>110277.52</v>
      </c>
      <c r="J147" s="110"/>
      <c r="K147" s="2"/>
      <c r="L147" s="2"/>
      <c r="M147" s="2"/>
    </row>
    <row r="148" spans="2:16" customFormat="1" ht="16.5" x14ac:dyDescent="0.35">
      <c r="B148" s="321" t="s">
        <v>62</v>
      </c>
      <c r="C148" s="202"/>
      <c r="D148" s="202">
        <v>6408.7</v>
      </c>
      <c r="E148" s="202">
        <v>7128.99</v>
      </c>
      <c r="F148" s="202"/>
      <c r="G148" s="202">
        <v>1439.52</v>
      </c>
      <c r="H148" s="202">
        <v>33.200000000000003</v>
      </c>
      <c r="I148" s="322">
        <f t="shared" si="12"/>
        <v>15010.41</v>
      </c>
      <c r="J148" s="110"/>
      <c r="K148" s="2"/>
      <c r="L148" s="2"/>
      <c r="M148" s="2"/>
    </row>
    <row r="149" spans="2:16" s="64" customFormat="1" ht="16.5" x14ac:dyDescent="0.35">
      <c r="B149" s="321" t="s">
        <v>902</v>
      </c>
      <c r="C149" s="202"/>
      <c r="D149" s="202"/>
      <c r="E149" s="323">
        <v>14983.2</v>
      </c>
      <c r="F149" s="323"/>
      <c r="G149" s="323"/>
      <c r="H149" s="323"/>
      <c r="I149" s="324">
        <f t="shared" si="12"/>
        <v>14983.2</v>
      </c>
      <c r="J149" s="110"/>
      <c r="K149" s="46"/>
      <c r="L149" s="46"/>
      <c r="M149" s="46"/>
    </row>
    <row r="150" spans="2:16" customFormat="1" ht="15.75" customHeight="1" x14ac:dyDescent="0.3">
      <c r="B150" s="296" t="s">
        <v>98</v>
      </c>
      <c r="C150" s="293">
        <f>C140+C141+C142+C148</f>
        <v>51700</v>
      </c>
      <c r="D150" s="293">
        <f>D140+D141+D142+D148</f>
        <v>696842.6399999999</v>
      </c>
      <c r="E150" s="293">
        <f>E140+E141+E142+E148+E149</f>
        <v>1333644.5299999998</v>
      </c>
      <c r="F150" s="293">
        <f t="shared" ref="F150:H150" si="14">F140+F141+F142+F148</f>
        <v>42213.5</v>
      </c>
      <c r="G150" s="293">
        <f t="shared" si="14"/>
        <v>307856</v>
      </c>
      <c r="H150" s="293">
        <f t="shared" si="14"/>
        <v>33.200000000000003</v>
      </c>
      <c r="I150" s="298">
        <f t="shared" si="12"/>
        <v>2432289.87</v>
      </c>
      <c r="J150" s="110"/>
      <c r="K150" s="2"/>
      <c r="L150" s="2"/>
      <c r="M150" s="2"/>
    </row>
    <row r="151" spans="2:16" customFormat="1" ht="15.75" x14ac:dyDescent="0.3"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2"/>
      <c r="N151" s="2"/>
      <c r="O151" s="2"/>
      <c r="P151" s="2"/>
    </row>
    <row r="152" spans="2:16" s="68" customFormat="1" ht="15.75" x14ac:dyDescent="0.3"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46"/>
      <c r="N152" s="46"/>
      <c r="O152" s="46"/>
      <c r="P152" s="46"/>
    </row>
    <row r="153" spans="2:16" s="68" customFormat="1" ht="15.75" x14ac:dyDescent="0.3"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46"/>
      <c r="N153" s="46"/>
      <c r="O153" s="46"/>
      <c r="P153" s="46"/>
    </row>
    <row r="154" spans="2:16" s="68" customFormat="1" ht="15.75" x14ac:dyDescent="0.3"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46"/>
      <c r="N154" s="46"/>
      <c r="O154" s="46"/>
      <c r="P154" s="46"/>
    </row>
    <row r="155" spans="2:16" customFormat="1" ht="18.75" x14ac:dyDescent="0.3">
      <c r="B155" s="122" t="s">
        <v>145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2"/>
      <c r="N155" s="2"/>
      <c r="O155" s="2"/>
      <c r="P155" s="2"/>
    </row>
    <row r="156" spans="2:16" customFormat="1" ht="7.5" customHeight="1" x14ac:dyDescent="0.3"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2"/>
      <c r="N156" s="2"/>
      <c r="O156" s="2"/>
      <c r="P156" s="2"/>
    </row>
    <row r="157" spans="2:16" customFormat="1" ht="19.5" customHeight="1" x14ac:dyDescent="0.3">
      <c r="B157" s="651" t="s">
        <v>102</v>
      </c>
      <c r="C157" s="651"/>
      <c r="D157" s="651"/>
      <c r="E157" s="651"/>
      <c r="F157" s="123"/>
      <c r="G157" s="110"/>
      <c r="H157" s="110"/>
      <c r="I157" s="110"/>
      <c r="J157" s="110"/>
      <c r="K157" s="110"/>
      <c r="L157" s="110"/>
      <c r="M157" s="2"/>
      <c r="N157" s="2"/>
      <c r="O157" s="2"/>
      <c r="P157" s="2"/>
    </row>
    <row r="158" spans="2:16" customFormat="1" ht="16.5" x14ac:dyDescent="0.35">
      <c r="B158" s="641" t="s">
        <v>135</v>
      </c>
      <c r="C158" s="641"/>
      <c r="D158" s="641"/>
      <c r="E158" s="215">
        <v>22.05</v>
      </c>
      <c r="F158" s="131"/>
      <c r="G158" s="110"/>
      <c r="H158" s="110"/>
      <c r="I158" s="110"/>
      <c r="J158" s="110"/>
      <c r="K158" s="110"/>
      <c r="L158" s="110"/>
      <c r="M158" s="2"/>
      <c r="N158" s="2"/>
      <c r="O158" s="2"/>
      <c r="P158" s="2"/>
    </row>
    <row r="159" spans="2:16" customFormat="1" ht="16.5" x14ac:dyDescent="0.35">
      <c r="B159" s="641" t="s">
        <v>136</v>
      </c>
      <c r="C159" s="641"/>
      <c r="D159" s="641"/>
      <c r="E159" s="215">
        <v>17604.3</v>
      </c>
      <c r="F159" s="131"/>
      <c r="G159" s="110"/>
      <c r="H159" s="110"/>
      <c r="I159" s="110"/>
      <c r="J159" s="110"/>
      <c r="K159" s="110"/>
      <c r="L159" s="110"/>
      <c r="M159" s="2"/>
      <c r="N159" s="2"/>
      <c r="O159" s="2"/>
      <c r="P159" s="2"/>
    </row>
    <row r="160" spans="2:16" customFormat="1" ht="16.5" x14ac:dyDescent="0.35">
      <c r="B160" s="641" t="s">
        <v>137</v>
      </c>
      <c r="C160" s="641"/>
      <c r="D160" s="641"/>
      <c r="E160" s="215">
        <v>9034.4500000000007</v>
      </c>
      <c r="F160" s="131"/>
      <c r="G160" s="110"/>
      <c r="H160" s="110"/>
      <c r="I160" s="110"/>
      <c r="J160" s="110"/>
      <c r="K160" s="110"/>
      <c r="L160" s="110"/>
      <c r="M160" s="2"/>
      <c r="N160" s="2"/>
      <c r="O160" s="2"/>
      <c r="P160" s="2"/>
    </row>
    <row r="161" spans="2:16" s="18" customFormat="1" ht="15" x14ac:dyDescent="0.25">
      <c r="B161" s="664" t="s">
        <v>106</v>
      </c>
      <c r="C161" s="664"/>
      <c r="D161" s="664"/>
      <c r="E161" s="299">
        <v>39780.74</v>
      </c>
      <c r="F161" s="126"/>
      <c r="G161" s="127"/>
      <c r="H161" s="127"/>
      <c r="I161" s="127"/>
      <c r="J161" s="127"/>
      <c r="K161" s="127"/>
      <c r="L161" s="127"/>
    </row>
    <row r="162" spans="2:16" s="18" customFormat="1" ht="15" x14ac:dyDescent="0.25">
      <c r="B162" s="220" t="s">
        <v>146</v>
      </c>
      <c r="C162" s="220"/>
      <c r="D162" s="220"/>
      <c r="E162" s="299">
        <v>11930.51</v>
      </c>
      <c r="F162" s="126"/>
      <c r="G162" s="127"/>
      <c r="H162" s="127"/>
      <c r="I162" s="127"/>
      <c r="J162" s="127"/>
      <c r="K162" s="127"/>
      <c r="L162" s="127"/>
    </row>
    <row r="163" spans="2:16" s="18" customFormat="1" ht="15" x14ac:dyDescent="0.25">
      <c r="B163" s="664" t="s">
        <v>138</v>
      </c>
      <c r="C163" s="664"/>
      <c r="D163" s="664"/>
      <c r="E163" s="299">
        <v>2150</v>
      </c>
      <c r="F163" s="126"/>
      <c r="G163" s="127"/>
      <c r="H163" s="127"/>
      <c r="I163" s="127"/>
      <c r="J163" s="127"/>
      <c r="K163" s="127"/>
      <c r="L163" s="127"/>
    </row>
    <row r="164" spans="2:16" customFormat="1" ht="19.5" customHeight="1" x14ac:dyDescent="0.3">
      <c r="B164" s="649" t="s">
        <v>98</v>
      </c>
      <c r="C164" s="649"/>
      <c r="D164" s="649"/>
      <c r="E164" s="309">
        <f>SUM(E158:E163)</f>
        <v>80522.049999999988</v>
      </c>
      <c r="F164" s="132"/>
      <c r="G164" s="110"/>
      <c r="H164" s="110"/>
      <c r="I164" s="110"/>
      <c r="J164" s="110"/>
      <c r="K164" s="110"/>
      <c r="L164" s="110"/>
      <c r="M164" s="2"/>
      <c r="N164" s="2"/>
      <c r="O164" s="2"/>
      <c r="P164" s="2"/>
    </row>
    <row r="165" spans="2:16" customFormat="1" ht="7.5" customHeight="1" x14ac:dyDescent="0.3"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2"/>
      <c r="N165" s="2"/>
      <c r="O165" s="2"/>
      <c r="P165" s="2"/>
    </row>
    <row r="166" spans="2:16" s="20" customFormat="1" ht="54" x14ac:dyDescent="0.25">
      <c r="B166" s="315" t="s">
        <v>52</v>
      </c>
      <c r="C166" s="663" t="s">
        <v>896</v>
      </c>
      <c r="D166" s="663"/>
      <c r="E166" s="663" t="s">
        <v>897</v>
      </c>
      <c r="F166" s="663"/>
      <c r="G166" s="663"/>
      <c r="H166" s="310" t="s">
        <v>898</v>
      </c>
      <c r="I166" s="289" t="s">
        <v>899</v>
      </c>
      <c r="J166" s="291" t="s">
        <v>98</v>
      </c>
      <c r="K166" s="129"/>
      <c r="L166" s="129"/>
    </row>
    <row r="167" spans="2:16" s="20" customFormat="1" ht="15" x14ac:dyDescent="0.25">
      <c r="B167" s="316"/>
      <c r="C167" s="295" t="s">
        <v>322</v>
      </c>
      <c r="D167" s="295" t="s">
        <v>324</v>
      </c>
      <c r="E167" s="295" t="s">
        <v>330</v>
      </c>
      <c r="F167" s="295" t="s">
        <v>331</v>
      </c>
      <c r="G167" s="295" t="s">
        <v>333</v>
      </c>
      <c r="H167" s="295" t="s">
        <v>326</v>
      </c>
      <c r="I167" s="295" t="s">
        <v>342</v>
      </c>
      <c r="J167" s="297"/>
      <c r="K167" s="129"/>
      <c r="L167" s="129"/>
    </row>
    <row r="168" spans="2:16" customFormat="1" ht="16.5" x14ac:dyDescent="0.35">
      <c r="B168" s="321" t="s">
        <v>53</v>
      </c>
      <c r="C168" s="202">
        <v>115739.56</v>
      </c>
      <c r="D168" s="202">
        <v>272612.21000000002</v>
      </c>
      <c r="E168" s="202"/>
      <c r="F168" s="202">
        <v>26079.79</v>
      </c>
      <c r="G168" s="202">
        <v>33019.870000000003</v>
      </c>
      <c r="H168" s="202">
        <v>38927.040000000001</v>
      </c>
      <c r="I168" s="202"/>
      <c r="J168" s="322">
        <f>C168+D168+F168+G168+H168+I168+E168</f>
        <v>486378.47</v>
      </c>
      <c r="K168" s="110"/>
      <c r="L168" s="110"/>
      <c r="M168" s="2"/>
      <c r="N168" s="2"/>
    </row>
    <row r="169" spans="2:16" customFormat="1" ht="16.5" x14ac:dyDescent="0.35">
      <c r="B169" s="321" t="s">
        <v>54</v>
      </c>
      <c r="C169" s="202">
        <v>40326.86</v>
      </c>
      <c r="D169" s="202">
        <v>94971.37</v>
      </c>
      <c r="E169" s="202"/>
      <c r="F169" s="202">
        <v>9424.0499999999993</v>
      </c>
      <c r="G169" s="202">
        <v>11589.69</v>
      </c>
      <c r="H169" s="202">
        <v>13709.12</v>
      </c>
      <c r="I169" s="202"/>
      <c r="J169" s="322">
        <f t="shared" ref="J169:J178" si="15">C169+D169+F169+G169+H169+I169+E169</f>
        <v>170021.08999999997</v>
      </c>
      <c r="K169" s="110"/>
      <c r="L169" s="110"/>
      <c r="M169" s="2"/>
      <c r="N169" s="2"/>
    </row>
    <row r="170" spans="2:16" customFormat="1" ht="16.5" x14ac:dyDescent="0.35">
      <c r="B170" s="321" t="s">
        <v>55</v>
      </c>
      <c r="C170" s="202">
        <f t="shared" ref="C170:I170" si="16">SUM(C171:C175)</f>
        <v>38189.56</v>
      </c>
      <c r="D170" s="202">
        <f t="shared" si="16"/>
        <v>83311.31</v>
      </c>
      <c r="E170" s="202">
        <f t="shared" si="16"/>
        <v>21468.720000000001</v>
      </c>
      <c r="F170" s="202">
        <f t="shared" si="16"/>
        <v>24812</v>
      </c>
      <c r="G170" s="202">
        <f t="shared" si="16"/>
        <v>35096.93</v>
      </c>
      <c r="H170" s="202">
        <f t="shared" si="16"/>
        <v>10100</v>
      </c>
      <c r="I170" s="202">
        <f t="shared" si="16"/>
        <v>33.200000000000003</v>
      </c>
      <c r="J170" s="322">
        <f t="shared" si="15"/>
        <v>213011.72</v>
      </c>
      <c r="K170" s="110"/>
      <c r="L170" s="110"/>
      <c r="M170" s="2"/>
      <c r="N170" s="2"/>
    </row>
    <row r="171" spans="2:16" customFormat="1" ht="16.5" x14ac:dyDescent="0.35">
      <c r="B171" s="220" t="s">
        <v>56</v>
      </c>
      <c r="C171" s="201">
        <v>19152.560000000001</v>
      </c>
      <c r="D171" s="201">
        <v>22211</v>
      </c>
      <c r="E171" s="201"/>
      <c r="F171" s="201">
        <v>6500</v>
      </c>
      <c r="G171" s="201">
        <v>7120</v>
      </c>
      <c r="H171" s="201">
        <v>4500</v>
      </c>
      <c r="I171" s="201"/>
      <c r="J171" s="254">
        <f t="shared" si="15"/>
        <v>59483.56</v>
      </c>
      <c r="K171" s="110"/>
      <c r="L171" s="110"/>
      <c r="M171" s="2"/>
      <c r="N171" s="2"/>
    </row>
    <row r="172" spans="2:16" customFormat="1" ht="16.5" x14ac:dyDescent="0.35">
      <c r="B172" s="220" t="s">
        <v>57</v>
      </c>
      <c r="C172" s="201">
        <v>8071</v>
      </c>
      <c r="D172" s="201">
        <v>34072.300000000003</v>
      </c>
      <c r="E172" s="201">
        <v>21468.720000000001</v>
      </c>
      <c r="F172" s="201">
        <v>12812</v>
      </c>
      <c r="G172" s="201">
        <v>14351</v>
      </c>
      <c r="H172" s="201">
        <v>900</v>
      </c>
      <c r="I172" s="201">
        <v>33.200000000000003</v>
      </c>
      <c r="J172" s="254">
        <f t="shared" si="15"/>
        <v>91708.22</v>
      </c>
      <c r="K172" s="110"/>
      <c r="L172" s="110"/>
      <c r="M172" s="2"/>
      <c r="N172" s="2"/>
    </row>
    <row r="173" spans="2:16" s="103" customFormat="1" ht="16.5" x14ac:dyDescent="0.35">
      <c r="B173" s="220" t="s">
        <v>58</v>
      </c>
      <c r="C173" s="201">
        <v>640</v>
      </c>
      <c r="D173" s="201"/>
      <c r="E173" s="201"/>
      <c r="F173" s="201"/>
      <c r="G173" s="201"/>
      <c r="H173" s="201"/>
      <c r="I173" s="201"/>
      <c r="J173" s="254">
        <f t="shared" si="15"/>
        <v>640</v>
      </c>
      <c r="K173" s="110"/>
      <c r="L173" s="110"/>
      <c r="M173" s="46"/>
      <c r="N173" s="46"/>
    </row>
    <row r="174" spans="2:16" customFormat="1" ht="16.5" x14ac:dyDescent="0.35">
      <c r="B174" s="220" t="s">
        <v>59</v>
      </c>
      <c r="C174" s="201">
        <v>2600</v>
      </c>
      <c r="D174" s="201">
        <v>16000</v>
      </c>
      <c r="E174" s="201"/>
      <c r="F174" s="201">
        <v>1000</v>
      </c>
      <c r="G174" s="201">
        <v>2600</v>
      </c>
      <c r="H174" s="201">
        <v>3300</v>
      </c>
      <c r="I174" s="201"/>
      <c r="J174" s="254">
        <f t="shared" si="15"/>
        <v>25500</v>
      </c>
      <c r="K174" s="110"/>
      <c r="L174" s="110"/>
      <c r="M174" s="2"/>
      <c r="N174" s="2"/>
    </row>
    <row r="175" spans="2:16" customFormat="1" ht="16.5" x14ac:dyDescent="0.35">
      <c r="B175" s="220" t="s">
        <v>61</v>
      </c>
      <c r="C175" s="201">
        <v>7726</v>
      </c>
      <c r="D175" s="201">
        <v>11028.01</v>
      </c>
      <c r="E175" s="201"/>
      <c r="F175" s="201">
        <v>4500</v>
      </c>
      <c r="G175" s="201">
        <v>11025.93</v>
      </c>
      <c r="H175" s="201">
        <v>1400</v>
      </c>
      <c r="I175" s="201"/>
      <c r="J175" s="254">
        <f t="shared" si="15"/>
        <v>35679.94</v>
      </c>
      <c r="K175" s="110"/>
      <c r="L175" s="110"/>
      <c r="M175" s="2"/>
      <c r="N175" s="2"/>
    </row>
    <row r="176" spans="2:16" customFormat="1" ht="16.5" x14ac:dyDescent="0.35">
      <c r="B176" s="321" t="s">
        <v>62</v>
      </c>
      <c r="C176" s="202">
        <v>2839.8</v>
      </c>
      <c r="D176" s="202">
        <v>2869.38</v>
      </c>
      <c r="E176" s="202"/>
      <c r="F176" s="202">
        <v>1523.28</v>
      </c>
      <c r="G176" s="202">
        <v>0</v>
      </c>
      <c r="H176" s="202">
        <v>139.47999999999999</v>
      </c>
      <c r="I176" s="202"/>
      <c r="J176" s="322">
        <f t="shared" si="15"/>
        <v>7371.94</v>
      </c>
      <c r="K176" s="110"/>
      <c r="L176" s="110"/>
      <c r="M176" s="2"/>
      <c r="N176" s="2"/>
    </row>
    <row r="177" spans="2:16" s="103" customFormat="1" ht="16.5" x14ac:dyDescent="0.35">
      <c r="B177" s="321" t="s">
        <v>901</v>
      </c>
      <c r="C177" s="202"/>
      <c r="D177" s="202"/>
      <c r="E177" s="202"/>
      <c r="F177" s="202"/>
      <c r="G177" s="202">
        <v>4800</v>
      </c>
      <c r="H177" s="202"/>
      <c r="I177" s="202"/>
      <c r="J177" s="322">
        <f t="shared" si="15"/>
        <v>4800</v>
      </c>
      <c r="K177" s="110"/>
      <c r="L177" s="110"/>
      <c r="M177" s="46"/>
      <c r="N177" s="46"/>
    </row>
    <row r="178" spans="2:16" s="103" customFormat="1" ht="16.5" x14ac:dyDescent="0.35">
      <c r="B178" s="321" t="s">
        <v>902</v>
      </c>
      <c r="C178" s="202"/>
      <c r="D178" s="323">
        <v>16741.84</v>
      </c>
      <c r="E178" s="202"/>
      <c r="F178" s="202"/>
      <c r="G178" s="202"/>
      <c r="H178" s="202"/>
      <c r="I178" s="202"/>
      <c r="J178" s="326">
        <f t="shared" si="15"/>
        <v>16741.84</v>
      </c>
      <c r="K178" s="110"/>
      <c r="L178" s="130"/>
      <c r="M178" s="46"/>
      <c r="N178" s="46"/>
    </row>
    <row r="179" spans="2:16" customFormat="1" ht="22.5" customHeight="1" x14ac:dyDescent="0.3">
      <c r="B179" s="248" t="s">
        <v>98</v>
      </c>
      <c r="C179" s="249">
        <f>C168+C169+C170+C176</f>
        <v>197095.77999999997</v>
      </c>
      <c r="D179" s="249">
        <f>D168+D169+D170+D176+D177+D178</f>
        <v>470506.11000000004</v>
      </c>
      <c r="E179" s="249">
        <f t="shared" ref="E179:I179" si="17">E168+E169+E170+E176</f>
        <v>21468.720000000001</v>
      </c>
      <c r="F179" s="249">
        <f t="shared" si="17"/>
        <v>61839.119999999995</v>
      </c>
      <c r="G179" s="249">
        <f>G168+G169+G170+G176+G177+G178</f>
        <v>84506.49</v>
      </c>
      <c r="H179" s="249">
        <f t="shared" si="17"/>
        <v>62875.640000000007</v>
      </c>
      <c r="I179" s="249">
        <f t="shared" si="17"/>
        <v>33.200000000000003</v>
      </c>
      <c r="J179" s="301">
        <f>C179+D179+F179+G179+H179+I179+E179</f>
        <v>898325.05999999994</v>
      </c>
      <c r="K179" s="110"/>
      <c r="L179" s="110"/>
      <c r="M179" s="2"/>
      <c r="N179" s="2"/>
    </row>
    <row r="180" spans="2:16" customFormat="1" ht="15.75" x14ac:dyDescent="0.3"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2"/>
      <c r="N180" s="2"/>
      <c r="O180" s="2"/>
      <c r="P180" s="2"/>
    </row>
    <row r="181" spans="2:16" customFormat="1" ht="15.75" x14ac:dyDescent="0.3"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2"/>
      <c r="N181" s="2"/>
      <c r="O181" s="2"/>
      <c r="P181" s="2"/>
    </row>
    <row r="182" spans="2:16" customFormat="1" ht="15.75" x14ac:dyDescent="0.3"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2"/>
      <c r="N182" s="2"/>
      <c r="O182" s="2"/>
      <c r="P182" s="2"/>
    </row>
    <row r="183" spans="2:16" customFormat="1" ht="15.75" x14ac:dyDescent="0.3"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2"/>
      <c r="N183" s="2"/>
      <c r="O183" s="2"/>
      <c r="P183" s="2"/>
    </row>
    <row r="184" spans="2:16" s="184" customFormat="1" ht="15.75" x14ac:dyDescent="0.3"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46"/>
      <c r="N184" s="46"/>
      <c r="O184" s="46"/>
      <c r="P184" s="46"/>
    </row>
    <row r="185" spans="2:16" s="184" customFormat="1" ht="15.75" x14ac:dyDescent="0.3"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46"/>
      <c r="N185" s="46"/>
      <c r="O185" s="46"/>
      <c r="P185" s="46"/>
    </row>
    <row r="186" spans="2:16" customFormat="1" ht="15.75" x14ac:dyDescent="0.3"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2"/>
      <c r="N186" s="2"/>
      <c r="O186" s="2"/>
      <c r="P186" s="2"/>
    </row>
    <row r="187" spans="2:16" customFormat="1" ht="15.75" x14ac:dyDescent="0.3"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2"/>
      <c r="N187" s="2"/>
      <c r="O187" s="2"/>
      <c r="P187" s="2"/>
    </row>
    <row r="188" spans="2:16" customFormat="1" ht="15.75" x14ac:dyDescent="0.3"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2"/>
      <c r="N188" s="2"/>
      <c r="O188" s="2"/>
      <c r="P188" s="2"/>
    </row>
    <row r="189" spans="2:16" customFormat="1" ht="18.75" x14ac:dyDescent="0.3">
      <c r="B189" s="122" t="s">
        <v>147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2"/>
      <c r="N189" s="2"/>
      <c r="O189" s="2"/>
      <c r="P189" s="2"/>
    </row>
    <row r="190" spans="2:16" customFormat="1" ht="7.5" customHeight="1" x14ac:dyDescent="0.3"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2"/>
      <c r="N190" s="2"/>
      <c r="O190" s="2"/>
      <c r="P190" s="2"/>
    </row>
    <row r="191" spans="2:16" customFormat="1" ht="20.25" customHeight="1" x14ac:dyDescent="0.3">
      <c r="B191" s="651" t="s">
        <v>102</v>
      </c>
      <c r="C191" s="651"/>
      <c r="D191" s="651"/>
      <c r="E191" s="651"/>
      <c r="F191" s="123"/>
      <c r="G191" s="110"/>
      <c r="H191" s="110"/>
      <c r="I191" s="110"/>
      <c r="J191" s="110"/>
      <c r="K191" s="110"/>
      <c r="L191" s="110"/>
      <c r="M191" s="2"/>
      <c r="N191" s="2"/>
      <c r="O191" s="2"/>
      <c r="P191" s="2"/>
    </row>
    <row r="192" spans="2:16" customFormat="1" ht="16.5" x14ac:dyDescent="0.35">
      <c r="B192" s="641" t="s">
        <v>135</v>
      </c>
      <c r="C192" s="641"/>
      <c r="D192" s="641"/>
      <c r="E192" s="201">
        <v>108</v>
      </c>
      <c r="F192" s="125"/>
      <c r="G192" s="110"/>
      <c r="H192" s="110"/>
      <c r="I192" s="110"/>
      <c r="J192" s="110"/>
      <c r="K192" s="110"/>
      <c r="L192" s="110"/>
      <c r="M192" s="2"/>
      <c r="N192" s="2"/>
      <c r="O192" s="2"/>
      <c r="P192" s="2"/>
    </row>
    <row r="193" spans="2:16" customFormat="1" ht="16.5" x14ac:dyDescent="0.35">
      <c r="B193" s="641" t="s">
        <v>47</v>
      </c>
      <c r="C193" s="641"/>
      <c r="D193" s="641"/>
      <c r="E193" s="201">
        <v>24709.4</v>
      </c>
      <c r="F193" s="125"/>
      <c r="G193" s="110"/>
      <c r="H193" s="110"/>
      <c r="I193" s="110"/>
      <c r="J193" s="110"/>
      <c r="K193" s="110"/>
      <c r="L193" s="110"/>
      <c r="M193" s="2"/>
      <c r="N193" s="2"/>
      <c r="O193" s="2"/>
      <c r="P193" s="2"/>
    </row>
    <row r="194" spans="2:16" customFormat="1" ht="16.5" x14ac:dyDescent="0.35">
      <c r="B194" s="641" t="s">
        <v>137</v>
      </c>
      <c r="C194" s="641"/>
      <c r="D194" s="641"/>
      <c r="E194" s="201">
        <v>19968.099999999999</v>
      </c>
      <c r="F194" s="125"/>
      <c r="G194" s="110"/>
      <c r="H194" s="110"/>
      <c r="I194" s="110"/>
      <c r="J194" s="110"/>
      <c r="K194" s="110"/>
      <c r="L194" s="110"/>
      <c r="M194" s="2"/>
      <c r="N194" s="2"/>
      <c r="O194" s="2"/>
      <c r="P194" s="2"/>
    </row>
    <row r="195" spans="2:16" customFormat="1" ht="16.5" x14ac:dyDescent="0.35">
      <c r="B195" s="317" t="s">
        <v>106</v>
      </c>
      <c r="C195" s="317"/>
      <c r="D195" s="317"/>
      <c r="E195" s="201">
        <v>67039.22</v>
      </c>
      <c r="F195" s="125"/>
      <c r="G195" s="110"/>
      <c r="H195" s="110"/>
      <c r="I195" s="110"/>
      <c r="J195" s="110"/>
      <c r="K195" s="110"/>
      <c r="L195" s="110"/>
      <c r="M195" s="2"/>
      <c r="N195" s="2"/>
      <c r="O195" s="2"/>
      <c r="P195" s="2"/>
    </row>
    <row r="196" spans="2:16" customFormat="1" ht="16.5" x14ac:dyDescent="0.35">
      <c r="B196" s="639" t="s">
        <v>49</v>
      </c>
      <c r="C196" s="639"/>
      <c r="D196" s="639"/>
      <c r="E196" s="201">
        <v>9199</v>
      </c>
      <c r="F196" s="125"/>
      <c r="G196" s="110"/>
      <c r="H196" s="110"/>
      <c r="I196" s="110"/>
      <c r="J196" s="110"/>
      <c r="K196" s="110"/>
      <c r="L196" s="110"/>
      <c r="M196" s="2"/>
      <c r="N196" s="2"/>
      <c r="O196" s="2"/>
      <c r="P196" s="2"/>
    </row>
    <row r="197" spans="2:16" s="103" customFormat="1" ht="16.5" x14ac:dyDescent="0.35">
      <c r="B197" s="214" t="s">
        <v>139</v>
      </c>
      <c r="C197" s="214"/>
      <c r="D197" s="214"/>
      <c r="E197" s="201">
        <v>28946</v>
      </c>
      <c r="F197" s="125"/>
      <c r="G197" s="110"/>
      <c r="H197" s="110"/>
      <c r="I197" s="110"/>
      <c r="J197" s="110"/>
      <c r="K197" s="110"/>
      <c r="L197" s="110"/>
      <c r="M197" s="46"/>
      <c r="N197" s="46"/>
      <c r="O197" s="46"/>
      <c r="P197" s="46"/>
    </row>
    <row r="198" spans="2:16" customFormat="1" ht="21" customHeight="1" x14ac:dyDescent="0.3">
      <c r="B198" s="649" t="s">
        <v>98</v>
      </c>
      <c r="C198" s="649"/>
      <c r="D198" s="649"/>
      <c r="E198" s="249">
        <f>SUM(E192:E197)</f>
        <v>149969.72</v>
      </c>
      <c r="F198" s="133"/>
      <c r="G198" s="110"/>
      <c r="H198" s="110"/>
      <c r="I198" s="110"/>
      <c r="J198" s="110"/>
      <c r="K198" s="110"/>
      <c r="L198" s="110"/>
      <c r="M198" s="2"/>
      <c r="N198" s="2"/>
      <c r="O198" s="2"/>
      <c r="P198" s="2"/>
    </row>
    <row r="199" spans="2:16" customFormat="1" ht="9.75" customHeight="1" x14ac:dyDescent="0.3"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2"/>
      <c r="N199" s="2"/>
      <c r="O199" s="2"/>
      <c r="P199" s="2"/>
    </row>
    <row r="200" spans="2:16" s="20" customFormat="1" ht="40.5" x14ac:dyDescent="0.25">
      <c r="B200" s="219" t="s">
        <v>52</v>
      </c>
      <c r="C200" s="663" t="s">
        <v>896</v>
      </c>
      <c r="D200" s="663"/>
      <c r="E200" s="663" t="s">
        <v>897</v>
      </c>
      <c r="F200" s="663"/>
      <c r="G200" s="289" t="s">
        <v>898</v>
      </c>
      <c r="H200" s="252" t="s">
        <v>98</v>
      </c>
      <c r="I200" s="129"/>
      <c r="J200" s="129"/>
      <c r="K200" s="129"/>
      <c r="L200" s="129"/>
    </row>
    <row r="201" spans="2:16" s="20" customFormat="1" ht="15" x14ac:dyDescent="0.25">
      <c r="B201" s="294"/>
      <c r="C201" s="295" t="s">
        <v>322</v>
      </c>
      <c r="D201" s="295" t="s">
        <v>324</v>
      </c>
      <c r="E201" s="295" t="s">
        <v>331</v>
      </c>
      <c r="F201" s="295" t="s">
        <v>333</v>
      </c>
      <c r="G201" s="295" t="s">
        <v>326</v>
      </c>
      <c r="H201" s="318"/>
      <c r="I201" s="129"/>
      <c r="J201" s="129"/>
      <c r="K201" s="129"/>
      <c r="L201" s="129"/>
    </row>
    <row r="202" spans="2:16" customFormat="1" ht="16.5" x14ac:dyDescent="0.35">
      <c r="B202" s="321" t="s">
        <v>53</v>
      </c>
      <c r="C202" s="202">
        <v>325217.05</v>
      </c>
      <c r="D202" s="202">
        <v>664758.59</v>
      </c>
      <c r="E202" s="202">
        <v>48877.99</v>
      </c>
      <c r="F202" s="202">
        <v>64248.33</v>
      </c>
      <c r="G202" s="202">
        <v>113889.57</v>
      </c>
      <c r="H202" s="322">
        <f>C202+D202+E202+F202+G202</f>
        <v>1216991.53</v>
      </c>
      <c r="I202" s="110"/>
      <c r="J202" s="110"/>
      <c r="K202" s="110"/>
      <c r="L202" s="110"/>
    </row>
    <row r="203" spans="2:16" customFormat="1" ht="16.5" x14ac:dyDescent="0.35">
      <c r="B203" s="321" t="s">
        <v>54</v>
      </c>
      <c r="C203" s="202">
        <v>117574.53</v>
      </c>
      <c r="D203" s="202">
        <v>231014.98</v>
      </c>
      <c r="E203" s="202">
        <v>17936.080000000002</v>
      </c>
      <c r="F203" s="202">
        <v>23597.57</v>
      </c>
      <c r="G203" s="202">
        <v>41226.33</v>
      </c>
      <c r="H203" s="322">
        <f t="shared" ref="H203:H212" si="18">C203+D203+E203+F203+G203</f>
        <v>431349.49000000005</v>
      </c>
      <c r="I203" s="110"/>
      <c r="J203" s="110"/>
      <c r="K203" s="110"/>
      <c r="L203" s="110"/>
    </row>
    <row r="204" spans="2:16" customFormat="1" ht="16.5" x14ac:dyDescent="0.35">
      <c r="B204" s="321" t="s">
        <v>55</v>
      </c>
      <c r="C204" s="202">
        <f>SUM(C205:C209)</f>
        <v>86999.26</v>
      </c>
      <c r="D204" s="202">
        <f>SUM(D205:D209)</f>
        <v>102481.09</v>
      </c>
      <c r="E204" s="202">
        <f>SUM(E205:E209)</f>
        <v>42435.45</v>
      </c>
      <c r="F204" s="202">
        <f>SUM(F205:F209)</f>
        <v>67160.25</v>
      </c>
      <c r="G204" s="202">
        <f>SUM(G205:G209)</f>
        <v>9700</v>
      </c>
      <c r="H204" s="322">
        <f t="shared" si="18"/>
        <v>308776.05</v>
      </c>
      <c r="I204" s="110"/>
      <c r="J204" s="110"/>
      <c r="K204" s="110"/>
      <c r="L204" s="110"/>
    </row>
    <row r="205" spans="2:16" customFormat="1" ht="16.5" x14ac:dyDescent="0.35">
      <c r="B205" s="220" t="s">
        <v>56</v>
      </c>
      <c r="C205" s="201">
        <v>22209.43</v>
      </c>
      <c r="D205" s="201">
        <v>21199.64</v>
      </c>
      <c r="E205" s="201">
        <v>1499.94</v>
      </c>
      <c r="F205" s="201">
        <v>1800</v>
      </c>
      <c r="G205" s="201">
        <v>2500</v>
      </c>
      <c r="H205" s="254">
        <f t="shared" si="18"/>
        <v>49209.01</v>
      </c>
      <c r="I205" s="110"/>
      <c r="J205" s="110"/>
      <c r="K205" s="110"/>
      <c r="L205" s="110"/>
    </row>
    <row r="206" spans="2:16" customFormat="1" ht="16.5" x14ac:dyDescent="0.35">
      <c r="B206" s="220" t="s">
        <v>57</v>
      </c>
      <c r="C206" s="201">
        <v>34500</v>
      </c>
      <c r="D206" s="201">
        <v>37941.620000000003</v>
      </c>
      <c r="E206" s="201">
        <v>36735.599999999999</v>
      </c>
      <c r="F206" s="201">
        <v>61160.25</v>
      </c>
      <c r="G206" s="201">
        <v>2100</v>
      </c>
      <c r="H206" s="254">
        <f t="shared" si="18"/>
        <v>172437.47</v>
      </c>
      <c r="I206" s="110"/>
      <c r="J206" s="110"/>
      <c r="K206" s="110"/>
      <c r="L206" s="110"/>
    </row>
    <row r="207" spans="2:16" customFormat="1" ht="16.5" x14ac:dyDescent="0.35">
      <c r="B207" s="220" t="s">
        <v>58</v>
      </c>
      <c r="C207" s="201">
        <v>0</v>
      </c>
      <c r="D207" s="201">
        <v>900</v>
      </c>
      <c r="E207" s="201">
        <v>0</v>
      </c>
      <c r="F207" s="201">
        <v>0</v>
      </c>
      <c r="G207" s="201">
        <v>0</v>
      </c>
      <c r="H207" s="254">
        <f t="shared" si="18"/>
        <v>900</v>
      </c>
      <c r="I207" s="110"/>
      <c r="J207" s="110"/>
      <c r="K207" s="110"/>
      <c r="L207" s="110"/>
    </row>
    <row r="208" spans="2:16" customFormat="1" ht="16.5" x14ac:dyDescent="0.35">
      <c r="B208" s="220" t="s">
        <v>59</v>
      </c>
      <c r="C208" s="201">
        <v>10040</v>
      </c>
      <c r="D208" s="201">
        <v>14999.05</v>
      </c>
      <c r="E208" s="201">
        <v>1500</v>
      </c>
      <c r="F208" s="201">
        <v>0</v>
      </c>
      <c r="G208" s="201">
        <v>3000</v>
      </c>
      <c r="H208" s="254">
        <f t="shared" si="18"/>
        <v>29539.05</v>
      </c>
      <c r="I208" s="110"/>
      <c r="J208" s="110"/>
      <c r="K208" s="110"/>
      <c r="L208" s="110"/>
    </row>
    <row r="209" spans="2:16" customFormat="1" ht="16.5" x14ac:dyDescent="0.35">
      <c r="B209" s="220" t="s">
        <v>61</v>
      </c>
      <c r="C209" s="201">
        <v>20249.830000000002</v>
      </c>
      <c r="D209" s="201">
        <v>27440.78</v>
      </c>
      <c r="E209" s="201">
        <v>2699.91</v>
      </c>
      <c r="F209" s="201">
        <v>4200</v>
      </c>
      <c r="G209" s="201">
        <v>2100</v>
      </c>
      <c r="H209" s="254">
        <f t="shared" si="18"/>
        <v>56690.520000000004</v>
      </c>
      <c r="I209" s="110"/>
      <c r="J209" s="110"/>
      <c r="K209" s="110"/>
      <c r="L209" s="110"/>
    </row>
    <row r="210" spans="2:16" customFormat="1" ht="16.5" x14ac:dyDescent="0.35">
      <c r="B210" s="321" t="s">
        <v>62</v>
      </c>
      <c r="C210" s="202">
        <v>1100</v>
      </c>
      <c r="D210" s="202">
        <v>2469.2399999999998</v>
      </c>
      <c r="E210" s="202">
        <v>148.05000000000001</v>
      </c>
      <c r="F210" s="202">
        <v>137.15</v>
      </c>
      <c r="G210" s="202">
        <v>666.1</v>
      </c>
      <c r="H210" s="322">
        <f t="shared" si="18"/>
        <v>4520.54</v>
      </c>
      <c r="I210" s="110"/>
      <c r="J210" s="110"/>
      <c r="K210" s="110"/>
      <c r="L210" s="110"/>
    </row>
    <row r="211" spans="2:16" s="103" customFormat="1" ht="16.5" x14ac:dyDescent="0.35">
      <c r="B211" s="321" t="s">
        <v>904</v>
      </c>
      <c r="C211" s="202"/>
      <c r="D211" s="202"/>
      <c r="E211" s="202"/>
      <c r="F211" s="202">
        <v>5388</v>
      </c>
      <c r="G211" s="202"/>
      <c r="H211" s="322"/>
      <c r="I211" s="110"/>
      <c r="J211" s="110"/>
      <c r="K211" s="110"/>
      <c r="L211" s="110"/>
    </row>
    <row r="212" spans="2:16" customFormat="1" ht="24" customHeight="1" x14ac:dyDescent="0.3">
      <c r="B212" s="248" t="s">
        <v>98</v>
      </c>
      <c r="C212" s="249">
        <f>C202+C203+C204+C210</f>
        <v>530890.84</v>
      </c>
      <c r="D212" s="249">
        <f>D202+D203+D204+D210</f>
        <v>1000723.8999999999</v>
      </c>
      <c r="E212" s="249">
        <f>E202+E203+E204+E210</f>
        <v>109397.57</v>
      </c>
      <c r="F212" s="249">
        <f>F202+F203+F204+F210+F211</f>
        <v>160531.29999999999</v>
      </c>
      <c r="G212" s="249">
        <f>G202+G203+G204+G210</f>
        <v>165482.00000000003</v>
      </c>
      <c r="H212" s="301">
        <f t="shared" si="18"/>
        <v>1967025.6099999999</v>
      </c>
      <c r="I212" s="110"/>
      <c r="J212" s="110"/>
      <c r="K212" s="110"/>
      <c r="L212" s="110"/>
    </row>
    <row r="213" spans="2:16" customFormat="1" ht="15.75" x14ac:dyDescent="0.3">
      <c r="B213" s="110"/>
      <c r="C213" s="110"/>
      <c r="D213" s="110"/>
      <c r="E213" s="110"/>
      <c r="F213" s="110"/>
      <c r="G213" s="110"/>
      <c r="H213" s="110"/>
      <c r="I213" s="134"/>
      <c r="J213" s="134"/>
      <c r="K213" s="134"/>
      <c r="L213" s="110"/>
      <c r="M213" s="2"/>
      <c r="N213" s="2"/>
      <c r="O213" s="2"/>
      <c r="P213" s="2"/>
    </row>
    <row r="214" spans="2:16" s="68" customFormat="1" ht="15.75" x14ac:dyDescent="0.3">
      <c r="B214" s="110"/>
      <c r="C214" s="110"/>
      <c r="D214" s="110"/>
      <c r="E214" s="110"/>
      <c r="F214" s="110"/>
      <c r="G214" s="110"/>
      <c r="H214" s="110"/>
      <c r="I214" s="134"/>
      <c r="J214" s="134"/>
      <c r="K214" s="134"/>
      <c r="L214" s="110"/>
      <c r="M214" s="46"/>
      <c r="N214" s="46"/>
      <c r="O214" s="46"/>
      <c r="P214" s="46"/>
    </row>
    <row r="215" spans="2:16" s="68" customFormat="1" ht="15.75" x14ac:dyDescent="0.3">
      <c r="B215" s="110"/>
      <c r="C215" s="110"/>
      <c r="D215" s="110"/>
      <c r="E215" s="110"/>
      <c r="F215" s="110"/>
      <c r="G215" s="110"/>
      <c r="H215" s="110"/>
      <c r="I215" s="134"/>
      <c r="J215" s="134"/>
      <c r="K215" s="134"/>
      <c r="L215" s="110"/>
      <c r="M215" s="46"/>
      <c r="N215" s="46"/>
      <c r="O215" s="46"/>
      <c r="P215" s="46"/>
    </row>
    <row r="216" spans="2:16" customFormat="1" ht="18.75" x14ac:dyDescent="0.3">
      <c r="B216" s="122" t="s">
        <v>148</v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2"/>
      <c r="N216" s="2"/>
      <c r="O216" s="2"/>
      <c r="P216" s="2"/>
    </row>
    <row r="217" spans="2:16" customFormat="1" ht="7.5" customHeight="1" x14ac:dyDescent="0.3"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2"/>
      <c r="N217" s="2"/>
      <c r="O217" s="2"/>
      <c r="P217" s="2"/>
    </row>
    <row r="218" spans="2:16" s="19" customFormat="1" ht="19.5" customHeight="1" thickBot="1" x14ac:dyDescent="0.3">
      <c r="B218" s="667" t="s">
        <v>102</v>
      </c>
      <c r="C218" s="667"/>
      <c r="D218" s="667"/>
      <c r="E218" s="667"/>
      <c r="F218" s="123"/>
      <c r="G218" s="124"/>
      <c r="H218" s="124"/>
      <c r="I218" s="124"/>
      <c r="J218" s="124"/>
      <c r="K218" s="124"/>
      <c r="L218" s="124"/>
    </row>
    <row r="219" spans="2:16" customFormat="1" ht="17.25" thickTop="1" x14ac:dyDescent="0.35">
      <c r="B219" s="668" t="s">
        <v>135</v>
      </c>
      <c r="C219" s="668"/>
      <c r="D219" s="668"/>
      <c r="E219" s="308">
        <v>2214.12</v>
      </c>
      <c r="F219" s="131"/>
      <c r="G219" s="110"/>
      <c r="H219" s="110"/>
      <c r="I219" s="110"/>
      <c r="J219" s="110"/>
      <c r="K219" s="110"/>
      <c r="L219" s="110"/>
      <c r="M219" s="2"/>
      <c r="N219" s="2"/>
      <c r="O219" s="2"/>
      <c r="P219" s="2"/>
    </row>
    <row r="220" spans="2:16" customFormat="1" ht="16.5" x14ac:dyDescent="0.35">
      <c r="B220" s="669" t="s">
        <v>136</v>
      </c>
      <c r="C220" s="669"/>
      <c r="D220" s="669"/>
      <c r="E220" s="306">
        <v>33515.75</v>
      </c>
      <c r="F220" s="131"/>
      <c r="G220" s="110"/>
      <c r="H220" s="110"/>
      <c r="I220" s="110"/>
      <c r="J220" s="110"/>
      <c r="K220" s="110"/>
      <c r="L220" s="110"/>
      <c r="M220" s="2"/>
      <c r="N220" s="2"/>
      <c r="O220" s="2"/>
      <c r="P220" s="2"/>
    </row>
    <row r="221" spans="2:16" customFormat="1" ht="16.5" x14ac:dyDescent="0.35">
      <c r="B221" s="669" t="s">
        <v>137</v>
      </c>
      <c r="C221" s="669"/>
      <c r="D221" s="669"/>
      <c r="E221" s="306">
        <v>28505.24</v>
      </c>
      <c r="F221" s="131"/>
      <c r="G221" s="110"/>
      <c r="H221" s="110"/>
      <c r="I221" s="110"/>
      <c r="J221" s="110"/>
      <c r="K221" s="110"/>
      <c r="L221" s="110"/>
      <c r="M221" s="2"/>
      <c r="N221" s="2"/>
      <c r="O221" s="2"/>
      <c r="P221" s="2"/>
    </row>
    <row r="222" spans="2:16" s="18" customFormat="1" ht="15" x14ac:dyDescent="0.25">
      <c r="B222" s="670" t="s">
        <v>106</v>
      </c>
      <c r="C222" s="670"/>
      <c r="D222" s="670"/>
      <c r="E222" s="305">
        <v>101175.7</v>
      </c>
      <c r="F222" s="126"/>
      <c r="G222" s="127"/>
      <c r="H222" s="127"/>
      <c r="I222" s="127"/>
      <c r="J222" s="127"/>
      <c r="K222" s="127"/>
      <c r="L222" s="127"/>
    </row>
    <row r="223" spans="2:16" s="18" customFormat="1" ht="14.25" customHeight="1" thickBot="1" x14ac:dyDescent="0.3">
      <c r="B223" s="311" t="s">
        <v>138</v>
      </c>
      <c r="C223" s="312"/>
      <c r="D223" s="313"/>
      <c r="E223" s="314">
        <v>2095.98</v>
      </c>
      <c r="F223" s="126"/>
      <c r="G223" s="127"/>
      <c r="H223" s="127"/>
      <c r="I223" s="127"/>
      <c r="J223" s="127"/>
      <c r="K223" s="127"/>
      <c r="L223" s="127"/>
    </row>
    <row r="224" spans="2:16" customFormat="1" ht="20.25" customHeight="1" thickTop="1" x14ac:dyDescent="0.3">
      <c r="B224" s="671" t="s">
        <v>98</v>
      </c>
      <c r="C224" s="671"/>
      <c r="D224" s="671"/>
      <c r="E224" s="319">
        <f>SUM(E219:E223)</f>
        <v>167506.79</v>
      </c>
      <c r="F224" s="132"/>
      <c r="G224" s="110"/>
      <c r="H224" s="110"/>
      <c r="I224" s="110"/>
      <c r="J224" s="110"/>
      <c r="K224" s="110"/>
      <c r="L224" s="110"/>
      <c r="M224" s="2"/>
      <c r="N224" s="2"/>
      <c r="O224" s="2"/>
      <c r="P224" s="2"/>
    </row>
    <row r="225" spans="2:16" customFormat="1" ht="10.5" customHeight="1" x14ac:dyDescent="0.3"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2"/>
      <c r="N225" s="2"/>
      <c r="O225" s="2"/>
      <c r="P225" s="2"/>
    </row>
    <row r="226" spans="2:16" s="20" customFormat="1" ht="40.5" x14ac:dyDescent="0.25">
      <c r="B226" s="219" t="s">
        <v>52</v>
      </c>
      <c r="C226" s="663" t="s">
        <v>896</v>
      </c>
      <c r="D226" s="663"/>
      <c r="E226" s="663" t="s">
        <v>897</v>
      </c>
      <c r="F226" s="663"/>
      <c r="G226" s="310" t="s">
        <v>898</v>
      </c>
      <c r="H226" s="289" t="s">
        <v>899</v>
      </c>
      <c r="I226" s="291" t="s">
        <v>98</v>
      </c>
      <c r="J226" s="129"/>
      <c r="K226" s="129"/>
      <c r="L226" s="129"/>
    </row>
    <row r="227" spans="2:16" s="20" customFormat="1" ht="15" x14ac:dyDescent="0.25">
      <c r="B227" s="294"/>
      <c r="C227" s="295" t="s">
        <v>322</v>
      </c>
      <c r="D227" s="295" t="s">
        <v>324</v>
      </c>
      <c r="E227" s="295" t="s">
        <v>331</v>
      </c>
      <c r="F227" s="295" t="s">
        <v>333</v>
      </c>
      <c r="G227" s="295" t="s">
        <v>326</v>
      </c>
      <c r="H227" s="295" t="s">
        <v>342</v>
      </c>
      <c r="I227" s="297"/>
      <c r="J227" s="129"/>
      <c r="K227" s="129"/>
      <c r="L227" s="129"/>
    </row>
    <row r="228" spans="2:16" customFormat="1" ht="16.5" x14ac:dyDescent="0.35">
      <c r="B228" s="321" t="s">
        <v>53</v>
      </c>
      <c r="C228" s="202">
        <v>541611.5</v>
      </c>
      <c r="D228" s="202">
        <v>618441.36</v>
      </c>
      <c r="E228" s="202">
        <v>51620</v>
      </c>
      <c r="F228" s="202">
        <v>52189.45</v>
      </c>
      <c r="G228" s="202">
        <v>144500.76</v>
      </c>
      <c r="H228" s="202"/>
      <c r="I228" s="322">
        <f>C228+D228+E228+F228+G228+H228</f>
        <v>1408363.0699999998</v>
      </c>
      <c r="J228" s="110"/>
      <c r="K228" s="110"/>
      <c r="L228" s="110"/>
      <c r="M228" s="2"/>
    </row>
    <row r="229" spans="2:16" customFormat="1" ht="16.5" x14ac:dyDescent="0.35">
      <c r="B229" s="321" t="s">
        <v>54</v>
      </c>
      <c r="C229" s="202">
        <v>195045.52</v>
      </c>
      <c r="D229" s="202">
        <v>223343.47</v>
      </c>
      <c r="E229" s="202">
        <v>18473</v>
      </c>
      <c r="F229" s="202">
        <v>20360.55</v>
      </c>
      <c r="G229" s="202">
        <v>50952.24</v>
      </c>
      <c r="H229" s="202"/>
      <c r="I229" s="322">
        <f t="shared" ref="I229:I240" si="19">C229+D229+E229+F229+G229+H229</f>
        <v>508174.77999999997</v>
      </c>
      <c r="J229" s="110"/>
      <c r="K229" s="110"/>
      <c r="L229" s="110"/>
      <c r="M229" s="2"/>
    </row>
    <row r="230" spans="2:16" customFormat="1" ht="16.5" x14ac:dyDescent="0.35">
      <c r="B230" s="321" t="s">
        <v>55</v>
      </c>
      <c r="C230" s="202">
        <f t="shared" ref="C230:H230" si="20">SUM(C231:C236)</f>
        <v>87264.51</v>
      </c>
      <c r="D230" s="202">
        <f t="shared" si="20"/>
        <v>137456.26999999999</v>
      </c>
      <c r="E230" s="202">
        <f t="shared" si="20"/>
        <v>96099.290000000008</v>
      </c>
      <c r="F230" s="202">
        <f t="shared" si="20"/>
        <v>103957.99</v>
      </c>
      <c r="G230" s="202">
        <f t="shared" si="20"/>
        <v>21284.120000000003</v>
      </c>
      <c r="H230" s="202">
        <f t="shared" si="20"/>
        <v>33.200000000000003</v>
      </c>
      <c r="I230" s="322">
        <f t="shared" si="19"/>
        <v>446095.37999999995</v>
      </c>
      <c r="J230" s="110"/>
      <c r="K230" s="110"/>
      <c r="L230" s="110"/>
      <c r="M230" s="2"/>
    </row>
    <row r="231" spans="2:16" customFormat="1" ht="16.5" x14ac:dyDescent="0.35">
      <c r="B231" s="220" t="s">
        <v>66</v>
      </c>
      <c r="C231" s="201">
        <v>0</v>
      </c>
      <c r="D231" s="201">
        <v>88.8</v>
      </c>
      <c r="E231" s="201">
        <v>0</v>
      </c>
      <c r="F231" s="201">
        <v>0</v>
      </c>
      <c r="G231" s="201">
        <v>0</v>
      </c>
      <c r="H231" s="201"/>
      <c r="I231" s="254">
        <f t="shared" si="19"/>
        <v>88.8</v>
      </c>
      <c r="J231" s="110"/>
      <c r="K231" s="110"/>
      <c r="L231" s="110"/>
      <c r="M231" s="2"/>
    </row>
    <row r="232" spans="2:16" customFormat="1" ht="16.5" x14ac:dyDescent="0.35">
      <c r="B232" s="220" t="s">
        <v>56</v>
      </c>
      <c r="C232" s="201">
        <v>17610.580000000002</v>
      </c>
      <c r="D232" s="201">
        <v>19230.259999999998</v>
      </c>
      <c r="E232" s="201">
        <v>8500</v>
      </c>
      <c r="F232" s="201">
        <v>9419.33</v>
      </c>
      <c r="G232" s="201">
        <v>7399.19</v>
      </c>
      <c r="H232" s="201"/>
      <c r="I232" s="254">
        <f t="shared" si="19"/>
        <v>62159.360000000001</v>
      </c>
      <c r="J232" s="110"/>
      <c r="K232" s="110"/>
      <c r="L232" s="110"/>
      <c r="M232" s="2"/>
    </row>
    <row r="233" spans="2:16" customFormat="1" ht="16.5" x14ac:dyDescent="0.35">
      <c r="B233" s="220" t="s">
        <v>57</v>
      </c>
      <c r="C233" s="201">
        <v>25568.01</v>
      </c>
      <c r="D233" s="201">
        <v>54797.45</v>
      </c>
      <c r="E233" s="201">
        <v>60301.79</v>
      </c>
      <c r="F233" s="201">
        <v>79438.31</v>
      </c>
      <c r="G233" s="201">
        <v>10766.03</v>
      </c>
      <c r="H233" s="201">
        <v>33.200000000000003</v>
      </c>
      <c r="I233" s="254">
        <f t="shared" si="19"/>
        <v>230904.79</v>
      </c>
      <c r="J233" s="110"/>
      <c r="K233" s="110"/>
      <c r="L233" s="110"/>
      <c r="M233" s="2"/>
    </row>
    <row r="234" spans="2:16" customFormat="1" ht="16.5" x14ac:dyDescent="0.35">
      <c r="B234" s="220" t="s">
        <v>59</v>
      </c>
      <c r="C234" s="201">
        <v>14567.32</v>
      </c>
      <c r="D234" s="201">
        <v>28560</v>
      </c>
      <c r="E234" s="201">
        <v>1974.7</v>
      </c>
      <c r="F234" s="201">
        <v>6874.85</v>
      </c>
      <c r="G234" s="201">
        <v>0</v>
      </c>
      <c r="H234" s="201"/>
      <c r="I234" s="254">
        <f t="shared" si="19"/>
        <v>51976.869999999995</v>
      </c>
      <c r="J234" s="110"/>
      <c r="K234" s="110"/>
      <c r="L234" s="110"/>
      <c r="M234" s="2"/>
    </row>
    <row r="235" spans="2:16" customFormat="1" ht="16.5" x14ac:dyDescent="0.35">
      <c r="B235" s="220" t="s">
        <v>144</v>
      </c>
      <c r="C235" s="201">
        <v>3000</v>
      </c>
      <c r="D235" s="201">
        <v>2060.41</v>
      </c>
      <c r="E235" s="201">
        <v>0</v>
      </c>
      <c r="F235" s="201">
        <v>0</v>
      </c>
      <c r="G235" s="201">
        <v>0</v>
      </c>
      <c r="H235" s="201"/>
      <c r="I235" s="254">
        <f t="shared" si="19"/>
        <v>5060.41</v>
      </c>
      <c r="J235" s="110"/>
      <c r="K235" s="110"/>
      <c r="L235" s="110"/>
      <c r="M235" s="2"/>
    </row>
    <row r="236" spans="2:16" customFormat="1" ht="16.5" x14ac:dyDescent="0.35">
      <c r="B236" s="220" t="s">
        <v>61</v>
      </c>
      <c r="C236" s="201">
        <v>26518.6</v>
      </c>
      <c r="D236" s="201">
        <v>32719.35</v>
      </c>
      <c r="E236" s="201">
        <v>25322.799999999999</v>
      </c>
      <c r="F236" s="201">
        <v>8225.5</v>
      </c>
      <c r="G236" s="201">
        <v>3118.9</v>
      </c>
      <c r="H236" s="201"/>
      <c r="I236" s="254">
        <f t="shared" si="19"/>
        <v>95905.15</v>
      </c>
      <c r="J236" s="110"/>
      <c r="K236" s="110"/>
      <c r="L236" s="110"/>
      <c r="M236" s="2"/>
    </row>
    <row r="237" spans="2:16" customFormat="1" ht="16.5" x14ac:dyDescent="0.35">
      <c r="B237" s="321" t="s">
        <v>62</v>
      </c>
      <c r="C237" s="202">
        <v>9353.9599999999991</v>
      </c>
      <c r="D237" s="202">
        <v>10084.5</v>
      </c>
      <c r="E237" s="202">
        <v>1200</v>
      </c>
      <c r="F237" s="202">
        <v>685.88</v>
      </c>
      <c r="G237" s="202">
        <v>864.23</v>
      </c>
      <c r="H237" s="202"/>
      <c r="I237" s="322">
        <f t="shared" si="19"/>
        <v>22188.57</v>
      </c>
      <c r="J237" s="110"/>
      <c r="K237" s="110"/>
      <c r="L237" s="110"/>
      <c r="M237" s="2"/>
    </row>
    <row r="238" spans="2:16" s="103" customFormat="1" ht="16.5" x14ac:dyDescent="0.35">
      <c r="B238" s="321" t="s">
        <v>901</v>
      </c>
      <c r="C238" s="202"/>
      <c r="D238" s="202">
        <v>2110</v>
      </c>
      <c r="E238" s="202"/>
      <c r="F238" s="202">
        <v>2303</v>
      </c>
      <c r="G238" s="202"/>
      <c r="H238" s="202"/>
      <c r="I238" s="322">
        <f t="shared" si="19"/>
        <v>4413</v>
      </c>
      <c r="J238" s="110"/>
      <c r="K238" s="110"/>
      <c r="L238" s="110"/>
      <c r="M238" s="46"/>
    </row>
    <row r="239" spans="2:16" s="103" customFormat="1" ht="16.5" x14ac:dyDescent="0.35">
      <c r="B239" s="321" t="s">
        <v>674</v>
      </c>
      <c r="C239" s="202"/>
      <c r="D239" s="202">
        <v>34880</v>
      </c>
      <c r="E239" s="202"/>
      <c r="F239" s="202"/>
      <c r="G239" s="202"/>
      <c r="H239" s="202"/>
      <c r="I239" s="322">
        <f t="shared" si="19"/>
        <v>34880</v>
      </c>
      <c r="J239" s="110"/>
      <c r="K239" s="110"/>
      <c r="L239" s="110"/>
      <c r="M239" s="46"/>
    </row>
    <row r="240" spans="2:16" customFormat="1" ht="21.75" customHeight="1" x14ac:dyDescent="0.3">
      <c r="B240" s="248" t="s">
        <v>98</v>
      </c>
      <c r="C240" s="249">
        <f>C228+C229+C230+C237</f>
        <v>833275.49</v>
      </c>
      <c r="D240" s="249">
        <f>D228+D229+D230+D237+D238+D239</f>
        <v>1026315.6</v>
      </c>
      <c r="E240" s="249">
        <f>E228+E229+E230+E237</f>
        <v>167392.29</v>
      </c>
      <c r="F240" s="249">
        <f>F228+F229+F230+F237+F238</f>
        <v>179496.87</v>
      </c>
      <c r="G240" s="249">
        <f>G228+G229+G230+G237</f>
        <v>217601.35</v>
      </c>
      <c r="H240" s="249">
        <f>H228+H229+H230+H237</f>
        <v>33.200000000000003</v>
      </c>
      <c r="I240" s="301">
        <f t="shared" si="19"/>
        <v>2424114.8000000003</v>
      </c>
      <c r="J240" s="110"/>
      <c r="K240" s="130"/>
      <c r="L240" s="110"/>
      <c r="M240" s="21"/>
    </row>
    <row r="241" spans="2:16" customFormat="1" ht="15.75" x14ac:dyDescent="0.3"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2"/>
      <c r="N241" s="2"/>
      <c r="O241" s="2"/>
      <c r="P241" s="2"/>
    </row>
    <row r="242" spans="2:16" s="105" customFormat="1" ht="15.75" x14ac:dyDescent="0.3"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46"/>
      <c r="N242" s="46"/>
      <c r="O242" s="46"/>
      <c r="P242" s="46"/>
    </row>
    <row r="243" spans="2:16" s="184" customFormat="1" ht="15.75" x14ac:dyDescent="0.3"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46"/>
      <c r="N243" s="46"/>
      <c r="O243" s="46"/>
      <c r="P243" s="46"/>
    </row>
    <row r="244" spans="2:16" s="184" customFormat="1" ht="15.75" x14ac:dyDescent="0.3"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46"/>
      <c r="N244" s="46"/>
      <c r="O244" s="46"/>
      <c r="P244" s="46"/>
    </row>
    <row r="245" spans="2:16" s="184" customFormat="1" ht="15.75" x14ac:dyDescent="0.3"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46"/>
      <c r="N245" s="46"/>
      <c r="O245" s="46"/>
      <c r="P245" s="46"/>
    </row>
    <row r="246" spans="2:16" s="184" customFormat="1" ht="15.75" x14ac:dyDescent="0.3"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46"/>
      <c r="N246" s="46"/>
      <c r="O246" s="46"/>
      <c r="P246" s="46"/>
    </row>
    <row r="247" spans="2:16" s="184" customFormat="1" ht="15.75" x14ac:dyDescent="0.3"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46"/>
      <c r="N247" s="46"/>
      <c r="O247" s="46"/>
      <c r="P247" s="46"/>
    </row>
    <row r="248" spans="2:16" s="184" customFormat="1" ht="15.75" x14ac:dyDescent="0.3"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46"/>
      <c r="N248" s="46"/>
      <c r="O248" s="46"/>
      <c r="P248" s="46"/>
    </row>
    <row r="249" spans="2:16" s="184" customFormat="1" ht="15.75" x14ac:dyDescent="0.3"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46"/>
      <c r="N249" s="46"/>
      <c r="O249" s="46"/>
      <c r="P249" s="46"/>
    </row>
    <row r="250" spans="2:16" customFormat="1" ht="18.75" x14ac:dyDescent="0.3">
      <c r="B250" s="122" t="s">
        <v>149</v>
      </c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2"/>
      <c r="N250" s="2"/>
      <c r="O250" s="2"/>
      <c r="P250" s="2"/>
    </row>
    <row r="251" spans="2:16" ht="15" x14ac:dyDescent="0.3"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</row>
    <row r="252" spans="2:16" customFormat="1" ht="20.25" customHeight="1" x14ac:dyDescent="0.3">
      <c r="B252" s="651" t="s">
        <v>102</v>
      </c>
      <c r="C252" s="651"/>
      <c r="D252" s="651"/>
      <c r="E252" s="651"/>
      <c r="F252" s="123"/>
      <c r="G252" s="110"/>
      <c r="H252" s="130"/>
      <c r="I252" s="130"/>
      <c r="J252" s="130"/>
      <c r="K252" s="130"/>
      <c r="L252" s="110"/>
      <c r="M252" s="24"/>
      <c r="N252" s="24"/>
      <c r="O252" s="24"/>
      <c r="P252" s="2"/>
    </row>
    <row r="253" spans="2:16" customFormat="1" ht="16.5" x14ac:dyDescent="0.35">
      <c r="B253" s="641" t="s">
        <v>135</v>
      </c>
      <c r="C253" s="641"/>
      <c r="D253" s="641"/>
      <c r="E253" s="215">
        <f>E219+E192+E158+E132+E100+E71+E38+E10</f>
        <v>34043.479999999996</v>
      </c>
      <c r="F253" s="135"/>
      <c r="G253" s="130"/>
      <c r="H253" s="110"/>
      <c r="I253" s="130"/>
      <c r="J253" s="130"/>
      <c r="K253" s="130"/>
      <c r="L253" s="110"/>
      <c r="M253" s="24"/>
      <c r="N253" s="24"/>
      <c r="O253" s="24"/>
      <c r="P253" s="2"/>
    </row>
    <row r="254" spans="2:16" customFormat="1" ht="16.5" x14ac:dyDescent="0.35">
      <c r="B254" s="641" t="s">
        <v>136</v>
      </c>
      <c r="C254" s="641"/>
      <c r="D254" s="641"/>
      <c r="E254" s="215">
        <f>E220+E193+E159+E101+E72+E39+E11</f>
        <v>190829.02000000002</v>
      </c>
      <c r="F254" s="135"/>
      <c r="G254" s="130"/>
      <c r="H254" s="110"/>
      <c r="I254" s="130"/>
      <c r="J254" s="130"/>
      <c r="K254" s="130"/>
      <c r="L254" s="110"/>
      <c r="M254" s="24"/>
      <c r="N254" s="24"/>
      <c r="O254" s="24"/>
      <c r="P254" s="2"/>
    </row>
    <row r="255" spans="2:16" customFormat="1" ht="16.5" x14ac:dyDescent="0.35">
      <c r="B255" s="641" t="s">
        <v>137</v>
      </c>
      <c r="C255" s="641"/>
      <c r="D255" s="641"/>
      <c r="E255" s="215">
        <f>E221+E194+E160+E133+E102+E73+E40+E12</f>
        <v>155860.36999999997</v>
      </c>
      <c r="F255" s="135"/>
      <c r="G255" s="130"/>
      <c r="H255" s="130"/>
      <c r="I255" s="130"/>
      <c r="J255" s="130"/>
      <c r="K255" s="130"/>
      <c r="L255" s="110"/>
      <c r="M255" s="24"/>
      <c r="N255" s="24"/>
      <c r="O255" s="24"/>
      <c r="P255" s="2"/>
    </row>
    <row r="256" spans="2:16" customFormat="1" ht="16.5" x14ac:dyDescent="0.35">
      <c r="B256" s="641" t="s">
        <v>106</v>
      </c>
      <c r="C256" s="641"/>
      <c r="D256" s="641"/>
      <c r="E256" s="215">
        <f>E222+E195+E161+E103+E74+E41+E13</f>
        <v>435872.74</v>
      </c>
      <c r="F256" s="135"/>
      <c r="G256" s="130"/>
      <c r="H256" s="130"/>
      <c r="I256" s="130"/>
      <c r="J256" s="130"/>
      <c r="K256" s="130"/>
      <c r="L256" s="110"/>
      <c r="M256" s="24"/>
      <c r="N256" s="24"/>
      <c r="O256" s="24"/>
      <c r="P256" s="2"/>
    </row>
    <row r="257" spans="2:16" customFormat="1" ht="15.75" x14ac:dyDescent="0.3">
      <c r="B257" s="664" t="s">
        <v>49</v>
      </c>
      <c r="C257" s="664"/>
      <c r="D257" s="664"/>
      <c r="E257" s="299">
        <f>E196+E162+E134+E104+E14+E42</f>
        <v>28757.75</v>
      </c>
      <c r="F257" s="136"/>
      <c r="G257" s="137"/>
      <c r="H257" s="110"/>
      <c r="I257" s="130"/>
      <c r="J257" s="130"/>
      <c r="K257" s="130"/>
      <c r="L257" s="110"/>
      <c r="M257" s="24"/>
      <c r="N257" s="24"/>
      <c r="O257" s="24"/>
      <c r="P257" s="2"/>
    </row>
    <row r="258" spans="2:16" customFormat="1" ht="15.75" x14ac:dyDescent="0.3">
      <c r="B258" s="664" t="s">
        <v>50</v>
      </c>
      <c r="C258" s="664"/>
      <c r="D258" s="664"/>
      <c r="E258" s="299">
        <f>E75+E43+E105</f>
        <v>5911.16</v>
      </c>
      <c r="F258" s="136"/>
      <c r="G258" s="137"/>
      <c r="H258" s="110"/>
      <c r="I258" s="130"/>
      <c r="J258" s="130"/>
      <c r="K258" s="130"/>
      <c r="L258" s="110"/>
      <c r="M258" s="24"/>
      <c r="N258" s="24"/>
      <c r="O258" s="24"/>
      <c r="P258" s="24"/>
    </row>
    <row r="259" spans="2:16" customFormat="1" ht="15.75" x14ac:dyDescent="0.3">
      <c r="B259" s="664" t="s">
        <v>138</v>
      </c>
      <c r="C259" s="664"/>
      <c r="D259" s="664"/>
      <c r="E259" s="299">
        <f>E223+E163+E44+E76</f>
        <v>5373.4499999999989</v>
      </c>
      <c r="F259" s="136"/>
      <c r="G259" s="137"/>
      <c r="H259" s="110"/>
      <c r="I259" s="130"/>
      <c r="J259" s="130"/>
      <c r="K259" s="130"/>
      <c r="L259" s="110"/>
      <c r="M259" s="24"/>
      <c r="N259" s="24"/>
      <c r="O259" s="24"/>
      <c r="P259" s="24"/>
    </row>
    <row r="260" spans="2:16" customFormat="1" ht="15.75" x14ac:dyDescent="0.3">
      <c r="B260" s="664" t="s">
        <v>139</v>
      </c>
      <c r="C260" s="664"/>
      <c r="D260" s="664"/>
      <c r="E260" s="299">
        <f>E45+E15+E135+E197</f>
        <v>112461.42</v>
      </c>
      <c r="F260" s="136"/>
      <c r="G260" s="137"/>
      <c r="H260" s="110"/>
      <c r="I260" s="110"/>
      <c r="J260" s="110"/>
      <c r="K260" s="110"/>
      <c r="L260" s="110"/>
      <c r="M260" s="2"/>
      <c r="N260" s="2"/>
      <c r="O260" s="24"/>
      <c r="P260" s="2"/>
    </row>
    <row r="261" spans="2:16" s="103" customFormat="1" ht="15.75" x14ac:dyDescent="0.3">
      <c r="B261" s="664" t="s">
        <v>675</v>
      </c>
      <c r="C261" s="664"/>
      <c r="D261" s="664"/>
      <c r="E261" s="299">
        <f>E106</f>
        <v>4898.5</v>
      </c>
      <c r="F261" s="136"/>
      <c r="G261" s="137"/>
      <c r="H261" s="110"/>
      <c r="I261" s="110"/>
      <c r="J261" s="110"/>
      <c r="K261" s="110"/>
      <c r="L261" s="110"/>
      <c r="M261" s="46"/>
      <c r="N261" s="46"/>
      <c r="O261" s="24"/>
      <c r="P261" s="46"/>
    </row>
    <row r="262" spans="2:16" customFormat="1" ht="15.75" x14ac:dyDescent="0.3">
      <c r="B262" s="664" t="s">
        <v>150</v>
      </c>
      <c r="C262" s="664"/>
      <c r="D262" s="664"/>
      <c r="E262" s="299">
        <f>E77</f>
        <v>1879.34</v>
      </c>
      <c r="F262" s="136"/>
      <c r="G262" s="137"/>
      <c r="H262" s="110"/>
      <c r="I262" s="110"/>
      <c r="J262" s="110"/>
      <c r="K262" s="110"/>
      <c r="L262" s="110"/>
      <c r="M262" s="2"/>
      <c r="N262" s="2"/>
      <c r="O262" s="24"/>
      <c r="P262" s="2"/>
    </row>
    <row r="263" spans="2:16" customFormat="1" ht="21.75" customHeight="1" x14ac:dyDescent="0.3">
      <c r="B263" s="649" t="s">
        <v>98</v>
      </c>
      <c r="C263" s="649"/>
      <c r="D263" s="649"/>
      <c r="E263" s="309">
        <f>SUM(E253:E262)</f>
        <v>975887.23</v>
      </c>
      <c r="F263" s="138"/>
      <c r="G263" s="137"/>
      <c r="H263" s="130"/>
      <c r="I263" s="130"/>
      <c r="J263" s="130"/>
      <c r="K263" s="130"/>
      <c r="L263" s="130"/>
      <c r="M263" s="21"/>
      <c r="N263" s="21"/>
      <c r="O263" s="21"/>
      <c r="P263" s="2"/>
    </row>
    <row r="264" spans="2:16" customFormat="1" ht="15.75" x14ac:dyDescent="0.3">
      <c r="B264" s="110"/>
      <c r="C264" s="110"/>
      <c r="D264" s="110"/>
      <c r="E264" s="110"/>
      <c r="F264" s="110"/>
      <c r="G264" s="137"/>
      <c r="H264" s="110"/>
      <c r="I264" s="110"/>
      <c r="J264" s="110"/>
      <c r="K264" s="110"/>
      <c r="L264" s="110"/>
      <c r="M264" s="2"/>
      <c r="N264" s="2"/>
      <c r="O264" s="2"/>
      <c r="P264" s="2"/>
    </row>
    <row r="265" spans="2:16" customFormat="1" ht="40.5" x14ac:dyDescent="0.25">
      <c r="B265" s="219" t="s">
        <v>52</v>
      </c>
      <c r="C265" s="310" t="s">
        <v>900</v>
      </c>
      <c r="D265" s="663" t="s">
        <v>896</v>
      </c>
      <c r="E265" s="663"/>
      <c r="F265" s="663" t="s">
        <v>897</v>
      </c>
      <c r="G265" s="663"/>
      <c r="H265" s="663"/>
      <c r="I265" s="310" t="s">
        <v>898</v>
      </c>
      <c r="J265" s="289" t="s">
        <v>899</v>
      </c>
      <c r="K265" s="252" t="s">
        <v>98</v>
      </c>
      <c r="L265" s="2"/>
      <c r="M265" s="2"/>
      <c r="N265" s="2"/>
      <c r="O265" s="2"/>
    </row>
    <row r="266" spans="2:16" s="184" customFormat="1" ht="15" x14ac:dyDescent="0.25">
      <c r="B266" s="294"/>
      <c r="C266" s="295" t="s">
        <v>310</v>
      </c>
      <c r="D266" s="295" t="s">
        <v>322</v>
      </c>
      <c r="E266" s="295" t="s">
        <v>324</v>
      </c>
      <c r="F266" s="295" t="s">
        <v>330</v>
      </c>
      <c r="G266" s="295" t="s">
        <v>331</v>
      </c>
      <c r="H266" s="295" t="s">
        <v>333</v>
      </c>
      <c r="I266" s="295" t="s">
        <v>326</v>
      </c>
      <c r="J266" s="295" t="s">
        <v>342</v>
      </c>
      <c r="K266" s="318"/>
      <c r="L266" s="46"/>
      <c r="M266" s="46"/>
      <c r="N266" s="46"/>
      <c r="O266" s="46"/>
    </row>
    <row r="267" spans="2:16" customFormat="1" ht="16.5" x14ac:dyDescent="0.35">
      <c r="B267" s="321" t="s">
        <v>53</v>
      </c>
      <c r="C267" s="202">
        <f>C140</f>
        <v>0</v>
      </c>
      <c r="D267" s="202">
        <f>C228+C202+C168+D140+C111+C82+C50+C20</f>
        <v>2729180.59</v>
      </c>
      <c r="E267" s="202">
        <f>D228+D202+D168+E140+D111+D82+D50+D20</f>
        <v>4247021.8</v>
      </c>
      <c r="F267" s="202">
        <v>0</v>
      </c>
      <c r="G267" s="202">
        <f>E228+E202+F168+E111+F82+E50+E20</f>
        <v>284719.63999999996</v>
      </c>
      <c r="H267" s="202">
        <f>F228+F202+G168+F140+F111+G82+F50+F20</f>
        <v>325948.94</v>
      </c>
      <c r="I267" s="202">
        <f>G228+G202+H168+G140+G111+H82+G50+G20</f>
        <v>882615.28</v>
      </c>
      <c r="J267" s="202">
        <f>H140+H50+H20+H111+H228</f>
        <v>0</v>
      </c>
      <c r="K267" s="322">
        <f>C267+D267+E267+G267+H267+I267+J267+F267</f>
        <v>8469486.25</v>
      </c>
      <c r="L267" s="2"/>
      <c r="M267" s="21"/>
      <c r="N267" s="2"/>
      <c r="O267" s="2"/>
    </row>
    <row r="268" spans="2:16" customFormat="1" ht="16.5" x14ac:dyDescent="0.35">
      <c r="B268" s="321" t="s">
        <v>54</v>
      </c>
      <c r="C268" s="202">
        <f>C141</f>
        <v>0</v>
      </c>
      <c r="D268" s="202">
        <f>C229+C203+C169+D141+C112+C83+C51+C21</f>
        <v>976944.26</v>
      </c>
      <c r="E268" s="202">
        <f>D229+D203+D169+E141+D112+D83+D51+D21</f>
        <v>1517696.36</v>
      </c>
      <c r="F268" s="202">
        <v>0</v>
      </c>
      <c r="G268" s="202">
        <f>E229+E203+F169+E112+F83+E51+E21</f>
        <v>101464.42000000001</v>
      </c>
      <c r="H268" s="202">
        <f>F229+F203+G169+F141+F112+G83+F51+F21</f>
        <v>118148.87</v>
      </c>
      <c r="I268" s="202">
        <f>G229+G203+H169+G141+G112+H83+G51+G21</f>
        <v>316579</v>
      </c>
      <c r="J268" s="202">
        <f>H141+H51+H21+H112+H229</f>
        <v>0</v>
      </c>
      <c r="K268" s="322">
        <f t="shared" ref="K268:K280" si="21">C268+D268+E268+G268+H268+I268+J268+F268</f>
        <v>3030832.91</v>
      </c>
      <c r="L268" s="2"/>
      <c r="M268" s="21"/>
      <c r="N268" s="2"/>
      <c r="O268" s="2"/>
    </row>
    <row r="269" spans="2:16" customFormat="1" ht="16.5" x14ac:dyDescent="0.35">
      <c r="B269" s="321" t="s">
        <v>55</v>
      </c>
      <c r="C269" s="202">
        <f t="shared" ref="C269:J269" si="22">SUM(C270:C276)</f>
        <v>51700</v>
      </c>
      <c r="D269" s="202">
        <f t="shared" si="22"/>
        <v>529658.92000000016</v>
      </c>
      <c r="E269" s="202">
        <f t="shared" si="22"/>
        <v>1080057.04</v>
      </c>
      <c r="F269" s="202">
        <f t="shared" si="22"/>
        <v>42186.34</v>
      </c>
      <c r="G269" s="202">
        <f t="shared" si="22"/>
        <v>342834.59</v>
      </c>
      <c r="H269" s="202">
        <f t="shared" si="22"/>
        <v>571655.89</v>
      </c>
      <c r="I269" s="202">
        <f t="shared" si="22"/>
        <v>168152.22</v>
      </c>
      <c r="J269" s="202">
        <f t="shared" si="22"/>
        <v>116.2</v>
      </c>
      <c r="K269" s="322">
        <f t="shared" si="21"/>
        <v>2786361.2000000007</v>
      </c>
      <c r="L269" s="2"/>
      <c r="M269" s="21"/>
      <c r="N269" s="2"/>
      <c r="O269" s="2"/>
    </row>
    <row r="270" spans="2:16" customFormat="1" ht="16.5" x14ac:dyDescent="0.35">
      <c r="B270" s="220" t="s">
        <v>66</v>
      </c>
      <c r="C270" s="201">
        <v>0</v>
      </c>
      <c r="D270" s="201">
        <f>C231+C85+C53+C23</f>
        <v>16.100000000000001</v>
      </c>
      <c r="E270" s="201">
        <f>D231+D85+D53+D23</f>
        <v>146.57999999999998</v>
      </c>
      <c r="F270" s="201">
        <v>0</v>
      </c>
      <c r="G270" s="201">
        <f>E231+F85+E53+E23</f>
        <v>0</v>
      </c>
      <c r="H270" s="201">
        <f>F231+G85+F53+F23</f>
        <v>0</v>
      </c>
      <c r="I270" s="201">
        <f>G231+H85+G53+G23</f>
        <v>0</v>
      </c>
      <c r="J270" s="201">
        <f>H53+H23+H231</f>
        <v>0</v>
      </c>
      <c r="K270" s="254">
        <f t="shared" si="21"/>
        <v>162.67999999999998</v>
      </c>
      <c r="L270" s="2"/>
      <c r="M270" s="2"/>
      <c r="N270" s="2"/>
      <c r="O270" s="2"/>
    </row>
    <row r="271" spans="2:16" customFormat="1" ht="16.5" x14ac:dyDescent="0.35">
      <c r="B271" s="220" t="s">
        <v>56</v>
      </c>
      <c r="C271" s="201">
        <f>C143</f>
        <v>0</v>
      </c>
      <c r="D271" s="201">
        <f>C232+C205+C171+D143+C114+C86+C54+C24</f>
        <v>149365.09000000003</v>
      </c>
      <c r="E271" s="201">
        <f>D232+D205+D171+E143+D114+D86+D54+D24</f>
        <v>320738.71000000002</v>
      </c>
      <c r="F271" s="201">
        <v>0</v>
      </c>
      <c r="G271" s="201">
        <f>E232+E205+F171+E114+F86+E54+E24</f>
        <v>56534.69</v>
      </c>
      <c r="H271" s="201">
        <f>F232+F205+G171+F143+F114+G86+F54+F24</f>
        <v>70042.09</v>
      </c>
      <c r="I271" s="201">
        <f>G232+G205+H171+G143+G114+H86+G54+G24</f>
        <v>60229.82</v>
      </c>
      <c r="J271" s="201">
        <f>H143+H54+H24+H114+H232</f>
        <v>0</v>
      </c>
      <c r="K271" s="254">
        <f t="shared" si="21"/>
        <v>656910.39999999991</v>
      </c>
      <c r="L271" s="2"/>
      <c r="M271" s="2"/>
      <c r="N271" s="2"/>
      <c r="O271" s="2"/>
    </row>
    <row r="272" spans="2:16" customFormat="1" ht="16.5" x14ac:dyDescent="0.35">
      <c r="B272" s="220" t="s">
        <v>57</v>
      </c>
      <c r="C272" s="201">
        <f>C144</f>
        <v>0</v>
      </c>
      <c r="D272" s="201">
        <f>C233+C206+C172+D144+C115+C87+C55+C25</f>
        <v>171086.03000000003</v>
      </c>
      <c r="E272" s="201">
        <f>D233+D206+D172+E144+D115+D87+D55+D25</f>
        <v>307795.58999999997</v>
      </c>
      <c r="F272" s="201">
        <f>E172+E87</f>
        <v>42186.34</v>
      </c>
      <c r="G272" s="201">
        <f>E233+E206+F172+E115+F87+E55+E25</f>
        <v>218966.24</v>
      </c>
      <c r="H272" s="201">
        <f>F233+F206+G172+F144+F115+G87+F55+F25</f>
        <v>358417.44</v>
      </c>
      <c r="I272" s="201">
        <f>G233+G206+H172+G144+G115+H87+G55+G25</f>
        <v>36596.740000000005</v>
      </c>
      <c r="J272" s="201">
        <f>H144+H55+H25+H115+I172+H233</f>
        <v>116.2</v>
      </c>
      <c r="K272" s="254">
        <f t="shared" si="21"/>
        <v>1135164.58</v>
      </c>
      <c r="L272" s="2"/>
      <c r="M272" s="2"/>
      <c r="N272" s="2"/>
      <c r="O272" s="2"/>
    </row>
    <row r="273" spans="2:16" customFormat="1" ht="16.5" x14ac:dyDescent="0.35">
      <c r="B273" s="220" t="s">
        <v>58</v>
      </c>
      <c r="C273" s="201">
        <v>0</v>
      </c>
      <c r="D273" s="201">
        <f>C207+C116+C56+C26+C88+C173</f>
        <v>1794.76</v>
      </c>
      <c r="E273" s="201">
        <f>D207+D116+D56+D26+D88</f>
        <v>3470.6400000000003</v>
      </c>
      <c r="F273" s="201">
        <v>0</v>
      </c>
      <c r="G273" s="201">
        <f>E207+E116+E56+E26+F88</f>
        <v>0</v>
      </c>
      <c r="H273" s="201">
        <f>F207+F116+F56+F26+G88</f>
        <v>0</v>
      </c>
      <c r="I273" s="201">
        <f>G207+G116+G56+G26+H88</f>
        <v>0</v>
      </c>
      <c r="J273" s="201">
        <f>H56+H26+H116</f>
        <v>0</v>
      </c>
      <c r="K273" s="254">
        <f t="shared" si="21"/>
        <v>5265.4000000000005</v>
      </c>
      <c r="L273" s="2"/>
      <c r="M273" s="2"/>
      <c r="N273" s="2"/>
      <c r="O273" s="2"/>
    </row>
    <row r="274" spans="2:16" customFormat="1" ht="16.5" x14ac:dyDescent="0.35">
      <c r="B274" s="220" t="s">
        <v>59</v>
      </c>
      <c r="C274" s="201">
        <f>C145</f>
        <v>0</v>
      </c>
      <c r="D274" s="201">
        <f>C234+C208+C174+D145+C117+C89+C57+C27</f>
        <v>52173.939999999995</v>
      </c>
      <c r="E274" s="201">
        <f>D234+D208+D174+E145+D117+D89+D57+D27</f>
        <v>202379.88</v>
      </c>
      <c r="F274" s="201">
        <v>0</v>
      </c>
      <c r="G274" s="201">
        <f>E234+E208+F174+E117+F89+E57+E27</f>
        <v>17676.830000000002</v>
      </c>
      <c r="H274" s="201">
        <f>F234+F208+G174+F145+F117+G89+F57+F27</f>
        <v>38779.99</v>
      </c>
      <c r="I274" s="201">
        <f>G234+G208+H174+G145+G117+H89+G57+G27</f>
        <v>30970.29</v>
      </c>
      <c r="J274" s="201">
        <f>H145+H57+H27+H117+H234</f>
        <v>0</v>
      </c>
      <c r="K274" s="254">
        <f t="shared" si="21"/>
        <v>341980.93</v>
      </c>
      <c r="L274" s="2"/>
      <c r="M274" s="2"/>
      <c r="N274" s="2"/>
      <c r="O274" s="2"/>
    </row>
    <row r="275" spans="2:16" customFormat="1" ht="16.5" x14ac:dyDescent="0.35">
      <c r="B275" s="220" t="s">
        <v>144</v>
      </c>
      <c r="C275" s="201">
        <f>C146</f>
        <v>51700</v>
      </c>
      <c r="D275" s="201">
        <f>C235+D146+C90+C58+C28</f>
        <v>5304.8099999999995</v>
      </c>
      <c r="E275" s="201">
        <f>D235+E146+D90+D58+D28</f>
        <v>5434.15</v>
      </c>
      <c r="F275" s="201">
        <v>0</v>
      </c>
      <c r="G275" s="201">
        <f>E235+F90+E58+E28</f>
        <v>62</v>
      </c>
      <c r="H275" s="201">
        <f>F235+F146+G90+F58+F28</f>
        <v>62</v>
      </c>
      <c r="I275" s="201">
        <f>G235+G146+H90+G58+G28</f>
        <v>0</v>
      </c>
      <c r="J275" s="201">
        <f>H146+H58+H28+H235</f>
        <v>0</v>
      </c>
      <c r="K275" s="254">
        <f t="shared" si="21"/>
        <v>62562.96</v>
      </c>
      <c r="L275" s="2"/>
      <c r="M275" s="2"/>
      <c r="N275" s="2"/>
      <c r="O275" s="2"/>
    </row>
    <row r="276" spans="2:16" customFormat="1" ht="16.5" x14ac:dyDescent="0.35">
      <c r="B276" s="220" t="s">
        <v>61</v>
      </c>
      <c r="C276" s="201">
        <v>0</v>
      </c>
      <c r="D276" s="201">
        <f>C236+C209+C175+D147+C118+C91+C59+C29</f>
        <v>149918.19</v>
      </c>
      <c r="E276" s="201">
        <f>D236+D209+D175+E147+D118+D91+D59+D29</f>
        <v>240091.49</v>
      </c>
      <c r="F276" s="201">
        <v>0</v>
      </c>
      <c r="G276" s="201">
        <f>E236+E209+F175+E118+F91+E59+E29</f>
        <v>49594.829999999994</v>
      </c>
      <c r="H276" s="201">
        <f>F236+F209+G175+F147+F118+G91+F59+F29</f>
        <v>104354.37</v>
      </c>
      <c r="I276" s="201">
        <f>G236+G209+H175+G147+G118+H91+G59+G29</f>
        <v>40355.369999999995</v>
      </c>
      <c r="J276" s="201">
        <f>H147+H59+H29+H118+H236</f>
        <v>0</v>
      </c>
      <c r="K276" s="254">
        <f t="shared" si="21"/>
        <v>584314.25</v>
      </c>
      <c r="L276" s="2"/>
      <c r="M276" s="2"/>
      <c r="N276" s="2"/>
      <c r="O276" s="2"/>
    </row>
    <row r="277" spans="2:16" customFormat="1" ht="16.5" x14ac:dyDescent="0.35">
      <c r="B277" s="321" t="s">
        <v>62</v>
      </c>
      <c r="C277" s="202">
        <v>0</v>
      </c>
      <c r="D277" s="202">
        <f>C237+C210+C176+D148+C119+C92+C60+C30</f>
        <v>32810.759999999995</v>
      </c>
      <c r="E277" s="202">
        <f>D237+D210+D176+E148+D119+D92+D60+D30</f>
        <v>33724.740000000005</v>
      </c>
      <c r="F277" s="202">
        <v>0</v>
      </c>
      <c r="G277" s="202">
        <f>E237+E210+F176+E119+F92+E60+E30</f>
        <v>6356.52</v>
      </c>
      <c r="H277" s="202">
        <f>F237+F210+G176+F148+F119+G92+F60+F30</f>
        <v>2710.59</v>
      </c>
      <c r="I277" s="202">
        <f>G237+G210+H176+G148+G119+H92+G60+G30</f>
        <v>5689.9</v>
      </c>
      <c r="J277" s="202">
        <f>H148+H60+H30+H119+H237</f>
        <v>83</v>
      </c>
      <c r="K277" s="322">
        <f t="shared" si="21"/>
        <v>81375.509999999995</v>
      </c>
      <c r="L277" s="2"/>
      <c r="M277" s="2"/>
      <c r="N277" s="2"/>
      <c r="O277" s="2"/>
    </row>
    <row r="278" spans="2:16" s="19" customFormat="1" ht="19.5" customHeight="1" x14ac:dyDescent="0.25">
      <c r="B278" s="321" t="s">
        <v>903</v>
      </c>
      <c r="C278" s="323">
        <v>0</v>
      </c>
      <c r="D278" s="323">
        <f>C120+C62</f>
        <v>0</v>
      </c>
      <c r="E278" s="323">
        <f>D120+D62+D238</f>
        <v>2110</v>
      </c>
      <c r="F278" s="323">
        <v>0</v>
      </c>
      <c r="G278" s="323">
        <f>E120+E62+F93</f>
        <v>5522.1</v>
      </c>
      <c r="H278" s="323">
        <f>F120+F62+G177+F238+F211</f>
        <v>19841</v>
      </c>
      <c r="I278" s="323">
        <f>G120+G62</f>
        <v>0</v>
      </c>
      <c r="J278" s="323">
        <f>H62</f>
        <v>0</v>
      </c>
      <c r="K278" s="324">
        <f t="shared" si="21"/>
        <v>27473.1</v>
      </c>
    </row>
    <row r="279" spans="2:16" s="69" customFormat="1" ht="15" x14ac:dyDescent="0.25">
      <c r="B279" s="321" t="s">
        <v>674</v>
      </c>
      <c r="C279" s="323">
        <v>0</v>
      </c>
      <c r="D279" s="323">
        <v>0</v>
      </c>
      <c r="E279" s="323">
        <f>E149+D61+D178+D239</f>
        <v>71498.34</v>
      </c>
      <c r="F279" s="323">
        <f>E61</f>
        <v>0</v>
      </c>
      <c r="G279" s="323">
        <f>F149</f>
        <v>0</v>
      </c>
      <c r="H279" s="323">
        <f>F61</f>
        <v>1940</v>
      </c>
      <c r="I279" s="323">
        <f>H149+H61</f>
        <v>0</v>
      </c>
      <c r="J279" s="323">
        <v>0</v>
      </c>
      <c r="K279" s="324">
        <f t="shared" si="21"/>
        <v>73438.34</v>
      </c>
      <c r="L279" s="19"/>
      <c r="M279" s="19"/>
      <c r="N279" s="19"/>
      <c r="O279" s="19"/>
    </row>
    <row r="280" spans="2:16" customFormat="1" ht="21" customHeight="1" x14ac:dyDescent="0.25">
      <c r="B280" s="248" t="s">
        <v>98</v>
      </c>
      <c r="C280" s="249">
        <f>C267+C268+C269+C277+C279+C278</f>
        <v>51700</v>
      </c>
      <c r="D280" s="249">
        <f t="shared" ref="D280:J280" si="23">D267+D268+D269+D277+D279+D278</f>
        <v>4268594.5299999993</v>
      </c>
      <c r="E280" s="249">
        <f>E267+E268+E269+E277+E279+E278</f>
        <v>6952108.2800000003</v>
      </c>
      <c r="F280" s="249">
        <f>F267+F268+F269+F277+F279+F278</f>
        <v>42186.34</v>
      </c>
      <c r="G280" s="249">
        <f t="shared" si="23"/>
        <v>740897.2699999999</v>
      </c>
      <c r="H280" s="249">
        <f>H267+H268+H269+H277+H279+H278</f>
        <v>1040245.2899999999</v>
      </c>
      <c r="I280" s="249">
        <f t="shared" si="23"/>
        <v>1373036.4</v>
      </c>
      <c r="J280" s="249">
        <f t="shared" si="23"/>
        <v>199.2</v>
      </c>
      <c r="K280" s="301">
        <f t="shared" si="21"/>
        <v>14468967.309999997</v>
      </c>
      <c r="L280" s="21"/>
      <c r="M280" s="21"/>
      <c r="N280" s="21"/>
      <c r="O280" s="2"/>
    </row>
    <row r="281" spans="2:16" customFormat="1" ht="15.75" x14ac:dyDescent="0.3">
      <c r="B281" s="110"/>
      <c r="C281" s="130"/>
      <c r="D281" s="130"/>
      <c r="E281" s="110"/>
      <c r="F281" s="110"/>
      <c r="G281" s="110"/>
      <c r="H281" s="130"/>
      <c r="I281" s="130"/>
      <c r="J281" s="130"/>
      <c r="K281" s="130"/>
      <c r="L281" s="110"/>
      <c r="M281" s="2"/>
      <c r="N281" s="2"/>
      <c r="O281" s="2"/>
      <c r="P281" s="2"/>
    </row>
    <row r="282" spans="2:16" customFormat="1" ht="15.75" x14ac:dyDescent="0.3">
      <c r="B282" s="110"/>
      <c r="C282" s="130"/>
      <c r="D282" s="130"/>
      <c r="E282" s="130"/>
      <c r="F282" s="130"/>
      <c r="G282" s="130"/>
      <c r="H282" s="130"/>
      <c r="I282" s="130"/>
      <c r="J282" s="130"/>
      <c r="K282" s="130"/>
      <c r="L282" s="110"/>
      <c r="M282" s="2"/>
      <c r="N282" s="2"/>
      <c r="O282" s="2"/>
      <c r="P282" s="2"/>
    </row>
    <row r="283" spans="2:16" s="50" customFormat="1" ht="15.75" x14ac:dyDescent="0.3">
      <c r="B283" s="110"/>
      <c r="C283" s="110"/>
      <c r="D283" s="110"/>
      <c r="E283" s="110"/>
      <c r="F283" s="110"/>
      <c r="G283" s="110"/>
      <c r="H283" s="130"/>
      <c r="I283" s="110"/>
      <c r="J283" s="110"/>
      <c r="K283" s="130"/>
      <c r="L283" s="110"/>
      <c r="M283" s="46"/>
      <c r="N283" s="46"/>
      <c r="O283" s="46"/>
      <c r="P283" s="46"/>
    </row>
    <row r="284" spans="2:16" s="50" customFormat="1" ht="15.75" x14ac:dyDescent="0.3"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46"/>
      <c r="N284" s="46"/>
      <c r="O284" s="46"/>
      <c r="P284" s="46"/>
    </row>
    <row r="285" spans="2:16" s="50" customFormat="1" ht="15.75" x14ac:dyDescent="0.3"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46"/>
      <c r="N285" s="46"/>
      <c r="O285" s="46"/>
      <c r="P285" s="46"/>
    </row>
    <row r="286" spans="2:16" s="50" customFormat="1" ht="15.75" x14ac:dyDescent="0.3"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46"/>
      <c r="N286" s="46"/>
      <c r="O286" s="46"/>
      <c r="P286" s="46"/>
    </row>
    <row r="287" spans="2:16" s="50" customFormat="1" ht="15.75" x14ac:dyDescent="0.3"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46"/>
      <c r="N287" s="46"/>
      <c r="O287" s="46"/>
      <c r="P287" s="46"/>
    </row>
    <row r="288" spans="2:16" s="50" customFormat="1" ht="15.75" x14ac:dyDescent="0.3"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46"/>
      <c r="N288" s="46"/>
      <c r="O288" s="46"/>
      <c r="P288" s="46"/>
    </row>
    <row r="289" spans="2:16" s="50" customFormat="1" ht="15.75" x14ac:dyDescent="0.3"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46"/>
      <c r="N289" s="46"/>
      <c r="O289" s="46"/>
      <c r="P289" s="46"/>
    </row>
    <row r="290" spans="2:16" s="50" customFormat="1" ht="15.75" x14ac:dyDescent="0.3"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46"/>
      <c r="N290" s="46"/>
      <c r="O290" s="46"/>
      <c r="P290" s="46"/>
    </row>
    <row r="291" spans="2:16" s="50" customFormat="1" ht="15.75" x14ac:dyDescent="0.3"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46"/>
      <c r="N291" s="46"/>
      <c r="O291" s="46"/>
      <c r="P291" s="46"/>
    </row>
    <row r="292" spans="2:16" s="50" customFormat="1" ht="15.75" x14ac:dyDescent="0.3"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46"/>
      <c r="N292" s="46"/>
      <c r="O292" s="46"/>
      <c r="P292" s="46"/>
    </row>
    <row r="293" spans="2:16" s="50" customFormat="1" ht="15.75" x14ac:dyDescent="0.3"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46"/>
      <c r="N293" s="46"/>
      <c r="O293" s="46"/>
      <c r="P293" s="46"/>
    </row>
    <row r="294" spans="2:16" s="50" customFormat="1" ht="15.75" x14ac:dyDescent="0.3"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46"/>
      <c r="N294" s="46"/>
      <c r="O294" s="46"/>
      <c r="P294" s="46"/>
    </row>
    <row r="295" spans="2:16" s="50" customFormat="1" ht="15.75" x14ac:dyDescent="0.3"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46"/>
      <c r="N295" s="46"/>
      <c r="O295" s="46"/>
      <c r="P295" s="46"/>
    </row>
    <row r="296" spans="2:16" s="50" customFormat="1" ht="15.75" x14ac:dyDescent="0.3"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46"/>
      <c r="N296" s="46"/>
      <c r="O296" s="46"/>
      <c r="P296" s="46"/>
    </row>
    <row r="297" spans="2:16" s="50" customFormat="1" ht="15.75" x14ac:dyDescent="0.3"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46"/>
      <c r="N297" s="46"/>
      <c r="O297" s="46"/>
      <c r="P297" s="46"/>
    </row>
    <row r="298" spans="2:16" s="50" customFormat="1" ht="15.75" x14ac:dyDescent="0.3"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46"/>
      <c r="N298" s="46"/>
      <c r="O298" s="46"/>
      <c r="P298" s="46"/>
    </row>
    <row r="299" spans="2:16" s="50" customFormat="1" ht="15.75" x14ac:dyDescent="0.3"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46"/>
      <c r="N299" s="46"/>
      <c r="O299" s="46"/>
      <c r="P299" s="46"/>
    </row>
    <row r="300" spans="2:16" s="50" customFormat="1" ht="15.75" x14ac:dyDescent="0.3"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46"/>
      <c r="N300" s="46"/>
      <c r="O300" s="46"/>
      <c r="P300" s="46"/>
    </row>
    <row r="301" spans="2:16" s="50" customFormat="1" ht="15.75" x14ac:dyDescent="0.3"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46"/>
      <c r="N301" s="46"/>
      <c r="O301" s="46"/>
      <c r="P301" s="46"/>
    </row>
    <row r="302" spans="2:16" s="50" customFormat="1" ht="15.75" x14ac:dyDescent="0.3"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46"/>
      <c r="N302" s="46"/>
      <c r="O302" s="46"/>
      <c r="P302" s="46"/>
    </row>
    <row r="303" spans="2:16" s="50" customFormat="1" ht="15.75" x14ac:dyDescent="0.3"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46"/>
      <c r="N303" s="46"/>
      <c r="O303" s="46"/>
      <c r="P303" s="46"/>
    </row>
    <row r="304" spans="2:16" s="50" customFormat="1" ht="15.75" x14ac:dyDescent="0.3"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46"/>
      <c r="N304" s="46"/>
      <c r="O304" s="46"/>
      <c r="P304" s="46"/>
    </row>
    <row r="305" spans="2:16" s="50" customFormat="1" ht="15.75" x14ac:dyDescent="0.3"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46"/>
      <c r="N305" s="46"/>
      <c r="O305" s="46"/>
      <c r="P305" s="46"/>
    </row>
    <row r="306" spans="2:16" s="50" customFormat="1" ht="15.75" x14ac:dyDescent="0.3"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46"/>
      <c r="N306" s="46"/>
      <c r="O306" s="46"/>
      <c r="P306" s="46"/>
    </row>
    <row r="307" spans="2:16" s="50" customFormat="1" ht="15.75" x14ac:dyDescent="0.3"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46"/>
      <c r="N307" s="46"/>
      <c r="O307" s="46"/>
      <c r="P307" s="46"/>
    </row>
    <row r="308" spans="2:16" s="50" customFormat="1" ht="15.75" x14ac:dyDescent="0.3"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46"/>
      <c r="N308" s="46"/>
      <c r="O308" s="46"/>
      <c r="P308" s="46"/>
    </row>
    <row r="309" spans="2:16" s="50" customFormat="1" ht="15.75" x14ac:dyDescent="0.3"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46"/>
      <c r="N309" s="46"/>
      <c r="O309" s="46"/>
      <c r="P309" s="46"/>
    </row>
    <row r="310" spans="2:16" s="71" customFormat="1" ht="15.75" x14ac:dyDescent="0.3"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46"/>
      <c r="N310" s="46"/>
      <c r="O310" s="46"/>
      <c r="P310" s="46"/>
    </row>
    <row r="311" spans="2:16" s="71" customFormat="1" ht="15.75" x14ac:dyDescent="0.3"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46"/>
      <c r="N311" s="46"/>
      <c r="O311" s="46"/>
      <c r="P311" s="46"/>
    </row>
    <row r="312" spans="2:16" s="50" customFormat="1" ht="15.75" x14ac:dyDescent="0.3"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46"/>
      <c r="N312" s="46"/>
      <c r="O312" s="46"/>
      <c r="P312" s="46"/>
    </row>
    <row r="313" spans="2:16" customFormat="1" ht="18.75" x14ac:dyDescent="0.3">
      <c r="B313" s="122" t="s">
        <v>463</v>
      </c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2"/>
      <c r="N313" s="2"/>
      <c r="O313" s="2"/>
      <c r="P313" s="2"/>
    </row>
    <row r="314" spans="2:16" ht="15" x14ac:dyDescent="0.3"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</row>
    <row r="315" spans="2:16" customFormat="1" ht="21.75" customHeight="1" x14ac:dyDescent="0.3">
      <c r="B315" s="651" t="s">
        <v>102</v>
      </c>
      <c r="C315" s="651"/>
      <c r="D315" s="651"/>
      <c r="E315" s="651"/>
      <c r="F315" s="123"/>
      <c r="G315" s="110"/>
      <c r="H315" s="110"/>
      <c r="I315" s="110"/>
      <c r="J315" s="110"/>
      <c r="K315" s="110"/>
      <c r="L315" s="110"/>
      <c r="M315" s="2"/>
      <c r="N315" s="2"/>
      <c r="O315" s="2"/>
      <c r="P315" s="2"/>
    </row>
    <row r="316" spans="2:16" customFormat="1" ht="16.5" x14ac:dyDescent="0.35">
      <c r="B316" s="643" t="s">
        <v>152</v>
      </c>
      <c r="C316" s="643"/>
      <c r="D316" s="643"/>
      <c r="E316" s="201">
        <v>14933.5</v>
      </c>
      <c r="F316" s="125"/>
      <c r="G316" s="110"/>
      <c r="H316" s="110"/>
      <c r="I316" s="110"/>
      <c r="J316" s="110"/>
      <c r="K316" s="110"/>
      <c r="L316" s="110"/>
      <c r="M316" s="2"/>
      <c r="N316" s="2"/>
      <c r="O316" s="2"/>
      <c r="P316" s="2"/>
    </row>
    <row r="317" spans="2:16" customFormat="1" ht="15.75" x14ac:dyDescent="0.3">
      <c r="B317" s="664" t="s">
        <v>139</v>
      </c>
      <c r="C317" s="664"/>
      <c r="D317" s="664"/>
      <c r="E317" s="299">
        <v>3427.93</v>
      </c>
      <c r="F317" s="126"/>
      <c r="G317" s="127"/>
      <c r="H317" s="127"/>
      <c r="I317" s="110"/>
      <c r="J317" s="110"/>
      <c r="K317" s="110"/>
      <c r="L317" s="110"/>
      <c r="M317" s="2"/>
      <c r="N317" s="2"/>
      <c r="O317" s="2"/>
      <c r="P317" s="2"/>
    </row>
    <row r="318" spans="2:16" s="18" customFormat="1" ht="21.75" customHeight="1" x14ac:dyDescent="0.3">
      <c r="B318" s="649" t="s">
        <v>98</v>
      </c>
      <c r="C318" s="649"/>
      <c r="D318" s="649"/>
      <c r="E318" s="249">
        <f>SUM(E316:E317)</f>
        <v>18361.43</v>
      </c>
      <c r="F318" s="139"/>
      <c r="G318" s="110"/>
      <c r="H318" s="110"/>
      <c r="I318" s="127"/>
      <c r="J318" s="127"/>
      <c r="K318" s="127"/>
      <c r="L318" s="127"/>
    </row>
    <row r="319" spans="2:16" ht="23.25" customHeight="1" x14ac:dyDescent="0.35">
      <c r="B319" s="155"/>
      <c r="C319" s="155"/>
      <c r="D319" s="155"/>
      <c r="E319" s="155"/>
      <c r="F319" s="110"/>
      <c r="G319" s="110"/>
      <c r="H319" s="110"/>
      <c r="I319" s="110"/>
      <c r="J319" s="110"/>
      <c r="K319" s="110"/>
      <c r="L319" s="110"/>
    </row>
    <row r="320" spans="2:16" customFormat="1" ht="40.5" x14ac:dyDescent="0.3">
      <c r="B320" s="219" t="s">
        <v>52</v>
      </c>
      <c r="C320" s="289" t="s">
        <v>898</v>
      </c>
      <c r="D320" s="327"/>
      <c r="E320" s="320"/>
      <c r="F320" s="140"/>
      <c r="G320" s="140"/>
      <c r="H320" s="129"/>
      <c r="I320" s="110"/>
      <c r="J320" s="110"/>
      <c r="K320" s="110"/>
      <c r="L320" s="110"/>
      <c r="M320" s="2"/>
      <c r="N320" s="2"/>
      <c r="O320" s="2"/>
      <c r="P320" s="2"/>
    </row>
    <row r="321" spans="2:16" s="184" customFormat="1" ht="15.75" x14ac:dyDescent="0.3">
      <c r="B321" s="294"/>
      <c r="C321" s="295" t="s">
        <v>326</v>
      </c>
      <c r="D321" s="327"/>
      <c r="E321" s="320"/>
      <c r="F321" s="140"/>
      <c r="G321" s="140"/>
      <c r="H321" s="129"/>
      <c r="I321" s="110"/>
      <c r="J321" s="110"/>
      <c r="K321" s="110"/>
      <c r="L321" s="110"/>
      <c r="M321" s="46"/>
      <c r="N321" s="46"/>
      <c r="O321" s="46"/>
      <c r="P321" s="46"/>
    </row>
    <row r="322" spans="2:16" customFormat="1" ht="16.5" x14ac:dyDescent="0.35">
      <c r="B322" s="321" t="s">
        <v>53</v>
      </c>
      <c r="C322" s="202">
        <v>119703.96</v>
      </c>
      <c r="D322" s="328"/>
      <c r="E322" s="182"/>
      <c r="F322" s="130"/>
      <c r="G322" s="130"/>
      <c r="H322" s="110"/>
      <c r="I322" s="110"/>
      <c r="J322" s="110"/>
      <c r="K322" s="110"/>
      <c r="L322" s="110"/>
      <c r="M322" s="2"/>
      <c r="N322" s="2"/>
      <c r="O322" s="2"/>
      <c r="P322" s="2"/>
    </row>
    <row r="323" spans="2:16" s="20" customFormat="1" ht="15.75" x14ac:dyDescent="0.35">
      <c r="B323" s="321" t="s">
        <v>54</v>
      </c>
      <c r="C323" s="202">
        <v>42453.68</v>
      </c>
      <c r="D323" s="328"/>
      <c r="E323" s="182"/>
      <c r="F323" s="130"/>
      <c r="G323" s="130"/>
      <c r="H323" s="110"/>
      <c r="I323" s="129"/>
      <c r="J323" s="129"/>
      <c r="K323" s="129"/>
      <c r="L323" s="129"/>
    </row>
    <row r="324" spans="2:16" customFormat="1" ht="16.5" x14ac:dyDescent="0.35">
      <c r="B324" s="321" t="s">
        <v>55</v>
      </c>
      <c r="C324" s="202">
        <f>SUM(C325:C331)</f>
        <v>58869.24</v>
      </c>
      <c r="D324" s="328"/>
      <c r="E324" s="182"/>
      <c r="F324" s="130"/>
      <c r="G324" s="130"/>
      <c r="H324" s="110"/>
      <c r="I324" s="110"/>
      <c r="J324" s="110"/>
      <c r="K324" s="110"/>
      <c r="L324" s="110"/>
      <c r="M324" s="2"/>
      <c r="N324" s="2"/>
      <c r="O324" s="2"/>
      <c r="P324" s="2"/>
    </row>
    <row r="325" spans="2:16" customFormat="1" ht="16.5" x14ac:dyDescent="0.35">
      <c r="B325" s="220" t="s">
        <v>66</v>
      </c>
      <c r="C325" s="201">
        <v>10.8</v>
      </c>
      <c r="D325" s="328"/>
      <c r="E325" s="182"/>
      <c r="F325" s="130"/>
      <c r="G325" s="130"/>
      <c r="H325" s="110"/>
      <c r="I325" s="110"/>
      <c r="J325" s="110"/>
      <c r="K325" s="110"/>
      <c r="L325" s="110"/>
      <c r="M325" s="2"/>
      <c r="N325" s="2"/>
      <c r="O325" s="2"/>
      <c r="P325" s="2"/>
    </row>
    <row r="326" spans="2:16" customFormat="1" ht="16.5" x14ac:dyDescent="0.35">
      <c r="B326" s="220" t="s">
        <v>56</v>
      </c>
      <c r="C326" s="201">
        <v>6668.2</v>
      </c>
      <c r="D326" s="328"/>
      <c r="E326" s="182"/>
      <c r="F326" s="130"/>
      <c r="G326" s="130"/>
      <c r="H326" s="110"/>
      <c r="I326" s="110"/>
      <c r="J326" s="110"/>
      <c r="K326" s="110"/>
      <c r="L326" s="110"/>
      <c r="M326" s="2"/>
      <c r="N326" s="2"/>
      <c r="O326" s="2"/>
      <c r="P326" s="2"/>
    </row>
    <row r="327" spans="2:16" customFormat="1" ht="16.5" x14ac:dyDescent="0.35">
      <c r="B327" s="220" t="s">
        <v>57</v>
      </c>
      <c r="C327" s="201">
        <v>21878.22</v>
      </c>
      <c r="D327" s="328"/>
      <c r="E327" s="182"/>
      <c r="F327" s="130"/>
      <c r="G327" s="130"/>
      <c r="H327" s="110"/>
      <c r="I327" s="110"/>
      <c r="J327" s="110"/>
      <c r="K327" s="110"/>
      <c r="L327" s="110"/>
      <c r="M327" s="2"/>
      <c r="N327" s="2"/>
      <c r="O327" s="2"/>
      <c r="P327" s="2"/>
    </row>
    <row r="328" spans="2:16" s="48" customFormat="1" ht="16.5" x14ac:dyDescent="0.35">
      <c r="B328" s="220" t="s">
        <v>58</v>
      </c>
      <c r="C328" s="201">
        <v>29</v>
      </c>
      <c r="D328" s="328"/>
      <c r="E328" s="182"/>
      <c r="F328" s="130"/>
      <c r="G328" s="130"/>
      <c r="H328" s="110"/>
      <c r="I328" s="110"/>
      <c r="J328" s="110"/>
      <c r="K328" s="110"/>
      <c r="L328" s="110"/>
      <c r="M328" s="46"/>
      <c r="N328" s="46"/>
      <c r="O328" s="46"/>
      <c r="P328" s="46"/>
    </row>
    <row r="329" spans="2:16" customFormat="1" ht="16.5" x14ac:dyDescent="0.35">
      <c r="B329" s="220" t="s">
        <v>59</v>
      </c>
      <c r="C329" s="201">
        <v>2034.96</v>
      </c>
      <c r="D329" s="328"/>
      <c r="E329" s="182"/>
      <c r="F329" s="130"/>
      <c r="G329" s="130"/>
      <c r="H329" s="110"/>
      <c r="I329" s="110"/>
      <c r="J329" s="110"/>
      <c r="K329" s="110"/>
      <c r="L329" s="110"/>
      <c r="M329" s="2"/>
      <c r="N329" s="2"/>
      <c r="O329" s="2"/>
      <c r="P329" s="2"/>
    </row>
    <row r="330" spans="2:16" s="63" customFormat="1" ht="16.5" x14ac:dyDescent="0.35">
      <c r="B330" s="220" t="s">
        <v>60</v>
      </c>
      <c r="C330" s="201">
        <v>781.44</v>
      </c>
      <c r="D330" s="328"/>
      <c r="E330" s="182"/>
      <c r="F330" s="130"/>
      <c r="G330" s="130"/>
      <c r="H330" s="110"/>
      <c r="I330" s="110"/>
      <c r="J330" s="110"/>
      <c r="K330" s="110"/>
      <c r="L330" s="110"/>
      <c r="M330" s="46"/>
      <c r="N330" s="46"/>
      <c r="O330" s="46"/>
      <c r="P330" s="46"/>
    </row>
    <row r="331" spans="2:16" customFormat="1" ht="16.5" x14ac:dyDescent="0.35">
      <c r="B331" s="220" t="s">
        <v>61</v>
      </c>
      <c r="C331" s="201">
        <v>27466.62</v>
      </c>
      <c r="D331" s="328"/>
      <c r="E331" s="182"/>
      <c r="F331" s="130"/>
      <c r="G331" s="130"/>
      <c r="H331" s="110"/>
      <c r="I331" s="110"/>
      <c r="J331" s="110"/>
      <c r="K331" s="110"/>
      <c r="L331" s="110"/>
      <c r="M331" s="2"/>
      <c r="N331" s="2"/>
      <c r="O331" s="2"/>
      <c r="P331" s="2"/>
    </row>
    <row r="332" spans="2:16" customFormat="1" ht="16.5" x14ac:dyDescent="0.35">
      <c r="B332" s="321" t="s">
        <v>62</v>
      </c>
      <c r="C332" s="202">
        <v>824.13</v>
      </c>
      <c r="D332" s="328"/>
      <c r="E332" s="182"/>
      <c r="F332" s="130"/>
      <c r="G332" s="130"/>
      <c r="H332" s="110"/>
      <c r="I332" s="110"/>
      <c r="J332" s="110"/>
      <c r="K332" s="110"/>
      <c r="L332" s="110"/>
      <c r="M332" s="2"/>
      <c r="N332" s="2"/>
      <c r="O332" s="2"/>
      <c r="P332" s="2"/>
    </row>
    <row r="333" spans="2:16" customFormat="1" ht="19.5" customHeight="1" x14ac:dyDescent="0.35">
      <c r="B333" s="248" t="s">
        <v>98</v>
      </c>
      <c r="C333" s="249">
        <f>C322+C323+C324+C332</f>
        <v>221851.01</v>
      </c>
      <c r="D333" s="329"/>
      <c r="E333" s="212"/>
      <c r="F333" s="141"/>
      <c r="G333" s="141"/>
      <c r="H333" s="111"/>
      <c r="I333" s="110"/>
      <c r="J333" s="110"/>
      <c r="K333" s="110"/>
      <c r="L333" s="110"/>
      <c r="M333" s="2"/>
      <c r="N333" s="2"/>
      <c r="O333" s="2"/>
      <c r="P333" s="2"/>
    </row>
    <row r="334" spans="2:16" customFormat="1" ht="15.75" x14ac:dyDescent="0.3"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2"/>
      <c r="N334" s="2"/>
      <c r="O334" s="2"/>
      <c r="P334" s="2"/>
    </row>
    <row r="335" spans="2:16" customFormat="1" ht="15.75" x14ac:dyDescent="0.3"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2"/>
      <c r="N335" s="2"/>
      <c r="O335" s="2"/>
      <c r="P335" s="2"/>
    </row>
    <row r="336" spans="2:16" customFormat="1" ht="18.75" x14ac:dyDescent="0.3">
      <c r="B336" s="122" t="s">
        <v>151</v>
      </c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2"/>
      <c r="N336" s="2"/>
      <c r="O336" s="2"/>
      <c r="P336" s="2"/>
    </row>
    <row r="337" spans="2:16" ht="15" x14ac:dyDescent="0.3"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</row>
    <row r="338" spans="2:16" customFormat="1" ht="18" customHeight="1" x14ac:dyDescent="0.3">
      <c r="B338" s="651" t="s">
        <v>102</v>
      </c>
      <c r="C338" s="651"/>
      <c r="D338" s="651"/>
      <c r="E338" s="651"/>
      <c r="F338" s="110"/>
      <c r="G338" s="110"/>
      <c r="H338" s="110"/>
      <c r="I338" s="110"/>
      <c r="J338" s="110"/>
      <c r="K338" s="110"/>
      <c r="L338" s="110"/>
      <c r="M338" s="2"/>
      <c r="N338" s="2"/>
      <c r="O338" s="2"/>
      <c r="P338" s="2"/>
    </row>
    <row r="339" spans="2:16" customFormat="1" ht="15" customHeight="1" x14ac:dyDescent="0.35">
      <c r="B339" s="641" t="s">
        <v>153</v>
      </c>
      <c r="C339" s="641"/>
      <c r="D339" s="641"/>
      <c r="E339" s="201">
        <v>107692.6</v>
      </c>
      <c r="F339" s="110"/>
      <c r="G339" s="110"/>
      <c r="H339" s="110"/>
      <c r="I339" s="110"/>
      <c r="J339" s="110"/>
      <c r="K339" s="110"/>
      <c r="L339" s="110"/>
      <c r="M339" s="2"/>
      <c r="N339" s="2"/>
      <c r="O339" s="2"/>
      <c r="P339" s="2"/>
    </row>
    <row r="340" spans="2:16" customFormat="1" ht="15" customHeight="1" x14ac:dyDescent="0.35">
      <c r="B340" s="664" t="s">
        <v>49</v>
      </c>
      <c r="C340" s="664"/>
      <c r="D340" s="664"/>
      <c r="E340" s="201">
        <v>3978.91</v>
      </c>
      <c r="F340" s="110"/>
      <c r="G340" s="110"/>
      <c r="H340" s="110"/>
      <c r="I340" s="110"/>
      <c r="J340" s="110"/>
      <c r="K340" s="110"/>
      <c r="L340" s="110"/>
      <c r="M340" s="2"/>
      <c r="N340" s="2"/>
      <c r="O340" s="2"/>
      <c r="P340" s="2"/>
    </row>
    <row r="341" spans="2:16" customFormat="1" ht="16.5" x14ac:dyDescent="0.35">
      <c r="B341" s="641" t="s">
        <v>135</v>
      </c>
      <c r="C341" s="641"/>
      <c r="D341" s="641"/>
      <c r="E341" s="299">
        <v>17.04</v>
      </c>
      <c r="F341" s="127"/>
      <c r="G341" s="127"/>
      <c r="H341" s="127"/>
      <c r="I341" s="110"/>
      <c r="J341" s="110"/>
      <c r="K341" s="110"/>
      <c r="L341" s="110"/>
      <c r="M341" s="2"/>
      <c r="N341" s="2"/>
      <c r="O341" s="2"/>
      <c r="P341" s="2"/>
    </row>
    <row r="342" spans="2:16" s="103" customFormat="1" ht="16.5" x14ac:dyDescent="0.35">
      <c r="B342" s="641" t="s">
        <v>139</v>
      </c>
      <c r="C342" s="641"/>
      <c r="D342" s="641"/>
      <c r="E342" s="299">
        <v>164179.49</v>
      </c>
      <c r="F342" s="127"/>
      <c r="G342" s="127"/>
      <c r="H342" s="127"/>
      <c r="I342" s="110"/>
      <c r="J342" s="110"/>
      <c r="K342" s="110"/>
      <c r="L342" s="110"/>
      <c r="M342" s="46"/>
      <c r="N342" s="46"/>
      <c r="O342" s="46"/>
      <c r="P342" s="46"/>
    </row>
    <row r="343" spans="2:16" s="103" customFormat="1" ht="16.5" x14ac:dyDescent="0.35">
      <c r="B343" s="641" t="s">
        <v>675</v>
      </c>
      <c r="C343" s="641"/>
      <c r="D343" s="641"/>
      <c r="E343" s="299">
        <v>9637</v>
      </c>
      <c r="F343" s="127"/>
      <c r="G343" s="127"/>
      <c r="H343" s="127"/>
      <c r="I343" s="110"/>
      <c r="J343" s="110"/>
      <c r="K343" s="110"/>
      <c r="L343" s="110"/>
      <c r="M343" s="46"/>
      <c r="N343" s="46"/>
      <c r="O343" s="46"/>
      <c r="P343" s="46"/>
    </row>
    <row r="344" spans="2:16" s="18" customFormat="1" ht="15.75" x14ac:dyDescent="0.35">
      <c r="B344" s="666" t="s">
        <v>98</v>
      </c>
      <c r="C344" s="666"/>
      <c r="D344" s="666"/>
      <c r="E344" s="330">
        <f>SUM(E339:E343)</f>
        <v>285505.03999999998</v>
      </c>
      <c r="F344" s="110"/>
      <c r="G344" s="110"/>
      <c r="H344" s="110"/>
      <c r="I344" s="127"/>
      <c r="J344" s="127"/>
      <c r="K344" s="127"/>
      <c r="L344" s="127"/>
    </row>
    <row r="345" spans="2:16" ht="15.75" x14ac:dyDescent="0.35">
      <c r="B345" s="155"/>
      <c r="C345" s="155"/>
      <c r="D345" s="155"/>
      <c r="E345" s="155"/>
      <c r="F345" s="110"/>
      <c r="G345" s="110"/>
      <c r="H345" s="110"/>
      <c r="I345" s="110"/>
      <c r="J345" s="110"/>
      <c r="K345" s="110"/>
      <c r="L345" s="110"/>
    </row>
    <row r="346" spans="2:16" customFormat="1" ht="40.5" x14ac:dyDescent="0.3">
      <c r="B346" s="219" t="s">
        <v>52</v>
      </c>
      <c r="C346" s="289" t="s">
        <v>898</v>
      </c>
      <c r="D346" s="327"/>
      <c r="E346" s="320"/>
      <c r="F346" s="140"/>
      <c r="G346" s="140"/>
      <c r="H346" s="129"/>
      <c r="I346" s="110"/>
      <c r="J346" s="110"/>
      <c r="K346" s="110"/>
      <c r="L346" s="110"/>
      <c r="M346" s="2"/>
      <c r="N346" s="2"/>
      <c r="O346" s="2"/>
      <c r="P346" s="2"/>
    </row>
    <row r="347" spans="2:16" s="184" customFormat="1" ht="15.75" x14ac:dyDescent="0.3">
      <c r="B347" s="294"/>
      <c r="C347" s="295" t="s">
        <v>326</v>
      </c>
      <c r="D347" s="327"/>
      <c r="E347" s="320"/>
      <c r="F347" s="140"/>
      <c r="G347" s="140"/>
      <c r="H347" s="129"/>
      <c r="I347" s="110"/>
      <c r="J347" s="110"/>
      <c r="K347" s="110"/>
      <c r="L347" s="110"/>
      <c r="M347" s="46"/>
      <c r="N347" s="46"/>
      <c r="O347" s="46"/>
      <c r="P347" s="46"/>
    </row>
    <row r="348" spans="2:16" customFormat="1" ht="16.5" x14ac:dyDescent="0.35">
      <c r="B348" s="321" t="s">
        <v>53</v>
      </c>
      <c r="C348" s="202">
        <v>816979.36</v>
      </c>
      <c r="D348" s="328"/>
      <c r="E348" s="182"/>
      <c r="F348" s="130"/>
      <c r="G348" s="130"/>
      <c r="H348" s="110"/>
      <c r="I348" s="110"/>
      <c r="J348" s="110"/>
      <c r="K348" s="110"/>
      <c r="L348" s="110"/>
      <c r="M348" s="2"/>
      <c r="N348" s="2"/>
      <c r="O348" s="2"/>
      <c r="P348" s="2"/>
    </row>
    <row r="349" spans="2:16" s="20" customFormat="1" ht="15.75" x14ac:dyDescent="0.35">
      <c r="B349" s="321" t="s">
        <v>54</v>
      </c>
      <c r="C349" s="202">
        <v>282617.59000000003</v>
      </c>
      <c r="D349" s="328"/>
      <c r="E349" s="182"/>
      <c r="F349" s="130"/>
      <c r="G349" s="130"/>
      <c r="H349" s="110"/>
      <c r="I349" s="129"/>
      <c r="J349" s="129"/>
      <c r="K349" s="129"/>
      <c r="L349" s="129"/>
    </row>
    <row r="350" spans="2:16" customFormat="1" ht="16.5" x14ac:dyDescent="0.35">
      <c r="B350" s="321" t="s">
        <v>55</v>
      </c>
      <c r="C350" s="202">
        <f>SUM(C351:C356)</f>
        <v>123626.64</v>
      </c>
      <c r="D350" s="328"/>
      <c r="E350" s="182"/>
      <c r="F350" s="130"/>
      <c r="G350" s="130"/>
      <c r="H350" s="110"/>
      <c r="I350" s="110"/>
      <c r="J350" s="110"/>
      <c r="K350" s="110"/>
      <c r="L350" s="110"/>
      <c r="M350" s="2"/>
      <c r="N350" s="2"/>
      <c r="O350" s="2"/>
      <c r="P350" s="2"/>
    </row>
    <row r="351" spans="2:16" customFormat="1" ht="16.5" x14ac:dyDescent="0.35">
      <c r="B351" s="220" t="s">
        <v>66</v>
      </c>
      <c r="C351" s="201">
        <v>148.46</v>
      </c>
      <c r="D351" s="328"/>
      <c r="E351" s="182"/>
      <c r="F351" s="130"/>
      <c r="G351" s="130"/>
      <c r="H351" s="110"/>
      <c r="I351" s="110"/>
      <c r="J351" s="110"/>
      <c r="K351" s="110"/>
      <c r="L351" s="110"/>
      <c r="M351" s="2"/>
      <c r="N351" s="2"/>
      <c r="O351" s="2"/>
      <c r="P351" s="2"/>
    </row>
    <row r="352" spans="2:16" customFormat="1" ht="16.5" x14ac:dyDescent="0.35">
      <c r="B352" s="220" t="s">
        <v>56</v>
      </c>
      <c r="C352" s="201">
        <v>27705.200000000001</v>
      </c>
      <c r="D352" s="328"/>
      <c r="E352" s="182"/>
      <c r="F352" s="130"/>
      <c r="G352" s="130"/>
      <c r="H352" s="110"/>
      <c r="I352" s="110"/>
      <c r="J352" s="110"/>
      <c r="K352" s="110"/>
      <c r="L352" s="110"/>
      <c r="M352" s="2"/>
      <c r="N352" s="2"/>
      <c r="O352" s="2"/>
      <c r="P352" s="2"/>
    </row>
    <row r="353" spans="2:16" customFormat="1" ht="16.5" x14ac:dyDescent="0.35">
      <c r="B353" s="220" t="s">
        <v>57</v>
      </c>
      <c r="C353" s="201">
        <v>26643.11</v>
      </c>
      <c r="D353" s="328"/>
      <c r="E353" s="182"/>
      <c r="F353" s="130"/>
      <c r="G353" s="130"/>
      <c r="H353" s="110"/>
      <c r="I353" s="110"/>
      <c r="J353" s="110"/>
      <c r="K353" s="110"/>
      <c r="L353" s="110"/>
      <c r="M353" s="2"/>
      <c r="N353" s="2"/>
      <c r="O353" s="2"/>
      <c r="P353" s="2"/>
    </row>
    <row r="354" spans="2:16" customFormat="1" ht="16.5" x14ac:dyDescent="0.35">
      <c r="B354" s="220" t="s">
        <v>59</v>
      </c>
      <c r="C354" s="201">
        <v>6431.92</v>
      </c>
      <c r="D354" s="328"/>
      <c r="E354" s="182"/>
      <c r="F354" s="130"/>
      <c r="G354" s="130"/>
      <c r="H354" s="110"/>
      <c r="I354" s="110"/>
      <c r="J354" s="110"/>
      <c r="K354" s="110"/>
      <c r="L354" s="110"/>
      <c r="M354" s="2"/>
      <c r="N354" s="2"/>
      <c r="O354" s="2"/>
      <c r="P354" s="2"/>
    </row>
    <row r="355" spans="2:16" customFormat="1" ht="16.5" x14ac:dyDescent="0.35">
      <c r="B355" s="220" t="s">
        <v>60</v>
      </c>
      <c r="C355" s="201">
        <v>1088.8399999999999</v>
      </c>
      <c r="D355" s="328"/>
      <c r="E355" s="182"/>
      <c r="F355" s="130"/>
      <c r="G355" s="130"/>
      <c r="H355" s="110"/>
      <c r="I355" s="110"/>
      <c r="J355" s="110"/>
      <c r="K355" s="110"/>
      <c r="L355" s="110"/>
      <c r="M355" s="2"/>
      <c r="N355" s="2"/>
      <c r="O355" s="2"/>
      <c r="P355" s="2"/>
    </row>
    <row r="356" spans="2:16" customFormat="1" ht="16.5" x14ac:dyDescent="0.35">
      <c r="B356" s="220" t="s">
        <v>61</v>
      </c>
      <c r="C356" s="201">
        <v>61609.11</v>
      </c>
      <c r="D356" s="329"/>
      <c r="E356" s="212"/>
      <c r="F356" s="141"/>
      <c r="G356" s="141"/>
      <c r="H356" s="111"/>
      <c r="I356" s="110"/>
      <c r="J356" s="110"/>
      <c r="K356" s="110"/>
      <c r="L356" s="110"/>
      <c r="M356" s="2"/>
      <c r="N356" s="2"/>
      <c r="O356" s="2"/>
      <c r="P356" s="2"/>
    </row>
    <row r="357" spans="2:16" customFormat="1" ht="16.5" x14ac:dyDescent="0.35">
      <c r="B357" s="321" t="s">
        <v>62</v>
      </c>
      <c r="C357" s="202">
        <v>8066.14</v>
      </c>
      <c r="D357" s="155"/>
      <c r="E357" s="155"/>
      <c r="F357" s="110"/>
      <c r="G357" s="110"/>
      <c r="H357" s="110"/>
      <c r="I357" s="110"/>
      <c r="J357" s="110"/>
      <c r="K357" s="110"/>
      <c r="L357" s="110"/>
      <c r="M357" s="2"/>
      <c r="N357" s="2"/>
      <c r="O357" s="2"/>
      <c r="P357" s="2"/>
    </row>
    <row r="358" spans="2:16" customFormat="1" ht="21.75" customHeight="1" x14ac:dyDescent="0.35">
      <c r="B358" s="248" t="s">
        <v>98</v>
      </c>
      <c r="C358" s="249">
        <f>C348+C349+C350+C357</f>
        <v>1231289.7299999997</v>
      </c>
      <c r="D358" s="155"/>
      <c r="E358" s="155"/>
      <c r="F358" s="110"/>
      <c r="G358" s="110"/>
      <c r="H358" s="110"/>
      <c r="I358" s="110"/>
      <c r="J358" s="110"/>
      <c r="K358" s="110"/>
      <c r="L358" s="110"/>
      <c r="M358" s="2"/>
      <c r="N358" s="2"/>
      <c r="O358" s="2"/>
      <c r="P358" s="2"/>
    </row>
    <row r="359" spans="2:16" ht="15" x14ac:dyDescent="0.3"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</row>
  </sheetData>
  <mergeCells count="92">
    <mergeCell ref="B40:D40"/>
    <mergeCell ref="B9:E9"/>
    <mergeCell ref="B10:D10"/>
    <mergeCell ref="B11:D11"/>
    <mergeCell ref="B12:D12"/>
    <mergeCell ref="B13:D13"/>
    <mergeCell ref="B15:D15"/>
    <mergeCell ref="B16:D16"/>
    <mergeCell ref="B37:E37"/>
    <mergeCell ref="B38:D38"/>
    <mergeCell ref="B39:D39"/>
    <mergeCell ref="C18:D18"/>
    <mergeCell ref="E18:F18"/>
    <mergeCell ref="B78:D78"/>
    <mergeCell ref="B41:D41"/>
    <mergeCell ref="B45:D45"/>
    <mergeCell ref="B46:D46"/>
    <mergeCell ref="B70:E70"/>
    <mergeCell ref="B71:D71"/>
    <mergeCell ref="B72:D72"/>
    <mergeCell ref="B73:D73"/>
    <mergeCell ref="B74:D74"/>
    <mergeCell ref="B77:D77"/>
    <mergeCell ref="C48:D48"/>
    <mergeCell ref="E48:F48"/>
    <mergeCell ref="B163:D163"/>
    <mergeCell ref="B164:D164"/>
    <mergeCell ref="B191:E191"/>
    <mergeCell ref="C166:D166"/>
    <mergeCell ref="B133:D133"/>
    <mergeCell ref="B157:E157"/>
    <mergeCell ref="B158:D158"/>
    <mergeCell ref="B159:D159"/>
    <mergeCell ref="B160:D160"/>
    <mergeCell ref="B161:D161"/>
    <mergeCell ref="B315:E315"/>
    <mergeCell ref="B260:D260"/>
    <mergeCell ref="B252:E252"/>
    <mergeCell ref="B193:D193"/>
    <mergeCell ref="B194:D194"/>
    <mergeCell ref="B196:D196"/>
    <mergeCell ref="B198:D198"/>
    <mergeCell ref="B218:E218"/>
    <mergeCell ref="B219:D219"/>
    <mergeCell ref="B220:D220"/>
    <mergeCell ref="B221:D221"/>
    <mergeCell ref="B222:D222"/>
    <mergeCell ref="B224:D224"/>
    <mergeCell ref="B258:D258"/>
    <mergeCell ref="B259:D259"/>
    <mergeCell ref="B262:D262"/>
    <mergeCell ref="B342:D342"/>
    <mergeCell ref="B343:D343"/>
    <mergeCell ref="B341:D341"/>
    <mergeCell ref="B344:D344"/>
    <mergeCell ref="B316:D316"/>
    <mergeCell ref="B317:D317"/>
    <mergeCell ref="B318:D318"/>
    <mergeCell ref="B338:E338"/>
    <mergeCell ref="B339:D339"/>
    <mergeCell ref="B340:D340"/>
    <mergeCell ref="C80:D80"/>
    <mergeCell ref="E80:F80"/>
    <mergeCell ref="C109:D109"/>
    <mergeCell ref="E109:F109"/>
    <mergeCell ref="D138:E138"/>
    <mergeCell ref="B135:D135"/>
    <mergeCell ref="B136:D136"/>
    <mergeCell ref="B99:E99"/>
    <mergeCell ref="B100:D100"/>
    <mergeCell ref="B101:D101"/>
    <mergeCell ref="B102:D102"/>
    <mergeCell ref="B103:D103"/>
    <mergeCell ref="B104:D104"/>
    <mergeCell ref="B107:D107"/>
    <mergeCell ref="B131:E131"/>
    <mergeCell ref="B132:D132"/>
    <mergeCell ref="D265:E265"/>
    <mergeCell ref="F265:H265"/>
    <mergeCell ref="E166:G166"/>
    <mergeCell ref="C200:D200"/>
    <mergeCell ref="E200:F200"/>
    <mergeCell ref="C226:D226"/>
    <mergeCell ref="E226:F226"/>
    <mergeCell ref="B263:D263"/>
    <mergeCell ref="B253:D253"/>
    <mergeCell ref="B254:D254"/>
    <mergeCell ref="B255:D255"/>
    <mergeCell ref="B256:D256"/>
    <mergeCell ref="B257:D257"/>
    <mergeCell ref="B261:D261"/>
    <mergeCell ref="B192:D192"/>
  </mergeCells>
  <pageMargins left="0.59055118110236227" right="0.19685039370078741" top="0.59055118110236227" bottom="0.47244094488188981" header="0.19685039370078741" footer="7.874015748031496E-2"/>
  <pageSetup paperSize="9" scale="75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J72"/>
  <sheetViews>
    <sheetView workbookViewId="0"/>
  </sheetViews>
  <sheetFormatPr defaultRowHeight="14.25" x14ac:dyDescent="0.25"/>
  <cols>
    <col min="1" max="1" width="1.5703125" style="10" customWidth="1"/>
    <col min="2" max="2" width="4.28515625" style="10" customWidth="1"/>
    <col min="3" max="3" width="6.28515625" style="10" customWidth="1"/>
    <col min="4" max="4" width="33.42578125" style="10" customWidth="1"/>
    <col min="5" max="5" width="58.7109375" style="10" customWidth="1"/>
    <col min="6" max="6" width="15.140625" style="348" customWidth="1"/>
    <col min="7" max="7" width="9.140625" style="10" customWidth="1"/>
    <col min="8" max="16384" width="9.140625" style="10"/>
  </cols>
  <sheetData>
    <row r="1" spans="3:6" s="69" customFormat="1" ht="15" x14ac:dyDescent="0.25">
      <c r="C1" s="65"/>
      <c r="D1" s="65"/>
      <c r="E1" s="65"/>
      <c r="F1" s="346"/>
    </row>
    <row r="2" spans="3:6" s="69" customFormat="1" ht="15" x14ac:dyDescent="0.25">
      <c r="C2" s="65"/>
      <c r="D2" s="65"/>
      <c r="E2" s="65"/>
      <c r="F2" s="346"/>
    </row>
    <row r="3" spans="3:6" s="69" customFormat="1" ht="15" x14ac:dyDescent="0.25">
      <c r="C3" s="65"/>
      <c r="D3" s="65"/>
      <c r="E3" s="65"/>
      <c r="F3" s="347" t="s">
        <v>154</v>
      </c>
    </row>
    <row r="4" spans="3:6" s="69" customFormat="1" ht="18.75" x14ac:dyDescent="0.25">
      <c r="C4" s="676" t="s">
        <v>493</v>
      </c>
      <c r="D4" s="676"/>
      <c r="E4" s="676"/>
      <c r="F4" s="676"/>
    </row>
    <row r="5" spans="3:6" s="69" customFormat="1" ht="6" customHeight="1" x14ac:dyDescent="0.25">
      <c r="C5" s="342"/>
      <c r="D5" s="343"/>
      <c r="E5" s="343"/>
      <c r="F5" s="344"/>
    </row>
    <row r="6" spans="3:6" s="69" customFormat="1" ht="33" customHeight="1" x14ac:dyDescent="0.25">
      <c r="C6" s="331" t="s">
        <v>155</v>
      </c>
      <c r="D6" s="332" t="s">
        <v>156</v>
      </c>
      <c r="E6" s="332" t="s">
        <v>157</v>
      </c>
      <c r="F6" s="630" t="s">
        <v>158</v>
      </c>
    </row>
    <row r="7" spans="3:6" s="69" customFormat="1" ht="18" x14ac:dyDescent="0.25">
      <c r="C7" s="672" t="s">
        <v>159</v>
      </c>
      <c r="D7" s="672"/>
      <c r="E7" s="672"/>
      <c r="F7" s="631"/>
    </row>
    <row r="8" spans="3:6" s="69" customFormat="1" ht="15" x14ac:dyDescent="0.25">
      <c r="C8" s="336">
        <v>1</v>
      </c>
      <c r="D8" s="335" t="s">
        <v>822</v>
      </c>
      <c r="E8" s="345" t="s">
        <v>823</v>
      </c>
      <c r="F8" s="632">
        <v>16810</v>
      </c>
    </row>
    <row r="9" spans="3:6" s="69" customFormat="1" ht="15" x14ac:dyDescent="0.25">
      <c r="C9" s="336">
        <v>2</v>
      </c>
      <c r="D9" s="335" t="s">
        <v>822</v>
      </c>
      <c r="E9" s="345" t="s">
        <v>824</v>
      </c>
      <c r="F9" s="632">
        <v>139720</v>
      </c>
    </row>
    <row r="10" spans="3:6" s="69" customFormat="1" ht="15" x14ac:dyDescent="0.25">
      <c r="C10" s="336">
        <v>3</v>
      </c>
      <c r="D10" s="335" t="s">
        <v>822</v>
      </c>
      <c r="E10" s="345" t="s">
        <v>825</v>
      </c>
      <c r="F10" s="632">
        <v>101087</v>
      </c>
    </row>
    <row r="11" spans="3:6" s="69" customFormat="1" ht="15" x14ac:dyDescent="0.25">
      <c r="C11" s="336">
        <f>C10+1</f>
        <v>4</v>
      </c>
      <c r="D11" s="335" t="s">
        <v>822</v>
      </c>
      <c r="E11" s="345" t="s">
        <v>905</v>
      </c>
      <c r="F11" s="632">
        <v>9527089</v>
      </c>
    </row>
    <row r="12" spans="3:6" s="69" customFormat="1" ht="15" x14ac:dyDescent="0.25">
      <c r="C12" s="336">
        <f t="shared" ref="C12:C20" si="0">C11+1</f>
        <v>5</v>
      </c>
      <c r="D12" s="335" t="s">
        <v>822</v>
      </c>
      <c r="E12" s="345" t="s">
        <v>906</v>
      </c>
      <c r="F12" s="632">
        <v>19689.560000000001</v>
      </c>
    </row>
    <row r="13" spans="3:6" s="69" customFormat="1" ht="15" x14ac:dyDescent="0.25">
      <c r="C13" s="336">
        <f t="shared" si="0"/>
        <v>6</v>
      </c>
      <c r="D13" s="335" t="s">
        <v>822</v>
      </c>
      <c r="E13" s="345" t="s">
        <v>907</v>
      </c>
      <c r="F13" s="632">
        <v>129602</v>
      </c>
    </row>
    <row r="14" spans="3:6" s="69" customFormat="1" ht="15" x14ac:dyDescent="0.25">
      <c r="C14" s="336">
        <f t="shared" si="0"/>
        <v>7</v>
      </c>
      <c r="D14" s="335" t="s">
        <v>822</v>
      </c>
      <c r="E14" s="345" t="s">
        <v>908</v>
      </c>
      <c r="F14" s="632">
        <v>20000</v>
      </c>
    </row>
    <row r="15" spans="3:6" s="69" customFormat="1" ht="15" x14ac:dyDescent="0.25">
      <c r="C15" s="336">
        <f t="shared" si="0"/>
        <v>8</v>
      </c>
      <c r="D15" s="335" t="s">
        <v>822</v>
      </c>
      <c r="E15" s="345" t="s">
        <v>909</v>
      </c>
      <c r="F15" s="632">
        <v>21002</v>
      </c>
    </row>
    <row r="16" spans="3:6" s="69" customFormat="1" ht="15" x14ac:dyDescent="0.25">
      <c r="C16" s="336">
        <f t="shared" si="0"/>
        <v>9</v>
      </c>
      <c r="D16" s="335" t="s">
        <v>822</v>
      </c>
      <c r="E16" s="345" t="s">
        <v>910</v>
      </c>
      <c r="F16" s="632">
        <v>2502</v>
      </c>
    </row>
    <row r="17" spans="3:10" s="69" customFormat="1" ht="15" x14ac:dyDescent="0.25">
      <c r="C17" s="336">
        <f>C16+1</f>
        <v>10</v>
      </c>
      <c r="D17" s="335" t="s">
        <v>822</v>
      </c>
      <c r="E17" s="345" t="s">
        <v>911</v>
      </c>
      <c r="F17" s="632">
        <v>1250</v>
      </c>
    </row>
    <row r="18" spans="3:10" s="69" customFormat="1" ht="15" x14ac:dyDescent="0.25">
      <c r="C18" s="336">
        <f t="shared" si="0"/>
        <v>11</v>
      </c>
      <c r="D18" s="335" t="s">
        <v>822</v>
      </c>
      <c r="E18" s="345" t="s">
        <v>826</v>
      </c>
      <c r="F18" s="632">
        <v>85142</v>
      </c>
    </row>
    <row r="19" spans="3:10" s="69" customFormat="1" ht="15" x14ac:dyDescent="0.25">
      <c r="C19" s="336">
        <f t="shared" si="0"/>
        <v>12</v>
      </c>
      <c r="D19" s="335" t="s">
        <v>822</v>
      </c>
      <c r="E19" s="345" t="s">
        <v>827</v>
      </c>
      <c r="F19" s="632">
        <v>139845</v>
      </c>
      <c r="G19" s="340"/>
      <c r="H19" s="340"/>
      <c r="I19" s="340"/>
      <c r="J19" s="340"/>
    </row>
    <row r="20" spans="3:10" s="69" customFormat="1" ht="15" x14ac:dyDescent="0.25">
      <c r="C20" s="336">
        <f t="shared" si="0"/>
        <v>13</v>
      </c>
      <c r="D20" s="335" t="s">
        <v>822</v>
      </c>
      <c r="E20" s="345" t="s">
        <v>912</v>
      </c>
      <c r="F20" s="632">
        <v>37094</v>
      </c>
      <c r="G20" s="340"/>
      <c r="H20" s="340"/>
      <c r="I20" s="340"/>
      <c r="J20" s="340"/>
    </row>
    <row r="21" spans="3:10" s="69" customFormat="1" ht="15" x14ac:dyDescent="0.25">
      <c r="C21" s="336">
        <f>C20+1</f>
        <v>14</v>
      </c>
      <c r="D21" s="335" t="s">
        <v>822</v>
      </c>
      <c r="E21" s="345" t="s">
        <v>913</v>
      </c>
      <c r="F21" s="632">
        <v>800</v>
      </c>
      <c r="G21" s="340"/>
      <c r="H21" s="340"/>
      <c r="I21" s="340"/>
      <c r="J21" s="340"/>
    </row>
    <row r="22" spans="3:10" s="69" customFormat="1" ht="15" x14ac:dyDescent="0.25">
      <c r="C22" s="336">
        <f>C21+1</f>
        <v>15</v>
      </c>
      <c r="D22" s="335" t="s">
        <v>822</v>
      </c>
      <c r="E22" s="345" t="s">
        <v>914</v>
      </c>
      <c r="F22" s="632">
        <v>3200</v>
      </c>
      <c r="G22" s="340"/>
      <c r="H22" s="340"/>
      <c r="I22" s="340"/>
      <c r="J22" s="340"/>
    </row>
    <row r="23" spans="3:10" s="69" customFormat="1" ht="15" x14ac:dyDescent="0.25">
      <c r="C23" s="336">
        <f t="shared" ref="C23:C30" si="1">C22+1</f>
        <v>16</v>
      </c>
      <c r="D23" s="335" t="s">
        <v>822</v>
      </c>
      <c r="E23" s="345" t="s">
        <v>915</v>
      </c>
      <c r="F23" s="632">
        <v>0</v>
      </c>
      <c r="G23" s="340"/>
      <c r="H23" s="340"/>
      <c r="I23" s="340"/>
      <c r="J23" s="340"/>
    </row>
    <row r="24" spans="3:10" s="69" customFormat="1" ht="15" x14ac:dyDescent="0.25">
      <c r="C24" s="336">
        <f t="shared" si="1"/>
        <v>17</v>
      </c>
      <c r="D24" s="335" t="s">
        <v>822</v>
      </c>
      <c r="E24" s="345" t="s">
        <v>828</v>
      </c>
      <c r="F24" s="632">
        <v>22500</v>
      </c>
      <c r="G24" s="340"/>
      <c r="H24" s="340"/>
      <c r="I24" s="340"/>
      <c r="J24" s="340"/>
    </row>
    <row r="25" spans="3:10" s="69" customFormat="1" ht="15" x14ac:dyDescent="0.25">
      <c r="C25" s="336">
        <f t="shared" si="1"/>
        <v>18</v>
      </c>
      <c r="D25" s="335" t="s">
        <v>829</v>
      </c>
      <c r="E25" s="345" t="s">
        <v>830</v>
      </c>
      <c r="F25" s="632">
        <v>282.2</v>
      </c>
      <c r="G25" s="340"/>
      <c r="H25" s="340"/>
      <c r="I25" s="340"/>
      <c r="J25" s="340"/>
    </row>
    <row r="26" spans="3:10" s="69" customFormat="1" ht="15" x14ac:dyDescent="0.25">
      <c r="C26" s="336">
        <f t="shared" si="1"/>
        <v>19</v>
      </c>
      <c r="D26" s="335" t="s">
        <v>829</v>
      </c>
      <c r="E26" s="345" t="s">
        <v>916</v>
      </c>
      <c r="F26" s="632">
        <v>695459.5</v>
      </c>
      <c r="G26" s="340"/>
      <c r="H26" s="341"/>
      <c r="I26" s="341"/>
      <c r="J26" s="341"/>
    </row>
    <row r="27" spans="3:10" ht="27" x14ac:dyDescent="0.25">
      <c r="C27" s="336">
        <f t="shared" si="1"/>
        <v>20</v>
      </c>
      <c r="D27" s="335" t="s">
        <v>867</v>
      </c>
      <c r="E27" s="339" t="s">
        <v>917</v>
      </c>
      <c r="F27" s="632">
        <v>186596.73</v>
      </c>
      <c r="G27" s="340"/>
      <c r="H27" s="341"/>
      <c r="I27" s="341"/>
      <c r="J27" s="341"/>
    </row>
    <row r="28" spans="3:10" s="69" customFormat="1" ht="15" x14ac:dyDescent="0.25">
      <c r="C28" s="336">
        <f t="shared" si="1"/>
        <v>21</v>
      </c>
      <c r="D28" s="335" t="s">
        <v>831</v>
      </c>
      <c r="E28" s="345" t="s">
        <v>832</v>
      </c>
      <c r="F28" s="632">
        <v>2400</v>
      </c>
      <c r="G28" s="65"/>
      <c r="H28" s="67"/>
      <c r="I28" s="66"/>
      <c r="J28" s="66"/>
    </row>
    <row r="29" spans="3:10" s="69" customFormat="1" ht="15" x14ac:dyDescent="0.25">
      <c r="C29" s="336">
        <f t="shared" si="1"/>
        <v>22</v>
      </c>
      <c r="D29" s="335" t="s">
        <v>831</v>
      </c>
      <c r="E29" s="335" t="s">
        <v>833</v>
      </c>
      <c r="F29" s="632">
        <v>5047</v>
      </c>
      <c r="G29" s="65"/>
      <c r="H29" s="66"/>
      <c r="I29" s="66"/>
      <c r="J29" s="66"/>
    </row>
    <row r="30" spans="3:10" s="69" customFormat="1" ht="15" x14ac:dyDescent="0.25">
      <c r="C30" s="336">
        <f t="shared" si="1"/>
        <v>23</v>
      </c>
      <c r="D30" s="335" t="s">
        <v>834</v>
      </c>
      <c r="E30" s="335" t="s">
        <v>835</v>
      </c>
      <c r="F30" s="632">
        <v>52700</v>
      </c>
      <c r="G30" s="340"/>
      <c r="H30" s="341"/>
      <c r="I30" s="341"/>
      <c r="J30" s="341"/>
    </row>
    <row r="31" spans="3:10" s="69" customFormat="1" ht="27" x14ac:dyDescent="0.25">
      <c r="C31" s="336">
        <f t="shared" ref="C31" si="2">C30+1</f>
        <v>24</v>
      </c>
      <c r="D31" s="333" t="s">
        <v>819</v>
      </c>
      <c r="E31" s="335" t="s">
        <v>836</v>
      </c>
      <c r="F31" s="632">
        <v>23890</v>
      </c>
      <c r="G31" s="340"/>
      <c r="H31" s="341"/>
      <c r="I31" s="341"/>
      <c r="J31" s="341"/>
    </row>
    <row r="32" spans="3:10" s="69" customFormat="1" ht="15" x14ac:dyDescent="0.25">
      <c r="C32" s="675" t="s">
        <v>160</v>
      </c>
      <c r="D32" s="675"/>
      <c r="E32" s="675"/>
      <c r="F32" s="633"/>
      <c r="G32" s="340"/>
      <c r="H32" s="341"/>
      <c r="I32" s="341"/>
      <c r="J32" s="341"/>
    </row>
    <row r="33" spans="3:8" s="69" customFormat="1" ht="15" x14ac:dyDescent="0.25">
      <c r="C33" s="336">
        <f>C31+1</f>
        <v>25</v>
      </c>
      <c r="D33" s="335" t="s">
        <v>822</v>
      </c>
      <c r="E33" s="335" t="s">
        <v>837</v>
      </c>
      <c r="F33" s="634">
        <v>11062.2</v>
      </c>
      <c r="G33" s="340"/>
      <c r="H33" s="340"/>
    </row>
    <row r="34" spans="3:8" s="69" customFormat="1" ht="27" x14ac:dyDescent="0.25">
      <c r="C34" s="336">
        <f>C33+1</f>
        <v>26</v>
      </c>
      <c r="D34" s="333" t="s">
        <v>838</v>
      </c>
      <c r="E34" s="334" t="s">
        <v>839</v>
      </c>
      <c r="F34" s="634">
        <v>24539.38</v>
      </c>
      <c r="G34" s="340"/>
      <c r="H34" s="340"/>
    </row>
    <row r="35" spans="3:8" s="69" customFormat="1" ht="15" x14ac:dyDescent="0.25">
      <c r="C35" s="336">
        <f t="shared" ref="C35:C44" si="3">C34+1</f>
        <v>27</v>
      </c>
      <c r="D35" s="335" t="s">
        <v>822</v>
      </c>
      <c r="E35" s="335" t="s">
        <v>840</v>
      </c>
      <c r="F35" s="635">
        <v>5427.53</v>
      </c>
      <c r="G35" s="340"/>
      <c r="H35" s="340"/>
    </row>
    <row r="36" spans="3:8" s="69" customFormat="1" ht="15" x14ac:dyDescent="0.25">
      <c r="C36" s="336">
        <f t="shared" si="3"/>
        <v>28</v>
      </c>
      <c r="D36" s="333" t="s">
        <v>918</v>
      </c>
      <c r="E36" s="333" t="s">
        <v>841</v>
      </c>
      <c r="F36" s="632">
        <v>2392.5500000000002</v>
      </c>
      <c r="G36" s="340"/>
      <c r="H36" s="340"/>
    </row>
    <row r="37" spans="3:8" ht="14.25" customHeight="1" x14ac:dyDescent="0.25">
      <c r="C37" s="336">
        <f t="shared" si="3"/>
        <v>29</v>
      </c>
      <c r="D37" s="333" t="s">
        <v>918</v>
      </c>
      <c r="E37" s="335" t="s">
        <v>842</v>
      </c>
      <c r="F37" s="632">
        <v>71765.289999999994</v>
      </c>
      <c r="G37" s="65"/>
      <c r="H37" s="65"/>
    </row>
    <row r="38" spans="3:8" s="69" customFormat="1" ht="27" x14ac:dyDescent="0.25">
      <c r="C38" s="336">
        <f t="shared" si="3"/>
        <v>30</v>
      </c>
      <c r="D38" s="333" t="s">
        <v>820</v>
      </c>
      <c r="E38" s="335" t="s">
        <v>843</v>
      </c>
      <c r="F38" s="636">
        <v>1121205.3799999999</v>
      </c>
      <c r="G38" s="65"/>
      <c r="H38" s="65"/>
    </row>
    <row r="39" spans="3:8" s="69" customFormat="1" ht="27" x14ac:dyDescent="0.25">
      <c r="C39" s="336">
        <f t="shared" si="3"/>
        <v>31</v>
      </c>
      <c r="D39" s="333" t="s">
        <v>820</v>
      </c>
      <c r="E39" s="335" t="s">
        <v>844</v>
      </c>
      <c r="F39" s="632">
        <v>6200</v>
      </c>
      <c r="G39" s="65"/>
      <c r="H39" s="65"/>
    </row>
    <row r="40" spans="3:8" s="69" customFormat="1" ht="15" x14ac:dyDescent="0.25">
      <c r="C40" s="336">
        <f t="shared" si="3"/>
        <v>32</v>
      </c>
      <c r="D40" s="335" t="s">
        <v>845</v>
      </c>
      <c r="E40" s="335" t="s">
        <v>846</v>
      </c>
      <c r="F40" s="632">
        <v>152908.03</v>
      </c>
      <c r="G40" s="65"/>
      <c r="H40" s="673"/>
    </row>
    <row r="41" spans="3:8" s="69" customFormat="1" ht="15" x14ac:dyDescent="0.25">
      <c r="C41" s="336">
        <f t="shared" si="3"/>
        <v>33</v>
      </c>
      <c r="D41" s="335" t="s">
        <v>845</v>
      </c>
      <c r="E41" s="335" t="s">
        <v>847</v>
      </c>
      <c r="F41" s="632">
        <v>875.6</v>
      </c>
      <c r="G41" s="65"/>
      <c r="H41" s="673"/>
    </row>
    <row r="42" spans="3:8" ht="13.5" customHeight="1" x14ac:dyDescent="0.25">
      <c r="C42" s="336">
        <f t="shared" si="3"/>
        <v>34</v>
      </c>
      <c r="D42" s="335" t="s">
        <v>845</v>
      </c>
      <c r="E42" s="335" t="s">
        <v>848</v>
      </c>
      <c r="F42" s="632">
        <v>18276.39</v>
      </c>
      <c r="G42" s="65"/>
      <c r="H42" s="673"/>
    </row>
    <row r="43" spans="3:8" s="69" customFormat="1" ht="14.25" customHeight="1" x14ac:dyDescent="0.25">
      <c r="C43" s="336">
        <f t="shared" si="3"/>
        <v>35</v>
      </c>
      <c r="D43" s="335" t="s">
        <v>829</v>
      </c>
      <c r="E43" s="335" t="s">
        <v>849</v>
      </c>
      <c r="F43" s="632">
        <v>5654.95</v>
      </c>
      <c r="G43" s="65"/>
      <c r="H43" s="673"/>
    </row>
    <row r="44" spans="3:8" s="69" customFormat="1" ht="15" x14ac:dyDescent="0.25">
      <c r="C44" s="336">
        <f t="shared" si="3"/>
        <v>36</v>
      </c>
      <c r="D44" s="335" t="s">
        <v>850</v>
      </c>
      <c r="E44" s="335" t="s">
        <v>865</v>
      </c>
      <c r="F44" s="632">
        <v>80444.259999999995</v>
      </c>
      <c r="G44" s="65"/>
      <c r="H44" s="673"/>
    </row>
    <row r="45" spans="3:8" s="69" customFormat="1" ht="27" x14ac:dyDescent="0.25">
      <c r="C45" s="336">
        <f>C44+1</f>
        <v>37</v>
      </c>
      <c r="D45" s="333" t="s">
        <v>851</v>
      </c>
      <c r="E45" s="333" t="s">
        <v>852</v>
      </c>
      <c r="F45" s="632">
        <v>5586.61</v>
      </c>
      <c r="G45" s="65"/>
      <c r="H45" s="673"/>
    </row>
    <row r="46" spans="3:8" s="69" customFormat="1" ht="27" x14ac:dyDescent="0.25">
      <c r="C46" s="336">
        <f>C45+1</f>
        <v>38</v>
      </c>
      <c r="D46" s="333" t="s">
        <v>851</v>
      </c>
      <c r="E46" s="333" t="s">
        <v>853</v>
      </c>
      <c r="F46" s="632">
        <v>50331.89</v>
      </c>
      <c r="G46" s="65"/>
      <c r="H46" s="673"/>
    </row>
    <row r="47" spans="3:8" s="69" customFormat="1" ht="27" x14ac:dyDescent="0.25">
      <c r="C47" s="336">
        <f>C46+1</f>
        <v>39</v>
      </c>
      <c r="D47" s="335" t="s">
        <v>854</v>
      </c>
      <c r="E47" s="333" t="s">
        <v>855</v>
      </c>
      <c r="F47" s="632">
        <v>25342.2</v>
      </c>
      <c r="G47" s="65"/>
      <c r="H47" s="673"/>
    </row>
    <row r="48" spans="3:8" s="69" customFormat="1" ht="27" x14ac:dyDescent="0.25">
      <c r="C48" s="336">
        <f t="shared" ref="C48" si="4">C47+1</f>
        <v>40</v>
      </c>
      <c r="D48" s="335" t="s">
        <v>854</v>
      </c>
      <c r="E48" s="333" t="s">
        <v>856</v>
      </c>
      <c r="F48" s="632">
        <v>23085</v>
      </c>
      <c r="G48" s="65"/>
      <c r="H48" s="673"/>
    </row>
    <row r="49" spans="3:8" s="69" customFormat="1" ht="15" x14ac:dyDescent="0.25">
      <c r="C49" s="336">
        <f>C48+1</f>
        <v>41</v>
      </c>
      <c r="D49" s="345" t="s">
        <v>919</v>
      </c>
      <c r="E49" s="335" t="s">
        <v>920</v>
      </c>
      <c r="F49" s="632">
        <v>61604.45</v>
      </c>
      <c r="G49" s="65"/>
      <c r="H49" s="673"/>
    </row>
    <row r="50" spans="3:8" s="69" customFormat="1" ht="15" x14ac:dyDescent="0.25">
      <c r="C50" s="336">
        <f t="shared" ref="C50:C55" si="5">C49+1</f>
        <v>42</v>
      </c>
      <c r="D50" s="335" t="s">
        <v>845</v>
      </c>
      <c r="E50" s="335" t="s">
        <v>921</v>
      </c>
      <c r="F50" s="632">
        <v>109105</v>
      </c>
      <c r="G50" s="65"/>
      <c r="H50" s="673"/>
    </row>
    <row r="51" spans="3:8" s="69" customFormat="1" ht="15" x14ac:dyDescent="0.25">
      <c r="C51" s="336">
        <f t="shared" si="5"/>
        <v>43</v>
      </c>
      <c r="D51" s="335" t="s">
        <v>857</v>
      </c>
      <c r="E51" s="335" t="s">
        <v>858</v>
      </c>
      <c r="F51" s="632">
        <v>3000</v>
      </c>
      <c r="G51" s="65"/>
      <c r="H51" s="673"/>
    </row>
    <row r="52" spans="3:8" s="69" customFormat="1" ht="15" x14ac:dyDescent="0.25">
      <c r="C52" s="336">
        <f t="shared" si="5"/>
        <v>44</v>
      </c>
      <c r="D52" s="335" t="s">
        <v>857</v>
      </c>
      <c r="E52" s="335" t="s">
        <v>859</v>
      </c>
      <c r="F52" s="632">
        <v>1400</v>
      </c>
      <c r="G52" s="65"/>
      <c r="H52" s="673"/>
    </row>
    <row r="53" spans="3:8" s="69" customFormat="1" ht="15" x14ac:dyDescent="0.25">
      <c r="C53" s="336">
        <f t="shared" si="5"/>
        <v>45</v>
      </c>
      <c r="D53" s="335" t="s">
        <v>860</v>
      </c>
      <c r="E53" s="335" t="s">
        <v>861</v>
      </c>
      <c r="F53" s="632">
        <v>600</v>
      </c>
      <c r="G53" s="65"/>
      <c r="H53" s="673"/>
    </row>
    <row r="54" spans="3:8" s="69" customFormat="1" ht="42.75" customHeight="1" x14ac:dyDescent="0.25">
      <c r="C54" s="336">
        <f t="shared" si="5"/>
        <v>46</v>
      </c>
      <c r="D54" s="335" t="s">
        <v>862</v>
      </c>
      <c r="E54" s="333" t="s">
        <v>863</v>
      </c>
      <c r="F54" s="632">
        <v>2000</v>
      </c>
      <c r="G54" s="65"/>
      <c r="H54" s="673"/>
    </row>
    <row r="55" spans="3:8" s="69" customFormat="1" ht="15" x14ac:dyDescent="0.25">
      <c r="C55" s="336">
        <f t="shared" si="5"/>
        <v>47</v>
      </c>
      <c r="D55" s="335" t="s">
        <v>864</v>
      </c>
      <c r="E55" s="333" t="s">
        <v>866</v>
      </c>
      <c r="F55" s="632">
        <v>15000</v>
      </c>
      <c r="G55" s="65"/>
      <c r="H55" s="673"/>
    </row>
    <row r="56" spans="3:8" s="69" customFormat="1" ht="15" x14ac:dyDescent="0.25">
      <c r="C56" s="674" t="s">
        <v>98</v>
      </c>
      <c r="D56" s="674"/>
      <c r="E56" s="674"/>
      <c r="F56" s="637">
        <f>SUM(F8:F55)</f>
        <v>13031514.699999997</v>
      </c>
      <c r="G56" s="65"/>
      <c r="H56" s="673"/>
    </row>
    <row r="57" spans="3:8" s="69" customFormat="1" ht="15" x14ac:dyDescent="0.25">
      <c r="C57" s="65"/>
      <c r="D57" s="65"/>
      <c r="E57" s="65"/>
      <c r="F57" s="346"/>
      <c r="G57" s="65"/>
      <c r="H57" s="65"/>
    </row>
    <row r="58" spans="3:8" x14ac:dyDescent="0.25">
      <c r="C58" s="65"/>
      <c r="D58" s="65"/>
      <c r="E58" s="65"/>
      <c r="F58" s="346"/>
      <c r="G58" s="65"/>
      <c r="H58" s="65"/>
    </row>
    <row r="59" spans="3:8" x14ac:dyDescent="0.25">
      <c r="C59" s="65"/>
      <c r="D59" s="65"/>
      <c r="E59" s="65"/>
      <c r="F59" s="346"/>
      <c r="G59" s="65"/>
      <c r="H59" s="65"/>
    </row>
    <row r="60" spans="3:8" x14ac:dyDescent="0.25">
      <c r="C60" s="65"/>
      <c r="D60" s="65"/>
      <c r="E60" s="65"/>
      <c r="F60" s="346"/>
      <c r="G60" s="65"/>
      <c r="H60" s="65"/>
    </row>
    <row r="61" spans="3:8" x14ac:dyDescent="0.25">
      <c r="C61" s="65"/>
      <c r="D61" s="65"/>
      <c r="E61" s="65"/>
      <c r="F61" s="346"/>
      <c r="G61" s="65"/>
      <c r="H61" s="65"/>
    </row>
    <row r="62" spans="3:8" x14ac:dyDescent="0.25">
      <c r="C62" s="65"/>
      <c r="D62" s="65"/>
      <c r="E62" s="65"/>
      <c r="F62" s="346"/>
      <c r="G62" s="65"/>
      <c r="H62" s="65"/>
    </row>
    <row r="67" spans="3:8" s="69" customFormat="1" ht="15" x14ac:dyDescent="0.25">
      <c r="F67" s="348"/>
    </row>
    <row r="72" spans="3:8" ht="15" x14ac:dyDescent="0.25">
      <c r="C72" s="340"/>
      <c r="D72" s="340"/>
      <c r="E72" s="340"/>
      <c r="F72" s="346"/>
      <c r="G72" s="340"/>
      <c r="H72" s="340"/>
    </row>
  </sheetData>
  <mergeCells count="5">
    <mergeCell ref="C7:E7"/>
    <mergeCell ref="H40:H56"/>
    <mergeCell ref="C56:E56"/>
    <mergeCell ref="C32:E32"/>
    <mergeCell ref="C4:F4"/>
  </mergeCells>
  <pageMargins left="0.39370078740157483" right="0.51181102362204722" top="0.55118110236220474" bottom="0.15748031496062992" header="0.15748031496062992" footer="0.15748031496062992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2"/>
  <sheetViews>
    <sheetView workbookViewId="0"/>
  </sheetViews>
  <sheetFormatPr defaultRowHeight="14.25" x14ac:dyDescent="0.2"/>
  <cols>
    <col min="1" max="1" width="9.140625" style="1" customWidth="1"/>
    <col min="2" max="2" width="6.140625" style="1" customWidth="1"/>
    <col min="3" max="3" width="35.7109375" style="1" customWidth="1"/>
    <col min="4" max="4" width="43.85546875" style="1" customWidth="1"/>
    <col min="5" max="5" width="13.140625" style="349" customWidth="1"/>
    <col min="6" max="6" width="9.140625" style="1" customWidth="1"/>
    <col min="7" max="16384" width="9.140625" style="1"/>
  </cols>
  <sheetData>
    <row r="1" spans="1:9" s="508" customFormat="1" x14ac:dyDescent="0.2">
      <c r="E1" s="349"/>
    </row>
    <row r="2" spans="1:9" s="508" customFormat="1" x14ac:dyDescent="0.2">
      <c r="E2" s="349"/>
    </row>
    <row r="3" spans="1:9" ht="15.75" x14ac:dyDescent="0.3">
      <c r="A3" s="1" t="s">
        <v>161</v>
      </c>
      <c r="E3" s="134" t="s">
        <v>468</v>
      </c>
    </row>
    <row r="4" spans="1:9" ht="18" x14ac:dyDescent="0.35">
      <c r="B4" s="678" t="s">
        <v>494</v>
      </c>
      <c r="C4" s="678"/>
      <c r="D4" s="678"/>
      <c r="E4" s="678"/>
    </row>
    <row r="5" spans="1:9" ht="16.5" x14ac:dyDescent="0.35">
      <c r="B5" s="180"/>
      <c r="C5" s="181"/>
      <c r="D5" s="155"/>
      <c r="E5" s="350"/>
    </row>
    <row r="6" spans="1:9" ht="30" x14ac:dyDescent="0.2">
      <c r="B6" s="512" t="s">
        <v>155</v>
      </c>
      <c r="C6" s="513" t="s">
        <v>156</v>
      </c>
      <c r="D6" s="513" t="s">
        <v>157</v>
      </c>
      <c r="E6" s="514" t="s">
        <v>158</v>
      </c>
      <c r="G6" s="70"/>
      <c r="H6" s="70"/>
      <c r="I6" s="70"/>
    </row>
    <row r="7" spans="1:9" s="10" customFormat="1" ht="27" x14ac:dyDescent="0.25">
      <c r="B7" s="510">
        <v>1</v>
      </c>
      <c r="C7" s="511" t="s">
        <v>818</v>
      </c>
      <c r="D7" s="333" t="s">
        <v>802</v>
      </c>
      <c r="E7" s="509">
        <v>103119</v>
      </c>
      <c r="G7" s="27"/>
      <c r="H7" s="27"/>
      <c r="I7" s="27"/>
    </row>
    <row r="8" spans="1:9" s="10" customFormat="1" ht="27" x14ac:dyDescent="0.25">
      <c r="B8" s="510">
        <v>2</v>
      </c>
      <c r="C8" s="511" t="s">
        <v>818</v>
      </c>
      <c r="D8" s="333" t="s">
        <v>803</v>
      </c>
      <c r="E8" s="509">
        <v>206111</v>
      </c>
      <c r="G8" s="27"/>
      <c r="H8" s="27"/>
      <c r="I8" s="27"/>
    </row>
    <row r="9" spans="1:9" s="10" customFormat="1" ht="27" x14ac:dyDescent="0.25">
      <c r="B9" s="510">
        <v>3</v>
      </c>
      <c r="C9" s="511" t="s">
        <v>818</v>
      </c>
      <c r="D9" s="333" t="s">
        <v>804</v>
      </c>
      <c r="E9" s="509">
        <v>163957</v>
      </c>
      <c r="G9" s="28"/>
      <c r="H9" s="27"/>
      <c r="I9" s="27"/>
    </row>
    <row r="10" spans="1:9" s="10" customFormat="1" ht="27" x14ac:dyDescent="0.25">
      <c r="B10" s="510">
        <v>4</v>
      </c>
      <c r="C10" s="511" t="s">
        <v>818</v>
      </c>
      <c r="D10" s="333" t="s">
        <v>805</v>
      </c>
      <c r="E10" s="509">
        <v>81189</v>
      </c>
      <c r="G10" s="28"/>
      <c r="H10" s="28"/>
      <c r="I10" s="27"/>
    </row>
    <row r="11" spans="1:9" s="10" customFormat="1" ht="27" x14ac:dyDescent="0.25">
      <c r="B11" s="510">
        <v>5</v>
      </c>
      <c r="C11" s="511" t="s">
        <v>818</v>
      </c>
      <c r="D11" s="333" t="s">
        <v>806</v>
      </c>
      <c r="E11" s="509">
        <v>48301</v>
      </c>
      <c r="G11" s="28"/>
      <c r="H11" s="28"/>
      <c r="I11" s="27"/>
    </row>
    <row r="12" spans="1:9" s="10" customFormat="1" ht="27" x14ac:dyDescent="0.25">
      <c r="B12" s="510">
        <v>6</v>
      </c>
      <c r="C12" s="511" t="s">
        <v>818</v>
      </c>
      <c r="D12" s="333" t="s">
        <v>807</v>
      </c>
      <c r="E12" s="509">
        <v>28236</v>
      </c>
      <c r="G12" s="28"/>
      <c r="H12" s="28"/>
      <c r="I12" s="27"/>
    </row>
    <row r="13" spans="1:9" s="10" customFormat="1" ht="54" x14ac:dyDescent="0.25">
      <c r="B13" s="510">
        <v>7</v>
      </c>
      <c r="C13" s="511" t="s">
        <v>818</v>
      </c>
      <c r="D13" s="333" t="s">
        <v>808</v>
      </c>
      <c r="E13" s="509">
        <v>418142</v>
      </c>
      <c r="G13" s="28"/>
      <c r="H13" s="28"/>
      <c r="I13" s="27"/>
    </row>
    <row r="14" spans="1:9" s="10" customFormat="1" ht="27" x14ac:dyDescent="0.25">
      <c r="B14" s="510">
        <v>8</v>
      </c>
      <c r="C14" s="511" t="s">
        <v>818</v>
      </c>
      <c r="D14" s="333" t="s">
        <v>809</v>
      </c>
      <c r="E14" s="509">
        <v>106016</v>
      </c>
      <c r="G14" s="28"/>
      <c r="H14" s="28"/>
      <c r="I14" s="27"/>
    </row>
    <row r="15" spans="1:9" s="10" customFormat="1" ht="40.5" x14ac:dyDescent="0.25">
      <c r="B15" s="510">
        <v>9</v>
      </c>
      <c r="C15" s="511" t="s">
        <v>818</v>
      </c>
      <c r="D15" s="333" t="s">
        <v>810</v>
      </c>
      <c r="E15" s="509">
        <v>582509</v>
      </c>
      <c r="G15" s="28"/>
      <c r="H15" s="28"/>
      <c r="I15" s="27"/>
    </row>
    <row r="16" spans="1:9" s="10" customFormat="1" ht="40.5" x14ac:dyDescent="0.25">
      <c r="B16" s="510">
        <v>10</v>
      </c>
      <c r="C16" s="511" t="s">
        <v>818</v>
      </c>
      <c r="D16" s="333" t="s">
        <v>811</v>
      </c>
      <c r="E16" s="509">
        <v>262174</v>
      </c>
      <c r="G16" s="28"/>
      <c r="H16" s="28"/>
      <c r="I16" s="27"/>
    </row>
    <row r="17" spans="2:9" s="10" customFormat="1" ht="27" x14ac:dyDescent="0.25">
      <c r="B17" s="510">
        <v>11</v>
      </c>
      <c r="C17" s="511" t="s">
        <v>818</v>
      </c>
      <c r="D17" s="333" t="s">
        <v>812</v>
      </c>
      <c r="E17" s="509">
        <v>66025</v>
      </c>
      <c r="G17" s="28"/>
      <c r="H17" s="28"/>
      <c r="I17" s="27"/>
    </row>
    <row r="18" spans="2:9" s="10" customFormat="1" ht="27" x14ac:dyDescent="0.25">
      <c r="B18" s="510">
        <v>12</v>
      </c>
      <c r="C18" s="511" t="s">
        <v>818</v>
      </c>
      <c r="D18" s="333" t="s">
        <v>813</v>
      </c>
      <c r="E18" s="509">
        <v>2128</v>
      </c>
      <c r="G18" s="28"/>
      <c r="H18" s="28"/>
      <c r="I18" s="27"/>
    </row>
    <row r="19" spans="2:9" s="10" customFormat="1" ht="27" x14ac:dyDescent="0.25">
      <c r="B19" s="510">
        <v>13</v>
      </c>
      <c r="C19" s="511" t="s">
        <v>818</v>
      </c>
      <c r="D19" s="333" t="s">
        <v>922</v>
      </c>
      <c r="E19" s="509">
        <v>577110</v>
      </c>
      <c r="G19" s="28"/>
      <c r="H19" s="28"/>
      <c r="I19" s="27"/>
    </row>
    <row r="20" spans="2:9" s="10" customFormat="1" ht="27" x14ac:dyDescent="0.25">
      <c r="B20" s="510">
        <v>14</v>
      </c>
      <c r="C20" s="339" t="s">
        <v>819</v>
      </c>
      <c r="D20" s="333" t="s">
        <v>814</v>
      </c>
      <c r="E20" s="509">
        <v>14453</v>
      </c>
      <c r="G20" s="28"/>
      <c r="H20" s="28"/>
      <c r="I20" s="27"/>
    </row>
    <row r="21" spans="2:9" s="10" customFormat="1" ht="27" x14ac:dyDescent="0.25">
      <c r="B21" s="510">
        <v>15</v>
      </c>
      <c r="C21" s="339" t="s">
        <v>819</v>
      </c>
      <c r="D21" s="333" t="s">
        <v>815</v>
      </c>
      <c r="E21" s="509">
        <v>2110</v>
      </c>
      <c r="G21" s="28"/>
      <c r="H21" s="28"/>
      <c r="I21" s="27"/>
    </row>
    <row r="22" spans="2:9" s="10" customFormat="1" x14ac:dyDescent="0.25">
      <c r="B22" s="510">
        <v>16</v>
      </c>
      <c r="C22" s="339" t="s">
        <v>820</v>
      </c>
      <c r="D22" s="333" t="s">
        <v>816</v>
      </c>
      <c r="E22" s="509">
        <v>23000</v>
      </c>
      <c r="G22" s="28"/>
      <c r="H22" s="28"/>
      <c r="I22" s="27"/>
    </row>
    <row r="23" spans="2:9" s="10" customFormat="1" x14ac:dyDescent="0.25">
      <c r="B23" s="510">
        <v>17</v>
      </c>
      <c r="C23" s="339" t="s">
        <v>821</v>
      </c>
      <c r="D23" s="333" t="s">
        <v>817</v>
      </c>
      <c r="E23" s="509">
        <v>14801</v>
      </c>
      <c r="G23" s="28"/>
      <c r="H23" s="28"/>
      <c r="I23" s="27"/>
    </row>
    <row r="24" spans="2:9" s="10" customFormat="1" ht="21.75" customHeight="1" x14ac:dyDescent="0.25">
      <c r="B24" s="515" t="s">
        <v>98</v>
      </c>
      <c r="C24" s="516"/>
      <c r="D24" s="516"/>
      <c r="E24" s="517">
        <f>SUM(E7:E23)</f>
        <v>2699381</v>
      </c>
      <c r="G24" s="26"/>
      <c r="H24" s="26"/>
    </row>
    <row r="27" spans="2:9" x14ac:dyDescent="0.2">
      <c r="E27" s="351"/>
    </row>
    <row r="29" spans="2:9" x14ac:dyDescent="0.2">
      <c r="C29" s="29"/>
    </row>
    <row r="40" spans="7:7" x14ac:dyDescent="0.2">
      <c r="G40" s="677"/>
    </row>
    <row r="41" spans="7:7" x14ac:dyDescent="0.2">
      <c r="G41" s="677"/>
    </row>
    <row r="42" spans="7:7" x14ac:dyDescent="0.2">
      <c r="G42" s="677"/>
    </row>
  </sheetData>
  <mergeCells count="2">
    <mergeCell ref="G40:G42"/>
    <mergeCell ref="B4:E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9"/>
  <sheetViews>
    <sheetView workbookViewId="0"/>
  </sheetViews>
  <sheetFormatPr defaultColWidth="17.42578125" defaultRowHeight="14.25" x14ac:dyDescent="0.2"/>
  <cols>
    <col min="1" max="2" width="6.7109375" style="72" customWidth="1"/>
    <col min="3" max="3" width="46.42578125" style="72" customWidth="1"/>
    <col min="4" max="4" width="13.42578125" style="72" customWidth="1"/>
    <col min="5" max="16384" width="17.42578125" style="72"/>
  </cols>
  <sheetData>
    <row r="1" spans="2:5" x14ac:dyDescent="0.2">
      <c r="B1" s="47"/>
      <c r="C1" s="47"/>
      <c r="D1" s="47"/>
    </row>
    <row r="2" spans="2:5" x14ac:dyDescent="0.2">
      <c r="B2" s="47"/>
      <c r="C2" s="47"/>
      <c r="D2" s="47"/>
    </row>
    <row r="3" spans="2:5" ht="16.5" x14ac:dyDescent="0.3">
      <c r="B3" s="120"/>
      <c r="C3" s="116"/>
      <c r="D3" s="121" t="s">
        <v>162</v>
      </c>
    </row>
    <row r="4" spans="2:5" ht="16.5" x14ac:dyDescent="0.3">
      <c r="B4" s="120"/>
      <c r="C4" s="116"/>
      <c r="D4" s="116"/>
    </row>
    <row r="5" spans="2:5" ht="32.25" customHeight="1" x14ac:dyDescent="0.2">
      <c r="B5" s="679" t="s">
        <v>495</v>
      </c>
      <c r="C5" s="679"/>
      <c r="D5" s="679"/>
    </row>
    <row r="6" spans="2:5" ht="16.5" x14ac:dyDescent="0.3">
      <c r="B6" s="120"/>
      <c r="C6" s="116"/>
      <c r="D6" s="116"/>
    </row>
    <row r="7" spans="2:5" ht="29.25" customHeight="1" x14ac:dyDescent="0.2">
      <c r="B7" s="518" t="s">
        <v>155</v>
      </c>
      <c r="C7" s="519" t="s">
        <v>163</v>
      </c>
      <c r="D7" s="520" t="s">
        <v>470</v>
      </c>
    </row>
    <row r="8" spans="2:5" s="10" customFormat="1" ht="16.5" x14ac:dyDescent="0.35">
      <c r="B8" s="521">
        <v>1</v>
      </c>
      <c r="C8" s="522" t="s">
        <v>651</v>
      </c>
      <c r="D8" s="523">
        <v>899</v>
      </c>
      <c r="E8" s="87"/>
    </row>
    <row r="9" spans="2:5" s="10" customFormat="1" ht="16.5" x14ac:dyDescent="0.35">
      <c r="B9" s="521">
        <v>2</v>
      </c>
      <c r="C9" s="522" t="s">
        <v>652</v>
      </c>
      <c r="D9" s="523">
        <v>1718</v>
      </c>
      <c r="E9" s="87"/>
    </row>
    <row r="10" spans="2:5" s="10" customFormat="1" ht="16.5" x14ac:dyDescent="0.35">
      <c r="B10" s="521">
        <v>3</v>
      </c>
      <c r="C10" s="522" t="s">
        <v>510</v>
      </c>
      <c r="D10" s="523">
        <v>1176</v>
      </c>
      <c r="E10" s="87"/>
    </row>
    <row r="11" spans="2:5" s="10" customFormat="1" ht="16.5" x14ac:dyDescent="0.35">
      <c r="B11" s="521">
        <v>4</v>
      </c>
      <c r="C11" s="522" t="s">
        <v>939</v>
      </c>
      <c r="D11" s="523">
        <v>480</v>
      </c>
      <c r="E11" s="87"/>
    </row>
    <row r="12" spans="2:5" s="10" customFormat="1" ht="16.5" x14ac:dyDescent="0.35">
      <c r="B12" s="521">
        <v>5</v>
      </c>
      <c r="C12" s="522" t="s">
        <v>653</v>
      </c>
      <c r="D12" s="523">
        <v>1953</v>
      </c>
      <c r="E12" s="87"/>
    </row>
    <row r="13" spans="2:5" s="10" customFormat="1" ht="16.5" x14ac:dyDescent="0.35">
      <c r="B13" s="521">
        <v>6</v>
      </c>
      <c r="C13" s="522" t="s">
        <v>940</v>
      </c>
      <c r="D13" s="523">
        <v>890</v>
      </c>
      <c r="E13" s="87"/>
    </row>
    <row r="14" spans="2:5" s="10" customFormat="1" ht="16.5" x14ac:dyDescent="0.35">
      <c r="B14" s="521">
        <v>7</v>
      </c>
      <c r="C14" s="522" t="s">
        <v>507</v>
      </c>
      <c r="D14" s="523">
        <v>2310</v>
      </c>
      <c r="E14" s="87"/>
    </row>
    <row r="15" spans="2:5" s="10" customFormat="1" ht="16.5" x14ac:dyDescent="0.35">
      <c r="B15" s="521">
        <v>8</v>
      </c>
      <c r="C15" s="522" t="s">
        <v>941</v>
      </c>
      <c r="D15" s="523">
        <v>816</v>
      </c>
      <c r="E15" s="87"/>
    </row>
    <row r="16" spans="2:5" s="10" customFormat="1" ht="16.5" x14ac:dyDescent="0.35">
      <c r="B16" s="521">
        <v>9</v>
      </c>
      <c r="C16" s="522" t="s">
        <v>654</v>
      </c>
      <c r="D16" s="523">
        <v>963</v>
      </c>
      <c r="E16" s="87"/>
    </row>
    <row r="17" spans="2:5" s="10" customFormat="1" ht="16.5" x14ac:dyDescent="0.35">
      <c r="B17" s="521">
        <v>10</v>
      </c>
      <c r="C17" s="522" t="s">
        <v>511</v>
      </c>
      <c r="D17" s="523">
        <v>2681</v>
      </c>
      <c r="E17" s="88"/>
    </row>
    <row r="18" spans="2:5" s="10" customFormat="1" ht="16.5" x14ac:dyDescent="0.35">
      <c r="B18" s="521">
        <v>11</v>
      </c>
      <c r="C18" s="522" t="s">
        <v>655</v>
      </c>
      <c r="D18" s="523">
        <v>3227</v>
      </c>
      <c r="E18" s="88"/>
    </row>
    <row r="19" spans="2:5" s="10" customFormat="1" ht="16.5" x14ac:dyDescent="0.35">
      <c r="B19" s="521">
        <v>12</v>
      </c>
      <c r="C19" s="522" t="s">
        <v>942</v>
      </c>
      <c r="D19" s="523">
        <v>3265</v>
      </c>
      <c r="E19" s="88"/>
    </row>
    <row r="20" spans="2:5" s="10" customFormat="1" ht="16.5" x14ac:dyDescent="0.35">
      <c r="B20" s="521">
        <v>13</v>
      </c>
      <c r="C20" s="522" t="s">
        <v>943</v>
      </c>
      <c r="D20" s="523">
        <v>2605</v>
      </c>
      <c r="E20" s="89"/>
    </row>
    <row r="21" spans="2:5" s="10" customFormat="1" ht="16.5" x14ac:dyDescent="0.35">
      <c r="B21" s="521">
        <v>14</v>
      </c>
      <c r="C21" s="522" t="s">
        <v>509</v>
      </c>
      <c r="D21" s="523">
        <v>2277</v>
      </c>
      <c r="E21" s="89"/>
    </row>
    <row r="22" spans="2:5" s="10" customFormat="1" ht="16.5" x14ac:dyDescent="0.35">
      <c r="B22" s="521">
        <v>15</v>
      </c>
      <c r="C22" s="522" t="s">
        <v>944</v>
      </c>
      <c r="D22" s="523">
        <v>1226</v>
      </c>
      <c r="E22" s="89"/>
    </row>
    <row r="23" spans="2:5" s="10" customFormat="1" ht="16.5" x14ac:dyDescent="0.35">
      <c r="B23" s="521">
        <v>16</v>
      </c>
      <c r="C23" s="522" t="s">
        <v>945</v>
      </c>
      <c r="D23" s="523">
        <v>552</v>
      </c>
      <c r="E23" s="89"/>
    </row>
    <row r="24" spans="2:5" s="10" customFormat="1" ht="16.5" x14ac:dyDescent="0.35">
      <c r="B24" s="521">
        <v>17</v>
      </c>
      <c r="C24" s="522" t="s">
        <v>938</v>
      </c>
      <c r="D24" s="523">
        <v>2732</v>
      </c>
      <c r="E24" s="89"/>
    </row>
    <row r="25" spans="2:5" s="10" customFormat="1" ht="16.5" x14ac:dyDescent="0.35">
      <c r="B25" s="521">
        <v>18</v>
      </c>
      <c r="C25" s="522" t="s">
        <v>508</v>
      </c>
      <c r="D25" s="523">
        <v>1985</v>
      </c>
      <c r="E25" s="89"/>
    </row>
    <row r="26" spans="2:5" s="10" customFormat="1" ht="16.5" x14ac:dyDescent="0.35">
      <c r="B26" s="521">
        <v>19</v>
      </c>
      <c r="C26" s="522" t="s">
        <v>656</v>
      </c>
      <c r="D26" s="523">
        <v>1094</v>
      </c>
      <c r="E26" s="88"/>
    </row>
    <row r="27" spans="2:5" ht="16.5" x14ac:dyDescent="0.35">
      <c r="B27" s="521">
        <v>20</v>
      </c>
      <c r="C27" s="522" t="s">
        <v>514</v>
      </c>
      <c r="D27" s="523">
        <v>794</v>
      </c>
      <c r="E27" s="88"/>
    </row>
    <row r="28" spans="2:5" ht="16.5" x14ac:dyDescent="0.35">
      <c r="B28" s="521">
        <v>21</v>
      </c>
      <c r="C28" s="522" t="s">
        <v>946</v>
      </c>
      <c r="D28" s="523">
        <v>500</v>
      </c>
      <c r="E28" s="88"/>
    </row>
    <row r="29" spans="2:5" ht="15.75" x14ac:dyDescent="0.3">
      <c r="B29" s="524"/>
      <c r="C29" s="525" t="s">
        <v>9</v>
      </c>
      <c r="D29" s="526">
        <f>SUM(D8:D28)</f>
        <v>34143</v>
      </c>
    </row>
  </sheetData>
  <mergeCells count="1">
    <mergeCell ref="B5:D5"/>
  </mergeCells>
  <pageMargins left="0.9055118110236221" right="0.43307086614173229" top="0.35433070866141736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25</vt:i4>
      </vt:variant>
    </vt:vector>
  </HeadingPairs>
  <TitlesOfParts>
    <vt:vector size="50" baseType="lpstr">
      <vt:lpstr>Súvahy</vt:lpstr>
      <vt:lpstr>MHSL</vt:lpstr>
      <vt:lpstr>SSMT</vt:lpstr>
      <vt:lpstr>ŠZMT</vt:lpstr>
      <vt:lpstr>Materské_školy</vt:lpstr>
      <vt:lpstr>Základné_školy</vt:lpstr>
      <vt:lpstr>Bežné_dotácie</vt:lpstr>
      <vt:lpstr>Kapitálové_dotácie</vt:lpstr>
      <vt:lpstr>Dotácie_na_šport_1</vt:lpstr>
      <vt:lpstr>Dotácie_na_šport_2</vt:lpstr>
      <vt:lpstr>Dotácie_kultúra</vt:lpstr>
      <vt:lpstr>Dotácie_v_soc_oblasti</vt:lpstr>
      <vt:lpstr>Dotácie_v_oblasti_školstva</vt:lpstr>
      <vt:lpstr>Dotácie_v_oblasti_ŽP</vt:lpstr>
      <vt:lpstr>Pohľadávky</vt:lpstr>
      <vt:lpstr>Prehľad_dlhu</vt:lpstr>
      <vt:lpstr>Vývoj_dlhovej_služby</vt:lpstr>
      <vt:lpstr>BV-funkčná_kl_</vt:lpstr>
      <vt:lpstr>KV-funkčná_kl_</vt:lpstr>
      <vt:lpstr>Výdavky_ek_kl_</vt:lpstr>
      <vt:lpstr>FO_podľa_RK</vt:lpstr>
      <vt:lpstr>Počet_zamest_ZŠ</vt:lpstr>
      <vt:lpstr>Počet_žiakov_a_tried</vt:lpstr>
      <vt:lpstr>Zoznam_org_</vt:lpstr>
      <vt:lpstr>ESA</vt:lpstr>
      <vt:lpstr>Bežné_dotácie!Oblasť_tlače</vt:lpstr>
      <vt:lpstr>'BV-funkčná_kl_'!Oblasť_tlače</vt:lpstr>
      <vt:lpstr>Dotácie_kultúra!Oblasť_tlače</vt:lpstr>
      <vt:lpstr>Dotácie_na_šport_1!Oblasť_tlače</vt:lpstr>
      <vt:lpstr>Dotácie_na_šport_2!Oblasť_tlače</vt:lpstr>
      <vt:lpstr>Dotácie_v_oblasti_školstva!Oblasť_tlače</vt:lpstr>
      <vt:lpstr>Dotácie_v_oblasti_ŽP!Oblasť_tlače</vt:lpstr>
      <vt:lpstr>Dotácie_v_soc_oblasti!Oblasť_tlače</vt:lpstr>
      <vt:lpstr>ESA!Oblasť_tlače</vt:lpstr>
      <vt:lpstr>FO_podľa_RK!Oblasť_tlače</vt:lpstr>
      <vt:lpstr>Kapitálové_dotácie!Oblasť_tlače</vt:lpstr>
      <vt:lpstr>'KV-funkčná_kl_'!Oblasť_tlače</vt:lpstr>
      <vt:lpstr>Materské_školy!Oblasť_tlače</vt:lpstr>
      <vt:lpstr>MHSL!Oblasť_tlače</vt:lpstr>
      <vt:lpstr>Počet_zamest_ZŠ!Oblasť_tlače</vt:lpstr>
      <vt:lpstr>Počet_žiakov_a_tried!Oblasť_tlače</vt:lpstr>
      <vt:lpstr>Pohľadávky!Oblasť_tlače</vt:lpstr>
      <vt:lpstr>Prehľad_dlhu!Oblasť_tlače</vt:lpstr>
      <vt:lpstr>SSMT!Oblasť_tlače</vt:lpstr>
      <vt:lpstr>Súvahy!Oblasť_tlače</vt:lpstr>
      <vt:lpstr>ŠZMT!Oblasť_tlače</vt:lpstr>
      <vt:lpstr>Výdavky_ek_kl_!Oblasť_tlače</vt:lpstr>
      <vt:lpstr>Vývoj_dlhovej_služby!Oblasť_tlače</vt:lpstr>
      <vt:lpstr>Základné_školy!Oblasť_tlače</vt:lpstr>
      <vt:lpstr>Zoznam_org_!Oblasť_tlače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zilkova</dc:creator>
  <cp:lastModifiedBy>Prnová Andrea, Ing.</cp:lastModifiedBy>
  <cp:lastPrinted>2022-04-28T12:04:52Z</cp:lastPrinted>
  <dcterms:created xsi:type="dcterms:W3CDTF">2012-02-23T12:08:44Z</dcterms:created>
  <dcterms:modified xsi:type="dcterms:W3CDTF">2022-05-02T09:05:58Z</dcterms:modified>
</cp:coreProperties>
</file>