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51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'Príjmy'!$B$2:$I$492</definedName>
    <definedName name="_xlnm.Print_Area" localSheetId="2">'Sumarizácia'!$B$2:$L$38</definedName>
    <definedName name="_xlnm.Print_Area" localSheetId="1">'Výdavky'!$B$2:$Q$1991</definedName>
  </definedNames>
  <calcPr fullCalcOnLoad="1"/>
</workbook>
</file>

<file path=xl/sharedStrings.xml><?xml version="1.0" encoding="utf-8"?>
<sst xmlns="http://schemas.openxmlformats.org/spreadsheetml/2006/main" count="3741" uniqueCount="677">
  <si>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</si>
  <si>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</si>
  <si>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</si>
  <si>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</si>
  <si>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</si>
  <si>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</si>
  <si>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</si>
  <si>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</si>
  <si>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</si>
  <si>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</si>
  <si>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</si>
  <si>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</si>
  <si>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</si>
  <si>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</si>
  <si>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</si>
  <si>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</si>
  <si>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</si>
  <si>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</si>
  <si>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</si>
  <si>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</si>
  <si>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</si>
  <si>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</si>
  <si>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</si>
  <si>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</si>
  <si>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</si>
  <si>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</si>
  <si>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</si>
  <si>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</si>
  <si>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</si>
  <si>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</si>
  <si>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</si>
  <si>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</si>
  <si>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</si>
  <si>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</si>
  <si>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</si>
  <si>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</si>
  <si>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</si>
  <si>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</si>
  <si>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</si>
  <si>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</si>
  <si>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</si>
  <si>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</si>
  <si>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</si>
  <si>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</si>
  <si>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</si>
  <si>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</si>
  <si>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</si>
  <si>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</si>
  <si>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</si>
  <si>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</si>
  <si>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</si>
  <si>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</si>
  <si>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</si>
  <si>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</si>
  <si>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</si>
  <si>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</si>
  <si>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</si>
  <si>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</si>
  <si>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</si>
  <si>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</si>
  <si>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</si>
  <si>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</si>
  <si>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</si>
  <si>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</si>
  <si>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</si>
  <si>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</si>
  <si>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</si>
  <si>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</si>
  <si>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</si>
  <si>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</si>
  <si>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</si>
  <si>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</si>
  <si>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</si>
  <si>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</si>
  <si>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</si>
  <si>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</si>
  <si>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</si>
  <si>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</si>
  <si>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</si>
  <si>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</si>
  <si>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</si>
  <si>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</si>
  <si>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</si>
  <si>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</si>
  <si>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</si>
  <si>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</si>
  <si>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</si>
  <si>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</si>
  <si>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</si>
  <si>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</si>
  <si>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</si>
  <si>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</si>
  <si>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</si>
  <si>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MŠ Halašu</t>
  </si>
  <si>
    <t>Školské zariadenia mesta Trenčína, m.r.o.</t>
  </si>
  <si>
    <t>MŠ Šmidkeho</t>
  </si>
  <si>
    <t>ŠJ Šafárikova</t>
  </si>
  <si>
    <t>Správa SZTN</t>
  </si>
  <si>
    <t>ZŠ Potočná</t>
  </si>
  <si>
    <t>MŠ Pri Parku</t>
  </si>
  <si>
    <t>MŠ  Turkovej</t>
  </si>
  <si>
    <t>MŠ  Soblahovská</t>
  </si>
  <si>
    <t>MŠ Stromová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</si>
  <si>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</si>
  <si>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</si>
  <si>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</si>
  <si>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</si>
  <si>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</si>
  <si>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</si>
  <si>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</si>
  <si>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</si>
  <si>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</si>
  <si>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</si>
  <si>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</si>
  <si>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</si>
  <si>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</si>
  <si>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</si>
  <si>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</si>
  <si>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</si>
  <si>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</si>
  <si>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</si>
  <si>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</si>
  <si>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</si>
  <si>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</si>
  <si>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</si>
  <si>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</si>
  <si>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</si>
  <si>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</si>
  <si>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</si>
  <si>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</si>
  <si>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</si>
  <si>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</si>
  <si>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</si>
  <si>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</si>
  <si>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</si>
  <si>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</si>
  <si>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</si>
  <si>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</si>
  <si>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</si>
  <si>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</si>
  <si>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</si>
  <si>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</si>
  <si>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</si>
  <si>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</si>
  <si>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</si>
  <si>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</si>
  <si>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</si>
  <si>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</si>
  <si>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</si>
  <si>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</si>
  <si>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</si>
  <si>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</si>
  <si>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</si>
  <si>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</si>
  <si>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</si>
  <si>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</si>
  <si>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</si>
  <si>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</si>
  <si>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</si>
  <si>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</si>
  <si>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</si>
  <si>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</si>
  <si>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</si>
  <si>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</si>
  <si>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</si>
  <si>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</si>
  <si>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</si>
  <si>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</si>
  <si>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</si>
  <si>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</si>
  <si>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</si>
  <si>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</si>
  <si>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</si>
  <si>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</si>
  <si>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</si>
  <si>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</si>
  <si>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</si>
  <si>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</si>
  <si>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</si>
  <si>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</si>
  <si>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</si>
  <si>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</si>
  <si>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</si>
  <si>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</si>
  <si>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</si>
  <si>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</si>
  <si>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</si>
  <si>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</si>
  <si>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</si>
  <si>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</si>
  <si>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</si>
  <si>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</si>
  <si>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</si>
  <si>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</si>
  <si>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</si>
  <si>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</si>
  <si>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</si>
  <si>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</si>
  <si>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</si>
  <si>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</si>
  <si>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</si>
  <si>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</si>
  <si>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</si>
  <si>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</si>
  <si>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</si>
  <si>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</si>
  <si>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</si>
  <si>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</si>
  <si>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</si>
  <si>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</si>
  <si>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</si>
  <si>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</si>
  <si>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</si>
  <si>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</si>
  <si>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</si>
  <si>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</si>
  <si>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</si>
  <si>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</si>
  <si>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</si>
  <si>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</si>
  <si>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</si>
  <si>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</si>
  <si>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</si>
  <si>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</si>
  <si>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</si>
  <si>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</si>
  <si>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</si>
  <si>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</si>
  <si>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</si>
  <si>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</si>
  <si>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</si>
  <si>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</si>
  <si>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</si>
  <si>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</si>
  <si>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</si>
  <si>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</si>
  <si>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</si>
  <si>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</si>
  <si>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</si>
  <si>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</si>
  <si>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</si>
  <si>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Príjmy z vlastníctva</t>
  </si>
  <si>
    <t>Z prenajatých budov, priestorov a objektov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</si>
  <si>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</si>
  <si>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</si>
  <si>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</si>
  <si>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</si>
  <si>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</si>
  <si>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</si>
  <si>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</si>
  <si>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</si>
  <si>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</si>
  <si>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</si>
  <si>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</si>
  <si>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</si>
  <si>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</si>
  <si>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</si>
  <si>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</si>
  <si>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</si>
  <si>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</si>
  <si>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</si>
  <si>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</si>
  <si>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</si>
  <si>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</si>
  <si>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</si>
  <si>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</si>
  <si>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</si>
  <si>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</si>
  <si>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</si>
  <si>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</si>
  <si>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</si>
  <si>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</si>
  <si>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</si>
  <si>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</si>
  <si>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</si>
  <si>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</si>
  <si>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</si>
  <si>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</si>
  <si>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</si>
  <si>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</si>
  <si>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</si>
  <si>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</si>
  <si>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</si>
  <si>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</si>
  <si>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</si>
  <si>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</si>
  <si>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Chodník ul. Partizánska - ul.Saratovská</t>
  </si>
  <si>
    <t>Nízkoprahové denné centrum</t>
  </si>
  <si>
    <t>Krízová intervencia</t>
  </si>
  <si>
    <t>ESF projekt</t>
  </si>
  <si>
    <t>Rekreačné poukazy</t>
  </si>
  <si>
    <t>Trenčiansky futbalový klub 1939 Záblatie o.z. - dotácia na činnosť</t>
  </si>
  <si>
    <t>NFP Modernizácia priestorov ZŠ Kubranská</t>
  </si>
  <si>
    <t>NFP Modernizácia priestorov ZŠ Bezručova</t>
  </si>
  <si>
    <t>NFP Modernizácia priestorov ZŠ Na dolinách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</si>
  <si>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</si>
  <si>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</si>
  <si>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</si>
  <si>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</si>
  <si>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Transfery nefinančným subjektom</t>
  </si>
  <si>
    <t>KS Zlatovce - interiér, exteriér</t>
  </si>
  <si>
    <t>NFP Zlepšenie environmentálnych aspektov v meste Trenčín -  vybudovanie prvkov zelenej infraštruktúry pri regenerácii vnútrobloku Sihoť, vymedzený ulicami Šoltésovej, Považská a Gagarinova (Magnus)</t>
  </si>
  <si>
    <t>NFP Zelené pľúca mesta - Revitalizácia Parku ÚSPECH, Trenčín</t>
  </si>
  <si>
    <t>Zelené pľúca mesta - Revitalizácia Parku Úspech, Trenčín NFP</t>
  </si>
  <si>
    <t>NFP Zvýšenie mestskej mobility budovaním siete cyklist.infraštr.v TN: Riešenie cyklodopravy, ul. Na Kamenci, od Ul.na Vinohrady po Kasárenskú</t>
  </si>
  <si>
    <t>TreBuCHET - Trenčín, Bučovice, Chránime Európske Tradície</t>
  </si>
  <si>
    <t>TreBuCHET - Trenčín, Bušovice, Chránime Európske Tradície</t>
  </si>
  <si>
    <t>Polopodzemné kontajnery</t>
  </si>
  <si>
    <t>ŠJ HEES súkromné stravovacie zariadenie</t>
  </si>
  <si>
    <t>NFP Zvýšenie mestskej mobility budovaním siete cyklist.infraštr.v TN: Vetva D - ul.Zlatovská a Prepojenie ul.Zlatovská - Hlavná NFP</t>
  </si>
  <si>
    <t>Zvýš.mes.mobility budovaním siete cykl.infraštr.v TN:Vetva D-ul.Zlatovská a Prep.Ul.Zlatovská Hlavná</t>
  </si>
  <si>
    <t>NFP Zvýšenie mestskej mobility budovaním siete cyklist.infraštr.v TN: Ul.Stárka k priemyselnému parku</t>
  </si>
  <si>
    <t>Zvýš.mes.mobility budovaním siete cykl.infraštr.v TN: Ul.Stárka k priem.parku NFP</t>
  </si>
  <si>
    <t>Opatová kanalizácia</t>
  </si>
  <si>
    <t>KS Istebník - sociálne zariadenia</t>
  </si>
  <si>
    <t>Priechod pre chodcov ul.Istebnícka</t>
  </si>
  <si>
    <t>Statická doprava ul. Veľkomoravská</t>
  </si>
  <si>
    <t>Parkovisko na železničnej stanici Zlatovce</t>
  </si>
  <si>
    <t>Riešenie statickej dopravy Ul.Turkovej</t>
  </si>
  <si>
    <t>Detské ihriská Slameňák - doplnenie prvkov</t>
  </si>
  <si>
    <t>Detské ihriská Východná vnútroblok - doplnenie prvkov</t>
  </si>
  <si>
    <t>Arch.prieskum v súvislosti s prístupovou cestou k JO</t>
  </si>
  <si>
    <t>Z parkovného</t>
  </si>
  <si>
    <t>Príjmy z činnosti Kultúrno  - informačného centra</t>
  </si>
  <si>
    <t>Stravné zamestnanci</t>
  </si>
  <si>
    <t>Stravné v MŠ</t>
  </si>
  <si>
    <t>Stravné v detských jasliach</t>
  </si>
  <si>
    <t>R O Z P O Č E T    2021</t>
  </si>
  <si>
    <t>Dotácie</t>
  </si>
  <si>
    <t>Normotvorná činnosť mesta</t>
  </si>
  <si>
    <t>Komunikácia s verej.inštitúciami v mene mesta</t>
  </si>
  <si>
    <t>Kontrola činnosti samosprávy</t>
  </si>
  <si>
    <t>Členské do OOCR</t>
  </si>
  <si>
    <t>Osobné motorové vozidlo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</si>
  <si>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</si>
  <si>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</si>
  <si>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</si>
  <si>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</si>
  <si>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</si>
  <si>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</si>
  <si>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</si>
  <si>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</si>
  <si>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</si>
  <si>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</si>
  <si>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</si>
  <si>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</si>
  <si>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Poradenstvo - bytové problémy</t>
  </si>
  <si>
    <t>Územnoplánovacie podklady a dokumentácie, zmeny a doplnky ÚPN</t>
  </si>
  <si>
    <t>Urbanistické, dopravné, overovacie štúdie</t>
  </si>
  <si>
    <t>Starý železničný most</t>
  </si>
  <si>
    <t>Spoluúčasť na projektoch EU</t>
  </si>
  <si>
    <t>Služby (primátor)</t>
  </si>
  <si>
    <t>Služby (KIS)</t>
  </si>
  <si>
    <t>Zabezpečenie činnosti KIC</t>
  </si>
  <si>
    <t>Služby (INFO)</t>
  </si>
  <si>
    <t xml:space="preserve">Nákup objektov </t>
  </si>
  <si>
    <t>Nákup pozemkov</t>
  </si>
  <si>
    <t>Hardvér</t>
  </si>
  <si>
    <t>Rozšírenie kamerového systému</t>
  </si>
  <si>
    <t>Autobusové prístrešky</t>
  </si>
  <si>
    <t>Správa a údržba pozemných komunikácií</t>
  </si>
  <si>
    <t>Statická doprava</t>
  </si>
  <si>
    <t>Plán udržateľnej mobility funkčného územia krajského mesta Trenčín NFP</t>
  </si>
  <si>
    <t>Cyklotrasy</t>
  </si>
  <si>
    <t xml:space="preserve">Križovatka pod starým mostom a CSS </t>
  </si>
  <si>
    <t>Nové parkovacie miesta</t>
  </si>
  <si>
    <t>Príprava rozpočtov</t>
  </si>
  <si>
    <t>Zvýš.mes.mobility budovaním siete cykl.infraštruktúry v TN: Vetva D - SO Piešťanská NFP</t>
  </si>
  <si>
    <t>S MŠ Orechovská 14</t>
  </si>
  <si>
    <t>S MŠ Janka Kráľa 14</t>
  </si>
  <si>
    <t>S MŠ Motýlik</t>
  </si>
  <si>
    <t>S MŠ Best Friends Kids Club</t>
  </si>
  <si>
    <t>C MŠ Bl.Tarzícia</t>
  </si>
  <si>
    <t>C MŠ sv.Andreja -Svorada a Benedikta</t>
  </si>
  <si>
    <t>S MŠ 2M</t>
  </si>
  <si>
    <t>Modernizácia priestorov NFP</t>
  </si>
  <si>
    <t>CVČ pri ZŠ a MŠ sv. Andreja - Svorada a Benedikta</t>
  </si>
  <si>
    <t>ŠKD pri ZŠ s MŠ sv. Andreja - Svorada a Benedikta</t>
  </si>
  <si>
    <t>CVČ pri Piaristické gymnázou J.Braneckého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</si>
  <si>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</si>
  <si>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</si>
  <si>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</si>
  <si>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</si>
  <si>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J.Braneckého</t>
  </si>
  <si>
    <t>ŠJ pri ZŠ s MŠ sv. Andreja-Svorada a Benedikta</t>
  </si>
  <si>
    <t>ŠJ pri SZŠ FUTURUM</t>
  </si>
  <si>
    <t>ŠJ pri S Gymnáziu FUTURUM</t>
  </si>
  <si>
    <t>TJ Družstevník Opatová  - dotácia na činnosť</t>
  </si>
  <si>
    <t>Detské ihriská Šmidkeho, Západná - renovácia povrchov</t>
  </si>
  <si>
    <t>Zlepšenie environmentálnych aspektov v meste Trenčín - vybudovanie prvkov zelenej infraštruktúry pri regenerácii vnútrobloku Východná ulica NFP</t>
  </si>
  <si>
    <t>Zlepšenie environmentálnych aspektov v meste Trenčín - vybudovanie prvkov zelenej infraštruktúry pri regenerácii vnútrobloku Sihoť, vymedzený ulicami Šoltésovej, Považská a Gagarinova (Magnus) NFP</t>
  </si>
  <si>
    <t>Horyzonty o.z. - HoryZonty</t>
  </si>
  <si>
    <t>Kolomaž o.z. - Sám na javisku</t>
  </si>
  <si>
    <t>Pohoda Festival s.r.o. - Festival Pohoda</t>
  </si>
  <si>
    <t>OZ Trenčiansky ÚTULOK - dotácia na prevádzku a činnosť</t>
  </si>
  <si>
    <t>Výťah</t>
  </si>
  <si>
    <t>Príjmy</t>
  </si>
  <si>
    <t>Výdavky</t>
  </si>
  <si>
    <t>Príprava EHMK 2026</t>
  </si>
  <si>
    <t>Zvýš.mes.mobility budovaním siete cykl.infraštr.v TN: úseky ulíc Bratislavská, Žabinská a Palackého</t>
  </si>
  <si>
    <t>Participatívny rozpočet</t>
  </si>
  <si>
    <t>Koncepcia športu - aktualizácia</t>
  </si>
  <si>
    <t>Pádivec</t>
  </si>
  <si>
    <t>Zlepšenie environmentálnych aspektov v meste Trenčín - vybudovanie prvkov zelenej infraštruktúry pri regenerácii vnútrobloku Sihoť, Turkovej ul.</t>
  </si>
  <si>
    <t>Workout Clementisova</t>
  </si>
  <si>
    <t>Klub priateľov vážnej hudby v Trenčíne - Trenč.hudobná jar a jeseň</t>
  </si>
  <si>
    <t>Prípojka el.energie k altánku v parku</t>
  </si>
  <si>
    <t>Zelené pľúca mesta - vysokovzrastlé a alejové stromy a kry vo verejnej zeleni v Trenčíne</t>
  </si>
  <si>
    <t>Podpora sociálnych služieb poskytovaných v zariadení na komunitnej báze v meste Trenčín</t>
  </si>
  <si>
    <t>Maják na auto</t>
  </si>
  <si>
    <t>Detské ihrisko Obchodná</t>
  </si>
  <si>
    <t>NFP Podpora sociálnych služieb poskytovaných v zariadení na komunitnej báze v meste Trenčín</t>
  </si>
  <si>
    <t>NFP Zelené pľúca mesta - vysoko vzrastlé a alejové stromy a kry vo verejnej zeleni v Trenčíne</t>
  </si>
  <si>
    <t>NFP - Zlepšenie environmentálnych aspektov v meste Trenčín - vybudovanie prvkov zelenej infraštruktúry pri regenerácii vnútrobloku Sihoť , Turkovej</t>
  </si>
  <si>
    <t>NFP Zvýšenie mestskej mobility budovaním siete cyklistickej infraštruktúry v TN:úseky ulíc Bratislavská, Žabinská a Palackého</t>
  </si>
  <si>
    <t>Stredisko Soblahov a Brezina</t>
  </si>
  <si>
    <t>453: Nevyčerpané dotácie z predchádzajúcich rokov</t>
  </si>
  <si>
    <t>453: SSMT m.r.o. - prostriedky z prechádzajúcich rokov</t>
  </si>
  <si>
    <t>821: Splácanie istiny z bankových úverov dlhodobých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</si>
  <si>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</si>
  <si>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</si>
  <si>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</si>
  <si>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Softvér</t>
  </si>
  <si>
    <t>Letné kúpalisko</t>
  </si>
  <si>
    <t>Rekonštrukcia elektrorozvodov</t>
  </si>
  <si>
    <t>Rekonštrukcia pergoly</t>
  </si>
  <si>
    <t>Rekonštrukcia sociálnych zariadení</t>
  </si>
  <si>
    <t>Rekonštrukcia stropu v telocvični</t>
  </si>
  <si>
    <t>Parkovisko Šmidkeho 1</t>
  </si>
  <si>
    <t>Statická doprava Pod Sokolice</t>
  </si>
  <si>
    <t>Nozdrkovský chodník II.etapa</t>
  </si>
  <si>
    <t>Rekonštrukcia Námestia Rozkvet</t>
  </si>
  <si>
    <t>Parkovacie miesta vnútroblok Opávia</t>
  </si>
  <si>
    <t>Nové učebne</t>
  </si>
  <si>
    <t>Doplatok straty</t>
  </si>
  <si>
    <t>Košíky a vrecká na BIOodpad</t>
  </si>
  <si>
    <t>NFP Zvýšenie mestskej mobility budovaním siete cyklistickej infraštruktúry v TN: Vetva D - SO 05 Cyklotrasa, úsek Ľ.Stárka</t>
  </si>
  <si>
    <t>NFP Zvýšenie mestskej mobility budovaním siete cyklistickej infraštruktúry v TN: Vetva E - SO Záblatská</t>
  </si>
  <si>
    <t>Zvýš.mes.mobility budovaním siete cykl.infraštr.v TN:  Vetva D - SO 05 Cyklotrasa, úsek Ľ.Stárka</t>
  </si>
  <si>
    <t>Zvýš.mes.mobility budovaním siete cykl.infraštr.v TN: Vetva E - SO Záblatská</t>
  </si>
  <si>
    <t>NFP - Hviezda</t>
  </si>
  <si>
    <t>SO pre IROP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</si>
  <si>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</si>
  <si>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</si>
  <si>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</si>
  <si>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</si>
  <si>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</si>
  <si>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Zar.opatrovateľskej služby - 24 hod starostlivosť</t>
  </si>
  <si>
    <t>Celoročný pobyt</t>
  </si>
  <si>
    <t>Za predaj výrobkov, tovarov a služieb - poplatok za vlastný spotrebič</t>
  </si>
  <si>
    <t>Za predaj výrobkov, tovarov a služieb -staroba</t>
  </si>
  <si>
    <t>Za predaj výrobkov, tovarov a služieb - invalidi</t>
  </si>
  <si>
    <t xml:space="preserve">Opatrovateľská služba </t>
  </si>
  <si>
    <t>Rozvoz stravy</t>
  </si>
  <si>
    <t>Podchod pri Hoteli Elizabeth</t>
  </si>
  <si>
    <t>S MŠ M. Turkovej 22</t>
  </si>
  <si>
    <t>Dotácia na sociálne zabezpečenie</t>
  </si>
  <si>
    <t>Rodinné prídavky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</si>
  <si>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</si>
  <si>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</si>
  <si>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</si>
  <si>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</si>
  <si>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</si>
  <si>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</si>
  <si>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Verejné osvetlenie križovatka Legionárska-Javorinská</t>
  </si>
  <si>
    <t>Verejné osvetlenie na Ul.Potočnej</t>
  </si>
  <si>
    <t>Rekonštrukcia verejného osvetlenia - realizácia 0.etapy</t>
  </si>
  <si>
    <t>Prekládka stožiarov verejného osvetlenia mimo chodníka Ul.L.Stárka</t>
  </si>
  <si>
    <t xml:space="preserve">Nájomné za nájom </t>
  </si>
  <si>
    <t xml:space="preserve">Integrovaný dopravný systém </t>
  </si>
  <si>
    <t>CKKP Hviezda</t>
  </si>
  <si>
    <t>NFP CKKP Hviezda</t>
  </si>
  <si>
    <t>PD Kontajnerové divadlo</t>
  </si>
  <si>
    <t>Prípojka NN Mierové nám.č. 2 a posilnenie siete</t>
  </si>
  <si>
    <t>Zo ŠR okrem transferu na úhradu nákladov preneseného výkonu štátnej správy</t>
  </si>
  <si>
    <t>Základná umelecká škola K. Pádivého , Nám. SNP 2, TN</t>
  </si>
  <si>
    <t>Zo ŠR na úhradu nákladov preneseného výkonu štátnej správy</t>
  </si>
  <si>
    <t xml:space="preserve">CKKP Hviezda </t>
  </si>
  <si>
    <t>CKKP Hviezda - rekonštrukcia</t>
  </si>
  <si>
    <t>Cyklistická cestička, spojovacia vetva Soblahovská, Legionárska</t>
  </si>
  <si>
    <t>Príprava projektových dokumentácií</t>
  </si>
  <si>
    <t>Záchytné parkoviská Biskupice</t>
  </si>
  <si>
    <t>Záchytné parkovisko Pred Poľom</t>
  </si>
  <si>
    <t>Prieskumné sondy pred realizáciou mestských komunikácií</t>
  </si>
  <si>
    <t>Výmena okien, vchodové dvere</t>
  </si>
  <si>
    <t>Kanalizácia</t>
  </si>
  <si>
    <t>Okná, svetlíky</t>
  </si>
  <si>
    <t xml:space="preserve">Rekonštrukcia kotolne </t>
  </si>
  <si>
    <t>Skatepark</t>
  </si>
  <si>
    <t>Rekonštrukcia sociálnych zariadení a bezbariérových izieb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</si>
  <si>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</si>
  <si>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453: Prevod hospodárskeho výsledku za predchádzajúci rok </t>
  </si>
  <si>
    <t>Denné centrum seniorov</t>
  </si>
  <si>
    <t>ÚPP dokumentácie, štúdie</t>
  </si>
  <si>
    <t>* - na preklenutie časového nesúladu medzi príjmami a výdavkami rozpočtu sa môže čerpať kontokorentný úver spolu vo výške  2 500 tis. € z ČSOB a.s. s tým, že do konca roka 2021 bude predmetný úver splatený</t>
  </si>
  <si>
    <t>Investičné akcie Sever</t>
  </si>
  <si>
    <t>Kaplnka Záblatie - Rybáre</t>
  </si>
  <si>
    <t>Ul. Bavlnárska - doplnenie osvetlenia</t>
  </si>
  <si>
    <t>Doplnenie verejného osvetlenia ul. Zelnica</t>
  </si>
  <si>
    <t>Kamerový systém Opatová pri Kultúrnom dome (360)</t>
  </si>
  <si>
    <t>DHZ Opatová - materiálno technické vybavenie</t>
  </si>
  <si>
    <t>Ul. Jilemnického a Jesenského  - prepojenie pre peších - PD</t>
  </si>
  <si>
    <t>Chodník Ul. Legionárska smer Noviny - PD</t>
  </si>
  <si>
    <t>Chodník, priechod K Zábraniu - PD</t>
  </si>
  <si>
    <t>UL. K Výstavisku - chodník, parkovisko, presmerovanie cesty - PD</t>
  </si>
  <si>
    <t>Križovatka Záblatie - napojenie na privádzač PD</t>
  </si>
  <si>
    <t>Otoč a vstup do ZŠ Kubranská - PD</t>
  </si>
  <si>
    <t>Chodník Kasárenská - PD</t>
  </si>
  <si>
    <t>Priechod pre chodcov, chodník Zlatovská, Brnianska - PD</t>
  </si>
  <si>
    <t>Chodníky v MČ Stred - realizácia</t>
  </si>
  <si>
    <t>Terčíky na cyklotrase na Ul. Soblahovská</t>
  </si>
  <si>
    <t>Ul. Cintorínska - chodníky a oporný múr</t>
  </si>
  <si>
    <t>Investičné akcie Sever - cesty, chodníky</t>
  </si>
  <si>
    <t>Komunikácie a chodníky v MČ Sihoť 1.</t>
  </si>
  <si>
    <t xml:space="preserve">Chodník Ul. Hodžova </t>
  </si>
  <si>
    <t>Priechod pre chodcov Ul. Dolné Pažite (podsvietený, nadsvietený)</t>
  </si>
  <si>
    <t>Cyklotrasa Juh - centrum - III. etapa (cintorín - kruhový objazd pod Juhom)</t>
  </si>
  <si>
    <t>Križovatka Východná - Gen. Svobodu - úprava</t>
  </si>
  <si>
    <t>Chodník okolo garážového domu Novomeského 2</t>
  </si>
  <si>
    <t>Chodník situácia Šmidkeho - smer Južanka</t>
  </si>
  <si>
    <t>Ul. M. Bela 37 -41 nových chodník a komunikácia</t>
  </si>
  <si>
    <t>Hlavný chodník nad Južankou k ZŠ Novomeského</t>
  </si>
  <si>
    <t>Predsadenie priechodov pre chodcov na UL. Gen. Svobodu</t>
  </si>
  <si>
    <t>Chodník Východná - dokončenie od odbočky na Halalovku po poslednú odbočku z hl. cesty Východná</t>
  </si>
  <si>
    <t>Chodník Ul. Štefánikova pri Maxe</t>
  </si>
  <si>
    <t>Úprava vjazdu k bytovému domu Ul. Gagarinova</t>
  </si>
  <si>
    <t>Úprava parkovania Ul. Gen. Viesta</t>
  </si>
  <si>
    <t>Parkovisko pri dome smútku v centre Kubrej</t>
  </si>
  <si>
    <t>Rekonštrukcia MK v Kubrici - oproti vodojemu TVK</t>
  </si>
  <si>
    <t>Autobusová zastávka oproti OC Max - rekontrukcia obrubníky, chodník</t>
  </si>
  <si>
    <t>Priechod pri Mercury markete</t>
  </si>
  <si>
    <t>Chodník Istebnícka - I. etapa</t>
  </si>
  <si>
    <t>Parkovisko Na Kamenci - realizácia</t>
  </si>
  <si>
    <t>Priechod pre chodcov, chodník Zlatovská, Brnianska</t>
  </si>
  <si>
    <t>Cesty, chodníky MČ Západ</t>
  </si>
  <si>
    <t>Zateplenie budovy</t>
  </si>
  <si>
    <t>Revitalizácia dvora</t>
  </si>
  <si>
    <t>Herné prvky na ihrisko s povrchom</t>
  </si>
  <si>
    <t>Futbalový štadión Záblatie - šatne, pitná voda, kanalizácia</t>
  </si>
  <si>
    <t>Kúpalisko - semafory pre tobogany</t>
  </si>
  <si>
    <t>Športové ihrisko Opatová</t>
  </si>
  <si>
    <t>Športovisko Sever (Sibírska a Pádivého)</t>
  </si>
  <si>
    <t>Revitalizácia vnútrobloku Západná</t>
  </si>
  <si>
    <t>Revitalizácia vnútrobloku Bazovského, Šafárikova, Liptovská</t>
  </si>
  <si>
    <t>Zlatovská kyselka - rekonštrukcia</t>
  </si>
  <si>
    <t>Kyselka Kubrá - doplnenie hracích prvkov</t>
  </si>
  <si>
    <t>Detské ihrisko Opatová</t>
  </si>
  <si>
    <t>Workour Opatová</t>
  </si>
  <si>
    <t>Ihrisko pri Termione - osvetlenie</t>
  </si>
  <si>
    <t>Športový areál Zátoka pokoja  - obnova</t>
  </si>
  <si>
    <t>KS Kubrá - výmena dverí a okien 1.etapa</t>
  </si>
  <si>
    <t>KS Kubrá - altánok</t>
  </si>
  <si>
    <t>Kontajnerové divadlo</t>
  </si>
  <si>
    <t>Chodníky v parku pod Juhom</t>
  </si>
  <si>
    <t>Park Zlatovce - exteriér</t>
  </si>
  <si>
    <t>Stojisko polopodzemných kontajnerov - stojisko 3a na ul. 28.októbra</t>
  </si>
  <si>
    <t>Spevnená plocha pod stojiskom smetných nádob vnútroblok za Perlou</t>
  </si>
  <si>
    <t>Detské ihrisko 28.októbra - výmena asfaltu</t>
  </si>
  <si>
    <t>Úprava parkovania Ul. Gen. Viesta 14-16</t>
  </si>
  <si>
    <t>Umývačka riadu, pec elektrická statická</t>
  </si>
  <si>
    <t>Interiérové vybavenie - Zariadenie pre seniorov Ul.Lavičkova</t>
  </si>
  <si>
    <t>HK Dukla Trenčín n.o. - dotácia na činnosť</t>
  </si>
  <si>
    <t>Centrum voľného času</t>
  </si>
  <si>
    <t>Súťaže zo ŠR</t>
  </si>
  <si>
    <t>Projekt "Pracuj, zmeň svoj život" pre SSmT</t>
  </si>
  <si>
    <t>Križovatka Električná- Nemocničná</t>
  </si>
  <si>
    <t>Ul.Matúšova - vybudovanie nového verejného osvetlenia, chráničiek NN a mobiliaru</t>
  </si>
  <si>
    <t>NFP - Rozvoj energetických služieb - verejné osvetlenie v meste Trenčín</t>
  </si>
  <si>
    <t>NFP - Rozvoj energetických služieb - zníženie energetickej náročnosti objektov/budov  v meste Trenčín</t>
  </si>
  <si>
    <t>Dary na účet Pre Trenčín v súvislosti s výskytom koronavírusu</t>
  </si>
  <si>
    <t>Rekonštrukcia Zimného štadióna Pavla Demitru</t>
  </si>
  <si>
    <t>JUŽANIA - RC Južanček , o.z. - dotácia na sociálnu pomoc pre občanov mesta</t>
  </si>
  <si>
    <t>Refundácia finančných prostriedkov na testovanie "COVID-19"</t>
  </si>
  <si>
    <t>1.FBC - dotácia na činnosť</t>
  </si>
  <si>
    <t>Nájomné</t>
  </si>
  <si>
    <t>Futbalový štadión Záblatie - rekonštrukcia elektriky a elektrických rozvodov</t>
  </si>
  <si>
    <t>PD Cintorín Kubrá - rozšírenie vrchná časť</t>
  </si>
  <si>
    <t>MK Západná (od OC Južanka k MK Saratovská)</t>
  </si>
  <si>
    <t>MK Šafárikova stredná</t>
  </si>
  <si>
    <t>Schody, chodníky a obrubníky Juh</t>
  </si>
  <si>
    <t>Obnova podchodu v parku pod Juhom (mestský zásah)</t>
  </si>
  <si>
    <t>Ul. Vansovej - prístrešok na kontajnery</t>
  </si>
  <si>
    <t>TJ Družstevník Opatová - dotácia na údržbu a  materiálno - technické vybavenie</t>
  </si>
  <si>
    <t>Podpora sociálnych služieb poskytovaných v zariadení na komunitnej báze v meste Trenčín - nákup motorového vozidla</t>
  </si>
  <si>
    <t>Príprava EHMK 2026 - služby</t>
  </si>
  <si>
    <t>Nákup ľahkej dynamickej dosky</t>
  </si>
  <si>
    <t>SHŠ Wagus n.o. - dotácia na vydanie knihy J.Spustovej</t>
  </si>
  <si>
    <t>AS Trenčín a.s. - dotácia na činnosť</t>
  </si>
  <si>
    <t>Florbalový klub AS Trenčín - dotácia na činnosť</t>
  </si>
  <si>
    <t>Hádzanársky klub - Asociácie športov Trenčín o.z. - dotácia na činnosť</t>
  </si>
  <si>
    <t>CoMa Consulting s.r.o. - dotácia na Turistický vláčik "Trenčiansky expres"</t>
  </si>
  <si>
    <t>Slávia Trenčín o.z. - dotácia na činnosť</t>
  </si>
  <si>
    <t>ŠK Real team o.z. - dotácia na činnosť</t>
  </si>
  <si>
    <t>Rímskokatolícka cirkev Farnosť Trenčín - Orechové - dotácia na rekonštrukciu kaplnky Záblatie - Rybáre</t>
  </si>
  <si>
    <t>Obedy zadarmo</t>
  </si>
  <si>
    <t>Fond podporu športu - Modernizácia Zimného štadióna P.Demitru v Trenčíne</t>
  </si>
  <si>
    <t>Cestovné</t>
  </si>
  <si>
    <t>Nevyčerpaná dotácia z roku 2020</t>
  </si>
  <si>
    <t>Sčítanie ľudu - nevyčerpaná dotácia z roku 2020</t>
  </si>
  <si>
    <t>SŠKD pri SZŠ pre žiakov s autizmom</t>
  </si>
  <si>
    <t xml:space="preserve">ŠJ pri SZŠ pre žiakov s autizmom </t>
  </si>
  <si>
    <t>Rekonštrukcia kuchyne</t>
  </si>
  <si>
    <t>Mangel</t>
  </si>
  <si>
    <t xml:space="preserve">453: Prevod hospodárskeho výsledku z podnikateľskej činnosti  za predchádzajúci rok </t>
  </si>
  <si>
    <t>Rekonštrukcia priestorov práčovne</t>
  </si>
  <si>
    <t>Dotácia z Dobrovoľnej požiarnej ochrany SR</t>
  </si>
  <si>
    <t xml:space="preserve">DHZ Opatová - materiál </t>
  </si>
  <si>
    <t>DHZ Záblatie - materiál</t>
  </si>
  <si>
    <t>Zvýš.mes.mobility budovaním siete cykl.infraštr.v TN: Rieš.cyklodopr.,ul.Na Kamenci, od Ul.na Vinohrady</t>
  </si>
  <si>
    <t>Bežný rozpočet 2021</t>
  </si>
  <si>
    <t>Kapitálový rozpočet 2021</t>
  </si>
  <si>
    <t>Rozpočet spolu 2021</t>
  </si>
  <si>
    <t>Rozpočet 2021</t>
  </si>
  <si>
    <t>Obnova sôch v parku M.R.Štefánika</t>
  </si>
  <si>
    <t>Mariánske námestie - rekonštrukcia</t>
  </si>
  <si>
    <t>CKKP Hviezda - nákup úžitkového vozidla</t>
  </si>
  <si>
    <t>PD Prekládka stožiarov verejného osvetlenia mimo chodníka Ul.L.Stárka</t>
  </si>
  <si>
    <t>PD Verejné osvetlenie križovatka Legionárska-Javorinská</t>
  </si>
  <si>
    <t>PD Doplnenie verejného osvetlenia ul. Zelnica</t>
  </si>
  <si>
    <t>Závorový systém v areáli MHSL m.r.o.</t>
  </si>
  <si>
    <t>Rekonštrukcia práčovne a sušiarne</t>
  </si>
  <si>
    <t xml:space="preserve">Termoakupresúrny prístroj </t>
  </si>
  <si>
    <t>453: ZŠ Na dolinách - prostriedky z predchádzajúcich rokov</t>
  </si>
  <si>
    <t>Úprava podjazdnej výšky pod mostom M3419 (Opatová)</t>
  </si>
  <si>
    <t>Rozšírenie verejného osvetlenia na ul.Niva</t>
  </si>
  <si>
    <t>Rekonštrukcia chodníka na cintoríne Juh</t>
  </si>
  <si>
    <t>PD Ul. Cintorínska - chodníky a oporný múr</t>
  </si>
  <si>
    <t>Promoline s.r.o. - Aróma Festival</t>
  </si>
  <si>
    <t>4workout - EXPO MUSIC CINEMA</t>
  </si>
  <si>
    <t xml:space="preserve">Výmena dverí </t>
  </si>
  <si>
    <t>Rekonštrukcia okien</t>
  </si>
  <si>
    <t>454: Prevod z rezervného fondu</t>
  </si>
  <si>
    <t>Úprava štruktúry MHD pri nadjazde Opatová</t>
  </si>
  <si>
    <t xml:space="preserve">Úprava štruktúry MHD na Sihoti </t>
  </si>
  <si>
    <t>Fond na podporu športu - Modernizácia zimného štadióna P.Demitru</t>
  </si>
  <si>
    <t>Prostriedky z rozpočtu EÚ</t>
  </si>
  <si>
    <t>Grant ERASMUS+</t>
  </si>
  <si>
    <t>COOLTÚRNE - Festival Priestor</t>
  </si>
  <si>
    <t>LampART - Film square</t>
  </si>
  <si>
    <t>Osobné morotové vozidlo</t>
  </si>
  <si>
    <t>PD Osvetlenie cintorína Juh</t>
  </si>
  <si>
    <t>MŠ J.Halašu PD</t>
  </si>
  <si>
    <t>Zmena +/-</t>
  </si>
  <si>
    <t>Upravený rozpočet na rok 2021</t>
  </si>
  <si>
    <t>Upravený rozpočet 2021</t>
  </si>
  <si>
    <t>Upravený bežný rozpočet 2021</t>
  </si>
  <si>
    <t>Elektronické sčítanie obyvateľov</t>
  </si>
  <si>
    <t>ZŠ Bezručova - Projekt Erazmus +</t>
  </si>
  <si>
    <t>Zahraničné granty</t>
  </si>
  <si>
    <t>Kapitálové</t>
  </si>
  <si>
    <t>Grant v rámci nástroja na prepájanie Európy WiFi4EU</t>
  </si>
  <si>
    <t>Realizácia wifi siete v športovej hale</t>
  </si>
  <si>
    <t>Rekonštrukcia spevnených plôch</t>
  </si>
  <si>
    <t>PD Polopodzemné kontajnery</t>
  </si>
  <si>
    <t>Z prenajatých strojov, prístrojov, zariadení, techniky a náradia</t>
  </si>
  <si>
    <t>Za odborné činnosti</t>
  </si>
  <si>
    <t>Iné príjmy</t>
  </si>
  <si>
    <t>MŠVVaŠ SR - Zlepšenie vybavenia školských jedální pri ZŠ a SŠ</t>
  </si>
  <si>
    <t>Zlepšenie vybavenie ŠJ</t>
  </si>
  <si>
    <t>Zlepšenie vybavenie ŠJ - materiál</t>
  </si>
  <si>
    <t>Chodníky Piešťanská</t>
  </si>
  <si>
    <t>Ostatné kapitálové výdavky</t>
  </si>
  <si>
    <t xml:space="preserve">Vratka do štátneho rozpočtu </t>
  </si>
  <si>
    <t>Dotácia na životné prostredie</t>
  </si>
  <si>
    <t>Dukla Trenčín veľká rodina, spolok o.z. - 10.výročie úmrtia P.Demitru</t>
  </si>
  <si>
    <t>AMADEUS - Opatovské hody 2021</t>
  </si>
  <si>
    <t>Rekonštrukcia KIC</t>
  </si>
  <si>
    <t>Zo štátneho účelového fondu</t>
  </si>
  <si>
    <t>Príspevok z Enviromentálneho fondu</t>
  </si>
  <si>
    <t>Koncepcia nakladania s odpadmi v meste Trenčín</t>
  </si>
  <si>
    <t>Nákup prevádzkových strojov, prístrojov a zariadení</t>
  </si>
  <si>
    <t>Nákup čítacích zariadení</t>
  </si>
  <si>
    <t>Nákup RFID kódov (čipov)</t>
  </si>
  <si>
    <t>Pasportizácia vrátane osadenia RFID na komunálne nádoby a bionádoby</t>
  </si>
  <si>
    <t xml:space="preserve">Rekonštrukcia MK Turkovej </t>
  </si>
  <si>
    <t>Rekonštrukcia MK Clementisova</t>
  </si>
  <si>
    <t>Schválená zmena Programového rozpočtu Mesta Trenčín na rok 2021 uznesením č. 973 MsZ  dňa 22.9.2021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</si>
</sst>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#,##0.0"/>
    <numFmt numFmtId="186" formatCode="#,##0.00\ &quot;€&quot;"/>
    <numFmt numFmtId="187" formatCode="\P\r\a\vd\a;&quot;Pravda&quot;;&quot;Nepravda&quot;"/>
    <numFmt numFmtId="188" formatCode="[$€-2]\ #\ ##,000_);[Red]\([$¥€-2]\ #\ ##,000\)"/>
    <numFmt numFmtId="189" formatCode="#,##0.000"/>
    <numFmt numFmtId="190" formatCode="0.000"/>
    <numFmt numFmtId="191" formatCode="0.00000"/>
    <numFmt numFmtId="192" formatCode="0.0%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name val="Arial CE"/>
      <family val="0"/>
    </font>
    <font>
      <i/>
      <sz val="9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1"/>
      <color indexed="9"/>
      <name val="Arial CE"/>
      <family val="0"/>
    </font>
    <font>
      <b/>
      <i/>
      <sz val="11"/>
      <color indexed="56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8"/>
      <color indexed="18"/>
      <name val="Arial CE"/>
      <family val="2"/>
    </font>
    <font>
      <b/>
      <i/>
      <sz val="8"/>
      <color indexed="9"/>
      <name val="Arial CE"/>
      <family val="0"/>
    </font>
    <font>
      <b/>
      <i/>
      <sz val="8"/>
      <color indexed="56"/>
      <name val="Arial CE"/>
      <family val="2"/>
    </font>
    <font>
      <sz val="7"/>
      <color indexed="1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i/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  <font>
      <i/>
      <sz val="8"/>
      <color theme="1"/>
      <name val="Arial"/>
      <family val="2"/>
    </font>
    <font>
      <b/>
      <sz val="12"/>
      <color theme="0"/>
      <name val="Arial CE"/>
      <family val="0"/>
    </font>
    <font>
      <b/>
      <sz val="16"/>
      <color rgb="FFFF0000"/>
      <name val="Arial"/>
      <family val="2"/>
    </font>
    <font>
      <b/>
      <sz val="10"/>
      <color rgb="FFFF0000"/>
      <name val="Arial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2" fillId="36" borderId="13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6" fillId="0" borderId="15" xfId="0" applyFont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13" borderId="11" xfId="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9" fillId="39" borderId="11" xfId="0" applyFont="1" applyFill="1" applyBorder="1" applyAlignment="1">
      <alignment/>
    </xf>
    <xf numFmtId="0" fontId="9" fillId="39" borderId="11" xfId="0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6" fillId="0" borderId="13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0" fontId="23" fillId="37" borderId="16" xfId="0" applyFont="1" applyFill="1" applyBorder="1" applyAlignment="1">
      <alignment/>
    </xf>
    <xf numFmtId="3" fontId="23" fillId="37" borderId="16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19" fillId="36" borderId="15" xfId="0" applyNumberFormat="1" applyFont="1" applyFill="1" applyBorder="1" applyAlignment="1">
      <alignment/>
    </xf>
    <xf numFmtId="3" fontId="19" fillId="36" borderId="11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 vertical="center"/>
    </xf>
    <xf numFmtId="3" fontId="31" fillId="37" borderId="12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 vertical="center"/>
    </xf>
    <xf numFmtId="3" fontId="17" fillId="36" borderId="1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 vertical="center"/>
    </xf>
    <xf numFmtId="3" fontId="23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26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/>
    </xf>
    <xf numFmtId="3" fontId="9" fillId="39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23" fillId="39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0" fillId="40" borderId="11" xfId="0" applyNumberFormat="1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29" fillId="41" borderId="11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/>
    </xf>
    <xf numFmtId="3" fontId="33" fillId="0" borderId="11" xfId="0" applyNumberFormat="1" applyFont="1" applyFill="1" applyBorder="1" applyAlignment="1">
      <alignment vertical="center"/>
    </xf>
    <xf numFmtId="0" fontId="29" fillId="36" borderId="13" xfId="0" applyFont="1" applyFill="1" applyBorder="1" applyAlignment="1">
      <alignment/>
    </xf>
    <xf numFmtId="0" fontId="29" fillId="37" borderId="16" xfId="0" applyFont="1" applyFill="1" applyBorder="1" applyAlignment="1">
      <alignment/>
    </xf>
    <xf numFmtId="0" fontId="29" fillId="0" borderId="11" xfId="0" applyFont="1" applyBorder="1" applyAlignment="1">
      <alignment/>
    </xf>
    <xf numFmtId="0" fontId="35" fillId="33" borderId="10" xfId="0" applyFont="1" applyFill="1" applyBorder="1" applyAlignment="1">
      <alignment vertical="center"/>
    </xf>
    <xf numFmtId="0" fontId="36" fillId="37" borderId="12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9" fillId="0" borderId="11" xfId="48" applyFont="1" applyBorder="1" applyAlignment="1">
      <alignment vertical="center" wrapText="1"/>
      <protection/>
    </xf>
    <xf numFmtId="3" fontId="22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19" xfId="0" applyFont="1" applyFill="1" applyBorder="1" applyAlignment="1">
      <alignment horizontal="center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37" fillId="42" borderId="19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3" fontId="79" fillId="39" borderId="19" xfId="0" applyNumberFormat="1" applyFont="1" applyFill="1" applyBorder="1" applyAlignment="1">
      <alignment horizontal="center" vertical="center" wrapText="1"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0" fontId="80" fillId="43" borderId="11" xfId="0" applyFont="1" applyFill="1" applyBorder="1" applyAlignment="1">
      <alignment/>
    </xf>
    <xf numFmtId="0" fontId="80" fillId="0" borderId="11" xfId="0" applyFont="1" applyBorder="1" applyAlignment="1">
      <alignment vertical="center" wrapText="1"/>
    </xf>
    <xf numFmtId="3" fontId="80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9" fillId="8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43" borderId="11" xfId="0" applyFont="1" applyFill="1" applyBorder="1" applyAlignment="1">
      <alignment/>
    </xf>
    <xf numFmtId="0" fontId="29" fillId="43" borderId="11" xfId="0" applyFont="1" applyFill="1" applyBorder="1" applyAlignment="1">
      <alignment/>
    </xf>
    <xf numFmtId="3" fontId="3" fillId="43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19" fillId="44" borderId="11" xfId="0" applyNumberFormat="1" applyFont="1" applyFill="1" applyBorder="1" applyAlignment="1">
      <alignment/>
    </xf>
    <xf numFmtId="3" fontId="19" fillId="45" borderId="11" xfId="0" applyNumberFormat="1" applyFont="1" applyFill="1" applyBorder="1" applyAlignment="1">
      <alignment/>
    </xf>
    <xf numFmtId="3" fontId="81" fillId="46" borderId="12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32" fillId="36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2" fillId="47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6" fillId="43" borderId="11" xfId="0" applyNumberFormat="1" applyFont="1" applyFill="1" applyBorder="1" applyAlignment="1">
      <alignment horizontal="center" vertical="center"/>
    </xf>
    <xf numFmtId="0" fontId="6" fillId="43" borderId="11" xfId="0" applyFont="1" applyFill="1" applyBorder="1" applyAlignment="1">
      <alignment horizontal="center"/>
    </xf>
    <xf numFmtId="0" fontId="6" fillId="43" borderId="11" xfId="0" applyFont="1" applyFill="1" applyBorder="1" applyAlignment="1">
      <alignment/>
    </xf>
    <xf numFmtId="3" fontId="6" fillId="43" borderId="11" xfId="0" applyNumberFormat="1" applyFont="1" applyFill="1" applyBorder="1" applyAlignment="1">
      <alignment/>
    </xf>
    <xf numFmtId="3" fontId="28" fillId="0" borderId="11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16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3" fillId="6" borderId="11" xfId="0" applyFont="1" applyFill="1" applyBorder="1" applyAlignment="1">
      <alignment/>
    </xf>
    <xf numFmtId="3" fontId="3" fillId="6" borderId="11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3" fontId="3" fillId="41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23" fillId="37" borderId="21" xfId="0" applyFont="1" applyFill="1" applyBorder="1" applyAlignment="1">
      <alignment/>
    </xf>
    <xf numFmtId="0" fontId="29" fillId="37" borderId="21" xfId="0" applyFont="1" applyFill="1" applyBorder="1" applyAlignment="1">
      <alignment/>
    </xf>
    <xf numFmtId="3" fontId="23" fillId="37" borderId="21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79" fillId="39" borderId="10" xfId="0" applyNumberFormat="1" applyFont="1" applyFill="1" applyBorder="1" applyAlignment="1">
      <alignment horizontal="center" vertical="center" wrapText="1"/>
    </xf>
    <xf numFmtId="3" fontId="79" fillId="39" borderId="23" xfId="0" applyNumberFormat="1" applyFont="1" applyFill="1" applyBorder="1" applyAlignment="1">
      <alignment horizontal="center" vertical="center" wrapText="1"/>
    </xf>
    <xf numFmtId="3" fontId="79" fillId="39" borderId="24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horizontal="center" vertical="center"/>
    </xf>
    <xf numFmtId="49" fontId="4" fillId="42" borderId="25" xfId="0" applyNumberFormat="1" applyFont="1" applyFill="1" applyBorder="1" applyAlignment="1">
      <alignment horizontal="center" vertical="center"/>
    </xf>
    <xf numFmtId="49" fontId="4" fillId="42" borderId="26" xfId="0" applyNumberFormat="1" applyFont="1" applyFill="1" applyBorder="1" applyAlignment="1">
      <alignment horizontal="center" vertical="center"/>
    </xf>
    <xf numFmtId="49" fontId="4" fillId="42" borderId="18" xfId="0" applyNumberFormat="1" applyFont="1" applyFill="1" applyBorder="1" applyAlignment="1">
      <alignment horizontal="center" vertical="center"/>
    </xf>
    <xf numFmtId="49" fontId="4" fillId="42" borderId="27" xfId="0" applyNumberFormat="1" applyFont="1" applyFill="1" applyBorder="1" applyAlignment="1">
      <alignment horizontal="center" vertical="center"/>
    </xf>
    <xf numFmtId="49" fontId="4" fillId="42" borderId="28" xfId="0" applyNumberFormat="1" applyFont="1" applyFill="1" applyBorder="1" applyAlignment="1">
      <alignment horizontal="center" vertical="center"/>
    </xf>
    <xf numFmtId="49" fontId="4" fillId="42" borderId="29" xfId="0" applyNumberFormat="1" applyFont="1" applyFill="1" applyBorder="1" applyAlignment="1">
      <alignment horizontal="center" vertical="center"/>
    </xf>
    <xf numFmtId="49" fontId="5" fillId="42" borderId="10" xfId="0" applyNumberFormat="1" applyFont="1" applyFill="1" applyBorder="1" applyAlignment="1">
      <alignment horizontal="center" vertical="center" wrapText="1"/>
    </xf>
    <xf numFmtId="49" fontId="5" fillId="42" borderId="24" xfId="0" applyNumberFormat="1" applyFont="1" applyFill="1" applyBorder="1" applyAlignment="1">
      <alignment horizontal="center" vertical="center" wrapText="1"/>
    </xf>
    <xf numFmtId="49" fontId="5" fillId="42" borderId="10" xfId="0" applyNumberFormat="1" applyFont="1" applyFill="1" applyBorder="1" applyAlignment="1">
      <alignment horizontal="center" vertical="center"/>
    </xf>
    <xf numFmtId="49" fontId="5" fillId="42" borderId="24" xfId="0" applyNumberFormat="1" applyFont="1" applyFill="1" applyBorder="1" applyAlignment="1">
      <alignment horizontal="center" vertical="center"/>
    </xf>
    <xf numFmtId="49" fontId="34" fillId="42" borderId="10" xfId="0" applyNumberFormat="1" applyFont="1" applyFill="1" applyBorder="1" applyAlignment="1">
      <alignment horizontal="center" vertical="center"/>
    </xf>
    <xf numFmtId="49" fontId="34" fillId="42" borderId="24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49" fontId="37" fillId="42" borderId="10" xfId="0" applyNumberFormat="1" applyFont="1" applyFill="1" applyBorder="1" applyAlignment="1">
      <alignment horizontal="center" vertical="center"/>
    </xf>
    <xf numFmtId="49" fontId="37" fillId="42" borderId="24" xfId="0" applyNumberFormat="1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7" fillId="44" borderId="1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6" fillId="34" borderId="15" xfId="0" applyFont="1" applyFill="1" applyBorder="1" applyAlignment="1">
      <alignment/>
    </xf>
    <xf numFmtId="3" fontId="79" fillId="39" borderId="11" xfId="0" applyNumberFormat="1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48" borderId="11" xfId="0" applyFont="1" applyFill="1" applyBorder="1" applyAlignment="1">
      <alignment horizontal="center" vertical="center" textRotation="180" wrapText="1"/>
    </xf>
    <xf numFmtId="49" fontId="11" fillId="49" borderId="15" xfId="0" applyNumberFormat="1" applyFont="1" applyFill="1" applyBorder="1" applyAlignment="1">
      <alignment horizontal="center"/>
    </xf>
    <xf numFmtId="49" fontId="11" fillId="49" borderId="20" xfId="0" applyNumberFormat="1" applyFont="1" applyFill="1" applyBorder="1" applyAlignment="1">
      <alignment horizontal="center"/>
    </xf>
    <xf numFmtId="49" fontId="11" fillId="49" borderId="13" xfId="0" applyNumberFormat="1" applyFont="1" applyFill="1" applyBorder="1" applyAlignment="1">
      <alignment horizontal="center"/>
    </xf>
    <xf numFmtId="0" fontId="13" fillId="48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3" fontId="12" fillId="5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3" fillId="48" borderId="11" xfId="0" applyFont="1" applyFill="1" applyBorder="1" applyAlignment="1">
      <alignment horizontal="center" vertical="center"/>
    </xf>
    <xf numFmtId="0" fontId="0" fillId="44" borderId="20" xfId="0" applyFill="1" applyBorder="1" applyAlignment="1">
      <alignment/>
    </xf>
    <xf numFmtId="0" fontId="0" fillId="44" borderId="13" xfId="0" applyFill="1" applyBorder="1" applyAlignment="1">
      <alignment/>
    </xf>
    <xf numFmtId="3" fontId="79" fillId="39" borderId="14" xfId="0" applyNumberFormat="1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7" fillId="36" borderId="2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16" fillId="51" borderId="15" xfId="0" applyFont="1" applyFill="1" applyBorder="1" applyAlignment="1">
      <alignment/>
    </xf>
    <xf numFmtId="0" fontId="0" fillId="51" borderId="20" xfId="0" applyFill="1" applyBorder="1" applyAlignment="1">
      <alignment/>
    </xf>
    <xf numFmtId="0" fontId="0" fillId="51" borderId="13" xfId="0" applyFill="1" applyBorder="1" applyAlignment="1">
      <alignment/>
    </xf>
    <xf numFmtId="3" fontId="22" fillId="47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15" fillId="33" borderId="30" xfId="0" applyNumberFormat="1" applyFont="1" applyFill="1" applyBorder="1" applyAlignment="1">
      <alignment horizontal="left"/>
    </xf>
    <xf numFmtId="3" fontId="15" fillId="33" borderId="31" xfId="0" applyNumberFormat="1" applyFont="1" applyFill="1" applyBorder="1" applyAlignment="1">
      <alignment horizontal="left"/>
    </xf>
    <xf numFmtId="3" fontId="15" fillId="33" borderId="32" xfId="0" applyNumberFormat="1" applyFont="1" applyFill="1" applyBorder="1" applyAlignment="1">
      <alignment horizontal="left"/>
    </xf>
    <xf numFmtId="0" fontId="24" fillId="43" borderId="0" xfId="0" applyFont="1" applyFill="1" applyAlignment="1">
      <alignment horizontal="center" vertical="center" wrapText="1"/>
    </xf>
    <xf numFmtId="0" fontId="83" fillId="43" borderId="0" xfId="0" applyFont="1" applyFill="1" applyAlignment="1">
      <alignment horizontal="center" vertical="center" wrapText="1"/>
    </xf>
    <xf numFmtId="49" fontId="18" fillId="8" borderId="11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/>
    </xf>
    <xf numFmtId="3" fontId="15" fillId="52" borderId="15" xfId="0" applyNumberFormat="1" applyFont="1" applyFill="1" applyBorder="1" applyAlignment="1">
      <alignment horizontal="left"/>
    </xf>
    <xf numFmtId="3" fontId="15" fillId="52" borderId="20" xfId="0" applyNumberFormat="1" applyFont="1" applyFill="1" applyBorder="1" applyAlignment="1">
      <alignment horizontal="left"/>
    </xf>
    <xf numFmtId="3" fontId="15" fillId="52" borderId="13" xfId="0" applyNumberFormat="1" applyFont="1" applyFill="1" applyBorder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4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L49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5.140625" style="25" customWidth="1"/>
    <col min="3" max="3" width="5.140625" style="0" customWidth="1"/>
    <col min="4" max="4" width="4.00390625" style="0" customWidth="1"/>
    <col min="5" max="5" width="6.140625" style="108" customWidth="1"/>
    <col min="6" max="6" width="53.00390625" style="0" customWidth="1"/>
    <col min="7" max="7" width="12.8515625" style="19" customWidth="1"/>
    <col min="8" max="8" width="12.57421875" style="0" customWidth="1"/>
    <col min="9" max="9" width="12.421875" style="0" customWidth="1"/>
  </cols>
  <sheetData>
    <row r="2" spans="2:9" ht="48" customHeight="1">
      <c r="B2" s="229" t="s">
        <v>676</v>
      </c>
      <c r="C2" s="229"/>
      <c r="D2" s="229"/>
      <c r="E2" s="229"/>
      <c r="F2" s="229"/>
      <c r="G2" s="229"/>
      <c r="H2" s="229"/>
      <c r="I2" s="229"/>
    </row>
    <row r="3" ht="12.75">
      <c r="B3" s="154" t="s">
        <v>108</v>
      </c>
    </row>
    <row r="4" spans="2:9" ht="33.75" customHeight="1">
      <c r="B4" s="214" t="s">
        <v>50</v>
      </c>
      <c r="C4" s="215"/>
      <c r="D4" s="215"/>
      <c r="E4" s="215"/>
      <c r="F4" s="216"/>
      <c r="G4" s="209" t="s">
        <v>612</v>
      </c>
      <c r="H4" s="209" t="s">
        <v>642</v>
      </c>
      <c r="I4" s="209" t="s">
        <v>643</v>
      </c>
    </row>
    <row r="5" spans="2:9" ht="12.75">
      <c r="B5" s="217"/>
      <c r="C5" s="218"/>
      <c r="D5" s="218"/>
      <c r="E5" s="218"/>
      <c r="F5" s="219"/>
      <c r="G5" s="210"/>
      <c r="H5" s="210"/>
      <c r="I5" s="210"/>
    </row>
    <row r="6" spans="2:9" ht="12.75">
      <c r="B6" s="226" t="s">
        <v>108</v>
      </c>
      <c r="C6" s="220" t="s">
        <v>109</v>
      </c>
      <c r="D6" s="222" t="s">
        <v>110</v>
      </c>
      <c r="E6" s="230" t="s">
        <v>112</v>
      </c>
      <c r="F6" s="212" t="s">
        <v>111</v>
      </c>
      <c r="G6" s="210"/>
      <c r="H6" s="210"/>
      <c r="I6" s="210"/>
    </row>
    <row r="7" spans="2:9" ht="5.25" customHeight="1" thickBot="1">
      <c r="B7" s="227"/>
      <c r="C7" s="221"/>
      <c r="D7" s="223"/>
      <c r="E7" s="231"/>
      <c r="F7" s="213"/>
      <c r="G7" s="211"/>
      <c r="H7" s="211"/>
      <c r="I7" s="211"/>
    </row>
    <row r="8" spans="2:9" ht="1.5" customHeight="1" thickTop="1">
      <c r="B8" s="138"/>
      <c r="C8" s="139"/>
      <c r="D8" s="140"/>
      <c r="E8" s="141"/>
      <c r="F8" s="142"/>
      <c r="G8" s="143"/>
      <c r="H8" s="143"/>
      <c r="I8" s="143"/>
    </row>
    <row r="9" spans="2:9" ht="16.5" thickBot="1">
      <c r="B9" s="76">
        <v>1</v>
      </c>
      <c r="C9" s="11">
        <v>100</v>
      </c>
      <c r="D9" s="11"/>
      <c r="E9" s="122"/>
      <c r="F9" s="11" t="s">
        <v>260</v>
      </c>
      <c r="G9" s="14">
        <f>G10</f>
        <v>33268012</v>
      </c>
      <c r="H9" s="14">
        <f>H10</f>
        <v>0</v>
      </c>
      <c r="I9" s="14">
        <f>H9+G9</f>
        <v>33268012</v>
      </c>
    </row>
    <row r="10" spans="2:9" ht="15.75" thickBot="1">
      <c r="B10" s="77">
        <f>B9+1</f>
        <v>2</v>
      </c>
      <c r="C10" s="64"/>
      <c r="D10" s="64"/>
      <c r="E10" s="123"/>
      <c r="F10" s="64" t="s">
        <v>49</v>
      </c>
      <c r="G10" s="65">
        <f>G19+G14+G11</f>
        <v>33268012</v>
      </c>
      <c r="H10" s="65">
        <f>H19+H14+H11</f>
        <v>0</v>
      </c>
      <c r="I10" s="65">
        <f aca="true" t="shared" si="0" ref="I10:I73">H10+G10</f>
        <v>33268012</v>
      </c>
    </row>
    <row r="11" spans="2:9" ht="12.75">
      <c r="B11" s="20">
        <f>B10+1</f>
        <v>3</v>
      </c>
      <c r="C11" s="6">
        <v>110</v>
      </c>
      <c r="D11" s="6"/>
      <c r="E11" s="120"/>
      <c r="F11" s="6" t="s">
        <v>261</v>
      </c>
      <c r="G11" s="15">
        <f>G12</f>
        <v>22975012</v>
      </c>
      <c r="H11" s="15">
        <f>H12</f>
        <v>0</v>
      </c>
      <c r="I11" s="15">
        <f t="shared" si="0"/>
        <v>22975012</v>
      </c>
    </row>
    <row r="12" spans="2:9" ht="12.75">
      <c r="B12" s="20">
        <f aca="true" t="shared" si="1" ref="B12:B59">B11+1</f>
        <v>4</v>
      </c>
      <c r="C12" s="3"/>
      <c r="D12" s="3">
        <v>111</v>
      </c>
      <c r="E12" s="124"/>
      <c r="F12" s="3" t="s">
        <v>262</v>
      </c>
      <c r="G12" s="16">
        <f>G13</f>
        <v>22975012</v>
      </c>
      <c r="H12" s="16">
        <f>H13</f>
        <v>0</v>
      </c>
      <c r="I12" s="16">
        <f t="shared" si="0"/>
        <v>22975012</v>
      </c>
    </row>
    <row r="13" spans="2:9" ht="12.75">
      <c r="B13" s="20">
        <f t="shared" si="1"/>
        <v>5</v>
      </c>
      <c r="C13" s="24"/>
      <c r="D13" s="24"/>
      <c r="E13" s="116">
        <v>111003</v>
      </c>
      <c r="F13" s="24" t="s">
        <v>259</v>
      </c>
      <c r="G13" s="63">
        <v>22975012</v>
      </c>
      <c r="H13" s="63"/>
      <c r="I13" s="63">
        <f t="shared" si="0"/>
        <v>22975012</v>
      </c>
    </row>
    <row r="14" spans="2:9" ht="12.75">
      <c r="B14" s="20">
        <f t="shared" si="1"/>
        <v>6</v>
      </c>
      <c r="C14" s="6">
        <v>120</v>
      </c>
      <c r="D14" s="6"/>
      <c r="E14" s="120"/>
      <c r="F14" s="6" t="s">
        <v>264</v>
      </c>
      <c r="G14" s="15">
        <f>G15</f>
        <v>7600000</v>
      </c>
      <c r="H14" s="15">
        <f>H15</f>
        <v>0</v>
      </c>
      <c r="I14" s="15">
        <f t="shared" si="0"/>
        <v>7600000</v>
      </c>
    </row>
    <row r="15" spans="2:9" ht="12.75">
      <c r="B15" s="20">
        <f t="shared" si="1"/>
        <v>7</v>
      </c>
      <c r="C15" s="3"/>
      <c r="D15" s="3">
        <v>121</v>
      </c>
      <c r="E15" s="124"/>
      <c r="F15" s="3" t="s">
        <v>265</v>
      </c>
      <c r="G15" s="16">
        <f>G18+G17+G16</f>
        <v>7600000</v>
      </c>
      <c r="H15" s="16">
        <f>H18+H17+H16</f>
        <v>0</v>
      </c>
      <c r="I15" s="16">
        <f t="shared" si="0"/>
        <v>7600000</v>
      </c>
    </row>
    <row r="16" spans="2:9" ht="12.75">
      <c r="B16" s="20">
        <f t="shared" si="1"/>
        <v>8</v>
      </c>
      <c r="C16" s="24"/>
      <c r="D16" s="24"/>
      <c r="E16" s="116">
        <v>121001</v>
      </c>
      <c r="F16" s="24" t="s">
        <v>263</v>
      </c>
      <c r="G16" s="63">
        <v>710000</v>
      </c>
      <c r="H16" s="63"/>
      <c r="I16" s="63">
        <f t="shared" si="0"/>
        <v>710000</v>
      </c>
    </row>
    <row r="17" spans="2:9" ht="12.75">
      <c r="B17" s="20">
        <f t="shared" si="1"/>
        <v>9</v>
      </c>
      <c r="C17" s="24"/>
      <c r="D17" s="24"/>
      <c r="E17" s="116">
        <v>121002</v>
      </c>
      <c r="F17" s="24" t="s">
        <v>266</v>
      </c>
      <c r="G17" s="63">
        <v>6300000</v>
      </c>
      <c r="H17" s="63"/>
      <c r="I17" s="63">
        <f t="shared" si="0"/>
        <v>6300000</v>
      </c>
    </row>
    <row r="18" spans="2:9" ht="12.75">
      <c r="B18" s="20">
        <f t="shared" si="1"/>
        <v>10</v>
      </c>
      <c r="C18" s="24"/>
      <c r="D18" s="24"/>
      <c r="E18" s="116">
        <v>121003</v>
      </c>
      <c r="F18" s="24" t="s">
        <v>267</v>
      </c>
      <c r="G18" s="63">
        <v>590000</v>
      </c>
      <c r="H18" s="63"/>
      <c r="I18" s="63">
        <f t="shared" si="0"/>
        <v>590000</v>
      </c>
    </row>
    <row r="19" spans="2:9" ht="12.75">
      <c r="B19" s="20">
        <f t="shared" si="1"/>
        <v>11</v>
      </c>
      <c r="C19" s="6">
        <v>130</v>
      </c>
      <c r="D19" s="6"/>
      <c r="E19" s="120"/>
      <c r="F19" s="6" t="s">
        <v>269</v>
      </c>
      <c r="G19" s="15">
        <f>G20</f>
        <v>2693000</v>
      </c>
      <c r="H19" s="15">
        <f>H20</f>
        <v>0</v>
      </c>
      <c r="I19" s="15">
        <f t="shared" si="0"/>
        <v>2693000</v>
      </c>
    </row>
    <row r="20" spans="2:9" ht="12.75">
      <c r="B20" s="20">
        <f t="shared" si="1"/>
        <v>12</v>
      </c>
      <c r="C20" s="3"/>
      <c r="D20" s="3">
        <v>133</v>
      </c>
      <c r="E20" s="124"/>
      <c r="F20" s="3" t="s">
        <v>270</v>
      </c>
      <c r="G20" s="16">
        <f>G24+G23+G22+G21</f>
        <v>2693000</v>
      </c>
      <c r="H20" s="16">
        <f>H24+H23+H22+H21</f>
        <v>0</v>
      </c>
      <c r="I20" s="16">
        <f t="shared" si="0"/>
        <v>2693000</v>
      </c>
    </row>
    <row r="21" spans="2:9" ht="12.75">
      <c r="B21" s="20">
        <f t="shared" si="1"/>
        <v>13</v>
      </c>
      <c r="C21" s="24"/>
      <c r="D21" s="24"/>
      <c r="E21" s="116">
        <v>133001</v>
      </c>
      <c r="F21" s="24" t="s">
        <v>268</v>
      </c>
      <c r="G21" s="63">
        <v>53000</v>
      </c>
      <c r="H21" s="63"/>
      <c r="I21" s="63">
        <f t="shared" si="0"/>
        <v>53000</v>
      </c>
    </row>
    <row r="22" spans="2:9" ht="12.75">
      <c r="B22" s="20">
        <f t="shared" si="1"/>
        <v>14</v>
      </c>
      <c r="C22" s="24"/>
      <c r="D22" s="24"/>
      <c r="E22" s="116">
        <v>133006</v>
      </c>
      <c r="F22" s="24" t="s">
        <v>271</v>
      </c>
      <c r="G22" s="63">
        <f>70000-10000</f>
        <v>60000</v>
      </c>
      <c r="H22" s="63"/>
      <c r="I22" s="63">
        <f t="shared" si="0"/>
        <v>60000</v>
      </c>
    </row>
    <row r="23" spans="2:9" ht="12.75">
      <c r="B23" s="20">
        <f t="shared" si="1"/>
        <v>15</v>
      </c>
      <c r="C23" s="24"/>
      <c r="D23" s="24"/>
      <c r="E23" s="116">
        <v>133012</v>
      </c>
      <c r="F23" s="24" t="s">
        <v>272</v>
      </c>
      <c r="G23" s="63">
        <v>80000</v>
      </c>
      <c r="H23" s="63"/>
      <c r="I23" s="63">
        <f t="shared" si="0"/>
        <v>80000</v>
      </c>
    </row>
    <row r="24" spans="2:9" ht="12.75">
      <c r="B24" s="20">
        <f t="shared" si="1"/>
        <v>16</v>
      </c>
      <c r="C24" s="24"/>
      <c r="D24" s="24"/>
      <c r="E24" s="116">
        <v>133013</v>
      </c>
      <c r="F24" s="24" t="s">
        <v>273</v>
      </c>
      <c r="G24" s="63">
        <f>2550000-50000</f>
        <v>2500000</v>
      </c>
      <c r="H24" s="63"/>
      <c r="I24" s="63">
        <f t="shared" si="0"/>
        <v>2500000</v>
      </c>
    </row>
    <row r="25" spans="2:9" ht="16.5" thickBot="1">
      <c r="B25" s="20">
        <f t="shared" si="1"/>
        <v>17</v>
      </c>
      <c r="C25" s="11">
        <v>200</v>
      </c>
      <c r="D25" s="11"/>
      <c r="E25" s="122"/>
      <c r="F25" s="11" t="s">
        <v>162</v>
      </c>
      <c r="G25" s="14">
        <f>G378+G369+G360+G351+G342+G330+G323+G311+G298+G238+G133+G129+G53+G49+G26</f>
        <v>6281854</v>
      </c>
      <c r="H25" s="14">
        <f>H378+H369+H360+H351+H342+H330+H323+H311+H298+H238+H133+H129+H53+H49+H26</f>
        <v>-22735</v>
      </c>
      <c r="I25" s="14">
        <f t="shared" si="0"/>
        <v>6259119</v>
      </c>
    </row>
    <row r="26" spans="2:9" ht="15.75" thickBot="1">
      <c r="B26" s="20">
        <f t="shared" si="1"/>
        <v>18</v>
      </c>
      <c r="C26" s="64"/>
      <c r="D26" s="64"/>
      <c r="E26" s="123"/>
      <c r="F26" s="64" t="s">
        <v>49</v>
      </c>
      <c r="G26" s="65">
        <f>G45+G42+G31+G27</f>
        <v>2746336</v>
      </c>
      <c r="H26" s="65">
        <f>H45+H42+H31+H27</f>
        <v>0</v>
      </c>
      <c r="I26" s="65">
        <f t="shared" si="0"/>
        <v>2746336</v>
      </c>
    </row>
    <row r="27" spans="2:9" ht="12.75">
      <c r="B27" s="20">
        <f t="shared" si="1"/>
        <v>19</v>
      </c>
      <c r="C27" s="6">
        <v>210</v>
      </c>
      <c r="D27" s="6"/>
      <c r="E27" s="120"/>
      <c r="F27" s="6" t="s">
        <v>240</v>
      </c>
      <c r="G27" s="15">
        <f>G28</f>
        <v>585992</v>
      </c>
      <c r="H27" s="15">
        <f>H28</f>
        <v>0</v>
      </c>
      <c r="I27" s="15">
        <f t="shared" si="0"/>
        <v>585992</v>
      </c>
    </row>
    <row r="28" spans="2:9" ht="12.75">
      <c r="B28" s="20">
        <f t="shared" si="1"/>
        <v>20</v>
      </c>
      <c r="C28" s="3"/>
      <c r="D28" s="3">
        <v>212</v>
      </c>
      <c r="E28" s="124"/>
      <c r="F28" s="3" t="s">
        <v>241</v>
      </c>
      <c r="G28" s="16">
        <f>G29+G30</f>
        <v>585992</v>
      </c>
      <c r="H28" s="16">
        <f>H29+H30</f>
        <v>0</v>
      </c>
      <c r="I28" s="16">
        <f t="shared" si="0"/>
        <v>585992</v>
      </c>
    </row>
    <row r="29" spans="2:9" ht="12.75">
      <c r="B29" s="20">
        <f t="shared" si="1"/>
        <v>21</v>
      </c>
      <c r="C29" s="24"/>
      <c r="D29" s="24"/>
      <c r="E29" s="116">
        <v>212002</v>
      </c>
      <c r="F29" s="24" t="s">
        <v>274</v>
      </c>
      <c r="G29" s="63">
        <f>88800-3031</f>
        <v>85769</v>
      </c>
      <c r="H29" s="63"/>
      <c r="I29" s="63">
        <f t="shared" si="0"/>
        <v>85769</v>
      </c>
    </row>
    <row r="30" spans="2:9" ht="12.75">
      <c r="B30" s="20">
        <f t="shared" si="1"/>
        <v>22</v>
      </c>
      <c r="C30" s="24"/>
      <c r="D30" s="24"/>
      <c r="E30" s="116">
        <v>212003</v>
      </c>
      <c r="F30" s="24" t="s">
        <v>242</v>
      </c>
      <c r="G30" s="63">
        <f>501600-1377</f>
        <v>500223</v>
      </c>
      <c r="H30" s="63"/>
      <c r="I30" s="63">
        <f t="shared" si="0"/>
        <v>500223</v>
      </c>
    </row>
    <row r="31" spans="2:9" ht="12.75">
      <c r="B31" s="20">
        <f t="shared" si="1"/>
        <v>23</v>
      </c>
      <c r="C31" s="6">
        <v>220</v>
      </c>
      <c r="D31" s="6"/>
      <c r="E31" s="120"/>
      <c r="F31" s="6" t="s">
        <v>215</v>
      </c>
      <c r="G31" s="15">
        <f>G40+G36+G34+G32</f>
        <v>1609250</v>
      </c>
      <c r="H31" s="15">
        <f>H40+H36+H34+H32</f>
        <v>0</v>
      </c>
      <c r="I31" s="15">
        <f t="shared" si="0"/>
        <v>1609250</v>
      </c>
    </row>
    <row r="32" spans="2:9" ht="12.75">
      <c r="B32" s="20">
        <f t="shared" si="1"/>
        <v>24</v>
      </c>
      <c r="C32" s="3"/>
      <c r="D32" s="3">
        <v>221</v>
      </c>
      <c r="E32" s="124"/>
      <c r="F32" s="3" t="s">
        <v>216</v>
      </c>
      <c r="G32" s="16">
        <f>G33</f>
        <v>190000</v>
      </c>
      <c r="H32" s="16">
        <f>H33</f>
        <v>0</v>
      </c>
      <c r="I32" s="16">
        <f t="shared" si="0"/>
        <v>190000</v>
      </c>
    </row>
    <row r="33" spans="2:9" ht="12.75">
      <c r="B33" s="20">
        <f t="shared" si="1"/>
        <v>25</v>
      </c>
      <c r="C33" s="24"/>
      <c r="D33" s="24"/>
      <c r="E33" s="116">
        <v>221004</v>
      </c>
      <c r="F33" s="24" t="s">
        <v>217</v>
      </c>
      <c r="G33" s="63">
        <v>190000</v>
      </c>
      <c r="H33" s="63"/>
      <c r="I33" s="63">
        <f t="shared" si="0"/>
        <v>190000</v>
      </c>
    </row>
    <row r="34" spans="2:9" ht="12.75">
      <c r="B34" s="20">
        <f t="shared" si="1"/>
        <v>26</v>
      </c>
      <c r="C34" s="3"/>
      <c r="D34" s="3">
        <v>222</v>
      </c>
      <c r="E34" s="124"/>
      <c r="F34" s="3" t="s">
        <v>67</v>
      </c>
      <c r="G34" s="16">
        <f>G35</f>
        <v>90000</v>
      </c>
      <c r="H34" s="16">
        <f>H35</f>
        <v>0</v>
      </c>
      <c r="I34" s="16">
        <f t="shared" si="0"/>
        <v>90000</v>
      </c>
    </row>
    <row r="35" spans="2:9" ht="12.75">
      <c r="B35" s="20">
        <f t="shared" si="1"/>
        <v>27</v>
      </c>
      <c r="C35" s="24"/>
      <c r="D35" s="24"/>
      <c r="E35" s="116">
        <v>222003</v>
      </c>
      <c r="F35" s="24" t="s">
        <v>66</v>
      </c>
      <c r="G35" s="63">
        <v>90000</v>
      </c>
      <c r="H35" s="63"/>
      <c r="I35" s="63">
        <f t="shared" si="0"/>
        <v>90000</v>
      </c>
    </row>
    <row r="36" spans="2:9" ht="12.75">
      <c r="B36" s="20">
        <f t="shared" si="1"/>
        <v>28</v>
      </c>
      <c r="C36" s="3"/>
      <c r="D36" s="3">
        <v>223</v>
      </c>
      <c r="E36" s="124"/>
      <c r="F36" s="3" t="s">
        <v>243</v>
      </c>
      <c r="G36" s="16">
        <f>SUM(G37:G39)</f>
        <v>1328650</v>
      </c>
      <c r="H36" s="16">
        <f>SUM(H37:H39)</f>
        <v>0</v>
      </c>
      <c r="I36" s="16">
        <f t="shared" si="0"/>
        <v>1328650</v>
      </c>
    </row>
    <row r="37" spans="2:9" ht="12.75">
      <c r="B37" s="20">
        <f t="shared" si="1"/>
        <v>29</v>
      </c>
      <c r="C37" s="24"/>
      <c r="D37" s="24"/>
      <c r="E37" s="116">
        <v>223001</v>
      </c>
      <c r="F37" s="24" t="s">
        <v>244</v>
      </c>
      <c r="G37" s="63">
        <v>1150</v>
      </c>
      <c r="H37" s="63"/>
      <c r="I37" s="63">
        <f t="shared" si="0"/>
        <v>1150</v>
      </c>
    </row>
    <row r="38" spans="2:9" ht="12.75">
      <c r="B38" s="20">
        <f t="shared" si="1"/>
        <v>30</v>
      </c>
      <c r="C38" s="24"/>
      <c r="D38" s="24"/>
      <c r="E38" s="116">
        <v>223001</v>
      </c>
      <c r="F38" s="24" t="s">
        <v>322</v>
      </c>
      <c r="G38" s="63">
        <v>1300000</v>
      </c>
      <c r="H38" s="63"/>
      <c r="I38" s="63">
        <f t="shared" si="0"/>
        <v>1300000</v>
      </c>
    </row>
    <row r="39" spans="2:9" ht="12.75">
      <c r="B39" s="20">
        <f t="shared" si="1"/>
        <v>31</v>
      </c>
      <c r="C39" s="24"/>
      <c r="D39" s="24"/>
      <c r="E39" s="116">
        <v>223001</v>
      </c>
      <c r="F39" s="24" t="s">
        <v>323</v>
      </c>
      <c r="G39" s="63">
        <v>27500</v>
      </c>
      <c r="H39" s="63"/>
      <c r="I39" s="63">
        <f t="shared" si="0"/>
        <v>27500</v>
      </c>
    </row>
    <row r="40" spans="2:9" ht="12.75">
      <c r="B40" s="20">
        <f t="shared" si="1"/>
        <v>32</v>
      </c>
      <c r="C40" s="3"/>
      <c r="D40" s="3">
        <v>229</v>
      </c>
      <c r="E40" s="124"/>
      <c r="F40" s="3" t="s">
        <v>256</v>
      </c>
      <c r="G40" s="16">
        <f>G41</f>
        <v>600</v>
      </c>
      <c r="H40" s="16">
        <f>H41</f>
        <v>0</v>
      </c>
      <c r="I40" s="16">
        <f t="shared" si="0"/>
        <v>600</v>
      </c>
    </row>
    <row r="41" spans="2:9" ht="12.75">
      <c r="B41" s="20">
        <f t="shared" si="1"/>
        <v>33</v>
      </c>
      <c r="C41" s="24"/>
      <c r="D41" s="24"/>
      <c r="E41" s="116">
        <v>229005</v>
      </c>
      <c r="F41" s="24" t="s">
        <v>257</v>
      </c>
      <c r="G41" s="63">
        <v>600</v>
      </c>
      <c r="H41" s="63"/>
      <c r="I41" s="63">
        <f t="shared" si="0"/>
        <v>600</v>
      </c>
    </row>
    <row r="42" spans="2:9" ht="12.75">
      <c r="B42" s="20">
        <f t="shared" si="1"/>
        <v>34</v>
      </c>
      <c r="C42" s="6">
        <v>240</v>
      </c>
      <c r="D42" s="6"/>
      <c r="E42" s="120"/>
      <c r="F42" s="6" t="s">
        <v>167</v>
      </c>
      <c r="G42" s="15">
        <f>G43</f>
        <v>2000</v>
      </c>
      <c r="H42" s="15">
        <f>H43</f>
        <v>0</v>
      </c>
      <c r="I42" s="15">
        <f t="shared" si="0"/>
        <v>2000</v>
      </c>
    </row>
    <row r="43" spans="2:9" ht="12.75">
      <c r="B43" s="20">
        <f t="shared" si="1"/>
        <v>35</v>
      </c>
      <c r="C43" s="3"/>
      <c r="D43" s="3">
        <v>242</v>
      </c>
      <c r="E43" s="124"/>
      <c r="F43" s="3" t="s">
        <v>166</v>
      </c>
      <c r="G43" s="16">
        <f>G44</f>
        <v>2000</v>
      </c>
      <c r="H43" s="16">
        <f>H44</f>
        <v>0</v>
      </c>
      <c r="I43" s="16">
        <f t="shared" si="0"/>
        <v>2000</v>
      </c>
    </row>
    <row r="44" spans="2:9" ht="12.75">
      <c r="B44" s="20">
        <f t="shared" si="1"/>
        <v>36</v>
      </c>
      <c r="C44" s="24"/>
      <c r="D44" s="24"/>
      <c r="E44" s="116">
        <v>242</v>
      </c>
      <c r="F44" s="24" t="s">
        <v>166</v>
      </c>
      <c r="G44" s="63">
        <v>2000</v>
      </c>
      <c r="H44" s="63"/>
      <c r="I44" s="63">
        <f t="shared" si="0"/>
        <v>2000</v>
      </c>
    </row>
    <row r="45" spans="2:9" ht="12.75">
      <c r="B45" s="20">
        <f t="shared" si="1"/>
        <v>37</v>
      </c>
      <c r="C45" s="6">
        <v>290</v>
      </c>
      <c r="D45" s="6"/>
      <c r="E45" s="120"/>
      <c r="F45" s="6" t="s">
        <v>169</v>
      </c>
      <c r="G45" s="15">
        <f>G46</f>
        <v>549094</v>
      </c>
      <c r="H45" s="15">
        <f>H46</f>
        <v>0</v>
      </c>
      <c r="I45" s="15">
        <f t="shared" si="0"/>
        <v>549094</v>
      </c>
    </row>
    <row r="46" spans="2:9" ht="12.75">
      <c r="B46" s="20">
        <f t="shared" si="1"/>
        <v>38</v>
      </c>
      <c r="C46" s="3"/>
      <c r="D46" s="3">
        <v>292</v>
      </c>
      <c r="E46" s="124"/>
      <c r="F46" s="3" t="s">
        <v>170</v>
      </c>
      <c r="G46" s="16">
        <f>SUM(G47:G48)</f>
        <v>549094</v>
      </c>
      <c r="H46" s="16">
        <f>SUM(H47:H48)</f>
        <v>0</v>
      </c>
      <c r="I46" s="16">
        <f t="shared" si="0"/>
        <v>549094</v>
      </c>
    </row>
    <row r="47" spans="2:9" ht="12.75">
      <c r="B47" s="20">
        <f t="shared" si="1"/>
        <v>39</v>
      </c>
      <c r="C47" s="24"/>
      <c r="D47" s="24"/>
      <c r="E47" s="116">
        <v>292008</v>
      </c>
      <c r="F47" s="24" t="s">
        <v>171</v>
      </c>
      <c r="G47" s="63">
        <v>250000</v>
      </c>
      <c r="H47" s="63"/>
      <c r="I47" s="63">
        <f t="shared" si="0"/>
        <v>250000</v>
      </c>
    </row>
    <row r="48" spans="2:9" ht="13.5" thickBot="1">
      <c r="B48" s="20">
        <f t="shared" si="1"/>
        <v>40</v>
      </c>
      <c r="C48" s="24"/>
      <c r="D48" s="24"/>
      <c r="E48" s="116">
        <v>292027</v>
      </c>
      <c r="F48" s="24" t="s">
        <v>221</v>
      </c>
      <c r="G48" s="63">
        <f>200000+99094</f>
        <v>299094</v>
      </c>
      <c r="H48" s="63"/>
      <c r="I48" s="63">
        <f t="shared" si="0"/>
        <v>299094</v>
      </c>
    </row>
    <row r="49" spans="2:9" ht="15.75" thickBot="1">
      <c r="B49" s="20">
        <f t="shared" si="1"/>
        <v>41</v>
      </c>
      <c r="C49" s="64">
        <v>1</v>
      </c>
      <c r="D49" s="64"/>
      <c r="E49" s="123"/>
      <c r="F49" s="64" t="s">
        <v>60</v>
      </c>
      <c r="G49" s="65">
        <f aca="true" t="shared" si="2" ref="G49:H51">G50</f>
        <v>9790</v>
      </c>
      <c r="H49" s="65">
        <f t="shared" si="2"/>
        <v>0</v>
      </c>
      <c r="I49" s="65">
        <f t="shared" si="0"/>
        <v>9790</v>
      </c>
    </row>
    <row r="50" spans="2:9" ht="12.75">
      <c r="B50" s="20">
        <f t="shared" si="1"/>
        <v>42</v>
      </c>
      <c r="C50" s="6">
        <v>220</v>
      </c>
      <c r="D50" s="6"/>
      <c r="E50" s="120"/>
      <c r="F50" s="6" t="s">
        <v>215</v>
      </c>
      <c r="G50" s="15">
        <f t="shared" si="2"/>
        <v>9790</v>
      </c>
      <c r="H50" s="15">
        <f t="shared" si="2"/>
        <v>0</v>
      </c>
      <c r="I50" s="15">
        <f t="shared" si="0"/>
        <v>9790</v>
      </c>
    </row>
    <row r="51" spans="2:9" ht="12.75">
      <c r="B51" s="20">
        <f t="shared" si="1"/>
        <v>43</v>
      </c>
      <c r="C51" s="3"/>
      <c r="D51" s="3">
        <v>223</v>
      </c>
      <c r="E51" s="124"/>
      <c r="F51" s="3" t="s">
        <v>243</v>
      </c>
      <c r="G51" s="16">
        <f t="shared" si="2"/>
        <v>9790</v>
      </c>
      <c r="H51" s="16">
        <f t="shared" si="2"/>
        <v>0</v>
      </c>
      <c r="I51" s="16">
        <f t="shared" si="0"/>
        <v>9790</v>
      </c>
    </row>
    <row r="52" spans="2:9" ht="13.5" thickBot="1">
      <c r="B52" s="20">
        <f t="shared" si="1"/>
        <v>44</v>
      </c>
      <c r="C52" s="24"/>
      <c r="D52" s="24"/>
      <c r="E52" s="116">
        <v>223002</v>
      </c>
      <c r="F52" s="24" t="s">
        <v>81</v>
      </c>
      <c r="G52" s="63">
        <f>13000-3210</f>
        <v>9790</v>
      </c>
      <c r="H52" s="63"/>
      <c r="I52" s="63">
        <f t="shared" si="0"/>
        <v>9790</v>
      </c>
    </row>
    <row r="53" spans="2:9" ht="15.75" thickBot="1">
      <c r="B53" s="20">
        <f t="shared" si="1"/>
        <v>45</v>
      </c>
      <c r="C53" s="64">
        <v>2</v>
      </c>
      <c r="D53" s="64"/>
      <c r="E53" s="123"/>
      <c r="F53" s="64" t="s">
        <v>16</v>
      </c>
      <c r="G53" s="65">
        <f>G54+G57+G62+G65+G70+G77+G85+G92+G99+G103+G110+G114+G122</f>
        <v>564850</v>
      </c>
      <c r="H53" s="65">
        <f>H54+H57+H62+H65+H70+H77+H85+H92+H99+H103+H110+H114+H122</f>
        <v>18600</v>
      </c>
      <c r="I53" s="65">
        <f t="shared" si="0"/>
        <v>583450</v>
      </c>
    </row>
    <row r="54" spans="2:9" ht="12.75">
      <c r="B54" s="20">
        <f t="shared" si="1"/>
        <v>46</v>
      </c>
      <c r="C54" s="3">
        <v>210</v>
      </c>
      <c r="D54" s="3"/>
      <c r="E54" s="124"/>
      <c r="F54" s="3" t="s">
        <v>240</v>
      </c>
      <c r="G54" s="16">
        <f>G55</f>
        <v>300</v>
      </c>
      <c r="H54" s="16">
        <f>H55</f>
        <v>0</v>
      </c>
      <c r="I54" s="16">
        <f t="shared" si="0"/>
        <v>300</v>
      </c>
    </row>
    <row r="55" spans="2:9" ht="12.75">
      <c r="B55" s="20">
        <f t="shared" si="1"/>
        <v>47</v>
      </c>
      <c r="C55" s="24"/>
      <c r="D55" s="24">
        <v>212</v>
      </c>
      <c r="E55" s="116"/>
      <c r="F55" s="24" t="s">
        <v>241</v>
      </c>
      <c r="G55" s="63">
        <f>G56</f>
        <v>300</v>
      </c>
      <c r="H55" s="63">
        <f>H56</f>
        <v>0</v>
      </c>
      <c r="I55" s="63">
        <f t="shared" si="0"/>
        <v>300</v>
      </c>
    </row>
    <row r="56" spans="2:9" ht="12.75">
      <c r="B56" s="20">
        <f t="shared" si="1"/>
        <v>48</v>
      </c>
      <c r="C56" s="5"/>
      <c r="D56" s="5"/>
      <c r="E56" s="5">
        <v>212003</v>
      </c>
      <c r="F56" s="5" t="s">
        <v>242</v>
      </c>
      <c r="G56" s="18">
        <v>300</v>
      </c>
      <c r="H56" s="18"/>
      <c r="I56" s="18">
        <f t="shared" si="0"/>
        <v>300</v>
      </c>
    </row>
    <row r="57" spans="2:9" ht="12.75">
      <c r="B57" s="20">
        <f t="shared" si="1"/>
        <v>49</v>
      </c>
      <c r="C57" s="3">
        <v>220</v>
      </c>
      <c r="D57" s="3"/>
      <c r="E57" s="124"/>
      <c r="F57" s="3" t="s">
        <v>215</v>
      </c>
      <c r="G57" s="16">
        <f>G58+G60</f>
        <v>1050</v>
      </c>
      <c r="H57" s="16">
        <f>H58+H60</f>
        <v>0</v>
      </c>
      <c r="I57" s="16">
        <f t="shared" si="0"/>
        <v>1050</v>
      </c>
    </row>
    <row r="58" spans="2:9" ht="12.75">
      <c r="B58" s="20">
        <f t="shared" si="1"/>
        <v>50</v>
      </c>
      <c r="C58" s="24"/>
      <c r="D58" s="24">
        <v>222</v>
      </c>
      <c r="E58" s="116"/>
      <c r="F58" s="24" t="s">
        <v>67</v>
      </c>
      <c r="G58" s="63">
        <f>G59</f>
        <v>50</v>
      </c>
      <c r="H58" s="63">
        <f>H59</f>
        <v>0</v>
      </c>
      <c r="I58" s="63">
        <f t="shared" si="0"/>
        <v>50</v>
      </c>
    </row>
    <row r="59" spans="2:9" ht="12.75">
      <c r="B59" s="20">
        <f t="shared" si="1"/>
        <v>51</v>
      </c>
      <c r="C59" s="5"/>
      <c r="D59" s="5"/>
      <c r="E59" s="5">
        <v>222003</v>
      </c>
      <c r="F59" s="5" t="s">
        <v>66</v>
      </c>
      <c r="G59" s="18">
        <v>50</v>
      </c>
      <c r="H59" s="18"/>
      <c r="I59" s="18">
        <f t="shared" si="0"/>
        <v>50</v>
      </c>
    </row>
    <row r="60" spans="2:9" ht="12.75">
      <c r="B60" s="20">
        <f aca="true" t="shared" si="3" ref="B60:B120">B59+1</f>
        <v>52</v>
      </c>
      <c r="C60" s="5"/>
      <c r="D60" s="24">
        <v>223</v>
      </c>
      <c r="E60" s="116"/>
      <c r="F60" s="24" t="s">
        <v>243</v>
      </c>
      <c r="G60" s="63">
        <f>G61</f>
        <v>1000</v>
      </c>
      <c r="H60" s="63">
        <f>H61</f>
        <v>0</v>
      </c>
      <c r="I60" s="63">
        <f t="shared" si="0"/>
        <v>1000</v>
      </c>
    </row>
    <row r="61" spans="2:9" ht="12.75">
      <c r="B61" s="20">
        <f t="shared" si="3"/>
        <v>53</v>
      </c>
      <c r="C61" s="5"/>
      <c r="D61" s="5"/>
      <c r="E61" s="5">
        <v>223001</v>
      </c>
      <c r="F61" s="5" t="s">
        <v>244</v>
      </c>
      <c r="G61" s="18">
        <v>1000</v>
      </c>
      <c r="H61" s="18"/>
      <c r="I61" s="18">
        <f t="shared" si="0"/>
        <v>1000</v>
      </c>
    </row>
    <row r="62" spans="2:9" ht="12.75">
      <c r="B62" s="20">
        <f t="shared" si="3"/>
        <v>54</v>
      </c>
      <c r="C62" s="3">
        <v>240</v>
      </c>
      <c r="D62" s="3"/>
      <c r="E62" s="124"/>
      <c r="F62" s="3" t="s">
        <v>167</v>
      </c>
      <c r="G62" s="16">
        <f>G63</f>
        <v>50</v>
      </c>
      <c r="H62" s="16">
        <f>H63</f>
        <v>0</v>
      </c>
      <c r="I62" s="16">
        <f t="shared" si="0"/>
        <v>50</v>
      </c>
    </row>
    <row r="63" spans="2:9" ht="12.75">
      <c r="B63" s="20">
        <f t="shared" si="3"/>
        <v>55</v>
      </c>
      <c r="C63" s="24"/>
      <c r="D63" s="24">
        <v>242</v>
      </c>
      <c r="E63" s="116"/>
      <c r="F63" s="24" t="s">
        <v>166</v>
      </c>
      <c r="G63" s="63">
        <f>G64</f>
        <v>50</v>
      </c>
      <c r="H63" s="63">
        <f>H64</f>
        <v>0</v>
      </c>
      <c r="I63" s="63">
        <f t="shared" si="0"/>
        <v>50</v>
      </c>
    </row>
    <row r="64" spans="2:9" ht="12.75">
      <c r="B64" s="20">
        <f t="shared" si="3"/>
        <v>56</v>
      </c>
      <c r="C64" s="5"/>
      <c r="D64" s="5"/>
      <c r="E64" s="5">
        <v>242</v>
      </c>
      <c r="F64" s="5" t="s">
        <v>166</v>
      </c>
      <c r="G64" s="18">
        <v>50</v>
      </c>
      <c r="H64" s="18"/>
      <c r="I64" s="18">
        <f t="shared" si="0"/>
        <v>50</v>
      </c>
    </row>
    <row r="65" spans="2:9" ht="12.75">
      <c r="B65" s="20">
        <f t="shared" si="3"/>
        <v>57</v>
      </c>
      <c r="C65" s="3">
        <v>290</v>
      </c>
      <c r="D65" s="3"/>
      <c r="E65" s="124"/>
      <c r="F65" s="3" t="s">
        <v>169</v>
      </c>
      <c r="G65" s="16">
        <f>G66</f>
        <v>10800</v>
      </c>
      <c r="H65" s="16">
        <f>H66</f>
        <v>0</v>
      </c>
      <c r="I65" s="16">
        <f t="shared" si="0"/>
        <v>10800</v>
      </c>
    </row>
    <row r="66" spans="2:9" ht="12.75">
      <c r="B66" s="20">
        <f t="shared" si="3"/>
        <v>58</v>
      </c>
      <c r="C66" s="24"/>
      <c r="D66" s="24">
        <v>292</v>
      </c>
      <c r="E66" s="116"/>
      <c r="F66" s="24" t="s">
        <v>170</v>
      </c>
      <c r="G66" s="63">
        <f>SUM(G67:G69)</f>
        <v>10800</v>
      </c>
      <c r="H66" s="63">
        <f>SUM(H67:H69)</f>
        <v>0</v>
      </c>
      <c r="I66" s="63">
        <f t="shared" si="0"/>
        <v>10800</v>
      </c>
    </row>
    <row r="67" spans="2:9" ht="12.75">
      <c r="B67" s="20">
        <f t="shared" si="3"/>
        <v>59</v>
      </c>
      <c r="C67" s="5"/>
      <c r="D67" s="5"/>
      <c r="E67" s="5">
        <v>292012</v>
      </c>
      <c r="F67" s="5" t="s">
        <v>227</v>
      </c>
      <c r="G67" s="18">
        <f>1000+7500</f>
        <v>8500</v>
      </c>
      <c r="H67" s="18"/>
      <c r="I67" s="18">
        <f t="shared" si="0"/>
        <v>8500</v>
      </c>
    </row>
    <row r="68" spans="2:9" ht="12.75">
      <c r="B68" s="20">
        <f t="shared" si="3"/>
        <v>60</v>
      </c>
      <c r="C68" s="5"/>
      <c r="D68" s="5"/>
      <c r="E68" s="5">
        <v>292017</v>
      </c>
      <c r="F68" s="5" t="s">
        <v>228</v>
      </c>
      <c r="G68" s="18">
        <f>50+1950</f>
        <v>2000</v>
      </c>
      <c r="H68" s="18"/>
      <c r="I68" s="18">
        <f t="shared" si="0"/>
        <v>2000</v>
      </c>
    </row>
    <row r="69" spans="2:9" ht="12.75">
      <c r="B69" s="20">
        <f t="shared" si="3"/>
        <v>61</v>
      </c>
      <c r="C69" s="5"/>
      <c r="D69" s="5"/>
      <c r="E69" s="5">
        <v>292027</v>
      </c>
      <c r="F69" s="5" t="s">
        <v>221</v>
      </c>
      <c r="G69" s="18">
        <v>300</v>
      </c>
      <c r="H69" s="18"/>
      <c r="I69" s="18">
        <f t="shared" si="0"/>
        <v>300</v>
      </c>
    </row>
    <row r="70" spans="2:9" ht="12.75">
      <c r="B70" s="20">
        <f t="shared" si="3"/>
        <v>62</v>
      </c>
      <c r="C70" s="6"/>
      <c r="D70" s="6"/>
      <c r="E70" s="120"/>
      <c r="F70" s="6" t="s">
        <v>58</v>
      </c>
      <c r="G70" s="15">
        <f>G71+G74</f>
        <v>89000</v>
      </c>
      <c r="H70" s="15">
        <f>H71+H74</f>
        <v>-1000</v>
      </c>
      <c r="I70" s="15">
        <f t="shared" si="0"/>
        <v>88000</v>
      </c>
    </row>
    <row r="71" spans="2:9" ht="12.75">
      <c r="B71" s="20">
        <f t="shared" si="3"/>
        <v>63</v>
      </c>
      <c r="C71" s="3">
        <v>210</v>
      </c>
      <c r="D71" s="3"/>
      <c r="E71" s="124"/>
      <c r="F71" s="3" t="s">
        <v>240</v>
      </c>
      <c r="G71" s="16">
        <f>G72</f>
        <v>6000</v>
      </c>
      <c r="H71" s="16">
        <f>H72</f>
        <v>0</v>
      </c>
      <c r="I71" s="16">
        <f t="shared" si="0"/>
        <v>6000</v>
      </c>
    </row>
    <row r="72" spans="2:9" ht="12.75">
      <c r="B72" s="20">
        <f t="shared" si="3"/>
        <v>64</v>
      </c>
      <c r="C72" s="24"/>
      <c r="D72" s="24">
        <v>212</v>
      </c>
      <c r="E72" s="116"/>
      <c r="F72" s="24" t="s">
        <v>241</v>
      </c>
      <c r="G72" s="63">
        <f>G73</f>
        <v>6000</v>
      </c>
      <c r="H72" s="63">
        <f>H73</f>
        <v>0</v>
      </c>
      <c r="I72" s="63">
        <f t="shared" si="0"/>
        <v>6000</v>
      </c>
    </row>
    <row r="73" spans="2:9" ht="12.75">
      <c r="B73" s="20">
        <f t="shared" si="3"/>
        <v>65</v>
      </c>
      <c r="C73" s="5"/>
      <c r="D73" s="5"/>
      <c r="E73" s="5">
        <v>212003</v>
      </c>
      <c r="F73" s="5" t="s">
        <v>242</v>
      </c>
      <c r="G73" s="18">
        <f>12000-6000</f>
        <v>6000</v>
      </c>
      <c r="H73" s="18"/>
      <c r="I73" s="18">
        <f t="shared" si="0"/>
        <v>6000</v>
      </c>
    </row>
    <row r="74" spans="2:9" ht="12.75">
      <c r="B74" s="20">
        <f t="shared" si="3"/>
        <v>66</v>
      </c>
      <c r="C74" s="3">
        <v>220</v>
      </c>
      <c r="D74" s="3"/>
      <c r="E74" s="124"/>
      <c r="F74" s="3" t="s">
        <v>215</v>
      </c>
      <c r="G74" s="16">
        <f>G75</f>
        <v>83000</v>
      </c>
      <c r="H74" s="16">
        <f>H75</f>
        <v>-1000</v>
      </c>
      <c r="I74" s="16">
        <f aca="true" t="shared" si="4" ref="I74:I140">H74+G74</f>
        <v>82000</v>
      </c>
    </row>
    <row r="75" spans="2:9" ht="12.75">
      <c r="B75" s="20">
        <f t="shared" si="3"/>
        <v>67</v>
      </c>
      <c r="C75" s="24"/>
      <c r="D75" s="24">
        <v>223</v>
      </c>
      <c r="E75" s="116"/>
      <c r="F75" s="24" t="s">
        <v>243</v>
      </c>
      <c r="G75" s="63">
        <f>G76</f>
        <v>83000</v>
      </c>
      <c r="H75" s="63">
        <f>H76</f>
        <v>-1000</v>
      </c>
      <c r="I75" s="63">
        <f t="shared" si="4"/>
        <v>82000</v>
      </c>
    </row>
    <row r="76" spans="2:9" ht="12.75">
      <c r="B76" s="20">
        <f t="shared" si="3"/>
        <v>68</v>
      </c>
      <c r="C76" s="5"/>
      <c r="D76" s="5"/>
      <c r="E76" s="5">
        <v>223001</v>
      </c>
      <c r="F76" s="5" t="s">
        <v>244</v>
      </c>
      <c r="G76" s="18">
        <f>165000-82000</f>
        <v>83000</v>
      </c>
      <c r="H76" s="18">
        <v>-1000</v>
      </c>
      <c r="I76" s="18">
        <f t="shared" si="4"/>
        <v>82000</v>
      </c>
    </row>
    <row r="77" spans="2:9" ht="12.75">
      <c r="B77" s="20">
        <f t="shared" si="3"/>
        <v>69</v>
      </c>
      <c r="C77" s="6"/>
      <c r="D77" s="6"/>
      <c r="E77" s="120"/>
      <c r="F77" s="6" t="s">
        <v>423</v>
      </c>
      <c r="G77" s="15">
        <f>G78+G82</f>
        <v>230500</v>
      </c>
      <c r="H77" s="15">
        <f>H78+H82</f>
        <v>0</v>
      </c>
      <c r="I77" s="15">
        <f t="shared" si="4"/>
        <v>230500</v>
      </c>
    </row>
    <row r="78" spans="2:9" ht="12.75">
      <c r="B78" s="20">
        <f t="shared" si="3"/>
        <v>70</v>
      </c>
      <c r="C78" s="3">
        <v>210</v>
      </c>
      <c r="D78" s="3"/>
      <c r="E78" s="124"/>
      <c r="F78" s="3" t="s">
        <v>240</v>
      </c>
      <c r="G78" s="16">
        <f>G79</f>
        <v>11500</v>
      </c>
      <c r="H78" s="16">
        <f>H79</f>
        <v>0</v>
      </c>
      <c r="I78" s="16">
        <f t="shared" si="4"/>
        <v>11500</v>
      </c>
    </row>
    <row r="79" spans="2:9" ht="12.75">
      <c r="B79" s="20">
        <f t="shared" si="3"/>
        <v>71</v>
      </c>
      <c r="C79" s="24"/>
      <c r="D79" s="24">
        <v>212</v>
      </c>
      <c r="E79" s="116"/>
      <c r="F79" s="24" t="s">
        <v>241</v>
      </c>
      <c r="G79" s="63">
        <f>G81+G80</f>
        <v>11500</v>
      </c>
      <c r="H79" s="63">
        <f>H81+H80</f>
        <v>0</v>
      </c>
      <c r="I79" s="63">
        <f t="shared" si="4"/>
        <v>11500</v>
      </c>
    </row>
    <row r="80" spans="2:9" ht="12.75">
      <c r="B80" s="20">
        <f t="shared" si="3"/>
        <v>72</v>
      </c>
      <c r="C80" s="5"/>
      <c r="D80" s="5"/>
      <c r="E80" s="5">
        <v>212002</v>
      </c>
      <c r="F80" s="5" t="s">
        <v>274</v>
      </c>
      <c r="G80" s="18">
        <v>9000</v>
      </c>
      <c r="H80" s="18"/>
      <c r="I80" s="18">
        <f t="shared" si="4"/>
        <v>9000</v>
      </c>
    </row>
    <row r="81" spans="2:9" ht="12.75">
      <c r="B81" s="20">
        <f t="shared" si="3"/>
        <v>73</v>
      </c>
      <c r="C81" s="5"/>
      <c r="D81" s="5"/>
      <c r="E81" s="5">
        <v>212003</v>
      </c>
      <c r="F81" s="5" t="s">
        <v>242</v>
      </c>
      <c r="G81" s="18">
        <v>2500</v>
      </c>
      <c r="H81" s="18"/>
      <c r="I81" s="18">
        <f t="shared" si="4"/>
        <v>2500</v>
      </c>
    </row>
    <row r="82" spans="2:9" ht="12.75">
      <c r="B82" s="20">
        <f t="shared" si="3"/>
        <v>74</v>
      </c>
      <c r="C82" s="3">
        <v>220</v>
      </c>
      <c r="D82" s="3"/>
      <c r="E82" s="124"/>
      <c r="F82" s="3" t="s">
        <v>215</v>
      </c>
      <c r="G82" s="16">
        <f>G83</f>
        <v>219000</v>
      </c>
      <c r="H82" s="16">
        <f>H83</f>
        <v>0</v>
      </c>
      <c r="I82" s="16">
        <f t="shared" si="4"/>
        <v>219000</v>
      </c>
    </row>
    <row r="83" spans="2:9" ht="12.75">
      <c r="B83" s="20">
        <f t="shared" si="3"/>
        <v>75</v>
      </c>
      <c r="C83" s="24"/>
      <c r="D83" s="24">
        <v>223</v>
      </c>
      <c r="E83" s="116"/>
      <c r="F83" s="24" t="s">
        <v>243</v>
      </c>
      <c r="G83" s="63">
        <f>G84</f>
        <v>219000</v>
      </c>
      <c r="H83" s="63">
        <f>H84</f>
        <v>0</v>
      </c>
      <c r="I83" s="63">
        <f t="shared" si="4"/>
        <v>219000</v>
      </c>
    </row>
    <row r="84" spans="2:9" ht="12.75">
      <c r="B84" s="20">
        <f t="shared" si="3"/>
        <v>76</v>
      </c>
      <c r="C84" s="5"/>
      <c r="D84" s="5"/>
      <c r="E84" s="5">
        <v>223001</v>
      </c>
      <c r="F84" s="5" t="s">
        <v>244</v>
      </c>
      <c r="G84" s="18">
        <v>219000</v>
      </c>
      <c r="H84" s="18"/>
      <c r="I84" s="18">
        <f t="shared" si="4"/>
        <v>219000</v>
      </c>
    </row>
    <row r="85" spans="2:9" ht="12.75">
      <c r="B85" s="20">
        <f t="shared" si="3"/>
        <v>77</v>
      </c>
      <c r="C85" s="6"/>
      <c r="D85" s="6"/>
      <c r="E85" s="120"/>
      <c r="F85" s="6" t="s">
        <v>204</v>
      </c>
      <c r="G85" s="15">
        <f>G86+G89</f>
        <v>36500</v>
      </c>
      <c r="H85" s="15">
        <f>H86+H89</f>
        <v>18600</v>
      </c>
      <c r="I85" s="15">
        <f t="shared" si="4"/>
        <v>55100</v>
      </c>
    </row>
    <row r="86" spans="2:9" ht="12.75">
      <c r="B86" s="20">
        <f t="shared" si="3"/>
        <v>78</v>
      </c>
      <c r="C86" s="3">
        <v>210</v>
      </c>
      <c r="D86" s="3"/>
      <c r="E86" s="124"/>
      <c r="F86" s="3" t="s">
        <v>240</v>
      </c>
      <c r="G86" s="16">
        <f>G87</f>
        <v>25000</v>
      </c>
      <c r="H86" s="16">
        <f>H87</f>
        <v>0</v>
      </c>
      <c r="I86" s="16">
        <f t="shared" si="4"/>
        <v>25000</v>
      </c>
    </row>
    <row r="87" spans="2:9" ht="12.75">
      <c r="B87" s="20">
        <f t="shared" si="3"/>
        <v>79</v>
      </c>
      <c r="C87" s="24"/>
      <c r="D87" s="24">
        <v>212</v>
      </c>
      <c r="E87" s="116"/>
      <c r="F87" s="24" t="s">
        <v>241</v>
      </c>
      <c r="G87" s="63">
        <f>G88</f>
        <v>25000</v>
      </c>
      <c r="H87" s="63">
        <f>H88</f>
        <v>0</v>
      </c>
      <c r="I87" s="63">
        <f t="shared" si="4"/>
        <v>25000</v>
      </c>
    </row>
    <row r="88" spans="2:9" ht="12.75">
      <c r="B88" s="20">
        <f t="shared" si="3"/>
        <v>80</v>
      </c>
      <c r="C88" s="5"/>
      <c r="D88" s="5"/>
      <c r="E88" s="5">
        <v>212003</v>
      </c>
      <c r="F88" s="5" t="s">
        <v>242</v>
      </c>
      <c r="G88" s="18">
        <f>50000-25000</f>
        <v>25000</v>
      </c>
      <c r="H88" s="18"/>
      <c r="I88" s="18">
        <f t="shared" si="4"/>
        <v>25000</v>
      </c>
    </row>
    <row r="89" spans="2:9" ht="12.75">
      <c r="B89" s="20">
        <f t="shared" si="3"/>
        <v>81</v>
      </c>
      <c r="C89" s="3">
        <v>220</v>
      </c>
      <c r="D89" s="3"/>
      <c r="E89" s="124"/>
      <c r="F89" s="3" t="s">
        <v>215</v>
      </c>
      <c r="G89" s="16">
        <f>G90</f>
        <v>11500</v>
      </c>
      <c r="H89" s="16">
        <f>H90</f>
        <v>18600</v>
      </c>
      <c r="I89" s="16">
        <f t="shared" si="4"/>
        <v>30100</v>
      </c>
    </row>
    <row r="90" spans="2:9" ht="12.75">
      <c r="B90" s="20">
        <f t="shared" si="3"/>
        <v>82</v>
      </c>
      <c r="C90" s="24"/>
      <c r="D90" s="24">
        <v>223</v>
      </c>
      <c r="E90" s="116"/>
      <c r="F90" s="24" t="s">
        <v>243</v>
      </c>
      <c r="G90" s="63">
        <f>G91</f>
        <v>11500</v>
      </c>
      <c r="H90" s="63">
        <f>H91</f>
        <v>18600</v>
      </c>
      <c r="I90" s="63">
        <f t="shared" si="4"/>
        <v>30100</v>
      </c>
    </row>
    <row r="91" spans="2:9" ht="12.75">
      <c r="B91" s="20">
        <f t="shared" si="3"/>
        <v>83</v>
      </c>
      <c r="C91" s="5"/>
      <c r="D91" s="5"/>
      <c r="E91" s="5">
        <v>223001</v>
      </c>
      <c r="F91" s="5" t="s">
        <v>244</v>
      </c>
      <c r="G91" s="18">
        <f>19000-7500</f>
        <v>11500</v>
      </c>
      <c r="H91" s="18">
        <v>18600</v>
      </c>
      <c r="I91" s="18">
        <f t="shared" si="4"/>
        <v>30100</v>
      </c>
    </row>
    <row r="92" spans="2:9" ht="12.75">
      <c r="B92" s="20">
        <f t="shared" si="3"/>
        <v>84</v>
      </c>
      <c r="C92" s="6"/>
      <c r="D92" s="6"/>
      <c r="E92" s="120"/>
      <c r="F92" s="6" t="s">
        <v>223</v>
      </c>
      <c r="G92" s="15">
        <f>G96</f>
        <v>18000</v>
      </c>
      <c r="H92" s="15">
        <f>H96+H93</f>
        <v>1000</v>
      </c>
      <c r="I92" s="15">
        <f t="shared" si="4"/>
        <v>19000</v>
      </c>
    </row>
    <row r="93" spans="2:9" ht="12.75">
      <c r="B93" s="20">
        <f t="shared" si="3"/>
        <v>85</v>
      </c>
      <c r="C93" s="3">
        <v>210</v>
      </c>
      <c r="D93" s="3"/>
      <c r="E93" s="124"/>
      <c r="F93" s="3" t="s">
        <v>240</v>
      </c>
      <c r="G93" s="16">
        <f>G94</f>
        <v>0</v>
      </c>
      <c r="H93" s="16">
        <f>H94</f>
        <v>1000</v>
      </c>
      <c r="I93" s="16">
        <f>H93+G93</f>
        <v>1000</v>
      </c>
    </row>
    <row r="94" spans="2:9" ht="12.75">
      <c r="B94" s="20">
        <f t="shared" si="3"/>
        <v>86</v>
      </c>
      <c r="C94" s="24"/>
      <c r="D94" s="24">
        <v>212</v>
      </c>
      <c r="E94" s="116"/>
      <c r="F94" s="24" t="s">
        <v>241</v>
      </c>
      <c r="G94" s="63">
        <f>G95</f>
        <v>0</v>
      </c>
      <c r="H94" s="63">
        <f>H95</f>
        <v>1000</v>
      </c>
      <c r="I94" s="63">
        <f>H94+G94</f>
        <v>1000</v>
      </c>
    </row>
    <row r="95" spans="2:9" ht="12.75">
      <c r="B95" s="20">
        <f t="shared" si="3"/>
        <v>87</v>
      </c>
      <c r="C95" s="5"/>
      <c r="D95" s="5"/>
      <c r="E95" s="5">
        <v>212004</v>
      </c>
      <c r="F95" s="5" t="s">
        <v>654</v>
      </c>
      <c r="G95" s="18">
        <v>0</v>
      </c>
      <c r="H95" s="18">
        <v>1000</v>
      </c>
      <c r="I95" s="18">
        <f>H95+G95</f>
        <v>1000</v>
      </c>
    </row>
    <row r="96" spans="2:9" ht="12.75">
      <c r="B96" s="20">
        <f t="shared" si="3"/>
        <v>88</v>
      </c>
      <c r="C96" s="3">
        <v>220</v>
      </c>
      <c r="D96" s="3"/>
      <c r="E96" s="124"/>
      <c r="F96" s="3" t="s">
        <v>215</v>
      </c>
      <c r="G96" s="16">
        <f>G97</f>
        <v>18000</v>
      </c>
      <c r="H96" s="16">
        <f>H97</f>
        <v>0</v>
      </c>
      <c r="I96" s="16">
        <f t="shared" si="4"/>
        <v>18000</v>
      </c>
    </row>
    <row r="97" spans="2:9" ht="12.75">
      <c r="B97" s="20">
        <f t="shared" si="3"/>
        <v>89</v>
      </c>
      <c r="C97" s="24"/>
      <c r="D97" s="24">
        <v>223</v>
      </c>
      <c r="E97" s="116"/>
      <c r="F97" s="24" t="s">
        <v>243</v>
      </c>
      <c r="G97" s="63">
        <f>G98</f>
        <v>18000</v>
      </c>
      <c r="H97" s="63">
        <f>H98</f>
        <v>0</v>
      </c>
      <c r="I97" s="63">
        <f t="shared" si="4"/>
        <v>18000</v>
      </c>
    </row>
    <row r="98" spans="2:9" ht="12.75">
      <c r="B98" s="20">
        <f t="shared" si="3"/>
        <v>90</v>
      </c>
      <c r="C98" s="5"/>
      <c r="D98" s="5"/>
      <c r="E98" s="5">
        <v>223001</v>
      </c>
      <c r="F98" s="5" t="s">
        <v>244</v>
      </c>
      <c r="G98" s="18">
        <f>105000-87000</f>
        <v>18000</v>
      </c>
      <c r="H98" s="18"/>
      <c r="I98" s="18">
        <f t="shared" si="4"/>
        <v>18000</v>
      </c>
    </row>
    <row r="99" spans="2:9" ht="12.75">
      <c r="B99" s="20">
        <f t="shared" si="3"/>
        <v>91</v>
      </c>
      <c r="C99" s="6"/>
      <c r="D99" s="6"/>
      <c r="E99" s="120"/>
      <c r="F99" s="6" t="s">
        <v>210</v>
      </c>
      <c r="G99" s="15">
        <f aca="true" t="shared" si="5" ref="G99:H101">G100</f>
        <v>2000</v>
      </c>
      <c r="H99" s="15">
        <f t="shared" si="5"/>
        <v>0</v>
      </c>
      <c r="I99" s="15">
        <f t="shared" si="4"/>
        <v>2000</v>
      </c>
    </row>
    <row r="100" spans="2:9" ht="12.75">
      <c r="B100" s="20">
        <f t="shared" si="3"/>
        <v>92</v>
      </c>
      <c r="C100" s="3">
        <v>290</v>
      </c>
      <c r="D100" s="3"/>
      <c r="E100" s="124"/>
      <c r="F100" s="3" t="s">
        <v>169</v>
      </c>
      <c r="G100" s="16">
        <f t="shared" si="5"/>
        <v>2000</v>
      </c>
      <c r="H100" s="16">
        <f t="shared" si="5"/>
        <v>0</v>
      </c>
      <c r="I100" s="16">
        <f t="shared" si="4"/>
        <v>2000</v>
      </c>
    </row>
    <row r="101" spans="2:9" ht="12.75">
      <c r="B101" s="20">
        <f t="shared" si="3"/>
        <v>93</v>
      </c>
      <c r="C101" s="24"/>
      <c r="D101" s="24">
        <v>292</v>
      </c>
      <c r="E101" s="116"/>
      <c r="F101" s="24" t="s">
        <v>170</v>
      </c>
      <c r="G101" s="63">
        <f t="shared" si="5"/>
        <v>2000</v>
      </c>
      <c r="H101" s="63">
        <f t="shared" si="5"/>
        <v>0</v>
      </c>
      <c r="I101" s="63">
        <f t="shared" si="4"/>
        <v>2000</v>
      </c>
    </row>
    <row r="102" spans="2:9" ht="12.75">
      <c r="B102" s="20">
        <f t="shared" si="3"/>
        <v>94</v>
      </c>
      <c r="C102" s="5"/>
      <c r="D102" s="5"/>
      <c r="E102" s="5">
        <v>292006</v>
      </c>
      <c r="F102" s="5" t="s">
        <v>168</v>
      </c>
      <c r="G102" s="18">
        <v>2000</v>
      </c>
      <c r="H102" s="18"/>
      <c r="I102" s="18">
        <f t="shared" si="4"/>
        <v>2000</v>
      </c>
    </row>
    <row r="103" spans="2:9" ht="12.75">
      <c r="B103" s="20">
        <f t="shared" si="3"/>
        <v>95</v>
      </c>
      <c r="C103" s="6"/>
      <c r="D103" s="6"/>
      <c r="E103" s="120"/>
      <c r="F103" s="6" t="s">
        <v>55</v>
      </c>
      <c r="G103" s="15">
        <f>G107+G104</f>
        <v>7050</v>
      </c>
      <c r="H103" s="15">
        <f>H107+H104</f>
        <v>0</v>
      </c>
      <c r="I103" s="15">
        <f t="shared" si="4"/>
        <v>7050</v>
      </c>
    </row>
    <row r="104" spans="2:9" ht="12.75">
      <c r="B104" s="20">
        <f t="shared" si="3"/>
        <v>96</v>
      </c>
      <c r="C104" s="3">
        <v>210</v>
      </c>
      <c r="D104" s="3"/>
      <c r="E104" s="124"/>
      <c r="F104" s="3" t="s">
        <v>240</v>
      </c>
      <c r="G104" s="16">
        <f>G105</f>
        <v>50</v>
      </c>
      <c r="H104" s="16">
        <f>H105</f>
        <v>0</v>
      </c>
      <c r="I104" s="16">
        <f t="shared" si="4"/>
        <v>50</v>
      </c>
    </row>
    <row r="105" spans="2:9" ht="12.75">
      <c r="B105" s="20">
        <f t="shared" si="3"/>
        <v>97</v>
      </c>
      <c r="C105" s="24"/>
      <c r="D105" s="24">
        <v>212</v>
      </c>
      <c r="E105" s="116"/>
      <c r="F105" s="24" t="s">
        <v>241</v>
      </c>
      <c r="G105" s="63">
        <f>G106</f>
        <v>50</v>
      </c>
      <c r="H105" s="63">
        <f>H106</f>
        <v>0</v>
      </c>
      <c r="I105" s="63">
        <f t="shared" si="4"/>
        <v>50</v>
      </c>
    </row>
    <row r="106" spans="2:9" ht="12.75">
      <c r="B106" s="20">
        <f t="shared" si="3"/>
        <v>98</v>
      </c>
      <c r="C106" s="5"/>
      <c r="D106" s="5"/>
      <c r="E106" s="5">
        <v>212003</v>
      </c>
      <c r="F106" s="5" t="s">
        <v>242</v>
      </c>
      <c r="G106" s="18">
        <v>50</v>
      </c>
      <c r="H106" s="18"/>
      <c r="I106" s="18">
        <f t="shared" si="4"/>
        <v>50</v>
      </c>
    </row>
    <row r="107" spans="2:9" ht="12.75">
      <c r="B107" s="20">
        <f t="shared" si="3"/>
        <v>99</v>
      </c>
      <c r="C107" s="3">
        <v>220</v>
      </c>
      <c r="D107" s="3"/>
      <c r="E107" s="124"/>
      <c r="F107" s="3" t="s">
        <v>215</v>
      </c>
      <c r="G107" s="16">
        <f>G108</f>
        <v>7000</v>
      </c>
      <c r="H107" s="16">
        <f>H108</f>
        <v>0</v>
      </c>
      <c r="I107" s="16">
        <f t="shared" si="4"/>
        <v>7000</v>
      </c>
    </row>
    <row r="108" spans="2:9" ht="12.75">
      <c r="B108" s="20">
        <f t="shared" si="3"/>
        <v>100</v>
      </c>
      <c r="C108" s="24"/>
      <c r="D108" s="24">
        <v>223</v>
      </c>
      <c r="E108" s="116"/>
      <c r="F108" s="24" t="s">
        <v>243</v>
      </c>
      <c r="G108" s="63">
        <f>G109</f>
        <v>7000</v>
      </c>
      <c r="H108" s="63">
        <f>H109</f>
        <v>0</v>
      </c>
      <c r="I108" s="63">
        <f t="shared" si="4"/>
        <v>7000</v>
      </c>
    </row>
    <row r="109" spans="2:9" ht="12.75">
      <c r="B109" s="20">
        <f t="shared" si="3"/>
        <v>101</v>
      </c>
      <c r="C109" s="5"/>
      <c r="D109" s="5"/>
      <c r="E109" s="5">
        <v>223001</v>
      </c>
      <c r="F109" s="5" t="s">
        <v>244</v>
      </c>
      <c r="G109" s="18">
        <f>12000-5000</f>
        <v>7000</v>
      </c>
      <c r="H109" s="18"/>
      <c r="I109" s="18">
        <f t="shared" si="4"/>
        <v>7000</v>
      </c>
    </row>
    <row r="110" spans="2:9" ht="12.75">
      <c r="B110" s="20">
        <f t="shared" si="3"/>
        <v>102</v>
      </c>
      <c r="C110" s="6"/>
      <c r="D110" s="6"/>
      <c r="E110" s="120"/>
      <c r="F110" s="6" t="s">
        <v>56</v>
      </c>
      <c r="G110" s="15">
        <f aca="true" t="shared" si="6" ref="G110:H112">G111</f>
        <v>1000</v>
      </c>
      <c r="H110" s="15">
        <f t="shared" si="6"/>
        <v>0</v>
      </c>
      <c r="I110" s="15">
        <f t="shared" si="4"/>
        <v>1000</v>
      </c>
    </row>
    <row r="111" spans="2:9" ht="12.75">
      <c r="B111" s="20">
        <f t="shared" si="3"/>
        <v>103</v>
      </c>
      <c r="C111" s="3">
        <v>290</v>
      </c>
      <c r="D111" s="3"/>
      <c r="E111" s="124"/>
      <c r="F111" s="3" t="s">
        <v>169</v>
      </c>
      <c r="G111" s="16">
        <f t="shared" si="6"/>
        <v>1000</v>
      </c>
      <c r="H111" s="16">
        <f t="shared" si="6"/>
        <v>0</v>
      </c>
      <c r="I111" s="16">
        <f t="shared" si="4"/>
        <v>1000</v>
      </c>
    </row>
    <row r="112" spans="2:9" ht="12.75">
      <c r="B112" s="20">
        <f t="shared" si="3"/>
        <v>104</v>
      </c>
      <c r="C112" s="24"/>
      <c r="D112" s="24">
        <v>292</v>
      </c>
      <c r="E112" s="116"/>
      <c r="F112" s="24" t="s">
        <v>170</v>
      </c>
      <c r="G112" s="63">
        <f t="shared" si="6"/>
        <v>1000</v>
      </c>
      <c r="H112" s="63">
        <f t="shared" si="6"/>
        <v>0</v>
      </c>
      <c r="I112" s="63">
        <f t="shared" si="4"/>
        <v>1000</v>
      </c>
    </row>
    <row r="113" spans="2:9" ht="12.75">
      <c r="B113" s="20">
        <f t="shared" si="3"/>
        <v>105</v>
      </c>
      <c r="C113" s="5"/>
      <c r="D113" s="5"/>
      <c r="E113" s="5">
        <v>292006</v>
      </c>
      <c r="F113" s="5" t="s">
        <v>168</v>
      </c>
      <c r="G113" s="18">
        <v>1000</v>
      </c>
      <c r="H113" s="18"/>
      <c r="I113" s="18">
        <f t="shared" si="4"/>
        <v>1000</v>
      </c>
    </row>
    <row r="114" spans="2:9" ht="12.75">
      <c r="B114" s="20">
        <f t="shared" si="3"/>
        <v>106</v>
      </c>
      <c r="C114" s="6"/>
      <c r="D114" s="6"/>
      <c r="E114" s="120"/>
      <c r="F114" s="6" t="s">
        <v>57</v>
      </c>
      <c r="G114" s="15">
        <f>G115+G119</f>
        <v>161200</v>
      </c>
      <c r="H114" s="15">
        <f>H115+H119</f>
        <v>0</v>
      </c>
      <c r="I114" s="15">
        <f t="shared" si="4"/>
        <v>161200</v>
      </c>
    </row>
    <row r="115" spans="2:9" ht="12.75">
      <c r="B115" s="20">
        <f t="shared" si="3"/>
        <v>107</v>
      </c>
      <c r="C115" s="3">
        <v>210</v>
      </c>
      <c r="D115" s="3"/>
      <c r="E115" s="124"/>
      <c r="F115" s="3" t="s">
        <v>240</v>
      </c>
      <c r="G115" s="16">
        <f>G116</f>
        <v>600</v>
      </c>
      <c r="H115" s="16">
        <f>H116</f>
        <v>0</v>
      </c>
      <c r="I115" s="16">
        <f t="shared" si="4"/>
        <v>600</v>
      </c>
    </row>
    <row r="116" spans="2:9" ht="12.75">
      <c r="B116" s="20">
        <f t="shared" si="3"/>
        <v>108</v>
      </c>
      <c r="C116" s="24"/>
      <c r="D116" s="24">
        <v>212</v>
      </c>
      <c r="E116" s="116"/>
      <c r="F116" s="24" t="s">
        <v>241</v>
      </c>
      <c r="G116" s="63">
        <f>G118+G117</f>
        <v>600</v>
      </c>
      <c r="H116" s="63">
        <f>H118+H117</f>
        <v>0</v>
      </c>
      <c r="I116" s="63">
        <f t="shared" si="4"/>
        <v>600</v>
      </c>
    </row>
    <row r="117" spans="2:9" ht="12.75">
      <c r="B117" s="20">
        <f t="shared" si="3"/>
        <v>109</v>
      </c>
      <c r="C117" s="5"/>
      <c r="D117" s="5"/>
      <c r="E117" s="5">
        <v>212002</v>
      </c>
      <c r="F117" s="5" t="s">
        <v>274</v>
      </c>
      <c r="G117" s="18">
        <v>200</v>
      </c>
      <c r="H117" s="18"/>
      <c r="I117" s="18">
        <f t="shared" si="4"/>
        <v>200</v>
      </c>
    </row>
    <row r="118" spans="2:9" ht="12.75">
      <c r="B118" s="20">
        <f t="shared" si="3"/>
        <v>110</v>
      </c>
      <c r="C118" s="5"/>
      <c r="D118" s="5"/>
      <c r="E118" s="5">
        <v>212003</v>
      </c>
      <c r="F118" s="5" t="s">
        <v>242</v>
      </c>
      <c r="G118" s="18">
        <v>400</v>
      </c>
      <c r="H118" s="18"/>
      <c r="I118" s="18">
        <f t="shared" si="4"/>
        <v>400</v>
      </c>
    </row>
    <row r="119" spans="2:9" ht="12.75">
      <c r="B119" s="20">
        <f t="shared" si="3"/>
        <v>111</v>
      </c>
      <c r="C119" s="3">
        <v>220</v>
      </c>
      <c r="D119" s="3"/>
      <c r="E119" s="124"/>
      <c r="F119" s="3" t="s">
        <v>215</v>
      </c>
      <c r="G119" s="16">
        <f>G120</f>
        <v>160600</v>
      </c>
      <c r="H119" s="16">
        <f>H120</f>
        <v>0</v>
      </c>
      <c r="I119" s="16">
        <f t="shared" si="4"/>
        <v>160600</v>
      </c>
    </row>
    <row r="120" spans="2:9" ht="12.75">
      <c r="B120" s="20">
        <f t="shared" si="3"/>
        <v>112</v>
      </c>
      <c r="C120" s="24"/>
      <c r="D120" s="24">
        <v>223</v>
      </c>
      <c r="E120" s="116"/>
      <c r="F120" s="24" t="s">
        <v>243</v>
      </c>
      <c r="G120" s="63">
        <f>G121</f>
        <v>160600</v>
      </c>
      <c r="H120" s="63">
        <f>H121</f>
        <v>0</v>
      </c>
      <c r="I120" s="63">
        <f t="shared" si="4"/>
        <v>160600</v>
      </c>
    </row>
    <row r="121" spans="2:9" ht="12.75">
      <c r="B121" s="20">
        <f aca="true" t="shared" si="7" ref="B121:B181">B120+1</f>
        <v>113</v>
      </c>
      <c r="C121" s="5"/>
      <c r="D121" s="5"/>
      <c r="E121" s="5">
        <v>223001</v>
      </c>
      <c r="F121" s="5" t="s">
        <v>244</v>
      </c>
      <c r="G121" s="18">
        <v>160600</v>
      </c>
      <c r="H121" s="18"/>
      <c r="I121" s="18">
        <f t="shared" si="4"/>
        <v>160600</v>
      </c>
    </row>
    <row r="122" spans="2:9" ht="12.75">
      <c r="B122" s="20">
        <f t="shared" si="7"/>
        <v>114</v>
      </c>
      <c r="C122" s="6"/>
      <c r="D122" s="6"/>
      <c r="E122" s="120"/>
      <c r="F122" s="6" t="s">
        <v>59</v>
      </c>
      <c r="G122" s="15">
        <f>G123+G126</f>
        <v>7400</v>
      </c>
      <c r="H122" s="15">
        <f>H123+H126</f>
        <v>0</v>
      </c>
      <c r="I122" s="15">
        <f t="shared" si="4"/>
        <v>7400</v>
      </c>
    </row>
    <row r="123" spans="2:9" ht="12.75">
      <c r="B123" s="20">
        <f t="shared" si="7"/>
        <v>115</v>
      </c>
      <c r="C123" s="3">
        <v>210</v>
      </c>
      <c r="D123" s="3"/>
      <c r="E123" s="124"/>
      <c r="F123" s="3" t="s">
        <v>240</v>
      </c>
      <c r="G123" s="16">
        <f>G124</f>
        <v>400</v>
      </c>
      <c r="H123" s="16">
        <f>H124</f>
        <v>0</v>
      </c>
      <c r="I123" s="16">
        <f t="shared" si="4"/>
        <v>400</v>
      </c>
    </row>
    <row r="124" spans="2:9" ht="12.75">
      <c r="B124" s="20">
        <f t="shared" si="7"/>
        <v>116</v>
      </c>
      <c r="C124" s="24"/>
      <c r="D124" s="24">
        <v>212</v>
      </c>
      <c r="E124" s="116"/>
      <c r="F124" s="24" t="s">
        <v>241</v>
      </c>
      <c r="G124" s="63">
        <f>G125</f>
        <v>400</v>
      </c>
      <c r="H124" s="63">
        <f>H125</f>
        <v>0</v>
      </c>
      <c r="I124" s="63">
        <f t="shared" si="4"/>
        <v>400</v>
      </c>
    </row>
    <row r="125" spans="2:9" ht="12.75">
      <c r="B125" s="20">
        <f t="shared" si="7"/>
        <v>117</v>
      </c>
      <c r="C125" s="5"/>
      <c r="D125" s="5"/>
      <c r="E125" s="5">
        <v>212002</v>
      </c>
      <c r="F125" s="5" t="s">
        <v>274</v>
      </c>
      <c r="G125" s="18">
        <f>700-300</f>
        <v>400</v>
      </c>
      <c r="H125" s="18"/>
      <c r="I125" s="18">
        <f t="shared" si="4"/>
        <v>400</v>
      </c>
    </row>
    <row r="126" spans="2:9" ht="12.75">
      <c r="B126" s="20">
        <f t="shared" si="7"/>
        <v>118</v>
      </c>
      <c r="C126" s="3">
        <v>220</v>
      </c>
      <c r="D126" s="3"/>
      <c r="E126" s="124"/>
      <c r="F126" s="3" t="s">
        <v>215</v>
      </c>
      <c r="G126" s="16">
        <f>G127</f>
        <v>7000</v>
      </c>
      <c r="H126" s="16">
        <f>H127</f>
        <v>0</v>
      </c>
      <c r="I126" s="16">
        <f t="shared" si="4"/>
        <v>7000</v>
      </c>
    </row>
    <row r="127" spans="2:9" ht="12.75">
      <c r="B127" s="20">
        <f t="shared" si="7"/>
        <v>119</v>
      </c>
      <c r="C127" s="24"/>
      <c r="D127" s="24">
        <v>223</v>
      </c>
      <c r="E127" s="116"/>
      <c r="F127" s="24" t="s">
        <v>243</v>
      </c>
      <c r="G127" s="63">
        <f>G128</f>
        <v>7000</v>
      </c>
      <c r="H127" s="63">
        <f>H128</f>
        <v>0</v>
      </c>
      <c r="I127" s="63">
        <f t="shared" si="4"/>
        <v>7000</v>
      </c>
    </row>
    <row r="128" spans="2:9" ht="13.5" thickBot="1">
      <c r="B128" s="20">
        <f t="shared" si="7"/>
        <v>120</v>
      </c>
      <c r="C128" s="5"/>
      <c r="D128" s="5"/>
      <c r="E128" s="5">
        <v>223001</v>
      </c>
      <c r="F128" s="5" t="s">
        <v>244</v>
      </c>
      <c r="G128" s="18">
        <v>7000</v>
      </c>
      <c r="H128" s="18"/>
      <c r="I128" s="18">
        <f t="shared" si="4"/>
        <v>7000</v>
      </c>
    </row>
    <row r="129" spans="2:9" ht="15.75" thickBot="1">
      <c r="B129" s="20">
        <f t="shared" si="7"/>
        <v>121</v>
      </c>
      <c r="C129" s="64">
        <v>3</v>
      </c>
      <c r="D129" s="64"/>
      <c r="E129" s="123"/>
      <c r="F129" s="64" t="s">
        <v>13</v>
      </c>
      <c r="G129" s="65">
        <f aca="true" t="shared" si="8" ref="G129:H131">G130</f>
        <v>26058</v>
      </c>
      <c r="H129" s="65">
        <f t="shared" si="8"/>
        <v>0</v>
      </c>
      <c r="I129" s="65">
        <f t="shared" si="4"/>
        <v>26058</v>
      </c>
    </row>
    <row r="130" spans="2:9" ht="12.75">
      <c r="B130" s="20">
        <f t="shared" si="7"/>
        <v>122</v>
      </c>
      <c r="C130" s="6">
        <v>220</v>
      </c>
      <c r="D130" s="6"/>
      <c r="E130" s="120"/>
      <c r="F130" s="6" t="s">
        <v>215</v>
      </c>
      <c r="G130" s="15">
        <f t="shared" si="8"/>
        <v>26058</v>
      </c>
      <c r="H130" s="15">
        <f t="shared" si="8"/>
        <v>0</v>
      </c>
      <c r="I130" s="15">
        <f t="shared" si="4"/>
        <v>26058</v>
      </c>
    </row>
    <row r="131" spans="2:9" ht="12.75">
      <c r="B131" s="20">
        <f t="shared" si="7"/>
        <v>123</v>
      </c>
      <c r="C131" s="3"/>
      <c r="D131" s="3">
        <v>223</v>
      </c>
      <c r="E131" s="124"/>
      <c r="F131" s="3" t="s">
        <v>243</v>
      </c>
      <c r="G131" s="16">
        <f t="shared" si="8"/>
        <v>26058</v>
      </c>
      <c r="H131" s="16">
        <f t="shared" si="8"/>
        <v>0</v>
      </c>
      <c r="I131" s="16">
        <f t="shared" si="4"/>
        <v>26058</v>
      </c>
    </row>
    <row r="132" spans="2:9" ht="13.5" thickBot="1">
      <c r="B132" s="20">
        <f t="shared" si="7"/>
        <v>124</v>
      </c>
      <c r="C132" s="24"/>
      <c r="D132" s="24"/>
      <c r="E132" s="116">
        <v>223002</v>
      </c>
      <c r="F132" s="24" t="s">
        <v>81</v>
      </c>
      <c r="G132" s="63">
        <f>36488-10430</f>
        <v>26058</v>
      </c>
      <c r="H132" s="63"/>
      <c r="I132" s="63">
        <f t="shared" si="4"/>
        <v>26058</v>
      </c>
    </row>
    <row r="133" spans="2:9" ht="15.75" thickBot="1">
      <c r="B133" s="20">
        <f t="shared" si="7"/>
        <v>125</v>
      </c>
      <c r="C133" s="64">
        <v>4</v>
      </c>
      <c r="D133" s="64"/>
      <c r="E133" s="123"/>
      <c r="F133" s="64" t="s">
        <v>94</v>
      </c>
      <c r="G133" s="65">
        <f>G229+G224+G220+G216+G212+G206+G200+G194+G188+G182+G176+G170+G164+G158+G152+G146+G140+G134</f>
        <v>738324</v>
      </c>
      <c r="H133" s="65">
        <f>H229+H224+H220+H216+H212+H206+H200+H194+H188+H182+H176+H170+H164+H158+H152+H146+H140+H134</f>
        <v>0</v>
      </c>
      <c r="I133" s="65">
        <f t="shared" si="4"/>
        <v>738324</v>
      </c>
    </row>
    <row r="134" spans="2:9" ht="12.75">
      <c r="B134" s="20">
        <f t="shared" si="7"/>
        <v>126</v>
      </c>
      <c r="C134" s="6"/>
      <c r="D134" s="6"/>
      <c r="E134" s="120"/>
      <c r="F134" s="6" t="s">
        <v>77</v>
      </c>
      <c r="G134" s="15">
        <f>G135</f>
        <v>37717</v>
      </c>
      <c r="H134" s="15">
        <f>H135</f>
        <v>-560</v>
      </c>
      <c r="I134" s="15">
        <f t="shared" si="4"/>
        <v>37157</v>
      </c>
    </row>
    <row r="135" spans="2:9" ht="12.75">
      <c r="B135" s="20">
        <f t="shared" si="7"/>
        <v>127</v>
      </c>
      <c r="C135" s="3">
        <v>220</v>
      </c>
      <c r="D135" s="3"/>
      <c r="E135" s="124"/>
      <c r="F135" s="3" t="s">
        <v>215</v>
      </c>
      <c r="G135" s="16">
        <f>G136</f>
        <v>37717</v>
      </c>
      <c r="H135" s="16">
        <f>H136</f>
        <v>-560</v>
      </c>
      <c r="I135" s="16">
        <f t="shared" si="4"/>
        <v>37157</v>
      </c>
    </row>
    <row r="136" spans="2:9" ht="12.75">
      <c r="B136" s="20">
        <f t="shared" si="7"/>
        <v>128</v>
      </c>
      <c r="C136" s="24"/>
      <c r="D136" s="24">
        <v>223</v>
      </c>
      <c r="E136" s="116"/>
      <c r="F136" s="24" t="s">
        <v>243</v>
      </c>
      <c r="G136" s="63">
        <f>G139+G138+G137</f>
        <v>37717</v>
      </c>
      <c r="H136" s="63">
        <f>H139+H138+H137</f>
        <v>-560</v>
      </c>
      <c r="I136" s="63">
        <f t="shared" si="4"/>
        <v>37157</v>
      </c>
    </row>
    <row r="137" spans="2:9" ht="12.75">
      <c r="B137" s="20">
        <f t="shared" si="7"/>
        <v>129</v>
      </c>
      <c r="C137" s="5"/>
      <c r="D137" s="5"/>
      <c r="E137" s="5">
        <v>223001</v>
      </c>
      <c r="F137" s="5" t="s">
        <v>244</v>
      </c>
      <c r="G137" s="18">
        <v>4095</v>
      </c>
      <c r="H137" s="18">
        <v>-560</v>
      </c>
      <c r="I137" s="18">
        <f t="shared" si="4"/>
        <v>3535</v>
      </c>
    </row>
    <row r="138" spans="2:9" ht="12.75">
      <c r="B138" s="20">
        <f t="shared" si="7"/>
        <v>130</v>
      </c>
      <c r="C138" s="5"/>
      <c r="D138" s="5"/>
      <c r="E138" s="5">
        <v>223002</v>
      </c>
      <c r="F138" s="5" t="s">
        <v>81</v>
      </c>
      <c r="G138" s="18">
        <f>11550-3265</f>
        <v>8285</v>
      </c>
      <c r="H138" s="18"/>
      <c r="I138" s="18">
        <f t="shared" si="4"/>
        <v>8285</v>
      </c>
    </row>
    <row r="139" spans="2:9" ht="12.75">
      <c r="B139" s="20">
        <f t="shared" si="7"/>
        <v>131</v>
      </c>
      <c r="C139" s="5"/>
      <c r="D139" s="5"/>
      <c r="E139" s="5">
        <v>223003</v>
      </c>
      <c r="F139" s="5" t="s">
        <v>82</v>
      </c>
      <c r="G139" s="18">
        <v>25337</v>
      </c>
      <c r="H139" s="18"/>
      <c r="I139" s="18">
        <f t="shared" si="4"/>
        <v>25337</v>
      </c>
    </row>
    <row r="140" spans="2:9" ht="12.75">
      <c r="B140" s="20">
        <f t="shared" si="7"/>
        <v>132</v>
      </c>
      <c r="C140" s="6"/>
      <c r="D140" s="6"/>
      <c r="E140" s="120"/>
      <c r="F140" s="6" t="s">
        <v>231</v>
      </c>
      <c r="G140" s="15">
        <f>G141</f>
        <v>65492</v>
      </c>
      <c r="H140" s="15">
        <f>H141</f>
        <v>-1290</v>
      </c>
      <c r="I140" s="15">
        <f t="shared" si="4"/>
        <v>64202</v>
      </c>
    </row>
    <row r="141" spans="2:9" ht="12.75">
      <c r="B141" s="20">
        <f t="shared" si="7"/>
        <v>133</v>
      </c>
      <c r="C141" s="3">
        <v>220</v>
      </c>
      <c r="D141" s="3"/>
      <c r="E141" s="124"/>
      <c r="F141" s="3" t="s">
        <v>215</v>
      </c>
      <c r="G141" s="16">
        <f>G142</f>
        <v>65492</v>
      </c>
      <c r="H141" s="16">
        <f>H142</f>
        <v>-1290</v>
      </c>
      <c r="I141" s="16">
        <f aca="true" t="shared" si="9" ref="I141:I204">H141+G141</f>
        <v>64202</v>
      </c>
    </row>
    <row r="142" spans="2:9" ht="12.75">
      <c r="B142" s="20">
        <f t="shared" si="7"/>
        <v>134</v>
      </c>
      <c r="C142" s="24"/>
      <c r="D142" s="24">
        <v>223</v>
      </c>
      <c r="E142" s="116"/>
      <c r="F142" s="24" t="s">
        <v>243</v>
      </c>
      <c r="G142" s="63">
        <f>G145+G144+G143</f>
        <v>65492</v>
      </c>
      <c r="H142" s="63">
        <f>H145+H144+H143</f>
        <v>-1290</v>
      </c>
      <c r="I142" s="63">
        <f t="shared" si="9"/>
        <v>64202</v>
      </c>
    </row>
    <row r="143" spans="2:9" ht="12.75">
      <c r="B143" s="20">
        <f t="shared" si="7"/>
        <v>135</v>
      </c>
      <c r="C143" s="5"/>
      <c r="D143" s="5"/>
      <c r="E143" s="5">
        <v>223001</v>
      </c>
      <c r="F143" s="5" t="s">
        <v>244</v>
      </c>
      <c r="G143" s="18">
        <v>7056</v>
      </c>
      <c r="H143" s="18">
        <v>-1290</v>
      </c>
      <c r="I143" s="18">
        <f t="shared" si="9"/>
        <v>5766</v>
      </c>
    </row>
    <row r="144" spans="2:9" ht="12.75">
      <c r="B144" s="20">
        <f t="shared" si="7"/>
        <v>136</v>
      </c>
      <c r="C144" s="5"/>
      <c r="D144" s="5"/>
      <c r="E144" s="5">
        <v>223002</v>
      </c>
      <c r="F144" s="5" t="s">
        <v>81</v>
      </c>
      <c r="G144" s="18">
        <f>19688-5813</f>
        <v>13875</v>
      </c>
      <c r="H144" s="18"/>
      <c r="I144" s="18">
        <f t="shared" si="9"/>
        <v>13875</v>
      </c>
    </row>
    <row r="145" spans="2:9" ht="12.75">
      <c r="B145" s="20">
        <f t="shared" si="7"/>
        <v>137</v>
      </c>
      <c r="C145" s="5"/>
      <c r="D145" s="5"/>
      <c r="E145" s="5">
        <v>223003</v>
      </c>
      <c r="F145" s="5" t="s">
        <v>82</v>
      </c>
      <c r="G145" s="18">
        <v>44561</v>
      </c>
      <c r="H145" s="18"/>
      <c r="I145" s="18">
        <f t="shared" si="9"/>
        <v>44561</v>
      </c>
    </row>
    <row r="146" spans="2:9" ht="12.75">
      <c r="B146" s="20">
        <f t="shared" si="7"/>
        <v>138</v>
      </c>
      <c r="C146" s="6"/>
      <c r="D146" s="6"/>
      <c r="E146" s="120"/>
      <c r="F146" s="6" t="s">
        <v>76</v>
      </c>
      <c r="G146" s="15">
        <f>G147</f>
        <v>37762</v>
      </c>
      <c r="H146" s="15">
        <f>H147</f>
        <v>-600</v>
      </c>
      <c r="I146" s="15">
        <f t="shared" si="9"/>
        <v>37162</v>
      </c>
    </row>
    <row r="147" spans="2:9" ht="12.75">
      <c r="B147" s="20">
        <f t="shared" si="7"/>
        <v>139</v>
      </c>
      <c r="C147" s="3">
        <v>220</v>
      </c>
      <c r="D147" s="3"/>
      <c r="E147" s="124"/>
      <c r="F147" s="3" t="s">
        <v>215</v>
      </c>
      <c r="G147" s="16">
        <f>G148</f>
        <v>37762</v>
      </c>
      <c r="H147" s="16">
        <f>H148</f>
        <v>-600</v>
      </c>
      <c r="I147" s="16">
        <f t="shared" si="9"/>
        <v>37162</v>
      </c>
    </row>
    <row r="148" spans="2:9" ht="12.75">
      <c r="B148" s="20">
        <f t="shared" si="7"/>
        <v>140</v>
      </c>
      <c r="C148" s="24"/>
      <c r="D148" s="24">
        <v>223</v>
      </c>
      <c r="E148" s="116"/>
      <c r="F148" s="24" t="s">
        <v>243</v>
      </c>
      <c r="G148" s="63">
        <f>G151+G150+G149</f>
        <v>37762</v>
      </c>
      <c r="H148" s="63">
        <f>H151+H150+H149</f>
        <v>-600</v>
      </c>
      <c r="I148" s="63">
        <f t="shared" si="9"/>
        <v>37162</v>
      </c>
    </row>
    <row r="149" spans="2:9" ht="12.75">
      <c r="B149" s="20">
        <f t="shared" si="7"/>
        <v>141</v>
      </c>
      <c r="C149" s="5"/>
      <c r="D149" s="5"/>
      <c r="E149" s="5">
        <v>223001</v>
      </c>
      <c r="F149" s="5" t="s">
        <v>244</v>
      </c>
      <c r="G149" s="18">
        <v>4221</v>
      </c>
      <c r="H149" s="18">
        <v>-600</v>
      </c>
      <c r="I149" s="18">
        <f t="shared" si="9"/>
        <v>3621</v>
      </c>
    </row>
    <row r="150" spans="2:9" ht="12.75">
      <c r="B150" s="20">
        <f t="shared" si="7"/>
        <v>142</v>
      </c>
      <c r="C150" s="5"/>
      <c r="D150" s="5"/>
      <c r="E150" s="5">
        <v>223002</v>
      </c>
      <c r="F150" s="5" t="s">
        <v>81</v>
      </c>
      <c r="G150" s="18">
        <f>11025-3344</f>
        <v>7681</v>
      </c>
      <c r="H150" s="18"/>
      <c r="I150" s="18">
        <f t="shared" si="9"/>
        <v>7681</v>
      </c>
    </row>
    <row r="151" spans="2:9" ht="12.75">
      <c r="B151" s="20">
        <f t="shared" si="7"/>
        <v>143</v>
      </c>
      <c r="C151" s="5"/>
      <c r="D151" s="5"/>
      <c r="E151" s="5">
        <v>223003</v>
      </c>
      <c r="F151" s="5" t="s">
        <v>82</v>
      </c>
      <c r="G151" s="18">
        <v>25860</v>
      </c>
      <c r="H151" s="18"/>
      <c r="I151" s="18">
        <f t="shared" si="9"/>
        <v>25860</v>
      </c>
    </row>
    <row r="152" spans="2:9" ht="12.75">
      <c r="B152" s="20">
        <f t="shared" si="7"/>
        <v>144</v>
      </c>
      <c r="C152" s="6"/>
      <c r="D152" s="6"/>
      <c r="E152" s="120"/>
      <c r="F152" s="6" t="s">
        <v>100</v>
      </c>
      <c r="G152" s="15">
        <f>G153</f>
        <v>48203</v>
      </c>
      <c r="H152" s="15">
        <f>H153</f>
        <v>-870</v>
      </c>
      <c r="I152" s="15">
        <f t="shared" si="9"/>
        <v>47333</v>
      </c>
    </row>
    <row r="153" spans="2:9" ht="12.75">
      <c r="B153" s="20">
        <f t="shared" si="7"/>
        <v>145</v>
      </c>
      <c r="C153" s="3">
        <v>220</v>
      </c>
      <c r="D153" s="3"/>
      <c r="E153" s="124"/>
      <c r="F153" s="3" t="s">
        <v>215</v>
      </c>
      <c r="G153" s="16">
        <f>G154</f>
        <v>48203</v>
      </c>
      <c r="H153" s="16">
        <f>H154</f>
        <v>-870</v>
      </c>
      <c r="I153" s="16">
        <f t="shared" si="9"/>
        <v>47333</v>
      </c>
    </row>
    <row r="154" spans="2:9" ht="12.75">
      <c r="B154" s="20">
        <f t="shared" si="7"/>
        <v>146</v>
      </c>
      <c r="C154" s="24"/>
      <c r="D154" s="24">
        <v>223</v>
      </c>
      <c r="E154" s="116"/>
      <c r="F154" s="24" t="s">
        <v>243</v>
      </c>
      <c r="G154" s="63">
        <f>G157+G156+G155</f>
        <v>48203</v>
      </c>
      <c r="H154" s="63">
        <f>H157+H156+H155</f>
        <v>-870</v>
      </c>
      <c r="I154" s="63">
        <f t="shared" si="9"/>
        <v>47333</v>
      </c>
    </row>
    <row r="155" spans="2:9" ht="12.75">
      <c r="B155" s="20">
        <f t="shared" si="7"/>
        <v>147</v>
      </c>
      <c r="C155" s="5"/>
      <c r="D155" s="5"/>
      <c r="E155" s="5">
        <v>223001</v>
      </c>
      <c r="F155" s="5" t="s">
        <v>244</v>
      </c>
      <c r="G155" s="18">
        <v>5292</v>
      </c>
      <c r="H155" s="18">
        <v>-870</v>
      </c>
      <c r="I155" s="18">
        <f t="shared" si="9"/>
        <v>4422</v>
      </c>
    </row>
    <row r="156" spans="2:9" ht="12.75">
      <c r="B156" s="20">
        <f t="shared" si="7"/>
        <v>148</v>
      </c>
      <c r="C156" s="5"/>
      <c r="D156" s="5"/>
      <c r="E156" s="5">
        <v>223002</v>
      </c>
      <c r="F156" s="5" t="s">
        <v>81</v>
      </c>
      <c r="G156" s="18">
        <f>14963-4618</f>
        <v>10345</v>
      </c>
      <c r="H156" s="18"/>
      <c r="I156" s="18">
        <f t="shared" si="9"/>
        <v>10345</v>
      </c>
    </row>
    <row r="157" spans="2:9" ht="12.75">
      <c r="B157" s="20">
        <f t="shared" si="7"/>
        <v>149</v>
      </c>
      <c r="C157" s="5"/>
      <c r="D157" s="5"/>
      <c r="E157" s="5">
        <v>223003</v>
      </c>
      <c r="F157" s="5" t="s">
        <v>82</v>
      </c>
      <c r="G157" s="18">
        <v>32566</v>
      </c>
      <c r="H157" s="18"/>
      <c r="I157" s="18">
        <f t="shared" si="9"/>
        <v>32566</v>
      </c>
    </row>
    <row r="158" spans="2:9" ht="12.75">
      <c r="B158" s="20">
        <f t="shared" si="7"/>
        <v>150</v>
      </c>
      <c r="C158" s="6"/>
      <c r="D158" s="6"/>
      <c r="E158" s="120"/>
      <c r="F158" s="6" t="s">
        <v>101</v>
      </c>
      <c r="G158" s="15">
        <f>G159</f>
        <v>41480</v>
      </c>
      <c r="H158" s="15">
        <f>H159</f>
        <v>-1000</v>
      </c>
      <c r="I158" s="15">
        <f t="shared" si="9"/>
        <v>40480</v>
      </c>
    </row>
    <row r="159" spans="2:9" ht="12.75">
      <c r="B159" s="20">
        <f t="shared" si="7"/>
        <v>151</v>
      </c>
      <c r="C159" s="3">
        <v>220</v>
      </c>
      <c r="D159" s="3"/>
      <c r="E159" s="124"/>
      <c r="F159" s="3" t="s">
        <v>215</v>
      </c>
      <c r="G159" s="16">
        <f>G160</f>
        <v>41480</v>
      </c>
      <c r="H159" s="16">
        <f>H160</f>
        <v>-1000</v>
      </c>
      <c r="I159" s="16">
        <f t="shared" si="9"/>
        <v>40480</v>
      </c>
    </row>
    <row r="160" spans="2:9" ht="12.75">
      <c r="B160" s="20">
        <f t="shared" si="7"/>
        <v>152</v>
      </c>
      <c r="C160" s="24"/>
      <c r="D160" s="24">
        <v>223</v>
      </c>
      <c r="E160" s="116"/>
      <c r="F160" s="24" t="s">
        <v>243</v>
      </c>
      <c r="G160" s="63">
        <f>G163+G162+G161</f>
        <v>41480</v>
      </c>
      <c r="H160" s="63">
        <f>H163+H162+H161</f>
        <v>-1000</v>
      </c>
      <c r="I160" s="63">
        <f t="shared" si="9"/>
        <v>40480</v>
      </c>
    </row>
    <row r="161" spans="2:9" ht="12.75">
      <c r="B161" s="20">
        <f t="shared" si="7"/>
        <v>153</v>
      </c>
      <c r="C161" s="5"/>
      <c r="D161" s="5"/>
      <c r="E161" s="5">
        <v>223001</v>
      </c>
      <c r="F161" s="5" t="s">
        <v>244</v>
      </c>
      <c r="G161" s="18">
        <v>4599</v>
      </c>
      <c r="H161" s="18">
        <v>-1000</v>
      </c>
      <c r="I161" s="18">
        <f t="shared" si="9"/>
        <v>3599</v>
      </c>
    </row>
    <row r="162" spans="2:9" ht="12.75">
      <c r="B162" s="20">
        <f t="shared" si="7"/>
        <v>154</v>
      </c>
      <c r="C162" s="5"/>
      <c r="D162" s="5"/>
      <c r="E162" s="5">
        <v>223002</v>
      </c>
      <c r="F162" s="5" t="s">
        <v>81</v>
      </c>
      <c r="G162" s="18">
        <f>11550-3344</f>
        <v>8206</v>
      </c>
      <c r="H162" s="18"/>
      <c r="I162" s="18">
        <f t="shared" si="9"/>
        <v>8206</v>
      </c>
    </row>
    <row r="163" spans="2:9" ht="12.75">
      <c r="B163" s="20">
        <f t="shared" si="7"/>
        <v>155</v>
      </c>
      <c r="C163" s="5"/>
      <c r="D163" s="5"/>
      <c r="E163" s="5">
        <v>223003</v>
      </c>
      <c r="F163" s="5" t="s">
        <v>82</v>
      </c>
      <c r="G163" s="18">
        <v>28675</v>
      </c>
      <c r="H163" s="18"/>
      <c r="I163" s="18">
        <f t="shared" si="9"/>
        <v>28675</v>
      </c>
    </row>
    <row r="164" spans="2:9" ht="12.75">
      <c r="B164" s="20">
        <f t="shared" si="7"/>
        <v>156</v>
      </c>
      <c r="C164" s="6"/>
      <c r="D164" s="6"/>
      <c r="E164" s="120"/>
      <c r="F164" s="6" t="s">
        <v>95</v>
      </c>
      <c r="G164" s="15">
        <f>G165</f>
        <v>65442</v>
      </c>
      <c r="H164" s="15">
        <f>H165</f>
        <v>-200</v>
      </c>
      <c r="I164" s="15">
        <f t="shared" si="9"/>
        <v>65242</v>
      </c>
    </row>
    <row r="165" spans="2:9" ht="12.75">
      <c r="B165" s="20">
        <f t="shared" si="7"/>
        <v>157</v>
      </c>
      <c r="C165" s="3">
        <v>220</v>
      </c>
      <c r="D165" s="3"/>
      <c r="E165" s="124"/>
      <c r="F165" s="3" t="s">
        <v>215</v>
      </c>
      <c r="G165" s="16">
        <f>G166</f>
        <v>65442</v>
      </c>
      <c r="H165" s="16">
        <f>H166</f>
        <v>-200</v>
      </c>
      <c r="I165" s="16">
        <f t="shared" si="9"/>
        <v>65242</v>
      </c>
    </row>
    <row r="166" spans="2:9" ht="12.75">
      <c r="B166" s="20">
        <f t="shared" si="7"/>
        <v>158</v>
      </c>
      <c r="C166" s="24"/>
      <c r="D166" s="24">
        <v>223</v>
      </c>
      <c r="E166" s="116"/>
      <c r="F166" s="24" t="s">
        <v>243</v>
      </c>
      <c r="G166" s="63">
        <f>G169+G168+G167</f>
        <v>65442</v>
      </c>
      <c r="H166" s="63">
        <f>H169+H168+H167</f>
        <v>-200</v>
      </c>
      <c r="I166" s="63">
        <f t="shared" si="9"/>
        <v>65242</v>
      </c>
    </row>
    <row r="167" spans="2:9" ht="12.75">
      <c r="B167" s="20">
        <f t="shared" si="7"/>
        <v>159</v>
      </c>
      <c r="C167" s="5"/>
      <c r="D167" s="5"/>
      <c r="E167" s="5">
        <v>223001</v>
      </c>
      <c r="F167" s="5" t="s">
        <v>244</v>
      </c>
      <c r="G167" s="18">
        <v>7245</v>
      </c>
      <c r="H167" s="18">
        <v>-200</v>
      </c>
      <c r="I167" s="18">
        <f t="shared" si="9"/>
        <v>7045</v>
      </c>
    </row>
    <row r="168" spans="2:9" ht="12.75">
      <c r="B168" s="20">
        <f t="shared" si="7"/>
        <v>160</v>
      </c>
      <c r="C168" s="5"/>
      <c r="D168" s="5"/>
      <c r="E168" s="5">
        <v>223002</v>
      </c>
      <c r="F168" s="5" t="s">
        <v>81</v>
      </c>
      <c r="G168" s="18">
        <f>18900-5972</f>
        <v>12928</v>
      </c>
      <c r="H168" s="18"/>
      <c r="I168" s="18">
        <f t="shared" si="9"/>
        <v>12928</v>
      </c>
    </row>
    <row r="169" spans="2:9" ht="12.75">
      <c r="B169" s="20">
        <f t="shared" si="7"/>
        <v>161</v>
      </c>
      <c r="C169" s="5"/>
      <c r="D169" s="5"/>
      <c r="E169" s="5">
        <v>223003</v>
      </c>
      <c r="F169" s="5" t="s">
        <v>82</v>
      </c>
      <c r="G169" s="18">
        <v>45269</v>
      </c>
      <c r="H169" s="18"/>
      <c r="I169" s="18">
        <f t="shared" si="9"/>
        <v>45269</v>
      </c>
    </row>
    <row r="170" spans="2:9" ht="12.75">
      <c r="B170" s="20">
        <f t="shared" si="7"/>
        <v>162</v>
      </c>
      <c r="C170" s="6"/>
      <c r="D170" s="6"/>
      <c r="E170" s="120"/>
      <c r="F170" s="6" t="s">
        <v>93</v>
      </c>
      <c r="G170" s="15">
        <f>G171</f>
        <v>75331</v>
      </c>
      <c r="H170" s="15">
        <f>H171</f>
        <v>-1280</v>
      </c>
      <c r="I170" s="15">
        <f t="shared" si="9"/>
        <v>74051</v>
      </c>
    </row>
    <row r="171" spans="2:9" ht="12.75">
      <c r="B171" s="20">
        <f t="shared" si="7"/>
        <v>163</v>
      </c>
      <c r="C171" s="3">
        <v>220</v>
      </c>
      <c r="D171" s="3"/>
      <c r="E171" s="124"/>
      <c r="F171" s="3" t="s">
        <v>215</v>
      </c>
      <c r="G171" s="16">
        <f>G172</f>
        <v>75331</v>
      </c>
      <c r="H171" s="16">
        <f>H172</f>
        <v>-1280</v>
      </c>
      <c r="I171" s="16">
        <f t="shared" si="9"/>
        <v>74051</v>
      </c>
    </row>
    <row r="172" spans="2:9" ht="12.75">
      <c r="B172" s="20">
        <f t="shared" si="7"/>
        <v>164</v>
      </c>
      <c r="C172" s="24"/>
      <c r="D172" s="24">
        <v>223</v>
      </c>
      <c r="E172" s="116"/>
      <c r="F172" s="24" t="s">
        <v>243</v>
      </c>
      <c r="G172" s="63">
        <f>G175+G174+G173</f>
        <v>75331</v>
      </c>
      <c r="H172" s="63">
        <f>H175+H174+H173</f>
        <v>-1280</v>
      </c>
      <c r="I172" s="63">
        <f t="shared" si="9"/>
        <v>74051</v>
      </c>
    </row>
    <row r="173" spans="2:9" ht="12.75">
      <c r="B173" s="20">
        <f t="shared" si="7"/>
        <v>165</v>
      </c>
      <c r="C173" s="5"/>
      <c r="D173" s="5"/>
      <c r="E173" s="5">
        <v>223001</v>
      </c>
      <c r="F173" s="5" t="s">
        <v>244</v>
      </c>
      <c r="G173" s="18">
        <v>8505</v>
      </c>
      <c r="H173" s="18">
        <v>-1280</v>
      </c>
      <c r="I173" s="18">
        <f t="shared" si="9"/>
        <v>7225</v>
      </c>
    </row>
    <row r="174" spans="2:9" ht="12.75">
      <c r="B174" s="20">
        <f t="shared" si="7"/>
        <v>166</v>
      </c>
      <c r="C174" s="5"/>
      <c r="D174" s="5"/>
      <c r="E174" s="5">
        <v>223002</v>
      </c>
      <c r="F174" s="5" t="s">
        <v>81</v>
      </c>
      <c r="G174" s="18">
        <f>20738-5972</f>
        <v>14766</v>
      </c>
      <c r="H174" s="18"/>
      <c r="I174" s="18">
        <f t="shared" si="9"/>
        <v>14766</v>
      </c>
    </row>
    <row r="175" spans="2:9" ht="12.75">
      <c r="B175" s="20">
        <f t="shared" si="7"/>
        <v>167</v>
      </c>
      <c r="C175" s="5"/>
      <c r="D175" s="5"/>
      <c r="E175" s="5">
        <v>223003</v>
      </c>
      <c r="F175" s="5" t="s">
        <v>82</v>
      </c>
      <c r="G175" s="18">
        <v>52060</v>
      </c>
      <c r="H175" s="18"/>
      <c r="I175" s="18">
        <f t="shared" si="9"/>
        <v>52060</v>
      </c>
    </row>
    <row r="176" spans="2:9" ht="12.75">
      <c r="B176" s="20">
        <f t="shared" si="7"/>
        <v>168</v>
      </c>
      <c r="C176" s="6"/>
      <c r="D176" s="6"/>
      <c r="E176" s="120"/>
      <c r="F176" s="6" t="s">
        <v>102</v>
      </c>
      <c r="G176" s="15">
        <f>G177</f>
        <v>43055</v>
      </c>
      <c r="H176" s="15">
        <f>H177</f>
        <v>-1200</v>
      </c>
      <c r="I176" s="15">
        <f t="shared" si="9"/>
        <v>41855</v>
      </c>
    </row>
    <row r="177" spans="2:9" ht="12.75">
      <c r="B177" s="20">
        <f t="shared" si="7"/>
        <v>169</v>
      </c>
      <c r="C177" s="3">
        <v>220</v>
      </c>
      <c r="D177" s="3"/>
      <c r="E177" s="124"/>
      <c r="F177" s="3" t="s">
        <v>215</v>
      </c>
      <c r="G177" s="16">
        <f>G178</f>
        <v>43055</v>
      </c>
      <c r="H177" s="16">
        <f>H178</f>
        <v>-1200</v>
      </c>
      <c r="I177" s="16">
        <f t="shared" si="9"/>
        <v>41855</v>
      </c>
    </row>
    <row r="178" spans="2:9" ht="12.75">
      <c r="B178" s="20">
        <f t="shared" si="7"/>
        <v>170</v>
      </c>
      <c r="C178" s="24"/>
      <c r="D178" s="24">
        <v>223</v>
      </c>
      <c r="E178" s="116"/>
      <c r="F178" s="24" t="s">
        <v>243</v>
      </c>
      <c r="G178" s="63">
        <f>G181+G180+G179</f>
        <v>43055</v>
      </c>
      <c r="H178" s="63">
        <f>H181+H180+H179</f>
        <v>-1200</v>
      </c>
      <c r="I178" s="63">
        <f t="shared" si="9"/>
        <v>41855</v>
      </c>
    </row>
    <row r="179" spans="2:9" ht="12.75">
      <c r="B179" s="20">
        <f t="shared" si="7"/>
        <v>171</v>
      </c>
      <c r="C179" s="5"/>
      <c r="D179" s="5"/>
      <c r="E179" s="5">
        <v>223001</v>
      </c>
      <c r="F179" s="5" t="s">
        <v>244</v>
      </c>
      <c r="G179" s="18">
        <v>4599</v>
      </c>
      <c r="H179" s="18">
        <v>-1200</v>
      </c>
      <c r="I179" s="18">
        <f t="shared" si="9"/>
        <v>3399</v>
      </c>
    </row>
    <row r="180" spans="2:9" ht="12.75">
      <c r="B180" s="20">
        <f t="shared" si="7"/>
        <v>172</v>
      </c>
      <c r="C180" s="5"/>
      <c r="D180" s="5"/>
      <c r="E180" s="5">
        <v>223002</v>
      </c>
      <c r="F180" s="5" t="s">
        <v>81</v>
      </c>
      <c r="G180" s="18">
        <f>13125-3344</f>
        <v>9781</v>
      </c>
      <c r="H180" s="18"/>
      <c r="I180" s="18">
        <f t="shared" si="9"/>
        <v>9781</v>
      </c>
    </row>
    <row r="181" spans="2:9" ht="12.75">
      <c r="B181" s="20">
        <f t="shared" si="7"/>
        <v>173</v>
      </c>
      <c r="C181" s="5"/>
      <c r="D181" s="5"/>
      <c r="E181" s="5">
        <v>223003</v>
      </c>
      <c r="F181" s="5" t="s">
        <v>82</v>
      </c>
      <c r="G181" s="18">
        <v>28675</v>
      </c>
      <c r="H181" s="18"/>
      <c r="I181" s="18">
        <f t="shared" si="9"/>
        <v>28675</v>
      </c>
    </row>
    <row r="182" spans="2:9" ht="12.75">
      <c r="B182" s="20">
        <f aca="true" t="shared" si="10" ref="B182:B252">B181+1</f>
        <v>174</v>
      </c>
      <c r="C182" s="6"/>
      <c r="D182" s="6"/>
      <c r="E182" s="120"/>
      <c r="F182" s="6" t="s">
        <v>72</v>
      </c>
      <c r="G182" s="15">
        <f>G183</f>
        <v>68530</v>
      </c>
      <c r="H182" s="15">
        <f>H183</f>
        <v>-980</v>
      </c>
      <c r="I182" s="15">
        <f t="shared" si="9"/>
        <v>67550</v>
      </c>
    </row>
    <row r="183" spans="2:9" ht="12.75">
      <c r="B183" s="20">
        <f t="shared" si="10"/>
        <v>175</v>
      </c>
      <c r="C183" s="3">
        <v>220</v>
      </c>
      <c r="D183" s="3"/>
      <c r="E183" s="124"/>
      <c r="F183" s="3" t="s">
        <v>215</v>
      </c>
      <c r="G183" s="16">
        <f>G184</f>
        <v>68530</v>
      </c>
      <c r="H183" s="16">
        <f>H184</f>
        <v>-980</v>
      </c>
      <c r="I183" s="16">
        <f t="shared" si="9"/>
        <v>67550</v>
      </c>
    </row>
    <row r="184" spans="2:9" ht="12.75">
      <c r="B184" s="20">
        <f t="shared" si="10"/>
        <v>176</v>
      </c>
      <c r="C184" s="24"/>
      <c r="D184" s="24">
        <v>223</v>
      </c>
      <c r="E184" s="116"/>
      <c r="F184" s="24" t="s">
        <v>243</v>
      </c>
      <c r="G184" s="63">
        <f>G187+G186+G185</f>
        <v>68530</v>
      </c>
      <c r="H184" s="63">
        <f>H187+H186+H185</f>
        <v>-980</v>
      </c>
      <c r="I184" s="63">
        <f t="shared" si="9"/>
        <v>67550</v>
      </c>
    </row>
    <row r="185" spans="2:9" ht="12.75">
      <c r="B185" s="20">
        <f t="shared" si="10"/>
        <v>177</v>
      </c>
      <c r="C185" s="5"/>
      <c r="D185" s="5"/>
      <c r="E185" s="5">
        <v>223001</v>
      </c>
      <c r="F185" s="5" t="s">
        <v>244</v>
      </c>
      <c r="G185" s="18">
        <v>7308</v>
      </c>
      <c r="H185" s="18">
        <v>-980</v>
      </c>
      <c r="I185" s="18">
        <f t="shared" si="9"/>
        <v>6328</v>
      </c>
    </row>
    <row r="186" spans="2:9" ht="12.75">
      <c r="B186" s="20">
        <f t="shared" si="10"/>
        <v>178</v>
      </c>
      <c r="C186" s="5"/>
      <c r="D186" s="5"/>
      <c r="E186" s="5">
        <v>223002</v>
      </c>
      <c r="F186" s="5" t="s">
        <v>81</v>
      </c>
      <c r="G186" s="18">
        <f>23625-6768</f>
        <v>16857</v>
      </c>
      <c r="H186" s="18"/>
      <c r="I186" s="18">
        <f t="shared" si="9"/>
        <v>16857</v>
      </c>
    </row>
    <row r="187" spans="2:9" ht="12.75">
      <c r="B187" s="20">
        <f t="shared" si="10"/>
        <v>179</v>
      </c>
      <c r="C187" s="5"/>
      <c r="D187" s="5"/>
      <c r="E187" s="5">
        <v>223003</v>
      </c>
      <c r="F187" s="5" t="s">
        <v>82</v>
      </c>
      <c r="G187" s="18">
        <v>44365</v>
      </c>
      <c r="H187" s="18"/>
      <c r="I187" s="18">
        <f t="shared" si="9"/>
        <v>44365</v>
      </c>
    </row>
    <row r="188" spans="2:9" ht="12.75">
      <c r="B188" s="20">
        <f t="shared" si="10"/>
        <v>180</v>
      </c>
      <c r="C188" s="6"/>
      <c r="D188" s="6"/>
      <c r="E188" s="120"/>
      <c r="F188" s="6" t="s">
        <v>78</v>
      </c>
      <c r="G188" s="15">
        <f>G189</f>
        <v>65791</v>
      </c>
      <c r="H188" s="15">
        <f>H189</f>
        <v>-1200</v>
      </c>
      <c r="I188" s="15">
        <f t="shared" si="9"/>
        <v>64591</v>
      </c>
    </row>
    <row r="189" spans="2:9" ht="12.75">
      <c r="B189" s="20">
        <f t="shared" si="10"/>
        <v>181</v>
      </c>
      <c r="C189" s="3">
        <v>220</v>
      </c>
      <c r="D189" s="3"/>
      <c r="E189" s="124"/>
      <c r="F189" s="3" t="s">
        <v>215</v>
      </c>
      <c r="G189" s="16">
        <f>G190</f>
        <v>65791</v>
      </c>
      <c r="H189" s="16">
        <f>H190</f>
        <v>-1200</v>
      </c>
      <c r="I189" s="16">
        <f t="shared" si="9"/>
        <v>64591</v>
      </c>
    </row>
    <row r="190" spans="2:9" ht="12.75">
      <c r="B190" s="20">
        <f t="shared" si="10"/>
        <v>182</v>
      </c>
      <c r="C190" s="24"/>
      <c r="D190" s="24">
        <v>223</v>
      </c>
      <c r="E190" s="116"/>
      <c r="F190" s="24" t="s">
        <v>243</v>
      </c>
      <c r="G190" s="63">
        <f>G193+G192+G191</f>
        <v>65791</v>
      </c>
      <c r="H190" s="63">
        <f>H193+H192+H191</f>
        <v>-1200</v>
      </c>
      <c r="I190" s="63">
        <f t="shared" si="9"/>
        <v>64591</v>
      </c>
    </row>
    <row r="191" spans="2:9" ht="12.75">
      <c r="B191" s="20">
        <f t="shared" si="10"/>
        <v>183</v>
      </c>
      <c r="C191" s="5"/>
      <c r="D191" s="5"/>
      <c r="E191" s="5">
        <v>223001</v>
      </c>
      <c r="F191" s="5" t="s">
        <v>244</v>
      </c>
      <c r="G191" s="18">
        <v>7119</v>
      </c>
      <c r="H191" s="18">
        <v>-1200</v>
      </c>
      <c r="I191" s="18">
        <f t="shared" si="9"/>
        <v>5919</v>
      </c>
    </row>
    <row r="192" spans="2:9" ht="12.75">
      <c r="B192" s="20">
        <f t="shared" si="10"/>
        <v>184</v>
      </c>
      <c r="C192" s="5"/>
      <c r="D192" s="5"/>
      <c r="E192" s="5">
        <v>223002</v>
      </c>
      <c r="F192" s="5" t="s">
        <v>81</v>
      </c>
      <c r="G192" s="18">
        <f>20213-6131</f>
        <v>14082</v>
      </c>
      <c r="H192" s="18"/>
      <c r="I192" s="18">
        <f t="shared" si="9"/>
        <v>14082</v>
      </c>
    </row>
    <row r="193" spans="2:9" ht="12.75">
      <c r="B193" s="20">
        <f t="shared" si="10"/>
        <v>185</v>
      </c>
      <c r="C193" s="5"/>
      <c r="D193" s="5"/>
      <c r="E193" s="5">
        <v>223003</v>
      </c>
      <c r="F193" s="5" t="s">
        <v>82</v>
      </c>
      <c r="G193" s="18">
        <v>44590</v>
      </c>
      <c r="H193" s="18"/>
      <c r="I193" s="18">
        <f t="shared" si="9"/>
        <v>44590</v>
      </c>
    </row>
    <row r="194" spans="2:9" ht="12.75">
      <c r="B194" s="20">
        <f t="shared" si="10"/>
        <v>186</v>
      </c>
      <c r="C194" s="6"/>
      <c r="D194" s="6"/>
      <c r="E194" s="120"/>
      <c r="F194" s="6" t="s">
        <v>79</v>
      </c>
      <c r="G194" s="15">
        <f>G195</f>
        <v>40708</v>
      </c>
      <c r="H194" s="15">
        <f>H195</f>
        <v>-700</v>
      </c>
      <c r="I194" s="15">
        <f t="shared" si="9"/>
        <v>40008</v>
      </c>
    </row>
    <row r="195" spans="2:9" ht="12.75">
      <c r="B195" s="20">
        <f t="shared" si="10"/>
        <v>187</v>
      </c>
      <c r="C195" s="3">
        <v>220</v>
      </c>
      <c r="D195" s="3"/>
      <c r="E195" s="124"/>
      <c r="F195" s="3" t="s">
        <v>215</v>
      </c>
      <c r="G195" s="16">
        <f>G196</f>
        <v>40708</v>
      </c>
      <c r="H195" s="16">
        <f>H196</f>
        <v>-700</v>
      </c>
      <c r="I195" s="16">
        <f t="shared" si="9"/>
        <v>40008</v>
      </c>
    </row>
    <row r="196" spans="2:9" ht="12.75">
      <c r="B196" s="20">
        <f t="shared" si="10"/>
        <v>188</v>
      </c>
      <c r="C196" s="24"/>
      <c r="D196" s="24">
        <v>223</v>
      </c>
      <c r="E196" s="116"/>
      <c r="F196" s="24" t="s">
        <v>243</v>
      </c>
      <c r="G196" s="63">
        <f>G199+G198+G197</f>
        <v>40708</v>
      </c>
      <c r="H196" s="63">
        <f>H199+H198+H197</f>
        <v>-700</v>
      </c>
      <c r="I196" s="63">
        <f t="shared" si="9"/>
        <v>40008</v>
      </c>
    </row>
    <row r="197" spans="2:9" ht="12.75">
      <c r="B197" s="20">
        <f t="shared" si="10"/>
        <v>189</v>
      </c>
      <c r="C197" s="5"/>
      <c r="D197" s="5"/>
      <c r="E197" s="5">
        <v>223001</v>
      </c>
      <c r="F197" s="5" t="s">
        <v>244</v>
      </c>
      <c r="G197" s="18">
        <v>4536</v>
      </c>
      <c r="H197" s="18">
        <v>-700</v>
      </c>
      <c r="I197" s="18">
        <f t="shared" si="9"/>
        <v>3836</v>
      </c>
    </row>
    <row r="198" spans="2:9" ht="12.75">
      <c r="B198" s="20">
        <f t="shared" si="10"/>
        <v>190</v>
      </c>
      <c r="C198" s="5"/>
      <c r="D198" s="5"/>
      <c r="E198" s="5">
        <v>223002</v>
      </c>
      <c r="F198" s="5" t="s">
        <v>81</v>
      </c>
      <c r="G198" s="18">
        <f>11025-3344</f>
        <v>7681</v>
      </c>
      <c r="H198" s="18"/>
      <c r="I198" s="18">
        <f t="shared" si="9"/>
        <v>7681</v>
      </c>
    </row>
    <row r="199" spans="2:9" ht="12.75">
      <c r="B199" s="20">
        <f t="shared" si="10"/>
        <v>191</v>
      </c>
      <c r="C199" s="5"/>
      <c r="D199" s="5"/>
      <c r="E199" s="5">
        <v>223003</v>
      </c>
      <c r="F199" s="5" t="s">
        <v>82</v>
      </c>
      <c r="G199" s="18">
        <v>28491</v>
      </c>
      <c r="H199" s="18"/>
      <c r="I199" s="18">
        <f t="shared" si="9"/>
        <v>28491</v>
      </c>
    </row>
    <row r="200" spans="2:9" ht="12.75">
      <c r="B200" s="20">
        <f t="shared" si="10"/>
        <v>192</v>
      </c>
      <c r="C200" s="6"/>
      <c r="D200" s="6"/>
      <c r="E200" s="120"/>
      <c r="F200" s="6" t="s">
        <v>99</v>
      </c>
      <c r="G200" s="15">
        <f>G201</f>
        <v>19339</v>
      </c>
      <c r="H200" s="15">
        <f>H201</f>
        <v>-270</v>
      </c>
      <c r="I200" s="15">
        <f t="shared" si="9"/>
        <v>19069</v>
      </c>
    </row>
    <row r="201" spans="2:9" ht="12.75">
      <c r="B201" s="20">
        <f t="shared" si="10"/>
        <v>193</v>
      </c>
      <c r="C201" s="3">
        <v>220</v>
      </c>
      <c r="D201" s="3"/>
      <c r="E201" s="124"/>
      <c r="F201" s="3" t="s">
        <v>215</v>
      </c>
      <c r="G201" s="16">
        <f>G202</f>
        <v>19339</v>
      </c>
      <c r="H201" s="16">
        <f>H202</f>
        <v>-270</v>
      </c>
      <c r="I201" s="16">
        <f t="shared" si="9"/>
        <v>19069</v>
      </c>
    </row>
    <row r="202" spans="2:9" ht="12.75">
      <c r="B202" s="20">
        <f t="shared" si="10"/>
        <v>194</v>
      </c>
      <c r="C202" s="24"/>
      <c r="D202" s="24">
        <v>223</v>
      </c>
      <c r="E202" s="116"/>
      <c r="F202" s="24" t="s">
        <v>243</v>
      </c>
      <c r="G202" s="63">
        <f>G205+G204+G203</f>
        <v>19339</v>
      </c>
      <c r="H202" s="63">
        <f>H205+H204+H203</f>
        <v>-270</v>
      </c>
      <c r="I202" s="63">
        <f t="shared" si="9"/>
        <v>19069</v>
      </c>
    </row>
    <row r="203" spans="2:9" ht="12.75">
      <c r="B203" s="20">
        <f t="shared" si="10"/>
        <v>195</v>
      </c>
      <c r="C203" s="5"/>
      <c r="D203" s="5"/>
      <c r="E203" s="5">
        <v>223001</v>
      </c>
      <c r="F203" s="5" t="s">
        <v>244</v>
      </c>
      <c r="G203" s="18">
        <v>2142</v>
      </c>
      <c r="H203" s="18">
        <v>-270</v>
      </c>
      <c r="I203" s="18">
        <f t="shared" si="9"/>
        <v>1872</v>
      </c>
    </row>
    <row r="204" spans="2:9" ht="12.75">
      <c r="B204" s="20">
        <f t="shared" si="10"/>
        <v>196</v>
      </c>
      <c r="C204" s="5"/>
      <c r="D204" s="5"/>
      <c r="E204" s="5">
        <v>223002</v>
      </c>
      <c r="F204" s="5" t="s">
        <v>81</v>
      </c>
      <c r="G204" s="18">
        <f>4988-1513</f>
        <v>3475</v>
      </c>
      <c r="H204" s="18"/>
      <c r="I204" s="18">
        <f t="shared" si="9"/>
        <v>3475</v>
      </c>
    </row>
    <row r="205" spans="2:9" ht="12.75">
      <c r="B205" s="20">
        <f t="shared" si="10"/>
        <v>197</v>
      </c>
      <c r="C205" s="5"/>
      <c r="D205" s="5"/>
      <c r="E205" s="5">
        <v>223003</v>
      </c>
      <c r="F205" s="5" t="s">
        <v>82</v>
      </c>
      <c r="G205" s="18">
        <v>13722</v>
      </c>
      <c r="H205" s="18"/>
      <c r="I205" s="18">
        <f aca="true" t="shared" si="11" ref="I205:I271">H205+G205</f>
        <v>13722</v>
      </c>
    </row>
    <row r="206" spans="2:9" ht="12.75">
      <c r="B206" s="20">
        <f t="shared" si="10"/>
        <v>198</v>
      </c>
      <c r="C206" s="6"/>
      <c r="D206" s="6"/>
      <c r="E206" s="120"/>
      <c r="F206" s="6" t="s">
        <v>200</v>
      </c>
      <c r="G206" s="15">
        <f>G207</f>
        <v>39755</v>
      </c>
      <c r="H206" s="15">
        <f>H207</f>
        <v>-1800</v>
      </c>
      <c r="I206" s="15">
        <f t="shared" si="11"/>
        <v>37955</v>
      </c>
    </row>
    <row r="207" spans="2:9" ht="12.75">
      <c r="B207" s="20">
        <f t="shared" si="10"/>
        <v>199</v>
      </c>
      <c r="C207" s="3">
        <v>220</v>
      </c>
      <c r="D207" s="3"/>
      <c r="E207" s="124"/>
      <c r="F207" s="3" t="s">
        <v>215</v>
      </c>
      <c r="G207" s="16">
        <f>G208</f>
        <v>39755</v>
      </c>
      <c r="H207" s="16">
        <f>H208</f>
        <v>-1800</v>
      </c>
      <c r="I207" s="16">
        <f t="shared" si="11"/>
        <v>37955</v>
      </c>
    </row>
    <row r="208" spans="2:9" ht="12.75">
      <c r="B208" s="20">
        <f t="shared" si="10"/>
        <v>200</v>
      </c>
      <c r="C208" s="24"/>
      <c r="D208" s="24">
        <v>223</v>
      </c>
      <c r="E208" s="116"/>
      <c r="F208" s="24" t="s">
        <v>243</v>
      </c>
      <c r="G208" s="63">
        <f>G211+G210+G209</f>
        <v>39755</v>
      </c>
      <c r="H208" s="63">
        <f>H211+H210+H209</f>
        <v>-1800</v>
      </c>
      <c r="I208" s="63">
        <f t="shared" si="11"/>
        <v>37955</v>
      </c>
    </row>
    <row r="209" spans="2:9" ht="12.75">
      <c r="B209" s="20">
        <f t="shared" si="10"/>
        <v>201</v>
      </c>
      <c r="C209" s="5"/>
      <c r="D209" s="5"/>
      <c r="E209" s="5">
        <v>223001</v>
      </c>
      <c r="F209" s="5" t="s">
        <v>244</v>
      </c>
      <c r="G209" s="18">
        <v>5875</v>
      </c>
      <c r="H209" s="18">
        <v>-1800</v>
      </c>
      <c r="I209" s="18">
        <f t="shared" si="11"/>
        <v>4075</v>
      </c>
    </row>
    <row r="210" spans="2:9" ht="12.75">
      <c r="B210" s="20">
        <f t="shared" si="10"/>
        <v>202</v>
      </c>
      <c r="C210" s="5"/>
      <c r="D210" s="5"/>
      <c r="E210" s="5">
        <v>223002</v>
      </c>
      <c r="F210" s="5" t="s">
        <v>81</v>
      </c>
      <c r="G210" s="18">
        <f>7350-2389</f>
        <v>4961</v>
      </c>
      <c r="H210" s="18"/>
      <c r="I210" s="18">
        <f t="shared" si="11"/>
        <v>4961</v>
      </c>
    </row>
    <row r="211" spans="2:9" ht="12.75">
      <c r="B211" s="20">
        <f t="shared" si="10"/>
        <v>203</v>
      </c>
      <c r="C211" s="5"/>
      <c r="D211" s="5"/>
      <c r="E211" s="5">
        <v>223003</v>
      </c>
      <c r="F211" s="5" t="s">
        <v>82</v>
      </c>
      <c r="G211" s="18">
        <v>28919</v>
      </c>
      <c r="H211" s="18"/>
      <c r="I211" s="18">
        <f t="shared" si="11"/>
        <v>28919</v>
      </c>
    </row>
    <row r="212" spans="2:9" ht="12.75">
      <c r="B212" s="20">
        <f t="shared" si="10"/>
        <v>204</v>
      </c>
      <c r="C212" s="6"/>
      <c r="D212" s="6"/>
      <c r="E212" s="120"/>
      <c r="F212" s="6" t="s">
        <v>80</v>
      </c>
      <c r="G212" s="15">
        <f aca="true" t="shared" si="12" ref="G212:H214">G213</f>
        <v>4572</v>
      </c>
      <c r="H212" s="15">
        <f t="shared" si="12"/>
        <v>0</v>
      </c>
      <c r="I212" s="15">
        <f t="shared" si="11"/>
        <v>4572</v>
      </c>
    </row>
    <row r="213" spans="2:9" ht="12.75">
      <c r="B213" s="20">
        <f t="shared" si="10"/>
        <v>205</v>
      </c>
      <c r="C213" s="3">
        <v>220</v>
      </c>
      <c r="D213" s="3"/>
      <c r="E213" s="124"/>
      <c r="F213" s="3" t="s">
        <v>215</v>
      </c>
      <c r="G213" s="16">
        <f t="shared" si="12"/>
        <v>4572</v>
      </c>
      <c r="H213" s="16">
        <f t="shared" si="12"/>
        <v>0</v>
      </c>
      <c r="I213" s="16">
        <f t="shared" si="11"/>
        <v>4572</v>
      </c>
    </row>
    <row r="214" spans="2:9" ht="12.75">
      <c r="B214" s="20">
        <f t="shared" si="10"/>
        <v>206</v>
      </c>
      <c r="C214" s="24"/>
      <c r="D214" s="24">
        <v>223</v>
      </c>
      <c r="E214" s="116"/>
      <c r="F214" s="24" t="s">
        <v>243</v>
      </c>
      <c r="G214" s="63">
        <f t="shared" si="12"/>
        <v>4572</v>
      </c>
      <c r="H214" s="63">
        <f t="shared" si="12"/>
        <v>0</v>
      </c>
      <c r="I214" s="63">
        <f t="shared" si="11"/>
        <v>4572</v>
      </c>
    </row>
    <row r="215" spans="2:9" ht="12.75">
      <c r="B215" s="20">
        <f t="shared" si="10"/>
        <v>207</v>
      </c>
      <c r="C215" s="5"/>
      <c r="D215" s="5"/>
      <c r="E215" s="5">
        <v>223002</v>
      </c>
      <c r="F215" s="5" t="s">
        <v>81</v>
      </c>
      <c r="G215" s="18">
        <f>6563-1991</f>
        <v>4572</v>
      </c>
      <c r="H215" s="18"/>
      <c r="I215" s="18">
        <f t="shared" si="11"/>
        <v>4572</v>
      </c>
    </row>
    <row r="216" spans="2:9" ht="12.75">
      <c r="B216" s="20">
        <f t="shared" si="10"/>
        <v>208</v>
      </c>
      <c r="C216" s="6"/>
      <c r="D216" s="6"/>
      <c r="E216" s="120"/>
      <c r="F216" s="6" t="s">
        <v>103</v>
      </c>
      <c r="G216" s="15">
        <f aca="true" t="shared" si="13" ref="G216:H218">G217</f>
        <v>16164</v>
      </c>
      <c r="H216" s="15">
        <f t="shared" si="13"/>
        <v>0</v>
      </c>
      <c r="I216" s="15">
        <f t="shared" si="11"/>
        <v>16164</v>
      </c>
    </row>
    <row r="217" spans="2:9" ht="12.75">
      <c r="B217" s="20">
        <f t="shared" si="10"/>
        <v>209</v>
      </c>
      <c r="C217" s="3">
        <v>220</v>
      </c>
      <c r="D217" s="3"/>
      <c r="E217" s="124"/>
      <c r="F217" s="3" t="s">
        <v>215</v>
      </c>
      <c r="G217" s="16">
        <f t="shared" si="13"/>
        <v>16164</v>
      </c>
      <c r="H217" s="16">
        <f t="shared" si="13"/>
        <v>0</v>
      </c>
      <c r="I217" s="16">
        <f t="shared" si="11"/>
        <v>16164</v>
      </c>
    </row>
    <row r="218" spans="2:9" ht="12.75">
      <c r="B218" s="20">
        <f t="shared" si="10"/>
        <v>210</v>
      </c>
      <c r="C218" s="24"/>
      <c r="D218" s="24">
        <v>223</v>
      </c>
      <c r="E218" s="116"/>
      <c r="F218" s="24" t="s">
        <v>243</v>
      </c>
      <c r="G218" s="63">
        <f t="shared" si="13"/>
        <v>16164</v>
      </c>
      <c r="H218" s="63">
        <f t="shared" si="13"/>
        <v>0</v>
      </c>
      <c r="I218" s="63">
        <f t="shared" si="11"/>
        <v>16164</v>
      </c>
    </row>
    <row r="219" spans="2:9" ht="12.75">
      <c r="B219" s="20">
        <f t="shared" si="10"/>
        <v>211</v>
      </c>
      <c r="C219" s="5"/>
      <c r="D219" s="5"/>
      <c r="E219" s="5">
        <v>223002</v>
      </c>
      <c r="F219" s="5" t="s">
        <v>81</v>
      </c>
      <c r="G219" s="18">
        <f>23888-7724</f>
        <v>16164</v>
      </c>
      <c r="H219" s="18"/>
      <c r="I219" s="18">
        <f t="shared" si="11"/>
        <v>16164</v>
      </c>
    </row>
    <row r="220" spans="2:9" ht="12.75">
      <c r="B220" s="20">
        <f t="shared" si="10"/>
        <v>212</v>
      </c>
      <c r="C220" s="6"/>
      <c r="D220" s="6"/>
      <c r="E220" s="120"/>
      <c r="F220" s="6" t="s">
        <v>98</v>
      </c>
      <c r="G220" s="15">
        <f aca="true" t="shared" si="14" ref="G220:H222">G221</f>
        <v>4560</v>
      </c>
      <c r="H220" s="15">
        <f t="shared" si="14"/>
        <v>0</v>
      </c>
      <c r="I220" s="15">
        <f t="shared" si="11"/>
        <v>4560</v>
      </c>
    </row>
    <row r="221" spans="2:9" ht="12.75">
      <c r="B221" s="20">
        <f t="shared" si="10"/>
        <v>213</v>
      </c>
      <c r="C221" s="3">
        <v>220</v>
      </c>
      <c r="D221" s="3"/>
      <c r="E221" s="124"/>
      <c r="F221" s="3" t="s">
        <v>215</v>
      </c>
      <c r="G221" s="16">
        <f t="shared" si="14"/>
        <v>4560</v>
      </c>
      <c r="H221" s="16">
        <f t="shared" si="14"/>
        <v>0</v>
      </c>
      <c r="I221" s="16">
        <f t="shared" si="11"/>
        <v>4560</v>
      </c>
    </row>
    <row r="222" spans="2:9" ht="12.75">
      <c r="B222" s="20">
        <f t="shared" si="10"/>
        <v>214</v>
      </c>
      <c r="C222" s="24"/>
      <c r="D222" s="24">
        <v>223</v>
      </c>
      <c r="E222" s="116"/>
      <c r="F222" s="24" t="s">
        <v>243</v>
      </c>
      <c r="G222" s="63">
        <f t="shared" si="14"/>
        <v>4560</v>
      </c>
      <c r="H222" s="63">
        <f t="shared" si="14"/>
        <v>0</v>
      </c>
      <c r="I222" s="63">
        <f t="shared" si="11"/>
        <v>4560</v>
      </c>
    </row>
    <row r="223" spans="2:9" ht="12.75">
      <c r="B223" s="20">
        <f t="shared" si="10"/>
        <v>215</v>
      </c>
      <c r="C223" s="5"/>
      <c r="D223" s="5"/>
      <c r="E223" s="5">
        <v>223002</v>
      </c>
      <c r="F223" s="5" t="s">
        <v>81</v>
      </c>
      <c r="G223" s="18">
        <v>4560</v>
      </c>
      <c r="H223" s="18"/>
      <c r="I223" s="18">
        <f t="shared" si="11"/>
        <v>4560</v>
      </c>
    </row>
    <row r="224" spans="2:9" ht="12.75">
      <c r="B224" s="20">
        <f t="shared" si="10"/>
        <v>216</v>
      </c>
      <c r="C224" s="6"/>
      <c r="D224" s="6"/>
      <c r="E224" s="120"/>
      <c r="F224" s="6" t="s">
        <v>96</v>
      </c>
      <c r="G224" s="15">
        <f>G225</f>
        <v>57097</v>
      </c>
      <c r="H224" s="15">
        <f>H225</f>
        <v>0</v>
      </c>
      <c r="I224" s="15">
        <f t="shared" si="11"/>
        <v>57097</v>
      </c>
    </row>
    <row r="225" spans="2:9" ht="12.75">
      <c r="B225" s="20">
        <f t="shared" si="10"/>
        <v>217</v>
      </c>
      <c r="C225" s="3">
        <v>220</v>
      </c>
      <c r="D225" s="3"/>
      <c r="E225" s="124"/>
      <c r="F225" s="3" t="s">
        <v>215</v>
      </c>
      <c r="G225" s="16">
        <f>G226</f>
        <v>57097</v>
      </c>
      <c r="H225" s="16">
        <f>H226</f>
        <v>0</v>
      </c>
      <c r="I225" s="16">
        <f t="shared" si="11"/>
        <v>57097</v>
      </c>
    </row>
    <row r="226" spans="2:9" ht="12.75">
      <c r="B226" s="20">
        <f t="shared" si="10"/>
        <v>218</v>
      </c>
      <c r="C226" s="24"/>
      <c r="D226" s="24">
        <v>223</v>
      </c>
      <c r="E226" s="116"/>
      <c r="F226" s="24" t="s">
        <v>243</v>
      </c>
      <c r="G226" s="63">
        <f>G228+G227</f>
        <v>57097</v>
      </c>
      <c r="H226" s="63">
        <f>H228+H227</f>
        <v>0</v>
      </c>
      <c r="I226" s="63">
        <f t="shared" si="11"/>
        <v>57097</v>
      </c>
    </row>
    <row r="227" spans="2:9" ht="12.75">
      <c r="B227" s="20">
        <f t="shared" si="10"/>
        <v>219</v>
      </c>
      <c r="C227" s="5"/>
      <c r="D227" s="5"/>
      <c r="E227" s="5">
        <v>223001</v>
      </c>
      <c r="F227" s="5" t="s">
        <v>244</v>
      </c>
      <c r="G227" s="18">
        <v>7938</v>
      </c>
      <c r="H227" s="18"/>
      <c r="I227" s="18">
        <f t="shared" si="11"/>
        <v>7938</v>
      </c>
    </row>
    <row r="228" spans="2:9" ht="12.75">
      <c r="B228" s="20">
        <f t="shared" si="10"/>
        <v>220</v>
      </c>
      <c r="C228" s="5"/>
      <c r="D228" s="5"/>
      <c r="E228" s="5">
        <v>223003</v>
      </c>
      <c r="F228" s="5" t="s">
        <v>82</v>
      </c>
      <c r="G228" s="18">
        <v>49159</v>
      </c>
      <c r="H228" s="18"/>
      <c r="I228" s="18">
        <f t="shared" si="11"/>
        <v>49159</v>
      </c>
    </row>
    <row r="229" spans="2:9" ht="12.75">
      <c r="B229" s="20">
        <f t="shared" si="10"/>
        <v>221</v>
      </c>
      <c r="C229" s="6"/>
      <c r="D229" s="6"/>
      <c r="E229" s="120"/>
      <c r="F229" s="6" t="s">
        <v>97</v>
      </c>
      <c r="G229" s="15">
        <f>G230+G233</f>
        <v>7326</v>
      </c>
      <c r="H229" s="15">
        <f>H230+H233</f>
        <v>11950</v>
      </c>
      <c r="I229" s="15">
        <f t="shared" si="11"/>
        <v>19276</v>
      </c>
    </row>
    <row r="230" spans="2:9" ht="12.75">
      <c r="B230" s="20">
        <f t="shared" si="10"/>
        <v>222</v>
      </c>
      <c r="C230" s="3">
        <v>210</v>
      </c>
      <c r="D230" s="3"/>
      <c r="E230" s="124"/>
      <c r="F230" s="3" t="s">
        <v>240</v>
      </c>
      <c r="G230" s="16">
        <f>G231</f>
        <v>4769</v>
      </c>
      <c r="H230" s="16">
        <f>H231</f>
        <v>0</v>
      </c>
      <c r="I230" s="16">
        <f t="shared" si="11"/>
        <v>4769</v>
      </c>
    </row>
    <row r="231" spans="2:9" ht="12.75">
      <c r="B231" s="20">
        <f t="shared" si="10"/>
        <v>223</v>
      </c>
      <c r="C231" s="24"/>
      <c r="D231" s="24">
        <v>212</v>
      </c>
      <c r="E231" s="116"/>
      <c r="F231" s="24" t="s">
        <v>241</v>
      </c>
      <c r="G231" s="63">
        <f>G232</f>
        <v>4769</v>
      </c>
      <c r="H231" s="63">
        <f>H232</f>
        <v>0</v>
      </c>
      <c r="I231" s="63">
        <f t="shared" si="11"/>
        <v>4769</v>
      </c>
    </row>
    <row r="232" spans="2:9" ht="12.75">
      <c r="B232" s="20">
        <f t="shared" si="10"/>
        <v>224</v>
      </c>
      <c r="C232" s="5"/>
      <c r="D232" s="5"/>
      <c r="E232" s="5">
        <v>212003</v>
      </c>
      <c r="F232" s="5" t="s">
        <v>242</v>
      </c>
      <c r="G232" s="18">
        <v>4769</v>
      </c>
      <c r="H232" s="18"/>
      <c r="I232" s="18">
        <f t="shared" si="11"/>
        <v>4769</v>
      </c>
    </row>
    <row r="233" spans="2:9" ht="12.75">
      <c r="B233" s="20">
        <f t="shared" si="10"/>
        <v>225</v>
      </c>
      <c r="C233" s="3">
        <v>290</v>
      </c>
      <c r="D233" s="3"/>
      <c r="E233" s="124"/>
      <c r="F233" s="3" t="s">
        <v>169</v>
      </c>
      <c r="G233" s="16">
        <f>G234</f>
        <v>2557</v>
      </c>
      <c r="H233" s="16">
        <f>H234</f>
        <v>11950</v>
      </c>
      <c r="I233" s="16">
        <f t="shared" si="11"/>
        <v>14507</v>
      </c>
    </row>
    <row r="234" spans="2:9" ht="12.75">
      <c r="B234" s="20">
        <f t="shared" si="10"/>
        <v>226</v>
      </c>
      <c r="C234" s="24"/>
      <c r="D234" s="24">
        <v>292</v>
      </c>
      <c r="E234" s="116"/>
      <c r="F234" s="24" t="s">
        <v>170</v>
      </c>
      <c r="G234" s="63">
        <f>G237+G236</f>
        <v>2557</v>
      </c>
      <c r="H234" s="63">
        <f>H235</f>
        <v>11950</v>
      </c>
      <c r="I234" s="63">
        <f t="shared" si="11"/>
        <v>14507</v>
      </c>
    </row>
    <row r="235" spans="2:9" ht="12.75">
      <c r="B235" s="20">
        <f t="shared" si="10"/>
        <v>227</v>
      </c>
      <c r="C235" s="24"/>
      <c r="D235" s="24"/>
      <c r="E235" s="5">
        <v>292012</v>
      </c>
      <c r="F235" s="5" t="s">
        <v>227</v>
      </c>
      <c r="G235" s="18">
        <v>0</v>
      </c>
      <c r="H235" s="18">
        <v>11950</v>
      </c>
      <c r="I235" s="18">
        <f>H235+G235</f>
        <v>11950</v>
      </c>
    </row>
    <row r="236" spans="2:9" ht="12.75">
      <c r="B236" s="20">
        <f t="shared" si="10"/>
        <v>228</v>
      </c>
      <c r="C236" s="24"/>
      <c r="D236" s="24"/>
      <c r="E236" s="5">
        <v>292017</v>
      </c>
      <c r="F236" s="5" t="s">
        <v>228</v>
      </c>
      <c r="G236" s="18">
        <v>856</v>
      </c>
      <c r="H236" s="18"/>
      <c r="I236" s="18">
        <f t="shared" si="11"/>
        <v>856</v>
      </c>
    </row>
    <row r="237" spans="2:9" ht="13.5" thickBot="1">
      <c r="B237" s="20">
        <f t="shared" si="10"/>
        <v>229</v>
      </c>
      <c r="C237" s="5"/>
      <c r="D237" s="5"/>
      <c r="E237" s="5">
        <v>292019</v>
      </c>
      <c r="F237" s="5" t="s">
        <v>229</v>
      </c>
      <c r="G237" s="18">
        <v>1701</v>
      </c>
      <c r="H237" s="18"/>
      <c r="I237" s="18">
        <f t="shared" si="11"/>
        <v>1701</v>
      </c>
    </row>
    <row r="238" spans="2:9" ht="15.75" thickBot="1">
      <c r="B238" s="20">
        <f t="shared" si="10"/>
        <v>230</v>
      </c>
      <c r="C238" s="64">
        <v>5</v>
      </c>
      <c r="D238" s="64"/>
      <c r="E238" s="123"/>
      <c r="F238" s="64" t="s">
        <v>104</v>
      </c>
      <c r="G238" s="65">
        <f>G239+G246+G254+G258+G265+G274+G283+G289+G294+G242</f>
        <v>1138806</v>
      </c>
      <c r="H238" s="65">
        <f>H239+H246+H254+H258+H265+H274+H283+H289+H294+H242</f>
        <v>-41335</v>
      </c>
      <c r="I238" s="65">
        <f t="shared" si="11"/>
        <v>1097471</v>
      </c>
    </row>
    <row r="239" spans="2:9" ht="12.75">
      <c r="B239" s="20">
        <f t="shared" si="10"/>
        <v>231</v>
      </c>
      <c r="C239" s="3">
        <v>220</v>
      </c>
      <c r="D239" s="3"/>
      <c r="E239" s="124"/>
      <c r="F239" s="3" t="s">
        <v>215</v>
      </c>
      <c r="G239" s="16">
        <f>G240</f>
        <v>1220</v>
      </c>
      <c r="H239" s="16">
        <f>H240</f>
        <v>0</v>
      </c>
      <c r="I239" s="16">
        <f t="shared" si="11"/>
        <v>1220</v>
      </c>
    </row>
    <row r="240" spans="2:9" ht="12.75">
      <c r="B240" s="20">
        <f t="shared" si="10"/>
        <v>232</v>
      </c>
      <c r="C240" s="24"/>
      <c r="D240" s="24">
        <v>223</v>
      </c>
      <c r="E240" s="116"/>
      <c r="F240" s="24" t="s">
        <v>243</v>
      </c>
      <c r="G240" s="63">
        <f>G241</f>
        <v>1220</v>
      </c>
      <c r="H240" s="63">
        <f>H241</f>
        <v>0</v>
      </c>
      <c r="I240" s="63">
        <f t="shared" si="11"/>
        <v>1220</v>
      </c>
    </row>
    <row r="241" spans="2:9" ht="12.75">
      <c r="B241" s="20">
        <f t="shared" si="10"/>
        <v>233</v>
      </c>
      <c r="C241" s="5"/>
      <c r="D241" s="5"/>
      <c r="E241" s="5">
        <v>223001</v>
      </c>
      <c r="F241" s="5" t="s">
        <v>449</v>
      </c>
      <c r="G241" s="18">
        <v>1220</v>
      </c>
      <c r="H241" s="18"/>
      <c r="I241" s="18">
        <f t="shared" si="11"/>
        <v>1220</v>
      </c>
    </row>
    <row r="242" spans="2:9" ht="12.75">
      <c r="B242" s="20">
        <f t="shared" si="10"/>
        <v>234</v>
      </c>
      <c r="C242" s="3">
        <v>290</v>
      </c>
      <c r="D242" s="3"/>
      <c r="E242" s="124"/>
      <c r="F242" s="3" t="s">
        <v>169</v>
      </c>
      <c r="G242" s="16">
        <f>G243</f>
        <v>5206</v>
      </c>
      <c r="H242" s="16">
        <f>H243</f>
        <v>665</v>
      </c>
      <c r="I242" s="16">
        <f t="shared" si="11"/>
        <v>5871</v>
      </c>
    </row>
    <row r="243" spans="2:9" ht="12.75">
      <c r="B243" s="20">
        <f t="shared" si="10"/>
        <v>235</v>
      </c>
      <c r="C243" s="4"/>
      <c r="D243" s="4">
        <v>292</v>
      </c>
      <c r="E243" s="116"/>
      <c r="F243" s="4" t="s">
        <v>170</v>
      </c>
      <c r="G243" s="17">
        <f>G244</f>
        <v>5206</v>
      </c>
      <c r="H243" s="17">
        <f>SUM(H244:H245)</f>
        <v>665</v>
      </c>
      <c r="I243" s="17">
        <f t="shared" si="11"/>
        <v>5871</v>
      </c>
    </row>
    <row r="244" spans="2:9" ht="12.75">
      <c r="B244" s="20">
        <f t="shared" si="10"/>
        <v>236</v>
      </c>
      <c r="C244" s="4"/>
      <c r="D244" s="4"/>
      <c r="E244" s="5">
        <v>292012</v>
      </c>
      <c r="F244" s="5" t="s">
        <v>227</v>
      </c>
      <c r="G244" s="18">
        <v>5206</v>
      </c>
      <c r="H244" s="18"/>
      <c r="I244" s="18">
        <f t="shared" si="11"/>
        <v>5206</v>
      </c>
    </row>
    <row r="245" spans="2:9" ht="12.75">
      <c r="B245" s="20">
        <f t="shared" si="10"/>
        <v>237</v>
      </c>
      <c r="C245" s="4"/>
      <c r="D245" s="4"/>
      <c r="E245" s="5">
        <v>292027</v>
      </c>
      <c r="F245" s="5" t="s">
        <v>656</v>
      </c>
      <c r="G245" s="18">
        <v>0</v>
      </c>
      <c r="H245" s="18">
        <v>665</v>
      </c>
      <c r="I245" s="18">
        <f t="shared" si="11"/>
        <v>665</v>
      </c>
    </row>
    <row r="246" spans="2:9" ht="12.75">
      <c r="B246" s="20">
        <f t="shared" si="10"/>
        <v>238</v>
      </c>
      <c r="C246" s="6"/>
      <c r="D246" s="6"/>
      <c r="E246" s="120"/>
      <c r="F246" s="6" t="s">
        <v>83</v>
      </c>
      <c r="G246" s="15">
        <f>G247</f>
        <v>120600</v>
      </c>
      <c r="H246" s="15">
        <f>H247</f>
        <v>-42000</v>
      </c>
      <c r="I246" s="15">
        <f t="shared" si="11"/>
        <v>78600</v>
      </c>
    </row>
    <row r="247" spans="2:9" ht="12.75">
      <c r="B247" s="20">
        <f t="shared" si="10"/>
        <v>239</v>
      </c>
      <c r="C247" s="3">
        <v>220</v>
      </c>
      <c r="D247" s="3"/>
      <c r="E247" s="124"/>
      <c r="F247" s="3" t="s">
        <v>215</v>
      </c>
      <c r="G247" s="16">
        <f>G248</f>
        <v>120600</v>
      </c>
      <c r="H247" s="16">
        <f>H248</f>
        <v>-42000</v>
      </c>
      <c r="I247" s="16">
        <f t="shared" si="11"/>
        <v>78600</v>
      </c>
    </row>
    <row r="248" spans="2:9" ht="12.75">
      <c r="B248" s="20">
        <f t="shared" si="10"/>
        <v>240</v>
      </c>
      <c r="C248" s="24"/>
      <c r="D248" s="24">
        <v>223</v>
      </c>
      <c r="E248" s="116"/>
      <c r="F248" s="24" t="s">
        <v>243</v>
      </c>
      <c r="G248" s="63">
        <f>SUM(G250:G253)</f>
        <v>120600</v>
      </c>
      <c r="H248" s="63">
        <f>SUM(H249:H253)</f>
        <v>-42000</v>
      </c>
      <c r="I248" s="63">
        <f t="shared" si="11"/>
        <v>78600</v>
      </c>
    </row>
    <row r="249" spans="2:9" ht="12.75">
      <c r="B249" s="20">
        <f t="shared" si="10"/>
        <v>241</v>
      </c>
      <c r="C249" s="24"/>
      <c r="D249" s="24"/>
      <c r="E249" s="5">
        <v>223001</v>
      </c>
      <c r="F249" s="5" t="s">
        <v>655</v>
      </c>
      <c r="G249" s="18">
        <v>0</v>
      </c>
      <c r="H249" s="18">
        <f>30000-14000</f>
        <v>16000</v>
      </c>
      <c r="I249" s="18">
        <f>H249+G249</f>
        <v>16000</v>
      </c>
    </row>
    <row r="250" spans="2:9" ht="12.75">
      <c r="B250" s="20">
        <f t="shared" si="10"/>
        <v>242</v>
      </c>
      <c r="C250" s="5"/>
      <c r="D250" s="5"/>
      <c r="E250" s="5">
        <v>223002</v>
      </c>
      <c r="F250" s="5" t="s">
        <v>81</v>
      </c>
      <c r="G250" s="18">
        <f>74750+30000</f>
        <v>104750</v>
      </c>
      <c r="H250" s="18">
        <f>-30000-25000</f>
        <v>-55000</v>
      </c>
      <c r="I250" s="18">
        <f t="shared" si="11"/>
        <v>49750</v>
      </c>
    </row>
    <row r="251" spans="2:9" ht="12.75">
      <c r="B251" s="20">
        <f t="shared" si="10"/>
        <v>243</v>
      </c>
      <c r="C251" s="5"/>
      <c r="D251" s="5"/>
      <c r="E251" s="5">
        <v>223003</v>
      </c>
      <c r="F251" s="5" t="s">
        <v>326</v>
      </c>
      <c r="G251" s="18">
        <v>8250</v>
      </c>
      <c r="H251" s="18">
        <v>-3000</v>
      </c>
      <c r="I251" s="18">
        <f t="shared" si="11"/>
        <v>5250</v>
      </c>
    </row>
    <row r="252" spans="2:9" ht="12.75">
      <c r="B252" s="20">
        <f t="shared" si="10"/>
        <v>244</v>
      </c>
      <c r="C252" s="5"/>
      <c r="D252" s="5"/>
      <c r="E252" s="5">
        <v>223003</v>
      </c>
      <c r="F252" s="5" t="s">
        <v>325</v>
      </c>
      <c r="G252" s="18">
        <v>6600</v>
      </c>
      <c r="H252" s="18"/>
      <c r="I252" s="18">
        <f t="shared" si="11"/>
        <v>6600</v>
      </c>
    </row>
    <row r="253" spans="2:9" ht="12.75">
      <c r="B253" s="20">
        <f>B252+1</f>
        <v>245</v>
      </c>
      <c r="C253" s="5"/>
      <c r="D253" s="5"/>
      <c r="E253" s="5">
        <v>223003</v>
      </c>
      <c r="F253" s="5" t="s">
        <v>324</v>
      </c>
      <c r="G253" s="18">
        <v>1000</v>
      </c>
      <c r="H253" s="18"/>
      <c r="I253" s="18">
        <f t="shared" si="11"/>
        <v>1000</v>
      </c>
    </row>
    <row r="254" spans="2:9" ht="12.75">
      <c r="B254" s="20">
        <f aca="true" t="shared" si="15" ref="B254:B296">B253+1</f>
        <v>246</v>
      </c>
      <c r="C254" s="6"/>
      <c r="D254" s="6"/>
      <c r="E254" s="120"/>
      <c r="F254" s="6" t="s">
        <v>105</v>
      </c>
      <c r="G254" s="15">
        <f aca="true" t="shared" si="16" ref="G254:H256">G255</f>
        <v>2600</v>
      </c>
      <c r="H254" s="15">
        <f t="shared" si="16"/>
        <v>0</v>
      </c>
      <c r="I254" s="15">
        <f t="shared" si="11"/>
        <v>2600</v>
      </c>
    </row>
    <row r="255" spans="2:9" ht="12.75">
      <c r="B255" s="20">
        <f t="shared" si="15"/>
        <v>247</v>
      </c>
      <c r="C255" s="3">
        <v>220</v>
      </c>
      <c r="D255" s="3"/>
      <c r="E255" s="124"/>
      <c r="F255" s="3" t="s">
        <v>215</v>
      </c>
      <c r="G255" s="16">
        <f t="shared" si="16"/>
        <v>2600</v>
      </c>
      <c r="H255" s="16">
        <f t="shared" si="16"/>
        <v>0</v>
      </c>
      <c r="I255" s="16">
        <f t="shared" si="11"/>
        <v>2600</v>
      </c>
    </row>
    <row r="256" spans="2:9" ht="12.75">
      <c r="B256" s="20">
        <f t="shared" si="15"/>
        <v>248</v>
      </c>
      <c r="C256" s="24"/>
      <c r="D256" s="24">
        <v>223</v>
      </c>
      <c r="E256" s="116"/>
      <c r="F256" s="24" t="s">
        <v>243</v>
      </c>
      <c r="G256" s="63">
        <f t="shared" si="16"/>
        <v>2600</v>
      </c>
      <c r="H256" s="63">
        <f t="shared" si="16"/>
        <v>0</v>
      </c>
      <c r="I256" s="63">
        <f t="shared" si="11"/>
        <v>2600</v>
      </c>
    </row>
    <row r="257" spans="2:9" ht="12.75">
      <c r="B257" s="20">
        <f t="shared" si="15"/>
        <v>249</v>
      </c>
      <c r="C257" s="5"/>
      <c r="D257" s="5"/>
      <c r="E257" s="5">
        <v>223001</v>
      </c>
      <c r="F257" s="5" t="s">
        <v>244</v>
      </c>
      <c r="G257" s="18">
        <v>2600</v>
      </c>
      <c r="H257" s="18"/>
      <c r="I257" s="18">
        <f t="shared" si="11"/>
        <v>2600</v>
      </c>
    </row>
    <row r="258" spans="2:9" ht="12.75">
      <c r="B258" s="20">
        <f t="shared" si="15"/>
        <v>250</v>
      </c>
      <c r="C258" s="6"/>
      <c r="D258" s="6"/>
      <c r="E258" s="120"/>
      <c r="F258" s="6" t="s">
        <v>443</v>
      </c>
      <c r="G258" s="15">
        <f>G262+G259</f>
        <v>11400</v>
      </c>
      <c r="H258" s="15">
        <f>H262+H259</f>
        <v>0</v>
      </c>
      <c r="I258" s="15">
        <f t="shared" si="11"/>
        <v>11400</v>
      </c>
    </row>
    <row r="259" spans="2:9" ht="12.75">
      <c r="B259" s="20">
        <f t="shared" si="15"/>
        <v>251</v>
      </c>
      <c r="C259" s="3">
        <v>210</v>
      </c>
      <c r="D259" s="3"/>
      <c r="E259" s="124"/>
      <c r="F259" s="3" t="s">
        <v>240</v>
      </c>
      <c r="G259" s="16">
        <f>G260</f>
        <v>3600</v>
      </c>
      <c r="H259" s="16">
        <f>H260</f>
        <v>0</v>
      </c>
      <c r="I259" s="16">
        <f t="shared" si="11"/>
        <v>3600</v>
      </c>
    </row>
    <row r="260" spans="2:9" ht="12.75">
      <c r="B260" s="20">
        <f t="shared" si="15"/>
        <v>252</v>
      </c>
      <c r="C260" s="24"/>
      <c r="D260" s="24">
        <v>212</v>
      </c>
      <c r="E260" s="116"/>
      <c r="F260" s="24" t="s">
        <v>241</v>
      </c>
      <c r="G260" s="63">
        <f>G261</f>
        <v>3600</v>
      </c>
      <c r="H260" s="63">
        <f>H261</f>
        <v>0</v>
      </c>
      <c r="I260" s="63">
        <f t="shared" si="11"/>
        <v>3600</v>
      </c>
    </row>
    <row r="261" spans="2:9" ht="12.75">
      <c r="B261" s="20">
        <f t="shared" si="15"/>
        <v>253</v>
      </c>
      <c r="C261" s="5"/>
      <c r="D261" s="5"/>
      <c r="E261" s="5">
        <v>212003</v>
      </c>
      <c r="F261" s="5" t="s">
        <v>242</v>
      </c>
      <c r="G261" s="18">
        <v>3600</v>
      </c>
      <c r="H261" s="18"/>
      <c r="I261" s="18">
        <f t="shared" si="11"/>
        <v>3600</v>
      </c>
    </row>
    <row r="262" spans="2:9" ht="12.75">
      <c r="B262" s="20">
        <f t="shared" si="15"/>
        <v>254</v>
      </c>
      <c r="C262" s="3">
        <v>220</v>
      </c>
      <c r="D262" s="3"/>
      <c r="E262" s="124"/>
      <c r="F262" s="3" t="s">
        <v>215</v>
      </c>
      <c r="G262" s="16">
        <f>G263</f>
        <v>7800</v>
      </c>
      <c r="H262" s="16">
        <f>H263</f>
        <v>0</v>
      </c>
      <c r="I262" s="16">
        <f t="shared" si="11"/>
        <v>7800</v>
      </c>
    </row>
    <row r="263" spans="2:9" ht="12.75">
      <c r="B263" s="20">
        <f t="shared" si="15"/>
        <v>255</v>
      </c>
      <c r="C263" s="24"/>
      <c r="D263" s="24">
        <v>223</v>
      </c>
      <c r="E263" s="116"/>
      <c r="F263" s="24" t="s">
        <v>243</v>
      </c>
      <c r="G263" s="63">
        <f>G264</f>
        <v>7800</v>
      </c>
      <c r="H263" s="63">
        <f>H264</f>
        <v>0</v>
      </c>
      <c r="I263" s="63">
        <f t="shared" si="11"/>
        <v>7800</v>
      </c>
    </row>
    <row r="264" spans="2:9" ht="12.75">
      <c r="B264" s="20">
        <f t="shared" si="15"/>
        <v>256</v>
      </c>
      <c r="C264" s="5"/>
      <c r="D264" s="5"/>
      <c r="E264" s="5">
        <v>223001</v>
      </c>
      <c r="F264" s="5" t="s">
        <v>442</v>
      </c>
      <c r="G264" s="18">
        <v>7800</v>
      </c>
      <c r="H264" s="18"/>
      <c r="I264" s="18">
        <f t="shared" si="11"/>
        <v>7800</v>
      </c>
    </row>
    <row r="265" spans="2:9" ht="12.75">
      <c r="B265" s="20">
        <f t="shared" si="15"/>
        <v>257</v>
      </c>
      <c r="C265" s="6"/>
      <c r="D265" s="6"/>
      <c r="E265" s="120"/>
      <c r="F265" s="6" t="s">
        <v>71</v>
      </c>
      <c r="G265" s="15">
        <f>G269+G266</f>
        <v>246600</v>
      </c>
      <c r="H265" s="15">
        <f>H269+H266</f>
        <v>0</v>
      </c>
      <c r="I265" s="15">
        <f t="shared" si="11"/>
        <v>246600</v>
      </c>
    </row>
    <row r="266" spans="2:9" ht="12.75">
      <c r="B266" s="20">
        <f t="shared" si="15"/>
        <v>258</v>
      </c>
      <c r="C266" s="3">
        <v>210</v>
      </c>
      <c r="D266" s="3"/>
      <c r="E266" s="124"/>
      <c r="F266" s="3" t="s">
        <v>240</v>
      </c>
      <c r="G266" s="16">
        <f>G267</f>
        <v>500</v>
      </c>
      <c r="H266" s="16">
        <f>H267</f>
        <v>0</v>
      </c>
      <c r="I266" s="16">
        <f t="shared" si="11"/>
        <v>500</v>
      </c>
    </row>
    <row r="267" spans="2:9" ht="12.75">
      <c r="B267" s="20">
        <f t="shared" si="15"/>
        <v>259</v>
      </c>
      <c r="C267" s="24"/>
      <c r="D267" s="24">
        <v>212</v>
      </c>
      <c r="E267" s="116"/>
      <c r="F267" s="24" t="s">
        <v>241</v>
      </c>
      <c r="G267" s="63">
        <f>G268</f>
        <v>500</v>
      </c>
      <c r="H267" s="63">
        <f>H268</f>
        <v>0</v>
      </c>
      <c r="I267" s="63">
        <f t="shared" si="11"/>
        <v>500</v>
      </c>
    </row>
    <row r="268" spans="2:9" ht="12.75">
      <c r="B268" s="20">
        <f t="shared" si="15"/>
        <v>260</v>
      </c>
      <c r="C268" s="5"/>
      <c r="D268" s="5"/>
      <c r="E268" s="5">
        <v>212003</v>
      </c>
      <c r="F268" s="5" t="s">
        <v>242</v>
      </c>
      <c r="G268" s="18">
        <v>500</v>
      </c>
      <c r="H268" s="18"/>
      <c r="I268" s="18">
        <f t="shared" si="11"/>
        <v>500</v>
      </c>
    </row>
    <row r="269" spans="2:9" ht="12.75">
      <c r="B269" s="20">
        <f t="shared" si="15"/>
        <v>261</v>
      </c>
      <c r="C269" s="3">
        <v>220</v>
      </c>
      <c r="D269" s="3"/>
      <c r="E269" s="124"/>
      <c r="F269" s="3" t="s">
        <v>215</v>
      </c>
      <c r="G269" s="16">
        <f>G270</f>
        <v>246100</v>
      </c>
      <c r="H269" s="16">
        <f>H270</f>
        <v>0</v>
      </c>
      <c r="I269" s="16">
        <f t="shared" si="11"/>
        <v>246100</v>
      </c>
    </row>
    <row r="270" spans="2:9" ht="12.75">
      <c r="B270" s="20">
        <f t="shared" si="15"/>
        <v>262</v>
      </c>
      <c r="C270" s="24"/>
      <c r="D270" s="24">
        <v>223</v>
      </c>
      <c r="E270" s="116"/>
      <c r="F270" s="24" t="s">
        <v>243</v>
      </c>
      <c r="G270" s="63">
        <f>SUM(G271:G273)</f>
        <v>246100</v>
      </c>
      <c r="H270" s="63">
        <f>SUM(H271:H273)</f>
        <v>0</v>
      </c>
      <c r="I270" s="63">
        <f t="shared" si="11"/>
        <v>246100</v>
      </c>
    </row>
    <row r="271" spans="2:9" ht="12.75">
      <c r="B271" s="20">
        <f t="shared" si="15"/>
        <v>263</v>
      </c>
      <c r="C271" s="5"/>
      <c r="D271" s="5"/>
      <c r="E271" s="5">
        <v>223001</v>
      </c>
      <c r="F271" s="5" t="s">
        <v>444</v>
      </c>
      <c r="G271" s="18">
        <v>31050</v>
      </c>
      <c r="H271" s="18"/>
      <c r="I271" s="18">
        <f t="shared" si="11"/>
        <v>31050</v>
      </c>
    </row>
    <row r="272" spans="2:9" ht="12.75">
      <c r="B272" s="20">
        <f t="shared" si="15"/>
        <v>264</v>
      </c>
      <c r="C272" s="5"/>
      <c r="D272" s="5"/>
      <c r="E272" s="5">
        <v>223001</v>
      </c>
      <c r="F272" s="5" t="s">
        <v>442</v>
      </c>
      <c r="G272" s="18">
        <v>128800</v>
      </c>
      <c r="H272" s="18"/>
      <c r="I272" s="18">
        <f aca="true" t="shared" si="17" ref="I272:I335">H272+G272</f>
        <v>128800</v>
      </c>
    </row>
    <row r="273" spans="2:9" ht="12.75">
      <c r="B273" s="20">
        <f t="shared" si="15"/>
        <v>265</v>
      </c>
      <c r="C273" s="5"/>
      <c r="D273" s="5"/>
      <c r="E273" s="5">
        <v>223001</v>
      </c>
      <c r="F273" s="5" t="s">
        <v>445</v>
      </c>
      <c r="G273" s="18">
        <v>86250</v>
      </c>
      <c r="H273" s="18"/>
      <c r="I273" s="18">
        <f t="shared" si="17"/>
        <v>86250</v>
      </c>
    </row>
    <row r="274" spans="2:9" ht="12.75">
      <c r="B274" s="20">
        <f t="shared" si="15"/>
        <v>266</v>
      </c>
      <c r="C274" s="6"/>
      <c r="D274" s="6"/>
      <c r="E274" s="120"/>
      <c r="F274" s="6" t="s">
        <v>447</v>
      </c>
      <c r="G274" s="15">
        <f>G278+G275</f>
        <v>300600</v>
      </c>
      <c r="H274" s="15">
        <f>H278+H275</f>
        <v>0</v>
      </c>
      <c r="I274" s="15">
        <f t="shared" si="17"/>
        <v>300600</v>
      </c>
    </row>
    <row r="275" spans="2:9" ht="12.75">
      <c r="B275" s="20">
        <f t="shared" si="15"/>
        <v>267</v>
      </c>
      <c r="C275" s="3">
        <v>210</v>
      </c>
      <c r="D275" s="3"/>
      <c r="E275" s="124"/>
      <c r="F275" s="3" t="s">
        <v>240</v>
      </c>
      <c r="G275" s="16">
        <f>G276</f>
        <v>400</v>
      </c>
      <c r="H275" s="16">
        <f>H276</f>
        <v>0</v>
      </c>
      <c r="I275" s="16">
        <f t="shared" si="17"/>
        <v>400</v>
      </c>
    </row>
    <row r="276" spans="2:9" ht="12.75">
      <c r="B276" s="20">
        <f t="shared" si="15"/>
        <v>268</v>
      </c>
      <c r="C276" s="24"/>
      <c r="D276" s="24">
        <v>212</v>
      </c>
      <c r="E276" s="116"/>
      <c r="F276" s="24" t="s">
        <v>241</v>
      </c>
      <c r="G276" s="63">
        <f>G277</f>
        <v>400</v>
      </c>
      <c r="H276" s="63">
        <f>H277</f>
        <v>0</v>
      </c>
      <c r="I276" s="63">
        <f t="shared" si="17"/>
        <v>400</v>
      </c>
    </row>
    <row r="277" spans="2:9" ht="12.75">
      <c r="B277" s="20">
        <f t="shared" si="15"/>
        <v>269</v>
      </c>
      <c r="C277" s="5"/>
      <c r="D277" s="5"/>
      <c r="E277" s="5">
        <v>212003</v>
      </c>
      <c r="F277" s="5" t="s">
        <v>242</v>
      </c>
      <c r="G277" s="18">
        <v>400</v>
      </c>
      <c r="H277" s="18"/>
      <c r="I277" s="18">
        <f t="shared" si="17"/>
        <v>400</v>
      </c>
    </row>
    <row r="278" spans="2:9" ht="12.75">
      <c r="B278" s="20">
        <f t="shared" si="15"/>
        <v>270</v>
      </c>
      <c r="C278" s="3">
        <v>220</v>
      </c>
      <c r="D278" s="3"/>
      <c r="E278" s="124"/>
      <c r="F278" s="3" t="s">
        <v>215</v>
      </c>
      <c r="G278" s="16">
        <f>G279</f>
        <v>300200</v>
      </c>
      <c r="H278" s="16">
        <f>H279</f>
        <v>0</v>
      </c>
      <c r="I278" s="16">
        <f t="shared" si="17"/>
        <v>300200</v>
      </c>
    </row>
    <row r="279" spans="2:9" ht="12.75">
      <c r="B279" s="20">
        <f t="shared" si="15"/>
        <v>271</v>
      </c>
      <c r="C279" s="24"/>
      <c r="D279" s="24">
        <v>223</v>
      </c>
      <c r="E279" s="116"/>
      <c r="F279" s="24" t="s">
        <v>243</v>
      </c>
      <c r="G279" s="63">
        <f>SUM(G280:G282)</f>
        <v>300200</v>
      </c>
      <c r="H279" s="63">
        <f>SUM(H280:H282)</f>
        <v>0</v>
      </c>
      <c r="I279" s="63">
        <f t="shared" si="17"/>
        <v>300200</v>
      </c>
    </row>
    <row r="280" spans="2:9" ht="12.75">
      <c r="B280" s="20">
        <f t="shared" si="15"/>
        <v>272</v>
      </c>
      <c r="C280" s="5"/>
      <c r="D280" s="5"/>
      <c r="E280" s="5">
        <v>223001</v>
      </c>
      <c r="F280" s="5" t="s">
        <v>442</v>
      </c>
      <c r="G280" s="18">
        <v>98900</v>
      </c>
      <c r="H280" s="18"/>
      <c r="I280" s="18">
        <f t="shared" si="17"/>
        <v>98900</v>
      </c>
    </row>
    <row r="281" spans="2:9" ht="12.75">
      <c r="B281" s="20">
        <f t="shared" si="15"/>
        <v>273</v>
      </c>
      <c r="C281" s="5"/>
      <c r="D281" s="5"/>
      <c r="E281" s="5">
        <v>223001</v>
      </c>
      <c r="F281" s="5" t="s">
        <v>446</v>
      </c>
      <c r="G281" s="18">
        <v>57500</v>
      </c>
      <c r="H281" s="18"/>
      <c r="I281" s="18">
        <f t="shared" si="17"/>
        <v>57500</v>
      </c>
    </row>
    <row r="282" spans="2:9" ht="12.75">
      <c r="B282" s="20">
        <f t="shared" si="15"/>
        <v>274</v>
      </c>
      <c r="C282" s="5"/>
      <c r="D282" s="5"/>
      <c r="E282" s="5">
        <v>223001</v>
      </c>
      <c r="F282" s="5" t="s">
        <v>445</v>
      </c>
      <c r="G282" s="18">
        <v>143800</v>
      </c>
      <c r="H282" s="18"/>
      <c r="I282" s="18">
        <f t="shared" si="17"/>
        <v>143800</v>
      </c>
    </row>
    <row r="283" spans="2:9" ht="12.75">
      <c r="B283" s="20">
        <f t="shared" si="15"/>
        <v>275</v>
      </c>
      <c r="C283" s="6"/>
      <c r="D283" s="6"/>
      <c r="E283" s="120"/>
      <c r="F283" s="6" t="s">
        <v>448</v>
      </c>
      <c r="G283" s="15">
        <f>G284</f>
        <v>198980</v>
      </c>
      <c r="H283" s="15">
        <f>H284</f>
        <v>0</v>
      </c>
      <c r="I283" s="15">
        <f t="shared" si="17"/>
        <v>198980</v>
      </c>
    </row>
    <row r="284" spans="2:9" ht="12.75">
      <c r="B284" s="20">
        <f t="shared" si="15"/>
        <v>276</v>
      </c>
      <c r="C284" s="3">
        <v>220</v>
      </c>
      <c r="D284" s="3"/>
      <c r="E284" s="124"/>
      <c r="F284" s="3" t="s">
        <v>215</v>
      </c>
      <c r="G284" s="16">
        <f>G285</f>
        <v>198980</v>
      </c>
      <c r="H284" s="16">
        <f>H285</f>
        <v>0</v>
      </c>
      <c r="I284" s="16">
        <f t="shared" si="17"/>
        <v>198980</v>
      </c>
    </row>
    <row r="285" spans="2:9" ht="12.75">
      <c r="B285" s="20">
        <f t="shared" si="15"/>
        <v>277</v>
      </c>
      <c r="C285" s="24"/>
      <c r="D285" s="24">
        <v>223</v>
      </c>
      <c r="E285" s="116"/>
      <c r="F285" s="24" t="s">
        <v>243</v>
      </c>
      <c r="G285" s="63">
        <f>SUM(G286:G288)</f>
        <v>198980</v>
      </c>
      <c r="H285" s="63">
        <f>SUM(H286:H288)</f>
        <v>0</v>
      </c>
      <c r="I285" s="63">
        <f t="shared" si="17"/>
        <v>198980</v>
      </c>
    </row>
    <row r="286" spans="2:9" ht="12.75">
      <c r="B286" s="20">
        <f t="shared" si="15"/>
        <v>278</v>
      </c>
      <c r="C286" s="5"/>
      <c r="D286" s="5"/>
      <c r="E286" s="5">
        <v>223001</v>
      </c>
      <c r="F286" s="5" t="s">
        <v>442</v>
      </c>
      <c r="G286" s="18">
        <v>135700</v>
      </c>
      <c r="H286" s="18"/>
      <c r="I286" s="18">
        <f t="shared" si="17"/>
        <v>135700</v>
      </c>
    </row>
    <row r="287" spans="2:9" ht="12.75">
      <c r="B287" s="20">
        <f t="shared" si="15"/>
        <v>279</v>
      </c>
      <c r="C287" s="5"/>
      <c r="D287" s="5"/>
      <c r="E287" s="5">
        <v>223001</v>
      </c>
      <c r="F287" s="5" t="s">
        <v>446</v>
      </c>
      <c r="G287" s="18">
        <v>14980</v>
      </c>
      <c r="H287" s="18"/>
      <c r="I287" s="18">
        <f t="shared" si="17"/>
        <v>14980</v>
      </c>
    </row>
    <row r="288" spans="2:9" ht="12.75">
      <c r="B288" s="20">
        <f t="shared" si="15"/>
        <v>280</v>
      </c>
      <c r="C288" s="5"/>
      <c r="D288" s="5"/>
      <c r="E288" s="5">
        <v>223001</v>
      </c>
      <c r="F288" s="5" t="s">
        <v>445</v>
      </c>
      <c r="G288" s="18">
        <v>48300</v>
      </c>
      <c r="H288" s="18"/>
      <c r="I288" s="18">
        <f t="shared" si="17"/>
        <v>48300</v>
      </c>
    </row>
    <row r="289" spans="2:9" ht="12.75">
      <c r="B289" s="20">
        <f t="shared" si="15"/>
        <v>281</v>
      </c>
      <c r="C289" s="6"/>
      <c r="D289" s="6"/>
      <c r="E289" s="120"/>
      <c r="F289" s="6" t="s">
        <v>452</v>
      </c>
      <c r="G289" s="15">
        <f>G290</f>
        <v>236200</v>
      </c>
      <c r="H289" s="15">
        <f>H290</f>
        <v>0</v>
      </c>
      <c r="I289" s="15">
        <f t="shared" si="17"/>
        <v>236200</v>
      </c>
    </row>
    <row r="290" spans="2:9" ht="12.75">
      <c r="B290" s="20">
        <f t="shared" si="15"/>
        <v>282</v>
      </c>
      <c r="C290" s="3">
        <v>220</v>
      </c>
      <c r="D290" s="3"/>
      <c r="E290" s="124"/>
      <c r="F290" s="3" t="s">
        <v>215</v>
      </c>
      <c r="G290" s="16">
        <f>G291</f>
        <v>236200</v>
      </c>
      <c r="H290" s="16">
        <f>H291</f>
        <v>0</v>
      </c>
      <c r="I290" s="16">
        <f t="shared" si="17"/>
        <v>236200</v>
      </c>
    </row>
    <row r="291" spans="2:9" ht="12.75">
      <c r="B291" s="20">
        <f t="shared" si="15"/>
        <v>283</v>
      </c>
      <c r="C291" s="24"/>
      <c r="D291" s="24">
        <v>223</v>
      </c>
      <c r="E291" s="116"/>
      <c r="F291" s="24" t="s">
        <v>243</v>
      </c>
      <c r="G291" s="63">
        <f>SUM(G292:G293)</f>
        <v>236200</v>
      </c>
      <c r="H291" s="63">
        <f>SUM(H292:H293)</f>
        <v>0</v>
      </c>
      <c r="I291" s="63">
        <f t="shared" si="17"/>
        <v>236200</v>
      </c>
    </row>
    <row r="292" spans="2:9" ht="12.75">
      <c r="B292" s="20">
        <f t="shared" si="15"/>
        <v>284</v>
      </c>
      <c r="C292" s="5"/>
      <c r="D292" s="5"/>
      <c r="E292" s="5">
        <v>223001</v>
      </c>
      <c r="F292" s="5" t="s">
        <v>450</v>
      </c>
      <c r="G292" s="18">
        <v>229000</v>
      </c>
      <c r="H292" s="18"/>
      <c r="I292" s="18">
        <f t="shared" si="17"/>
        <v>229000</v>
      </c>
    </row>
    <row r="293" spans="2:9" ht="12.75">
      <c r="B293" s="20">
        <f t="shared" si="15"/>
        <v>285</v>
      </c>
      <c r="C293" s="5"/>
      <c r="D293" s="5"/>
      <c r="E293" s="5">
        <v>223001</v>
      </c>
      <c r="F293" s="5" t="s">
        <v>451</v>
      </c>
      <c r="G293" s="18">
        <v>7200</v>
      </c>
      <c r="H293" s="18"/>
      <c r="I293" s="18">
        <f t="shared" si="17"/>
        <v>7200</v>
      </c>
    </row>
    <row r="294" spans="2:9" ht="12.75">
      <c r="B294" s="20">
        <f t="shared" si="15"/>
        <v>286</v>
      </c>
      <c r="C294" s="6"/>
      <c r="D294" s="6"/>
      <c r="E294" s="120"/>
      <c r="F294" s="6" t="s">
        <v>453</v>
      </c>
      <c r="G294" s="15">
        <f aca="true" t="shared" si="18" ref="G294:H296">G295</f>
        <v>15400</v>
      </c>
      <c r="H294" s="15">
        <f t="shared" si="18"/>
        <v>0</v>
      </c>
      <c r="I294" s="15">
        <f t="shared" si="17"/>
        <v>15400</v>
      </c>
    </row>
    <row r="295" spans="2:9" ht="12.75">
      <c r="B295" s="20">
        <f t="shared" si="15"/>
        <v>287</v>
      </c>
      <c r="C295" s="3">
        <v>220</v>
      </c>
      <c r="D295" s="3"/>
      <c r="E295" s="124"/>
      <c r="F295" s="3" t="s">
        <v>215</v>
      </c>
      <c r="G295" s="16">
        <f t="shared" si="18"/>
        <v>15400</v>
      </c>
      <c r="H295" s="16">
        <f t="shared" si="18"/>
        <v>0</v>
      </c>
      <c r="I295" s="16">
        <f t="shared" si="17"/>
        <v>15400</v>
      </c>
    </row>
    <row r="296" spans="2:9" ht="12.75">
      <c r="B296" s="20">
        <f t="shared" si="15"/>
        <v>288</v>
      </c>
      <c r="C296" s="24"/>
      <c r="D296" s="24">
        <v>223</v>
      </c>
      <c r="E296" s="116"/>
      <c r="F296" s="24" t="s">
        <v>243</v>
      </c>
      <c r="G296" s="63">
        <f t="shared" si="18"/>
        <v>15400</v>
      </c>
      <c r="H296" s="63">
        <f t="shared" si="18"/>
        <v>0</v>
      </c>
      <c r="I296" s="63">
        <f t="shared" si="17"/>
        <v>15400</v>
      </c>
    </row>
    <row r="297" spans="2:9" ht="13.5" thickBot="1">
      <c r="B297" s="20">
        <f aca="true" t="shared" si="19" ref="B297:B333">B296+1</f>
        <v>289</v>
      </c>
      <c r="C297" s="5"/>
      <c r="D297" s="5"/>
      <c r="E297" s="5">
        <v>223001</v>
      </c>
      <c r="F297" s="5" t="s">
        <v>244</v>
      </c>
      <c r="G297" s="18">
        <v>15400</v>
      </c>
      <c r="H297" s="18"/>
      <c r="I297" s="18">
        <f t="shared" si="17"/>
        <v>15400</v>
      </c>
    </row>
    <row r="298" spans="2:9" ht="15.75" thickBot="1">
      <c r="B298" s="20">
        <f t="shared" si="19"/>
        <v>290</v>
      </c>
      <c r="C298" s="64">
        <v>6</v>
      </c>
      <c r="D298" s="64"/>
      <c r="E298" s="123"/>
      <c r="F298" s="64" t="s">
        <v>11</v>
      </c>
      <c r="G298" s="65">
        <f>G307+G302+G299</f>
        <v>74553</v>
      </c>
      <c r="H298" s="65">
        <f>H307+H302+H299</f>
        <v>0</v>
      </c>
      <c r="I298" s="65">
        <f t="shared" si="17"/>
        <v>74553</v>
      </c>
    </row>
    <row r="299" spans="2:9" ht="12.75">
      <c r="B299" s="20">
        <f t="shared" si="19"/>
        <v>291</v>
      </c>
      <c r="C299" s="6">
        <v>210</v>
      </c>
      <c r="D299" s="6"/>
      <c r="E299" s="120"/>
      <c r="F299" s="6" t="s">
        <v>240</v>
      </c>
      <c r="G299" s="15">
        <f>G300</f>
        <v>1270</v>
      </c>
      <c r="H299" s="15">
        <f>H300</f>
        <v>0</v>
      </c>
      <c r="I299" s="15">
        <f t="shared" si="17"/>
        <v>1270</v>
      </c>
    </row>
    <row r="300" spans="2:9" ht="12.75">
      <c r="B300" s="20">
        <f t="shared" si="19"/>
        <v>292</v>
      </c>
      <c r="C300" s="3"/>
      <c r="D300" s="3">
        <v>212</v>
      </c>
      <c r="E300" s="124"/>
      <c r="F300" s="3" t="s">
        <v>241</v>
      </c>
      <c r="G300" s="16">
        <f>G301</f>
        <v>1270</v>
      </c>
      <c r="H300" s="16">
        <f>H301</f>
        <v>0</v>
      </c>
      <c r="I300" s="16">
        <f t="shared" si="17"/>
        <v>1270</v>
      </c>
    </row>
    <row r="301" spans="2:9" ht="12.75">
      <c r="B301" s="20">
        <f t="shared" si="19"/>
        <v>293</v>
      </c>
      <c r="C301" s="24"/>
      <c r="D301" s="24"/>
      <c r="E301" s="116">
        <v>212003</v>
      </c>
      <c r="F301" s="24" t="s">
        <v>242</v>
      </c>
      <c r="G301" s="63">
        <f>1350-80</f>
        <v>1270</v>
      </c>
      <c r="H301" s="63"/>
      <c r="I301" s="63">
        <f t="shared" si="17"/>
        <v>1270</v>
      </c>
    </row>
    <row r="302" spans="2:9" ht="12.75">
      <c r="B302" s="20">
        <f t="shared" si="19"/>
        <v>294</v>
      </c>
      <c r="C302" s="6">
        <v>220</v>
      </c>
      <c r="D302" s="6"/>
      <c r="E302" s="120"/>
      <c r="F302" s="6" t="s">
        <v>215</v>
      </c>
      <c r="G302" s="15">
        <f>G303</f>
        <v>72409</v>
      </c>
      <c r="H302" s="15">
        <f>H303</f>
        <v>0</v>
      </c>
      <c r="I302" s="15">
        <f t="shared" si="17"/>
        <v>72409</v>
      </c>
    </row>
    <row r="303" spans="2:9" ht="12.75">
      <c r="B303" s="20">
        <f t="shared" si="19"/>
        <v>295</v>
      </c>
      <c r="C303" s="3"/>
      <c r="D303" s="3">
        <v>223</v>
      </c>
      <c r="E303" s="124"/>
      <c r="F303" s="3" t="s">
        <v>243</v>
      </c>
      <c r="G303" s="16">
        <f>G306+G305+G304</f>
        <v>72409</v>
      </c>
      <c r="H303" s="16">
        <f>H306+H305+H304</f>
        <v>0</v>
      </c>
      <c r="I303" s="16">
        <f t="shared" si="17"/>
        <v>72409</v>
      </c>
    </row>
    <row r="304" spans="2:9" ht="12.75">
      <c r="B304" s="20">
        <f t="shared" si="19"/>
        <v>296</v>
      </c>
      <c r="C304" s="24"/>
      <c r="D304" s="24"/>
      <c r="E304" s="116">
        <v>223001</v>
      </c>
      <c r="F304" s="24" t="s">
        <v>244</v>
      </c>
      <c r="G304" s="63">
        <f>38560-15520</f>
        <v>23040</v>
      </c>
      <c r="H304" s="63"/>
      <c r="I304" s="63">
        <f t="shared" si="17"/>
        <v>23040</v>
      </c>
    </row>
    <row r="305" spans="2:9" ht="12.75">
      <c r="B305" s="20">
        <f t="shared" si="19"/>
        <v>297</v>
      </c>
      <c r="C305" s="24"/>
      <c r="D305" s="24"/>
      <c r="E305" s="116">
        <v>223002</v>
      </c>
      <c r="F305" s="24" t="s">
        <v>81</v>
      </c>
      <c r="G305" s="63">
        <f>25080-10080</f>
        <v>15000</v>
      </c>
      <c r="H305" s="63"/>
      <c r="I305" s="63">
        <f t="shared" si="17"/>
        <v>15000</v>
      </c>
    </row>
    <row r="306" spans="2:9" ht="12.75">
      <c r="B306" s="20">
        <f t="shared" si="19"/>
        <v>298</v>
      </c>
      <c r="C306" s="24"/>
      <c r="D306" s="24"/>
      <c r="E306" s="116">
        <v>223003</v>
      </c>
      <c r="F306" s="24" t="s">
        <v>82</v>
      </c>
      <c r="G306" s="63">
        <f>81545-47176</f>
        <v>34369</v>
      </c>
      <c r="H306" s="63"/>
      <c r="I306" s="63">
        <f t="shared" si="17"/>
        <v>34369</v>
      </c>
    </row>
    <row r="307" spans="2:9" ht="12.75">
      <c r="B307" s="20">
        <f t="shared" si="19"/>
        <v>299</v>
      </c>
      <c r="C307" s="6">
        <v>290</v>
      </c>
      <c r="D307" s="6"/>
      <c r="E307" s="120"/>
      <c r="F307" s="6" t="s">
        <v>169</v>
      </c>
      <c r="G307" s="15">
        <f>G308</f>
        <v>874</v>
      </c>
      <c r="H307" s="15">
        <f>H308</f>
        <v>0</v>
      </c>
      <c r="I307" s="15">
        <f t="shared" si="17"/>
        <v>874</v>
      </c>
    </row>
    <row r="308" spans="2:9" ht="12.75">
      <c r="B308" s="20">
        <f t="shared" si="19"/>
        <v>300</v>
      </c>
      <c r="C308" s="3"/>
      <c r="D308" s="3">
        <v>292</v>
      </c>
      <c r="E308" s="124"/>
      <c r="F308" s="3" t="s">
        <v>170</v>
      </c>
      <c r="G308" s="16">
        <f>G309+G310</f>
        <v>874</v>
      </c>
      <c r="H308" s="16">
        <f>H309+H310</f>
        <v>0</v>
      </c>
      <c r="I308" s="16">
        <f t="shared" si="17"/>
        <v>874</v>
      </c>
    </row>
    <row r="309" spans="2:9" ht="12.75">
      <c r="B309" s="20">
        <f t="shared" si="19"/>
        <v>301</v>
      </c>
      <c r="C309" s="24"/>
      <c r="D309" s="24"/>
      <c r="E309" s="116">
        <v>292012</v>
      </c>
      <c r="F309" s="24" t="s">
        <v>227</v>
      </c>
      <c r="G309" s="63">
        <v>400</v>
      </c>
      <c r="H309" s="63"/>
      <c r="I309" s="63">
        <f t="shared" si="17"/>
        <v>400</v>
      </c>
    </row>
    <row r="310" spans="2:9" ht="13.5" thickBot="1">
      <c r="B310" s="20">
        <f t="shared" si="19"/>
        <v>302</v>
      </c>
      <c r="C310" s="24"/>
      <c r="D310" s="24"/>
      <c r="E310" s="116">
        <v>292017</v>
      </c>
      <c r="F310" s="4" t="s">
        <v>228</v>
      </c>
      <c r="G310" s="63">
        <v>474</v>
      </c>
      <c r="H310" s="63"/>
      <c r="I310" s="63">
        <f t="shared" si="17"/>
        <v>474</v>
      </c>
    </row>
    <row r="311" spans="2:9" ht="15.75" thickBot="1">
      <c r="B311" s="20">
        <f t="shared" si="19"/>
        <v>303</v>
      </c>
      <c r="C311" s="64">
        <v>7</v>
      </c>
      <c r="D311" s="64"/>
      <c r="E311" s="123"/>
      <c r="F311" s="64" t="s">
        <v>12</v>
      </c>
      <c r="G311" s="65">
        <f>G315+G312+G320</f>
        <v>124681</v>
      </c>
      <c r="H311" s="65">
        <f>H315+H312+H320</f>
        <v>0</v>
      </c>
      <c r="I311" s="65">
        <f t="shared" si="17"/>
        <v>124681</v>
      </c>
    </row>
    <row r="312" spans="2:9" ht="12.75">
      <c r="B312" s="20">
        <f t="shared" si="19"/>
        <v>304</v>
      </c>
      <c r="C312" s="6">
        <v>210</v>
      </c>
      <c r="D312" s="6"/>
      <c r="E312" s="120"/>
      <c r="F312" s="6" t="s">
        <v>240</v>
      </c>
      <c r="G312" s="15">
        <f>G313</f>
        <v>600</v>
      </c>
      <c r="H312" s="15">
        <f>H313</f>
        <v>0</v>
      </c>
      <c r="I312" s="15">
        <f t="shared" si="17"/>
        <v>600</v>
      </c>
    </row>
    <row r="313" spans="2:9" ht="12.75">
      <c r="B313" s="20">
        <f t="shared" si="19"/>
        <v>305</v>
      </c>
      <c r="C313" s="3"/>
      <c r="D313" s="3">
        <v>212</v>
      </c>
      <c r="E313" s="124"/>
      <c r="F313" s="3" t="s">
        <v>241</v>
      </c>
      <c r="G313" s="16">
        <f>G314</f>
        <v>600</v>
      </c>
      <c r="H313" s="16">
        <f>H314</f>
        <v>0</v>
      </c>
      <c r="I313" s="16">
        <f t="shared" si="17"/>
        <v>600</v>
      </c>
    </row>
    <row r="314" spans="2:9" ht="12.75">
      <c r="B314" s="20">
        <f t="shared" si="19"/>
        <v>306</v>
      </c>
      <c r="C314" s="24"/>
      <c r="D314" s="24"/>
      <c r="E314" s="116">
        <v>212003</v>
      </c>
      <c r="F314" s="24" t="s">
        <v>242</v>
      </c>
      <c r="G314" s="63">
        <f>1500-900</f>
        <v>600</v>
      </c>
      <c r="H314" s="63"/>
      <c r="I314" s="63">
        <f t="shared" si="17"/>
        <v>600</v>
      </c>
    </row>
    <row r="315" spans="2:9" ht="12.75">
      <c r="B315" s="20">
        <f t="shared" si="19"/>
        <v>307</v>
      </c>
      <c r="C315" s="6">
        <v>220</v>
      </c>
      <c r="D315" s="6"/>
      <c r="E315" s="120"/>
      <c r="F315" s="6" t="s">
        <v>215</v>
      </c>
      <c r="G315" s="15">
        <f>G316</f>
        <v>114882</v>
      </c>
      <c r="H315" s="15">
        <f>H316</f>
        <v>0</v>
      </c>
      <c r="I315" s="15">
        <f t="shared" si="17"/>
        <v>114882</v>
      </c>
    </row>
    <row r="316" spans="2:9" ht="12.75">
      <c r="B316" s="20">
        <f t="shared" si="19"/>
        <v>308</v>
      </c>
      <c r="C316" s="3"/>
      <c r="D316" s="3">
        <v>223</v>
      </c>
      <c r="E316" s="124"/>
      <c r="F316" s="3" t="s">
        <v>243</v>
      </c>
      <c r="G316" s="16">
        <f>G319+G318+G317</f>
        <v>114882</v>
      </c>
      <c r="H316" s="16">
        <f>H319+H318+H317</f>
        <v>0</v>
      </c>
      <c r="I316" s="16">
        <f t="shared" si="17"/>
        <v>114882</v>
      </c>
    </row>
    <row r="317" spans="2:9" ht="12.75">
      <c r="B317" s="20">
        <f t="shared" si="19"/>
        <v>309</v>
      </c>
      <c r="C317" s="24"/>
      <c r="D317" s="24"/>
      <c r="E317" s="116">
        <v>223001</v>
      </c>
      <c r="F317" s="24" t="s">
        <v>244</v>
      </c>
      <c r="G317" s="63">
        <f>8710-3740</f>
        <v>4970</v>
      </c>
      <c r="H317" s="63"/>
      <c r="I317" s="63">
        <f t="shared" si="17"/>
        <v>4970</v>
      </c>
    </row>
    <row r="318" spans="2:9" ht="12.75">
      <c r="B318" s="20">
        <f t="shared" si="19"/>
        <v>310</v>
      </c>
      <c r="C318" s="24"/>
      <c r="D318" s="24"/>
      <c r="E318" s="116">
        <v>223002</v>
      </c>
      <c r="F318" s="24" t="s">
        <v>81</v>
      </c>
      <c r="G318" s="63">
        <f>19000-6580</f>
        <v>12420</v>
      </c>
      <c r="H318" s="63"/>
      <c r="I318" s="63">
        <f t="shared" si="17"/>
        <v>12420</v>
      </c>
    </row>
    <row r="319" spans="2:9" ht="12.75">
      <c r="B319" s="20">
        <f t="shared" si="19"/>
        <v>311</v>
      </c>
      <c r="C319" s="24"/>
      <c r="D319" s="24"/>
      <c r="E319" s="116">
        <v>223003</v>
      </c>
      <c r="F319" s="24" t="s">
        <v>82</v>
      </c>
      <c r="G319" s="63">
        <f>140000-42508</f>
        <v>97492</v>
      </c>
      <c r="H319" s="63"/>
      <c r="I319" s="63">
        <f t="shared" si="17"/>
        <v>97492</v>
      </c>
    </row>
    <row r="320" spans="2:9" ht="12.75">
      <c r="B320" s="20">
        <f t="shared" si="19"/>
        <v>312</v>
      </c>
      <c r="C320" s="6">
        <v>290</v>
      </c>
      <c r="D320" s="6"/>
      <c r="E320" s="120"/>
      <c r="F320" s="6" t="s">
        <v>169</v>
      </c>
      <c r="G320" s="15">
        <f>G321</f>
        <v>9199</v>
      </c>
      <c r="H320" s="15">
        <f>H321</f>
        <v>0</v>
      </c>
      <c r="I320" s="15">
        <f t="shared" si="17"/>
        <v>9199</v>
      </c>
    </row>
    <row r="321" spans="2:9" ht="12.75">
      <c r="B321" s="20">
        <f t="shared" si="19"/>
        <v>313</v>
      </c>
      <c r="C321" s="3"/>
      <c r="D321" s="3">
        <v>292</v>
      </c>
      <c r="E321" s="124"/>
      <c r="F321" s="3" t="s">
        <v>170</v>
      </c>
      <c r="G321" s="16">
        <f>G322</f>
        <v>9199</v>
      </c>
      <c r="H321" s="16">
        <f>H322</f>
        <v>0</v>
      </c>
      <c r="I321" s="16">
        <f t="shared" si="17"/>
        <v>9199</v>
      </c>
    </row>
    <row r="322" spans="2:9" ht="13.5" thickBot="1">
      <c r="B322" s="20">
        <f t="shared" si="19"/>
        <v>314</v>
      </c>
      <c r="C322" s="4"/>
      <c r="D322" s="4"/>
      <c r="E322" s="116">
        <v>292017</v>
      </c>
      <c r="F322" s="4" t="s">
        <v>228</v>
      </c>
      <c r="G322" s="17">
        <v>9199</v>
      </c>
      <c r="H322" s="17"/>
      <c r="I322" s="17">
        <f t="shared" si="17"/>
        <v>9199</v>
      </c>
    </row>
    <row r="323" spans="2:9" ht="15.75" thickBot="1">
      <c r="B323" s="20">
        <f t="shared" si="19"/>
        <v>315</v>
      </c>
      <c r="C323" s="64">
        <v>8</v>
      </c>
      <c r="D323" s="64"/>
      <c r="E323" s="123"/>
      <c r="F323" s="64" t="s">
        <v>9</v>
      </c>
      <c r="G323" s="65">
        <f>G327+G324</f>
        <v>42276</v>
      </c>
      <c r="H323" s="65">
        <f>H327+H324</f>
        <v>0</v>
      </c>
      <c r="I323" s="65">
        <f t="shared" si="17"/>
        <v>42276</v>
      </c>
    </row>
    <row r="324" spans="2:9" ht="12.75">
      <c r="B324" s="20">
        <f t="shared" si="19"/>
        <v>316</v>
      </c>
      <c r="C324" s="6">
        <v>210</v>
      </c>
      <c r="D324" s="6"/>
      <c r="E324" s="120"/>
      <c r="F324" s="6" t="s">
        <v>240</v>
      </c>
      <c r="G324" s="15">
        <f>G325</f>
        <v>15476</v>
      </c>
      <c r="H324" s="15">
        <f>H325</f>
        <v>0</v>
      </c>
      <c r="I324" s="15">
        <f t="shared" si="17"/>
        <v>15476</v>
      </c>
    </row>
    <row r="325" spans="2:9" ht="12.75">
      <c r="B325" s="20">
        <f t="shared" si="19"/>
        <v>317</v>
      </c>
      <c r="C325" s="3"/>
      <c r="D325" s="3">
        <v>212</v>
      </c>
      <c r="E325" s="124"/>
      <c r="F325" s="3" t="s">
        <v>241</v>
      </c>
      <c r="G325" s="16">
        <f>G326</f>
        <v>15476</v>
      </c>
      <c r="H325" s="16">
        <f>H326</f>
        <v>0</v>
      </c>
      <c r="I325" s="16">
        <f t="shared" si="17"/>
        <v>15476</v>
      </c>
    </row>
    <row r="326" spans="2:9" ht="12.75">
      <c r="B326" s="20">
        <f t="shared" si="19"/>
        <v>318</v>
      </c>
      <c r="C326" s="24"/>
      <c r="D326" s="24"/>
      <c r="E326" s="116">
        <v>212003</v>
      </c>
      <c r="F326" s="24" t="s">
        <v>242</v>
      </c>
      <c r="G326" s="63">
        <f>21900-1207-5217</f>
        <v>15476</v>
      </c>
      <c r="H326" s="63"/>
      <c r="I326" s="63">
        <f t="shared" si="17"/>
        <v>15476</v>
      </c>
    </row>
    <row r="327" spans="2:9" ht="12.75">
      <c r="B327" s="20">
        <f t="shared" si="19"/>
        <v>319</v>
      </c>
      <c r="C327" s="6">
        <v>220</v>
      </c>
      <c r="D327" s="6"/>
      <c r="E327" s="120"/>
      <c r="F327" s="6" t="s">
        <v>215</v>
      </c>
      <c r="G327" s="15">
        <f>G328</f>
        <v>26800</v>
      </c>
      <c r="H327" s="15">
        <f>H328</f>
        <v>0</v>
      </c>
      <c r="I327" s="15">
        <f t="shared" si="17"/>
        <v>26800</v>
      </c>
    </row>
    <row r="328" spans="2:9" ht="12.75">
      <c r="B328" s="20">
        <f t="shared" si="19"/>
        <v>320</v>
      </c>
      <c r="C328" s="3"/>
      <c r="D328" s="3">
        <v>223</v>
      </c>
      <c r="E328" s="124"/>
      <c r="F328" s="3" t="s">
        <v>243</v>
      </c>
      <c r="G328" s="16">
        <f>G329</f>
        <v>26800</v>
      </c>
      <c r="H328" s="16">
        <f>H329</f>
        <v>0</v>
      </c>
      <c r="I328" s="16">
        <f t="shared" si="17"/>
        <v>26800</v>
      </c>
    </row>
    <row r="329" spans="2:9" ht="13.5" thickBot="1">
      <c r="B329" s="20">
        <f t="shared" si="19"/>
        <v>321</v>
      </c>
      <c r="C329" s="24"/>
      <c r="D329" s="24"/>
      <c r="E329" s="116">
        <v>223002</v>
      </c>
      <c r="F329" s="24" t="s">
        <v>81</v>
      </c>
      <c r="G329" s="63">
        <f>40800-14000</f>
        <v>26800</v>
      </c>
      <c r="H329" s="63"/>
      <c r="I329" s="63">
        <f t="shared" si="17"/>
        <v>26800</v>
      </c>
    </row>
    <row r="330" spans="2:9" ht="15.75" thickBot="1">
      <c r="B330" s="20">
        <f t="shared" si="19"/>
        <v>322</v>
      </c>
      <c r="C330" s="64">
        <v>9</v>
      </c>
      <c r="D330" s="64"/>
      <c r="E330" s="123"/>
      <c r="F330" s="64" t="s">
        <v>7</v>
      </c>
      <c r="G330" s="65">
        <f>G334+G331+G339</f>
        <v>108836</v>
      </c>
      <c r="H330" s="65">
        <f>H334+H331+H339</f>
        <v>0</v>
      </c>
      <c r="I330" s="65">
        <f t="shared" si="17"/>
        <v>108836</v>
      </c>
    </row>
    <row r="331" spans="2:9" ht="12.75">
      <c r="B331" s="20">
        <f t="shared" si="19"/>
        <v>323</v>
      </c>
      <c r="C331" s="6">
        <v>210</v>
      </c>
      <c r="D331" s="6"/>
      <c r="E331" s="120"/>
      <c r="F331" s="6" t="s">
        <v>240</v>
      </c>
      <c r="G331" s="15">
        <f>G332</f>
        <v>1000</v>
      </c>
      <c r="H331" s="15">
        <f>H332</f>
        <v>0</v>
      </c>
      <c r="I331" s="15">
        <f t="shared" si="17"/>
        <v>1000</v>
      </c>
    </row>
    <row r="332" spans="2:9" ht="12.75">
      <c r="B332" s="20">
        <f t="shared" si="19"/>
        <v>324</v>
      </c>
      <c r="C332" s="3"/>
      <c r="D332" s="3">
        <v>212</v>
      </c>
      <c r="E332" s="124"/>
      <c r="F332" s="3" t="s">
        <v>241</v>
      </c>
      <c r="G332" s="16">
        <f>G333</f>
        <v>1000</v>
      </c>
      <c r="H332" s="16">
        <f>H333</f>
        <v>0</v>
      </c>
      <c r="I332" s="16">
        <f t="shared" si="17"/>
        <v>1000</v>
      </c>
    </row>
    <row r="333" spans="2:9" ht="12.75">
      <c r="B333" s="20">
        <f t="shared" si="19"/>
        <v>325</v>
      </c>
      <c r="C333" s="24"/>
      <c r="D333" s="24"/>
      <c r="E333" s="116">
        <v>212003</v>
      </c>
      <c r="F333" s="24" t="s">
        <v>242</v>
      </c>
      <c r="G333" s="63">
        <f>3000-2000</f>
        <v>1000</v>
      </c>
      <c r="H333" s="63"/>
      <c r="I333" s="63">
        <f t="shared" si="17"/>
        <v>1000</v>
      </c>
    </row>
    <row r="334" spans="2:9" ht="12.75">
      <c r="B334" s="20">
        <f aca="true" t="shared" si="20" ref="B334:B371">B333+1</f>
        <v>326</v>
      </c>
      <c r="C334" s="6">
        <v>220</v>
      </c>
      <c r="D334" s="6"/>
      <c r="E334" s="120"/>
      <c r="F334" s="6" t="s">
        <v>215</v>
      </c>
      <c r="G334" s="15">
        <f>G335</f>
        <v>102891</v>
      </c>
      <c r="H334" s="15">
        <f>H335</f>
        <v>0</v>
      </c>
      <c r="I334" s="15">
        <f t="shared" si="17"/>
        <v>102891</v>
      </c>
    </row>
    <row r="335" spans="2:9" ht="12.75">
      <c r="B335" s="20">
        <f t="shared" si="20"/>
        <v>327</v>
      </c>
      <c r="C335" s="3"/>
      <c r="D335" s="3">
        <v>223</v>
      </c>
      <c r="E335" s="124"/>
      <c r="F335" s="3" t="s">
        <v>243</v>
      </c>
      <c r="G335" s="16">
        <f>G338+G337+G336</f>
        <v>102891</v>
      </c>
      <c r="H335" s="16">
        <f>H338+H337+H336</f>
        <v>0</v>
      </c>
      <c r="I335" s="16">
        <f t="shared" si="17"/>
        <v>102891</v>
      </c>
    </row>
    <row r="336" spans="2:9" ht="12.75">
      <c r="B336" s="20">
        <f t="shared" si="20"/>
        <v>328</v>
      </c>
      <c r="C336" s="24"/>
      <c r="D336" s="24"/>
      <c r="E336" s="116">
        <v>223001</v>
      </c>
      <c r="F336" s="24" t="s">
        <v>244</v>
      </c>
      <c r="G336" s="63">
        <f>43740-17496</f>
        <v>26244</v>
      </c>
      <c r="H336" s="63"/>
      <c r="I336" s="63">
        <f aca="true" t="shared" si="21" ref="I336:I398">H336+G336</f>
        <v>26244</v>
      </c>
    </row>
    <row r="337" spans="2:9" ht="12.75">
      <c r="B337" s="20">
        <f t="shared" si="20"/>
        <v>329</v>
      </c>
      <c r="C337" s="24"/>
      <c r="D337" s="24"/>
      <c r="E337" s="116">
        <v>223002</v>
      </c>
      <c r="F337" s="24" t="s">
        <v>81</v>
      </c>
      <c r="G337" s="63">
        <f>18000-7200</f>
        <v>10800</v>
      </c>
      <c r="H337" s="63"/>
      <c r="I337" s="63">
        <f t="shared" si="21"/>
        <v>10800</v>
      </c>
    </row>
    <row r="338" spans="2:9" ht="12.75">
      <c r="B338" s="20">
        <f t="shared" si="20"/>
        <v>330</v>
      </c>
      <c r="C338" s="24"/>
      <c r="D338" s="24"/>
      <c r="E338" s="116">
        <v>223003</v>
      </c>
      <c r="F338" s="24" t="s">
        <v>82</v>
      </c>
      <c r="G338" s="63">
        <f>106560-40713</f>
        <v>65847</v>
      </c>
      <c r="H338" s="63"/>
      <c r="I338" s="63">
        <f t="shared" si="21"/>
        <v>65847</v>
      </c>
    </row>
    <row r="339" spans="2:9" ht="12.75">
      <c r="B339" s="20">
        <f t="shared" si="20"/>
        <v>331</v>
      </c>
      <c r="C339" s="6">
        <v>290</v>
      </c>
      <c r="D339" s="6"/>
      <c r="E339" s="120"/>
      <c r="F339" s="6" t="s">
        <v>169</v>
      </c>
      <c r="G339" s="15">
        <f>G340</f>
        <v>4945</v>
      </c>
      <c r="H339" s="15">
        <f>H340</f>
        <v>0</v>
      </c>
      <c r="I339" s="15">
        <f t="shared" si="21"/>
        <v>4945</v>
      </c>
    </row>
    <row r="340" spans="2:9" ht="12.75">
      <c r="B340" s="20">
        <f t="shared" si="20"/>
        <v>332</v>
      </c>
      <c r="C340" s="3"/>
      <c r="D340" s="3">
        <v>292</v>
      </c>
      <c r="E340" s="124"/>
      <c r="F340" s="3" t="s">
        <v>170</v>
      </c>
      <c r="G340" s="16">
        <f>G341</f>
        <v>4945</v>
      </c>
      <c r="H340" s="16">
        <f>H341</f>
        <v>0</v>
      </c>
      <c r="I340" s="16">
        <f t="shared" si="21"/>
        <v>4945</v>
      </c>
    </row>
    <row r="341" spans="2:9" ht="13.5" thickBot="1">
      <c r="B341" s="20">
        <f t="shared" si="20"/>
        <v>333</v>
      </c>
      <c r="C341" s="4"/>
      <c r="D341" s="4"/>
      <c r="E341" s="116">
        <v>292017</v>
      </c>
      <c r="F341" s="4" t="s">
        <v>228</v>
      </c>
      <c r="G341" s="17">
        <v>4945</v>
      </c>
      <c r="H341" s="17"/>
      <c r="I341" s="17">
        <f t="shared" si="21"/>
        <v>4945</v>
      </c>
    </row>
    <row r="342" spans="2:9" ht="15.75" thickBot="1">
      <c r="B342" s="20">
        <f t="shared" si="20"/>
        <v>334</v>
      </c>
      <c r="C342" s="64">
        <v>10</v>
      </c>
      <c r="D342" s="64"/>
      <c r="E342" s="123"/>
      <c r="F342" s="64" t="s">
        <v>2</v>
      </c>
      <c r="G342" s="65">
        <f>G346+G343</f>
        <v>174730</v>
      </c>
      <c r="H342" s="65">
        <f>H346+H343</f>
        <v>0</v>
      </c>
      <c r="I342" s="65">
        <f t="shared" si="21"/>
        <v>174730</v>
      </c>
    </row>
    <row r="343" spans="2:9" ht="12.75">
      <c r="B343" s="20">
        <f t="shared" si="20"/>
        <v>335</v>
      </c>
      <c r="C343" s="6">
        <v>210</v>
      </c>
      <c r="D343" s="6"/>
      <c r="E343" s="120"/>
      <c r="F343" s="6" t="s">
        <v>240</v>
      </c>
      <c r="G343" s="15">
        <f>G344</f>
        <v>2748</v>
      </c>
      <c r="H343" s="15">
        <f>H344</f>
        <v>0</v>
      </c>
      <c r="I343" s="15">
        <f t="shared" si="21"/>
        <v>2748</v>
      </c>
    </row>
    <row r="344" spans="2:9" ht="12.75">
      <c r="B344" s="20">
        <f t="shared" si="20"/>
        <v>336</v>
      </c>
      <c r="C344" s="3"/>
      <c r="D344" s="3">
        <v>212</v>
      </c>
      <c r="E344" s="124"/>
      <c r="F344" s="3" t="s">
        <v>241</v>
      </c>
      <c r="G344" s="16">
        <f>G345</f>
        <v>2748</v>
      </c>
      <c r="H344" s="16">
        <f>H345</f>
        <v>0</v>
      </c>
      <c r="I344" s="16">
        <f t="shared" si="21"/>
        <v>2748</v>
      </c>
    </row>
    <row r="345" spans="2:9" ht="12.75">
      <c r="B345" s="20">
        <f t="shared" si="20"/>
        <v>337</v>
      </c>
      <c r="C345" s="24"/>
      <c r="D345" s="24"/>
      <c r="E345" s="116">
        <v>212003</v>
      </c>
      <c r="F345" s="24" t="s">
        <v>242</v>
      </c>
      <c r="G345" s="63">
        <f>3170-422</f>
        <v>2748</v>
      </c>
      <c r="H345" s="63"/>
      <c r="I345" s="63">
        <f t="shared" si="21"/>
        <v>2748</v>
      </c>
    </row>
    <row r="346" spans="2:9" ht="12.75">
      <c r="B346" s="20">
        <f t="shared" si="20"/>
        <v>338</v>
      </c>
      <c r="C346" s="6">
        <v>220</v>
      </c>
      <c r="D346" s="6"/>
      <c r="E346" s="120"/>
      <c r="F346" s="6" t="s">
        <v>215</v>
      </c>
      <c r="G346" s="15">
        <f>G347</f>
        <v>171982</v>
      </c>
      <c r="H346" s="15">
        <f>H347</f>
        <v>0</v>
      </c>
      <c r="I346" s="15">
        <f t="shared" si="21"/>
        <v>171982</v>
      </c>
    </row>
    <row r="347" spans="2:9" ht="12.75">
      <c r="B347" s="20">
        <f t="shared" si="20"/>
        <v>339</v>
      </c>
      <c r="C347" s="3"/>
      <c r="D347" s="3">
        <v>223</v>
      </c>
      <c r="E347" s="124"/>
      <c r="F347" s="3" t="s">
        <v>243</v>
      </c>
      <c r="G347" s="16">
        <f>G350+G349+G348</f>
        <v>171982</v>
      </c>
      <c r="H347" s="16">
        <f>H350+H349+H348</f>
        <v>0</v>
      </c>
      <c r="I347" s="16">
        <f t="shared" si="21"/>
        <v>171982</v>
      </c>
    </row>
    <row r="348" spans="2:9" ht="12.75">
      <c r="B348" s="20">
        <f t="shared" si="20"/>
        <v>340</v>
      </c>
      <c r="C348" s="24"/>
      <c r="D348" s="24"/>
      <c r="E348" s="116">
        <v>223001</v>
      </c>
      <c r="F348" s="24" t="s">
        <v>244</v>
      </c>
      <c r="G348" s="63">
        <f>58000-13000</f>
        <v>45000</v>
      </c>
      <c r="H348" s="63"/>
      <c r="I348" s="63">
        <f t="shared" si="21"/>
        <v>45000</v>
      </c>
    </row>
    <row r="349" spans="2:9" ht="12.75">
      <c r="B349" s="20">
        <f t="shared" si="20"/>
        <v>341</v>
      </c>
      <c r="C349" s="24"/>
      <c r="D349" s="24"/>
      <c r="E349" s="116">
        <v>223002</v>
      </c>
      <c r="F349" s="24" t="s">
        <v>81</v>
      </c>
      <c r="G349" s="63">
        <f>16800-6144+696</f>
        <v>11352</v>
      </c>
      <c r="H349" s="63"/>
      <c r="I349" s="63">
        <f t="shared" si="21"/>
        <v>11352</v>
      </c>
    </row>
    <row r="350" spans="2:9" ht="13.5" thickBot="1">
      <c r="B350" s="20">
        <f t="shared" si="20"/>
        <v>342</v>
      </c>
      <c r="C350" s="24"/>
      <c r="D350" s="24"/>
      <c r="E350" s="116">
        <v>223003</v>
      </c>
      <c r="F350" s="24" t="s">
        <v>82</v>
      </c>
      <c r="G350" s="63">
        <f>132613+17-17000</f>
        <v>115630</v>
      </c>
      <c r="H350" s="63"/>
      <c r="I350" s="63">
        <f t="shared" si="21"/>
        <v>115630</v>
      </c>
    </row>
    <row r="351" spans="2:9" ht="15.75" thickBot="1">
      <c r="B351" s="20">
        <f t="shared" si="20"/>
        <v>343</v>
      </c>
      <c r="C351" s="64">
        <v>11</v>
      </c>
      <c r="D351" s="64"/>
      <c r="E351" s="123"/>
      <c r="F351" s="64" t="s">
        <v>10</v>
      </c>
      <c r="G351" s="65">
        <f>G355+G352</f>
        <v>162626</v>
      </c>
      <c r="H351" s="65">
        <f>H355+H352</f>
        <v>0</v>
      </c>
      <c r="I351" s="65">
        <f t="shared" si="21"/>
        <v>162626</v>
      </c>
    </row>
    <row r="352" spans="2:9" ht="12.75">
      <c r="B352" s="20">
        <f t="shared" si="20"/>
        <v>344</v>
      </c>
      <c r="C352" s="6">
        <v>210</v>
      </c>
      <c r="D352" s="6"/>
      <c r="E352" s="120"/>
      <c r="F352" s="6" t="s">
        <v>240</v>
      </c>
      <c r="G352" s="15">
        <f>G353</f>
        <v>15870</v>
      </c>
      <c r="H352" s="15">
        <f>H353</f>
        <v>0</v>
      </c>
      <c r="I352" s="15">
        <f t="shared" si="21"/>
        <v>15870</v>
      </c>
    </row>
    <row r="353" spans="2:9" ht="12.75">
      <c r="B353" s="20">
        <f t="shared" si="20"/>
        <v>345</v>
      </c>
      <c r="C353" s="3"/>
      <c r="D353" s="3">
        <v>212</v>
      </c>
      <c r="E353" s="124"/>
      <c r="F353" s="3" t="s">
        <v>241</v>
      </c>
      <c r="G353" s="16">
        <f>G354</f>
        <v>15870</v>
      </c>
      <c r="H353" s="16">
        <f>H354</f>
        <v>0</v>
      </c>
      <c r="I353" s="16">
        <f t="shared" si="21"/>
        <v>15870</v>
      </c>
    </row>
    <row r="354" spans="2:9" ht="12.75">
      <c r="B354" s="20">
        <f t="shared" si="20"/>
        <v>346</v>
      </c>
      <c r="C354" s="24"/>
      <c r="D354" s="24"/>
      <c r="E354" s="116">
        <v>212003</v>
      </c>
      <c r="F354" s="24" t="s">
        <v>242</v>
      </c>
      <c r="G354" s="63">
        <f>22275+55-6460</f>
        <v>15870</v>
      </c>
      <c r="H354" s="63"/>
      <c r="I354" s="63">
        <f t="shared" si="21"/>
        <v>15870</v>
      </c>
    </row>
    <row r="355" spans="2:9" ht="12.75">
      <c r="B355" s="20">
        <f t="shared" si="20"/>
        <v>347</v>
      </c>
      <c r="C355" s="6">
        <v>220</v>
      </c>
      <c r="D355" s="6"/>
      <c r="E355" s="120"/>
      <c r="F355" s="6" t="s">
        <v>215</v>
      </c>
      <c r="G355" s="15">
        <f>G356</f>
        <v>146756</v>
      </c>
      <c r="H355" s="15">
        <f>H356</f>
        <v>0</v>
      </c>
      <c r="I355" s="15">
        <f t="shared" si="21"/>
        <v>146756</v>
      </c>
    </row>
    <row r="356" spans="2:9" ht="12.75">
      <c r="B356" s="20">
        <f t="shared" si="20"/>
        <v>348</v>
      </c>
      <c r="C356" s="3"/>
      <c r="D356" s="3">
        <v>223</v>
      </c>
      <c r="E356" s="124"/>
      <c r="F356" s="3" t="s">
        <v>243</v>
      </c>
      <c r="G356" s="16">
        <f>G359+G358+G357</f>
        <v>146756</v>
      </c>
      <c r="H356" s="16">
        <f>H359+H358+H357</f>
        <v>0</v>
      </c>
      <c r="I356" s="16">
        <f t="shared" si="21"/>
        <v>146756</v>
      </c>
    </row>
    <row r="357" spans="2:9" ht="12.75">
      <c r="B357" s="20">
        <f t="shared" si="20"/>
        <v>349</v>
      </c>
      <c r="C357" s="24"/>
      <c r="D357" s="24"/>
      <c r="E357" s="116">
        <v>223001</v>
      </c>
      <c r="F357" s="24" t="s">
        <v>244</v>
      </c>
      <c r="G357" s="63">
        <f>33800-20510</f>
        <v>13290</v>
      </c>
      <c r="H357" s="63"/>
      <c r="I357" s="63">
        <f t="shared" si="21"/>
        <v>13290</v>
      </c>
    </row>
    <row r="358" spans="2:9" ht="12.75">
      <c r="B358" s="20">
        <f t="shared" si="20"/>
        <v>350</v>
      </c>
      <c r="C358" s="24"/>
      <c r="D358" s="24"/>
      <c r="E358" s="116">
        <v>223002</v>
      </c>
      <c r="F358" s="24" t="s">
        <v>81</v>
      </c>
      <c r="G358" s="63">
        <f>24840-11520</f>
        <v>13320</v>
      </c>
      <c r="H358" s="63"/>
      <c r="I358" s="63">
        <f t="shared" si="21"/>
        <v>13320</v>
      </c>
    </row>
    <row r="359" spans="2:9" ht="12" customHeight="1" thickBot="1">
      <c r="B359" s="20">
        <f t="shared" si="20"/>
        <v>351</v>
      </c>
      <c r="C359" s="24"/>
      <c r="D359" s="24"/>
      <c r="E359" s="116">
        <v>223003</v>
      </c>
      <c r="F359" s="24" t="s">
        <v>82</v>
      </c>
      <c r="G359" s="63">
        <f>134430-14284</f>
        <v>120146</v>
      </c>
      <c r="H359" s="63"/>
      <c r="I359" s="63">
        <f t="shared" si="21"/>
        <v>120146</v>
      </c>
    </row>
    <row r="360" spans="2:9" ht="15.75" thickBot="1">
      <c r="B360" s="20">
        <f t="shared" si="20"/>
        <v>352</v>
      </c>
      <c r="C360" s="64">
        <v>12</v>
      </c>
      <c r="D360" s="64"/>
      <c r="E360" s="123"/>
      <c r="F360" s="64" t="s">
        <v>8</v>
      </c>
      <c r="G360" s="65">
        <f>G364+G361</f>
        <v>189296</v>
      </c>
      <c r="H360" s="65">
        <f>H364+H361</f>
        <v>0</v>
      </c>
      <c r="I360" s="65">
        <f t="shared" si="21"/>
        <v>189296</v>
      </c>
    </row>
    <row r="361" spans="2:9" ht="12.75">
      <c r="B361" s="20">
        <f t="shared" si="20"/>
        <v>353</v>
      </c>
      <c r="C361" s="6">
        <v>210</v>
      </c>
      <c r="D361" s="6"/>
      <c r="E361" s="120"/>
      <c r="F361" s="6" t="s">
        <v>240</v>
      </c>
      <c r="G361" s="15">
        <f>G362</f>
        <v>496</v>
      </c>
      <c r="H361" s="15">
        <f>H362</f>
        <v>0</v>
      </c>
      <c r="I361" s="15">
        <f t="shared" si="21"/>
        <v>496</v>
      </c>
    </row>
    <row r="362" spans="2:9" ht="12.75">
      <c r="B362" s="20">
        <f t="shared" si="20"/>
        <v>354</v>
      </c>
      <c r="C362" s="3"/>
      <c r="D362" s="3">
        <v>212</v>
      </c>
      <c r="E362" s="124"/>
      <c r="F362" s="3" t="s">
        <v>241</v>
      </c>
      <c r="G362" s="16">
        <f>G363</f>
        <v>496</v>
      </c>
      <c r="H362" s="16">
        <f>H363</f>
        <v>0</v>
      </c>
      <c r="I362" s="16">
        <f t="shared" si="21"/>
        <v>496</v>
      </c>
    </row>
    <row r="363" spans="2:9" ht="12.75">
      <c r="B363" s="20">
        <f t="shared" si="20"/>
        <v>355</v>
      </c>
      <c r="C363" s="24"/>
      <c r="D363" s="24"/>
      <c r="E363" s="116">
        <v>212003</v>
      </c>
      <c r="F363" s="24" t="s">
        <v>242</v>
      </c>
      <c r="G363" s="63">
        <f>3000-2504</f>
        <v>496</v>
      </c>
      <c r="H363" s="63"/>
      <c r="I363" s="63">
        <f t="shared" si="21"/>
        <v>496</v>
      </c>
    </row>
    <row r="364" spans="2:9" ht="12.75">
      <c r="B364" s="20">
        <f t="shared" si="20"/>
        <v>356</v>
      </c>
      <c r="C364" s="6">
        <v>220</v>
      </c>
      <c r="D364" s="6"/>
      <c r="E364" s="120"/>
      <c r="F364" s="6" t="s">
        <v>215</v>
      </c>
      <c r="G364" s="15">
        <f>G365</f>
        <v>188800</v>
      </c>
      <c r="H364" s="15">
        <f>H365</f>
        <v>0</v>
      </c>
      <c r="I364" s="15">
        <f t="shared" si="21"/>
        <v>188800</v>
      </c>
    </row>
    <row r="365" spans="2:9" ht="12.75">
      <c r="B365" s="20">
        <f t="shared" si="20"/>
        <v>357</v>
      </c>
      <c r="C365" s="3"/>
      <c r="D365" s="3">
        <v>223</v>
      </c>
      <c r="E365" s="124"/>
      <c r="F365" s="3" t="s">
        <v>243</v>
      </c>
      <c r="G365" s="16">
        <f>G368+G367+G366</f>
        <v>188800</v>
      </c>
      <c r="H365" s="16">
        <f>H368+H367+H366</f>
        <v>0</v>
      </c>
      <c r="I365" s="16">
        <f t="shared" si="21"/>
        <v>188800</v>
      </c>
    </row>
    <row r="366" spans="2:9" ht="12.75">
      <c r="B366" s="20">
        <f t="shared" si="20"/>
        <v>358</v>
      </c>
      <c r="C366" s="24"/>
      <c r="D366" s="24"/>
      <c r="E366" s="116">
        <v>223001</v>
      </c>
      <c r="F366" s="24" t="s">
        <v>244</v>
      </c>
      <c r="G366" s="63">
        <f>53000-19200</f>
        <v>33800</v>
      </c>
      <c r="H366" s="63"/>
      <c r="I366" s="63">
        <f t="shared" si="21"/>
        <v>33800</v>
      </c>
    </row>
    <row r="367" spans="2:9" ht="12.75">
      <c r="B367" s="20">
        <f t="shared" si="20"/>
        <v>359</v>
      </c>
      <c r="C367" s="24"/>
      <c r="D367" s="24"/>
      <c r="E367" s="116">
        <v>223002</v>
      </c>
      <c r="F367" s="24" t="s">
        <v>81</v>
      </c>
      <c r="G367" s="63">
        <f>35000-12000</f>
        <v>23000</v>
      </c>
      <c r="H367" s="63"/>
      <c r="I367" s="63">
        <f t="shared" si="21"/>
        <v>23000</v>
      </c>
    </row>
    <row r="368" spans="2:9" ht="13.5" thickBot="1">
      <c r="B368" s="20">
        <f t="shared" si="20"/>
        <v>360</v>
      </c>
      <c r="C368" s="24"/>
      <c r="D368" s="24"/>
      <c r="E368" s="116">
        <v>223003</v>
      </c>
      <c r="F368" s="24" t="s">
        <v>82</v>
      </c>
      <c r="G368" s="63">
        <f>164000-32000</f>
        <v>132000</v>
      </c>
      <c r="H368" s="63"/>
      <c r="I368" s="63">
        <f t="shared" si="21"/>
        <v>132000</v>
      </c>
    </row>
    <row r="369" spans="2:9" ht="15.75" thickBot="1">
      <c r="B369" s="20">
        <f t="shared" si="20"/>
        <v>361</v>
      </c>
      <c r="C369" s="64">
        <v>13</v>
      </c>
      <c r="D369" s="64"/>
      <c r="E369" s="123"/>
      <c r="F369" s="64" t="s">
        <v>17</v>
      </c>
      <c r="G369" s="65">
        <f>G373+G370</f>
        <v>75100</v>
      </c>
      <c r="H369" s="65">
        <f>H373+H370</f>
        <v>0</v>
      </c>
      <c r="I369" s="65">
        <f t="shared" si="21"/>
        <v>75100</v>
      </c>
    </row>
    <row r="370" spans="2:9" ht="12.75">
      <c r="B370" s="20">
        <f t="shared" si="20"/>
        <v>362</v>
      </c>
      <c r="C370" s="6">
        <v>210</v>
      </c>
      <c r="D370" s="6"/>
      <c r="E370" s="120"/>
      <c r="F370" s="6" t="s">
        <v>240</v>
      </c>
      <c r="G370" s="15">
        <f>G371</f>
        <v>2800</v>
      </c>
      <c r="H370" s="15">
        <f>H371</f>
        <v>0</v>
      </c>
      <c r="I370" s="15">
        <f t="shared" si="21"/>
        <v>2800</v>
      </c>
    </row>
    <row r="371" spans="2:9" ht="12.75">
      <c r="B371" s="20">
        <f t="shared" si="20"/>
        <v>363</v>
      </c>
      <c r="C371" s="3"/>
      <c r="D371" s="3">
        <v>212</v>
      </c>
      <c r="E371" s="124"/>
      <c r="F371" s="3" t="s">
        <v>241</v>
      </c>
      <c r="G371" s="16">
        <f>G372</f>
        <v>2800</v>
      </c>
      <c r="H371" s="16">
        <f>H372</f>
        <v>0</v>
      </c>
      <c r="I371" s="16">
        <f t="shared" si="21"/>
        <v>2800</v>
      </c>
    </row>
    <row r="372" spans="2:9" ht="12.75">
      <c r="B372" s="20">
        <f aca="true" t="shared" si="22" ref="B372:B441">B371+1</f>
        <v>364</v>
      </c>
      <c r="C372" s="24"/>
      <c r="D372" s="24"/>
      <c r="E372" s="116">
        <v>212003</v>
      </c>
      <c r="F372" s="24" t="s">
        <v>242</v>
      </c>
      <c r="G372" s="63">
        <f>6000-3200</f>
        <v>2800</v>
      </c>
      <c r="H372" s="63"/>
      <c r="I372" s="63">
        <f t="shared" si="21"/>
        <v>2800</v>
      </c>
    </row>
    <row r="373" spans="2:9" ht="12.75">
      <c r="B373" s="20">
        <f t="shared" si="22"/>
        <v>365</v>
      </c>
      <c r="C373" s="6">
        <v>220</v>
      </c>
      <c r="D373" s="6"/>
      <c r="E373" s="120"/>
      <c r="F373" s="6" t="s">
        <v>215</v>
      </c>
      <c r="G373" s="15">
        <f>G374</f>
        <v>72300</v>
      </c>
      <c r="H373" s="15">
        <f>H374</f>
        <v>0</v>
      </c>
      <c r="I373" s="15">
        <f t="shared" si="21"/>
        <v>72300</v>
      </c>
    </row>
    <row r="374" spans="2:9" ht="12.75">
      <c r="B374" s="20">
        <f t="shared" si="22"/>
        <v>366</v>
      </c>
      <c r="C374" s="3"/>
      <c r="D374" s="3">
        <v>223</v>
      </c>
      <c r="E374" s="124"/>
      <c r="F374" s="3" t="s">
        <v>243</v>
      </c>
      <c r="G374" s="16">
        <f>G377+G376+G375</f>
        <v>72300</v>
      </c>
      <c r="H374" s="16">
        <f>H377+H376+H375</f>
        <v>0</v>
      </c>
      <c r="I374" s="16">
        <f t="shared" si="21"/>
        <v>72300</v>
      </c>
    </row>
    <row r="375" spans="2:9" ht="12.75">
      <c r="B375" s="20">
        <f t="shared" si="22"/>
        <v>367</v>
      </c>
      <c r="C375" s="24"/>
      <c r="D375" s="24"/>
      <c r="E375" s="116">
        <v>223001</v>
      </c>
      <c r="F375" s="24" t="s">
        <v>244</v>
      </c>
      <c r="G375" s="63">
        <f>29902-11100</f>
        <v>18802</v>
      </c>
      <c r="H375" s="63"/>
      <c r="I375" s="63">
        <f t="shared" si="21"/>
        <v>18802</v>
      </c>
    </row>
    <row r="376" spans="2:9" ht="12.75">
      <c r="B376" s="20">
        <f t="shared" si="22"/>
        <v>368</v>
      </c>
      <c r="C376" s="24"/>
      <c r="D376" s="24"/>
      <c r="E376" s="116">
        <v>223002</v>
      </c>
      <c r="F376" s="24" t="s">
        <v>81</v>
      </c>
      <c r="G376" s="63">
        <f>10200-2300</f>
        <v>7900</v>
      </c>
      <c r="H376" s="63"/>
      <c r="I376" s="63">
        <f t="shared" si="21"/>
        <v>7900</v>
      </c>
    </row>
    <row r="377" spans="2:9" ht="13.5" thickBot="1">
      <c r="B377" s="20">
        <f t="shared" si="22"/>
        <v>369</v>
      </c>
      <c r="C377" s="24"/>
      <c r="D377" s="24"/>
      <c r="E377" s="116">
        <v>223003</v>
      </c>
      <c r="F377" s="24" t="s">
        <v>82</v>
      </c>
      <c r="G377" s="63">
        <f>74396+2-28800</f>
        <v>45598</v>
      </c>
      <c r="H377" s="63"/>
      <c r="I377" s="63">
        <f t="shared" si="21"/>
        <v>45598</v>
      </c>
    </row>
    <row r="378" spans="2:9" ht="15.75" thickBot="1">
      <c r="B378" s="20">
        <f t="shared" si="22"/>
        <v>370</v>
      </c>
      <c r="C378" s="64">
        <v>14</v>
      </c>
      <c r="D378" s="64"/>
      <c r="E378" s="123"/>
      <c r="F378" s="64" t="s">
        <v>475</v>
      </c>
      <c r="G378" s="65">
        <f>G382+G379</f>
        <v>105592</v>
      </c>
      <c r="H378" s="65">
        <f>H382+H379</f>
        <v>0</v>
      </c>
      <c r="I378" s="65">
        <f t="shared" si="21"/>
        <v>105592</v>
      </c>
    </row>
    <row r="379" spans="2:9" ht="12.75">
      <c r="B379" s="20">
        <f t="shared" si="22"/>
        <v>371</v>
      </c>
      <c r="C379" s="6">
        <v>210</v>
      </c>
      <c r="D379" s="6"/>
      <c r="E379" s="120"/>
      <c r="F379" s="6" t="s">
        <v>240</v>
      </c>
      <c r="G379" s="15">
        <f>G380</f>
        <v>200</v>
      </c>
      <c r="H379" s="15">
        <f>H380</f>
        <v>0</v>
      </c>
      <c r="I379" s="15">
        <f t="shared" si="21"/>
        <v>200</v>
      </c>
    </row>
    <row r="380" spans="2:9" ht="12.75">
      <c r="B380" s="20">
        <f t="shared" si="22"/>
        <v>372</v>
      </c>
      <c r="C380" s="3"/>
      <c r="D380" s="3">
        <v>212</v>
      </c>
      <c r="E380" s="124"/>
      <c r="F380" s="3" t="s">
        <v>241</v>
      </c>
      <c r="G380" s="16">
        <f>G381</f>
        <v>200</v>
      </c>
      <c r="H380" s="16">
        <f>H381</f>
        <v>0</v>
      </c>
      <c r="I380" s="16">
        <f t="shared" si="21"/>
        <v>200</v>
      </c>
    </row>
    <row r="381" spans="2:9" ht="12.75">
      <c r="B381" s="20">
        <f t="shared" si="22"/>
        <v>373</v>
      </c>
      <c r="C381" s="24"/>
      <c r="D381" s="24"/>
      <c r="E381" s="116">
        <v>212003</v>
      </c>
      <c r="F381" s="24" t="s">
        <v>242</v>
      </c>
      <c r="G381" s="63">
        <v>200</v>
      </c>
      <c r="H381" s="63"/>
      <c r="I381" s="63">
        <f t="shared" si="21"/>
        <v>200</v>
      </c>
    </row>
    <row r="382" spans="2:9" ht="12.75">
      <c r="B382" s="20">
        <f t="shared" si="22"/>
        <v>374</v>
      </c>
      <c r="C382" s="6">
        <v>220</v>
      </c>
      <c r="D382" s="6"/>
      <c r="E382" s="120"/>
      <c r="F382" s="6" t="s">
        <v>215</v>
      </c>
      <c r="G382" s="15">
        <f>G383</f>
        <v>105392</v>
      </c>
      <c r="H382" s="15">
        <f>H383</f>
        <v>0</v>
      </c>
      <c r="I382" s="15">
        <f t="shared" si="21"/>
        <v>105392</v>
      </c>
    </row>
    <row r="383" spans="2:9" ht="12.75">
      <c r="B383" s="20">
        <f t="shared" si="22"/>
        <v>375</v>
      </c>
      <c r="C383" s="3"/>
      <c r="D383" s="3">
        <v>223</v>
      </c>
      <c r="E383" s="124"/>
      <c r="F383" s="3" t="s">
        <v>243</v>
      </c>
      <c r="G383" s="16">
        <f>G384</f>
        <v>105392</v>
      </c>
      <c r="H383" s="16">
        <f>H384</f>
        <v>0</v>
      </c>
      <c r="I383" s="16">
        <f t="shared" si="21"/>
        <v>105392</v>
      </c>
    </row>
    <row r="384" spans="2:9" ht="12.75">
      <c r="B384" s="20">
        <f t="shared" si="22"/>
        <v>376</v>
      </c>
      <c r="C384" s="24"/>
      <c r="D384" s="24"/>
      <c r="E384" s="116">
        <v>223002</v>
      </c>
      <c r="F384" s="24" t="s">
        <v>81</v>
      </c>
      <c r="G384" s="63">
        <f>110900-5508</f>
        <v>105392</v>
      </c>
      <c r="H384" s="63"/>
      <c r="I384" s="63">
        <f t="shared" si="21"/>
        <v>105392</v>
      </c>
    </row>
    <row r="385" spans="2:9" ht="16.5" thickBot="1">
      <c r="B385" s="20">
        <f>B384+1</f>
        <v>377</v>
      </c>
      <c r="C385" s="11">
        <v>300</v>
      </c>
      <c r="D385" s="11"/>
      <c r="E385" s="122"/>
      <c r="F385" s="11" t="s">
        <v>219</v>
      </c>
      <c r="G385" s="14">
        <f>G427+G418+G386+G414+G438+G424</f>
        <v>11886730</v>
      </c>
      <c r="H385" s="14">
        <f>H427+H418+H386+H414+H438+H424+H435+H432</f>
        <v>127136</v>
      </c>
      <c r="I385" s="14">
        <f t="shared" si="21"/>
        <v>12013866</v>
      </c>
    </row>
    <row r="386" spans="2:9" ht="15.75" thickBot="1">
      <c r="B386" s="20">
        <f t="shared" si="22"/>
        <v>378</v>
      </c>
      <c r="C386" s="64"/>
      <c r="D386" s="64"/>
      <c r="E386" s="123"/>
      <c r="F386" s="64" t="s">
        <v>49</v>
      </c>
      <c r="G386" s="65">
        <f>G387</f>
        <v>11687142</v>
      </c>
      <c r="H386" s="65">
        <f>H387</f>
        <v>122753</v>
      </c>
      <c r="I386" s="65">
        <f t="shared" si="21"/>
        <v>11809895</v>
      </c>
    </row>
    <row r="387" spans="2:9" ht="12.75">
      <c r="B387" s="20">
        <f t="shared" si="22"/>
        <v>379</v>
      </c>
      <c r="C387" s="6">
        <v>310</v>
      </c>
      <c r="D387" s="6"/>
      <c r="E387" s="120"/>
      <c r="F387" s="6" t="s">
        <v>220</v>
      </c>
      <c r="G387" s="15">
        <f>G390+G388+G389</f>
        <v>11687142</v>
      </c>
      <c r="H387" s="15">
        <f>H390+H388+H389</f>
        <v>122753</v>
      </c>
      <c r="I387" s="15">
        <f t="shared" si="21"/>
        <v>11809895</v>
      </c>
    </row>
    <row r="388" spans="2:9" ht="12.75">
      <c r="B388" s="20">
        <f t="shared" si="22"/>
        <v>380</v>
      </c>
      <c r="C388" s="155"/>
      <c r="D388" s="155">
        <v>311</v>
      </c>
      <c r="E388" s="156"/>
      <c r="F388" s="158" t="s">
        <v>569</v>
      </c>
      <c r="G388" s="157">
        <v>2000</v>
      </c>
      <c r="H388" s="157"/>
      <c r="I388" s="157">
        <f t="shared" si="21"/>
        <v>2000</v>
      </c>
    </row>
    <row r="389" spans="2:9" ht="12.75">
      <c r="B389" s="20">
        <f t="shared" si="22"/>
        <v>381</v>
      </c>
      <c r="C389" s="155"/>
      <c r="D389" s="155">
        <v>311</v>
      </c>
      <c r="E389" s="156"/>
      <c r="F389" s="158" t="s">
        <v>605</v>
      </c>
      <c r="G389" s="157">
        <v>4400</v>
      </c>
      <c r="H389" s="157"/>
      <c r="I389" s="157">
        <f t="shared" si="21"/>
        <v>4400</v>
      </c>
    </row>
    <row r="390" spans="2:9" ht="12.75">
      <c r="B390" s="20">
        <f t="shared" si="22"/>
        <v>382</v>
      </c>
      <c r="C390" s="3"/>
      <c r="D390" s="3">
        <v>312</v>
      </c>
      <c r="E390" s="124"/>
      <c r="F390" s="3" t="s">
        <v>183</v>
      </c>
      <c r="G390" s="16">
        <f>G405+G391</f>
        <v>11680742</v>
      </c>
      <c r="H390" s="16">
        <f>H405+H391+H403</f>
        <v>122753</v>
      </c>
      <c r="I390" s="16">
        <f t="shared" si="21"/>
        <v>11803495</v>
      </c>
    </row>
    <row r="391" spans="2:9" ht="12.75">
      <c r="B391" s="20">
        <f t="shared" si="22"/>
        <v>383</v>
      </c>
      <c r="C391" s="24"/>
      <c r="D391" s="24"/>
      <c r="E391" s="116">
        <v>312001</v>
      </c>
      <c r="F391" s="116" t="s">
        <v>474</v>
      </c>
      <c r="G391" s="63">
        <f>SUM(G392:G401)</f>
        <v>1757735</v>
      </c>
      <c r="H391" s="63">
        <f>SUM(H392:H402)</f>
        <v>5347</v>
      </c>
      <c r="I391" s="63">
        <f t="shared" si="21"/>
        <v>1763082</v>
      </c>
    </row>
    <row r="392" spans="2:9" ht="12.75">
      <c r="B392" s="20">
        <f t="shared" si="22"/>
        <v>384</v>
      </c>
      <c r="C392" s="5"/>
      <c r="D392" s="5"/>
      <c r="E392" s="5"/>
      <c r="F392" s="5" t="s">
        <v>456</v>
      </c>
      <c r="G392" s="18">
        <v>1101144</v>
      </c>
      <c r="H392" s="18"/>
      <c r="I392" s="18">
        <f t="shared" si="21"/>
        <v>1101144</v>
      </c>
    </row>
    <row r="393" spans="2:9" ht="12.75">
      <c r="B393" s="20">
        <f t="shared" si="22"/>
        <v>385</v>
      </c>
      <c r="C393" s="5"/>
      <c r="D393" s="5"/>
      <c r="E393" s="5"/>
      <c r="F393" s="5" t="s">
        <v>276</v>
      </c>
      <c r="G393" s="18">
        <v>13000</v>
      </c>
      <c r="H393" s="18"/>
      <c r="I393" s="18">
        <f t="shared" si="21"/>
        <v>13000</v>
      </c>
    </row>
    <row r="394" spans="2:9" ht="12.75">
      <c r="B394" s="20">
        <f t="shared" si="22"/>
        <v>386</v>
      </c>
      <c r="C394" s="5"/>
      <c r="D394" s="5"/>
      <c r="E394" s="5"/>
      <c r="F394" s="5" t="s">
        <v>457</v>
      </c>
      <c r="G394" s="18">
        <v>16000</v>
      </c>
      <c r="H394" s="18"/>
      <c r="I394" s="18">
        <f t="shared" si="21"/>
        <v>16000</v>
      </c>
    </row>
    <row r="395" spans="2:9" ht="12.75">
      <c r="B395" s="20">
        <f t="shared" si="22"/>
        <v>387</v>
      </c>
      <c r="C395" s="5"/>
      <c r="D395" s="5"/>
      <c r="E395" s="5"/>
      <c r="F395" s="115" t="s">
        <v>441</v>
      </c>
      <c r="G395" s="18">
        <v>45000</v>
      </c>
      <c r="H395" s="18"/>
      <c r="I395" s="18">
        <f t="shared" si="21"/>
        <v>45000</v>
      </c>
    </row>
    <row r="396" spans="2:9" ht="12.75">
      <c r="B396" s="20">
        <f t="shared" si="22"/>
        <v>388</v>
      </c>
      <c r="C396" s="5"/>
      <c r="D396" s="5"/>
      <c r="E396" s="5"/>
      <c r="F396" s="5" t="s">
        <v>471</v>
      </c>
      <c r="G396" s="18">
        <v>160270</v>
      </c>
      <c r="H396" s="18"/>
      <c r="I396" s="18">
        <f t="shared" si="21"/>
        <v>160270</v>
      </c>
    </row>
    <row r="397" spans="2:9" s="13" customFormat="1" ht="22.5">
      <c r="B397" s="20">
        <f t="shared" si="22"/>
        <v>389</v>
      </c>
      <c r="C397" s="28"/>
      <c r="D397" s="28"/>
      <c r="E397" s="28"/>
      <c r="F397" s="27" t="s">
        <v>568</v>
      </c>
      <c r="G397" s="91">
        <v>29925</v>
      </c>
      <c r="H397" s="91"/>
      <c r="I397" s="91">
        <f t="shared" si="21"/>
        <v>29925</v>
      </c>
    </row>
    <row r="398" spans="2:9" ht="12.75">
      <c r="B398" s="20">
        <f t="shared" si="22"/>
        <v>390</v>
      </c>
      <c r="C398" s="5"/>
      <c r="D398" s="5"/>
      <c r="E398" s="5"/>
      <c r="F398" s="5" t="s">
        <v>567</v>
      </c>
      <c r="G398" s="18">
        <v>31042</v>
      </c>
      <c r="H398" s="18"/>
      <c r="I398" s="18">
        <f t="shared" si="21"/>
        <v>31042</v>
      </c>
    </row>
    <row r="399" spans="2:9" ht="12.75">
      <c r="B399" s="20">
        <f t="shared" si="22"/>
        <v>391</v>
      </c>
      <c r="C399" s="5"/>
      <c r="D399" s="5"/>
      <c r="E399" s="5"/>
      <c r="F399" s="5" t="s">
        <v>572</v>
      </c>
      <c r="G399" s="18">
        <f>109500+80000</f>
        <v>189500</v>
      </c>
      <c r="H399" s="18"/>
      <c r="I399" s="18">
        <f aca="true" t="shared" si="23" ref="I399:I441">H399+G399</f>
        <v>189500</v>
      </c>
    </row>
    <row r="400" spans="2:9" ht="12.75">
      <c r="B400" s="20">
        <f t="shared" si="22"/>
        <v>392</v>
      </c>
      <c r="C400" s="5"/>
      <c r="D400" s="5"/>
      <c r="E400" s="5"/>
      <c r="F400" s="5" t="s">
        <v>594</v>
      </c>
      <c r="G400" s="18">
        <v>110250</v>
      </c>
      <c r="H400" s="18"/>
      <c r="I400" s="18">
        <f t="shared" si="23"/>
        <v>110250</v>
      </c>
    </row>
    <row r="401" spans="2:9" ht="12.75">
      <c r="B401" s="20">
        <f t="shared" si="22"/>
        <v>393</v>
      </c>
      <c r="C401" s="5"/>
      <c r="D401" s="5"/>
      <c r="E401" s="5"/>
      <c r="F401" s="5" t="s">
        <v>646</v>
      </c>
      <c r="G401" s="18">
        <v>61604</v>
      </c>
      <c r="H401" s="18"/>
      <c r="I401" s="18">
        <f t="shared" si="23"/>
        <v>61604</v>
      </c>
    </row>
    <row r="402" spans="2:9" ht="12.75">
      <c r="B402" s="20">
        <f t="shared" si="22"/>
        <v>394</v>
      </c>
      <c r="C402" s="5"/>
      <c r="D402" s="5"/>
      <c r="E402" s="5"/>
      <c r="F402" s="175" t="s">
        <v>657</v>
      </c>
      <c r="G402" s="18">
        <v>0</v>
      </c>
      <c r="H402" s="18">
        <v>5347</v>
      </c>
      <c r="I402" s="18">
        <f t="shared" si="23"/>
        <v>5347</v>
      </c>
    </row>
    <row r="403" spans="2:9" ht="12.75">
      <c r="B403" s="20">
        <f t="shared" si="22"/>
        <v>395</v>
      </c>
      <c r="C403" s="5"/>
      <c r="D403" s="5"/>
      <c r="E403" s="116">
        <v>312002</v>
      </c>
      <c r="F403" s="4" t="s">
        <v>667</v>
      </c>
      <c r="G403" s="63">
        <f>G404</f>
        <v>0</v>
      </c>
      <c r="H403" s="63">
        <f>H404</f>
        <v>80444</v>
      </c>
      <c r="I403" s="63">
        <f>H403+G403</f>
        <v>80444</v>
      </c>
    </row>
    <row r="404" spans="2:9" ht="12.75">
      <c r="B404" s="20">
        <f t="shared" si="22"/>
        <v>396</v>
      </c>
      <c r="C404" s="5"/>
      <c r="D404" s="5"/>
      <c r="E404" s="5"/>
      <c r="F404" s="5" t="s">
        <v>668</v>
      </c>
      <c r="G404" s="18">
        <v>0</v>
      </c>
      <c r="H404" s="18">
        <v>80444</v>
      </c>
      <c r="I404" s="18">
        <f>H404+G404</f>
        <v>80444</v>
      </c>
    </row>
    <row r="405" spans="2:9" ht="12.75">
      <c r="B405" s="20">
        <f t="shared" si="22"/>
        <v>397</v>
      </c>
      <c r="C405" s="24"/>
      <c r="D405" s="24"/>
      <c r="E405" s="116">
        <v>312012</v>
      </c>
      <c r="F405" s="4" t="s">
        <v>476</v>
      </c>
      <c r="G405" s="63">
        <f>G412+G411+G410+G409+G408+G407+G406</f>
        <v>9923007</v>
      </c>
      <c r="H405" s="63">
        <f>SUM(H406:H413)</f>
        <v>36962</v>
      </c>
      <c r="I405" s="63">
        <f t="shared" si="23"/>
        <v>9959969</v>
      </c>
    </row>
    <row r="406" spans="2:9" ht="12.75">
      <c r="B406" s="20">
        <f t="shared" si="22"/>
        <v>398</v>
      </c>
      <c r="C406" s="5"/>
      <c r="D406" s="5"/>
      <c r="E406" s="5"/>
      <c r="F406" s="5" t="s">
        <v>458</v>
      </c>
      <c r="G406" s="18">
        <f>9641789-48180-37600</f>
        <v>9556009</v>
      </c>
      <c r="H406" s="18">
        <f>800+800+800</f>
        <v>2400</v>
      </c>
      <c r="I406" s="18">
        <f t="shared" si="23"/>
        <v>9558409</v>
      </c>
    </row>
    <row r="407" spans="2:9" ht="12.75">
      <c r="B407" s="20">
        <f t="shared" si="22"/>
        <v>399</v>
      </c>
      <c r="C407" s="5"/>
      <c r="D407" s="5"/>
      <c r="E407" s="5"/>
      <c r="F407" s="5" t="s">
        <v>459</v>
      </c>
      <c r="G407" s="18">
        <f>84981+1170</f>
        <v>86151</v>
      </c>
      <c r="H407" s="18"/>
      <c r="I407" s="18">
        <f t="shared" si="23"/>
        <v>86151</v>
      </c>
    </row>
    <row r="408" spans="2:9" ht="12.75">
      <c r="B408" s="20">
        <f t="shared" si="22"/>
        <v>400</v>
      </c>
      <c r="C408" s="5"/>
      <c r="D408" s="5"/>
      <c r="E408" s="5"/>
      <c r="F408" s="5" t="s">
        <v>460</v>
      </c>
      <c r="G408" s="18">
        <v>119000</v>
      </c>
      <c r="H408" s="18">
        <v>29135</v>
      </c>
      <c r="I408" s="18">
        <f t="shared" si="23"/>
        <v>148135</v>
      </c>
    </row>
    <row r="409" spans="2:9" ht="12.75">
      <c r="B409" s="20">
        <f t="shared" si="22"/>
        <v>401</v>
      </c>
      <c r="C409" s="5"/>
      <c r="D409" s="5"/>
      <c r="E409" s="5"/>
      <c r="F409" s="5" t="s">
        <v>461</v>
      </c>
      <c r="G409" s="18">
        <v>83000</v>
      </c>
      <c r="H409" s="18"/>
      <c r="I409" s="18">
        <f t="shared" si="23"/>
        <v>83000</v>
      </c>
    </row>
    <row r="410" spans="2:9" ht="12.75">
      <c r="B410" s="20">
        <f t="shared" si="22"/>
        <v>402</v>
      </c>
      <c r="C410" s="5"/>
      <c r="D410" s="5"/>
      <c r="E410" s="5"/>
      <c r="F410" s="5" t="s">
        <v>123</v>
      </c>
      <c r="G410" s="18">
        <f>53463-17316</f>
        <v>36147</v>
      </c>
      <c r="H410" s="18"/>
      <c r="I410" s="18">
        <f t="shared" si="23"/>
        <v>36147</v>
      </c>
    </row>
    <row r="411" spans="2:9" ht="12.75">
      <c r="B411" s="20">
        <f t="shared" si="22"/>
        <v>403</v>
      </c>
      <c r="C411" s="5"/>
      <c r="D411" s="5"/>
      <c r="E411" s="5"/>
      <c r="F411" s="5" t="s">
        <v>462</v>
      </c>
      <c r="G411" s="18">
        <v>18300</v>
      </c>
      <c r="H411" s="18"/>
      <c r="I411" s="18">
        <f t="shared" si="23"/>
        <v>18300</v>
      </c>
    </row>
    <row r="412" spans="2:9" ht="12.75">
      <c r="B412" s="20">
        <f t="shared" si="22"/>
        <v>404</v>
      </c>
      <c r="C412" s="26"/>
      <c r="D412" s="5"/>
      <c r="E412" s="5"/>
      <c r="F412" s="58" t="s">
        <v>463</v>
      </c>
      <c r="G412" s="18">
        <v>24400</v>
      </c>
      <c r="H412" s="18"/>
      <c r="I412" s="18">
        <f t="shared" si="23"/>
        <v>24400</v>
      </c>
    </row>
    <row r="413" spans="2:9" ht="13.5" thickBot="1">
      <c r="B413" s="20">
        <f t="shared" si="22"/>
        <v>405</v>
      </c>
      <c r="C413" s="202"/>
      <c r="D413" s="5"/>
      <c r="E413" s="5"/>
      <c r="F413" s="202" t="s">
        <v>663</v>
      </c>
      <c r="G413" s="206">
        <v>0</v>
      </c>
      <c r="H413" s="208">
        <v>5427</v>
      </c>
      <c r="I413" s="206">
        <f t="shared" si="23"/>
        <v>5427</v>
      </c>
    </row>
    <row r="414" spans="2:9" ht="15.75" thickBot="1">
      <c r="B414" s="20">
        <f t="shared" si="22"/>
        <v>406</v>
      </c>
      <c r="C414" s="64">
        <v>1</v>
      </c>
      <c r="D414" s="203"/>
      <c r="E414" s="204"/>
      <c r="F414" s="64" t="s">
        <v>562</v>
      </c>
      <c r="G414" s="205">
        <f aca="true" t="shared" si="24" ref="G414:H416">G415</f>
        <v>2800</v>
      </c>
      <c r="H414" s="205">
        <f t="shared" si="24"/>
        <v>0</v>
      </c>
      <c r="I414" s="205">
        <f t="shared" si="23"/>
        <v>2800</v>
      </c>
    </row>
    <row r="415" spans="2:9" ht="12.75">
      <c r="B415" s="20">
        <f t="shared" si="22"/>
        <v>407</v>
      </c>
      <c r="C415" s="118">
        <v>310</v>
      </c>
      <c r="D415" s="118"/>
      <c r="E415" s="117"/>
      <c r="F415" s="118" t="s">
        <v>220</v>
      </c>
      <c r="G415" s="119">
        <f t="shared" si="24"/>
        <v>2800</v>
      </c>
      <c r="H415" s="119">
        <f t="shared" si="24"/>
        <v>0</v>
      </c>
      <c r="I415" s="119">
        <f t="shared" si="23"/>
        <v>2800</v>
      </c>
    </row>
    <row r="416" spans="2:9" ht="12.75">
      <c r="B416" s="20">
        <f t="shared" si="22"/>
        <v>408</v>
      </c>
      <c r="C416" s="24"/>
      <c r="D416" s="24">
        <v>312</v>
      </c>
      <c r="E416" s="116"/>
      <c r="F416" s="24" t="s">
        <v>183</v>
      </c>
      <c r="G416" s="63">
        <f t="shared" si="24"/>
        <v>2800</v>
      </c>
      <c r="H416" s="63">
        <f t="shared" si="24"/>
        <v>0</v>
      </c>
      <c r="I416" s="63">
        <f t="shared" si="23"/>
        <v>2800</v>
      </c>
    </row>
    <row r="417" spans="2:9" ht="13.5" thickBot="1">
      <c r="B417" s="20">
        <f t="shared" si="22"/>
        <v>409</v>
      </c>
      <c r="C417" s="5"/>
      <c r="D417" s="5"/>
      <c r="E417" s="5">
        <v>312001</v>
      </c>
      <c r="F417" s="5" t="s">
        <v>563</v>
      </c>
      <c r="G417" s="18">
        <f>2100+700</f>
        <v>2800</v>
      </c>
      <c r="H417" s="18"/>
      <c r="I417" s="18">
        <f t="shared" si="23"/>
        <v>2800</v>
      </c>
    </row>
    <row r="418" spans="2:9" ht="15.75" thickBot="1">
      <c r="B418" s="20">
        <f t="shared" si="22"/>
        <v>410</v>
      </c>
      <c r="C418" s="64">
        <v>5</v>
      </c>
      <c r="D418" s="64"/>
      <c r="E418" s="123"/>
      <c r="F418" s="64" t="s">
        <v>104</v>
      </c>
      <c r="G418" s="65">
        <f>G419</f>
        <v>138719</v>
      </c>
      <c r="H418" s="65">
        <f>H419</f>
        <v>250</v>
      </c>
      <c r="I418" s="65">
        <f t="shared" si="23"/>
        <v>138969</v>
      </c>
    </row>
    <row r="419" spans="2:9" ht="12.75">
      <c r="B419" s="20">
        <f t="shared" si="22"/>
        <v>411</v>
      </c>
      <c r="C419" s="118">
        <v>310</v>
      </c>
      <c r="D419" s="118"/>
      <c r="E419" s="117"/>
      <c r="F419" s="118" t="s">
        <v>220</v>
      </c>
      <c r="G419" s="119">
        <f>G420+G421</f>
        <v>138719</v>
      </c>
      <c r="H419" s="119">
        <f>H420+H421</f>
        <v>250</v>
      </c>
      <c r="I419" s="119">
        <f t="shared" si="23"/>
        <v>138969</v>
      </c>
    </row>
    <row r="420" spans="2:9" ht="12.75">
      <c r="B420" s="20">
        <f t="shared" si="22"/>
        <v>412</v>
      </c>
      <c r="C420" s="24"/>
      <c r="D420" s="24">
        <v>311</v>
      </c>
      <c r="E420" s="116"/>
      <c r="F420" s="24" t="s">
        <v>218</v>
      </c>
      <c r="G420" s="63">
        <f>40677+2350-40477+1950</f>
        <v>4500</v>
      </c>
      <c r="H420" s="63">
        <v>250</v>
      </c>
      <c r="I420" s="63">
        <f t="shared" si="23"/>
        <v>4750</v>
      </c>
    </row>
    <row r="421" spans="2:9" ht="12.75">
      <c r="B421" s="20">
        <f t="shared" si="22"/>
        <v>413</v>
      </c>
      <c r="C421" s="24"/>
      <c r="D421" s="24">
        <v>312</v>
      </c>
      <c r="E421" s="116"/>
      <c r="F421" s="24" t="s">
        <v>183</v>
      </c>
      <c r="G421" s="63">
        <f>G422+G423</f>
        <v>134219</v>
      </c>
      <c r="H421" s="63">
        <f>H422+H423</f>
        <v>0</v>
      </c>
      <c r="I421" s="63">
        <f t="shared" si="23"/>
        <v>134219</v>
      </c>
    </row>
    <row r="422" spans="2:9" ht="12.75">
      <c r="B422" s="20">
        <f t="shared" si="22"/>
        <v>414</v>
      </c>
      <c r="C422" s="5"/>
      <c r="D422" s="5"/>
      <c r="E422" s="5">
        <v>312001</v>
      </c>
      <c r="F422" s="5" t="s">
        <v>474</v>
      </c>
      <c r="G422" s="18">
        <f>55615+40677</f>
        <v>96292</v>
      </c>
      <c r="H422" s="18"/>
      <c r="I422" s="18">
        <f t="shared" si="23"/>
        <v>96292</v>
      </c>
    </row>
    <row r="423" spans="2:9" ht="13.5" thickBot="1">
      <c r="B423" s="20">
        <f t="shared" si="22"/>
        <v>415</v>
      </c>
      <c r="C423" s="5"/>
      <c r="D423" s="5"/>
      <c r="E423" s="5">
        <v>312</v>
      </c>
      <c r="F423" s="5" t="s">
        <v>564</v>
      </c>
      <c r="G423" s="18">
        <v>37927</v>
      </c>
      <c r="H423" s="18"/>
      <c r="I423" s="18">
        <f t="shared" si="23"/>
        <v>37927</v>
      </c>
    </row>
    <row r="424" spans="2:9" ht="15.75" thickBot="1">
      <c r="B424" s="20">
        <f t="shared" si="22"/>
        <v>416</v>
      </c>
      <c r="C424" s="64">
        <v>6</v>
      </c>
      <c r="D424" s="64"/>
      <c r="E424" s="123"/>
      <c r="F424" s="64" t="s">
        <v>647</v>
      </c>
      <c r="G424" s="65">
        <f>G425</f>
        <v>4898</v>
      </c>
      <c r="H424" s="65">
        <f>H439+H425+H442</f>
        <v>0</v>
      </c>
      <c r="I424" s="65">
        <f>H424+G424</f>
        <v>4898</v>
      </c>
    </row>
    <row r="425" spans="2:9" ht="12.75">
      <c r="B425" s="20">
        <f t="shared" si="22"/>
        <v>417</v>
      </c>
      <c r="C425" s="193"/>
      <c r="D425" s="193">
        <v>341</v>
      </c>
      <c r="E425" s="193"/>
      <c r="F425" s="193" t="s">
        <v>635</v>
      </c>
      <c r="G425" s="194">
        <f>G426</f>
        <v>4898</v>
      </c>
      <c r="H425" s="194">
        <f>H426</f>
        <v>0</v>
      </c>
      <c r="I425" s="194">
        <f>H425+G425</f>
        <v>4898</v>
      </c>
    </row>
    <row r="426" spans="2:9" ht="13.5" thickBot="1">
      <c r="B426" s="20">
        <f t="shared" si="22"/>
        <v>418</v>
      </c>
      <c r="C426" s="24"/>
      <c r="D426" s="24"/>
      <c r="E426" s="116">
        <v>341</v>
      </c>
      <c r="F426" s="116" t="s">
        <v>636</v>
      </c>
      <c r="G426" s="63">
        <v>4898</v>
      </c>
      <c r="H426" s="63"/>
      <c r="I426" s="63">
        <f>H426+G426</f>
        <v>4898</v>
      </c>
    </row>
    <row r="427" spans="2:9" ht="15.75" thickBot="1">
      <c r="B427" s="20">
        <f t="shared" si="22"/>
        <v>419</v>
      </c>
      <c r="C427" s="64">
        <v>9</v>
      </c>
      <c r="D427" s="64"/>
      <c r="E427" s="123"/>
      <c r="F427" s="64" t="s">
        <v>7</v>
      </c>
      <c r="G427" s="65">
        <f aca="true" t="shared" si="25" ref="G427:H430">G428</f>
        <v>43534</v>
      </c>
      <c r="H427" s="65">
        <f t="shared" si="25"/>
        <v>0</v>
      </c>
      <c r="I427" s="65">
        <f t="shared" si="23"/>
        <v>43534</v>
      </c>
    </row>
    <row r="428" spans="2:9" ht="12.75">
      <c r="B428" s="20">
        <f t="shared" si="22"/>
        <v>420</v>
      </c>
      <c r="C428" s="6">
        <v>310</v>
      </c>
      <c r="D428" s="6"/>
      <c r="E428" s="120"/>
      <c r="F428" s="6" t="s">
        <v>220</v>
      </c>
      <c r="G428" s="15">
        <f t="shared" si="25"/>
        <v>43534</v>
      </c>
      <c r="H428" s="15">
        <f t="shared" si="25"/>
        <v>0</v>
      </c>
      <c r="I428" s="15">
        <f t="shared" si="23"/>
        <v>43534</v>
      </c>
    </row>
    <row r="429" spans="2:9" ht="12.75">
      <c r="B429" s="20">
        <f t="shared" si="22"/>
        <v>421</v>
      </c>
      <c r="C429" s="3"/>
      <c r="D429" s="3">
        <v>312</v>
      </c>
      <c r="E429" s="124"/>
      <c r="F429" s="3" t="s">
        <v>183</v>
      </c>
      <c r="G429" s="16">
        <f t="shared" si="25"/>
        <v>43534</v>
      </c>
      <c r="H429" s="16">
        <f t="shared" si="25"/>
        <v>0</v>
      </c>
      <c r="I429" s="16">
        <f t="shared" si="23"/>
        <v>43534</v>
      </c>
    </row>
    <row r="430" spans="2:9" ht="12.75">
      <c r="B430" s="20">
        <f t="shared" si="22"/>
        <v>422</v>
      </c>
      <c r="C430" s="24"/>
      <c r="D430" s="24"/>
      <c r="E430" s="116">
        <v>312001</v>
      </c>
      <c r="F430" s="116" t="s">
        <v>474</v>
      </c>
      <c r="G430" s="63">
        <f t="shared" si="25"/>
        <v>43534</v>
      </c>
      <c r="H430" s="63">
        <f t="shared" si="25"/>
        <v>0</v>
      </c>
      <c r="I430" s="63">
        <f t="shared" si="23"/>
        <v>43534</v>
      </c>
    </row>
    <row r="431" spans="2:9" ht="13.5" thickBot="1">
      <c r="B431" s="20">
        <f t="shared" si="22"/>
        <v>423</v>
      </c>
      <c r="C431" s="5"/>
      <c r="D431" s="5"/>
      <c r="E431" s="5"/>
      <c r="F431" s="5" t="s">
        <v>289</v>
      </c>
      <c r="G431" s="18">
        <v>43534</v>
      </c>
      <c r="H431" s="18"/>
      <c r="I431" s="18">
        <f t="shared" si="23"/>
        <v>43534</v>
      </c>
    </row>
    <row r="432" spans="2:9" ht="15.75" thickBot="1">
      <c r="B432" s="20">
        <f t="shared" si="22"/>
        <v>424</v>
      </c>
      <c r="C432" s="64">
        <v>12</v>
      </c>
      <c r="D432" s="64"/>
      <c r="E432" s="123"/>
      <c r="F432" s="64" t="s">
        <v>8</v>
      </c>
      <c r="G432" s="65">
        <f>G435+G433</f>
        <v>0</v>
      </c>
      <c r="H432" s="65">
        <f>H433</f>
        <v>1983</v>
      </c>
      <c r="I432" s="65">
        <f t="shared" si="23"/>
        <v>1983</v>
      </c>
    </row>
    <row r="433" spans="2:9" ht="12.75">
      <c r="B433" s="20">
        <f t="shared" si="22"/>
        <v>425</v>
      </c>
      <c r="C433" s="118">
        <v>310</v>
      </c>
      <c r="D433" s="118"/>
      <c r="E433" s="117"/>
      <c r="F433" s="118" t="s">
        <v>220</v>
      </c>
      <c r="G433" s="119">
        <f>G434</f>
        <v>0</v>
      </c>
      <c r="H433" s="119">
        <f>H434</f>
        <v>1983</v>
      </c>
      <c r="I433" s="119">
        <f t="shared" si="23"/>
        <v>1983</v>
      </c>
    </row>
    <row r="434" spans="2:9" ht="13.5" thickBot="1">
      <c r="B434" s="20">
        <f t="shared" si="22"/>
        <v>426</v>
      </c>
      <c r="C434" s="24"/>
      <c r="D434" s="24">
        <v>311</v>
      </c>
      <c r="E434" s="116"/>
      <c r="F434" s="24" t="s">
        <v>218</v>
      </c>
      <c r="G434" s="63">
        <v>0</v>
      </c>
      <c r="H434" s="63">
        <v>1983</v>
      </c>
      <c r="I434" s="63">
        <f t="shared" si="23"/>
        <v>1983</v>
      </c>
    </row>
    <row r="435" spans="2:9" ht="15.75" thickBot="1">
      <c r="B435" s="20">
        <f t="shared" si="22"/>
        <v>427</v>
      </c>
      <c r="C435" s="64">
        <v>13</v>
      </c>
      <c r="D435" s="64"/>
      <c r="E435" s="123"/>
      <c r="F435" s="64" t="s">
        <v>17</v>
      </c>
      <c r="G435" s="65">
        <f>G436</f>
        <v>0</v>
      </c>
      <c r="H435" s="65">
        <f>H439+H436</f>
        <v>2150</v>
      </c>
      <c r="I435" s="65">
        <f t="shared" si="23"/>
        <v>2150</v>
      </c>
    </row>
    <row r="436" spans="2:9" ht="12.75">
      <c r="B436" s="20">
        <f t="shared" si="22"/>
        <v>428</v>
      </c>
      <c r="C436" s="118">
        <v>310</v>
      </c>
      <c r="D436" s="118"/>
      <c r="E436" s="117"/>
      <c r="F436" s="118" t="s">
        <v>220</v>
      </c>
      <c r="G436" s="119">
        <f>G437</f>
        <v>0</v>
      </c>
      <c r="H436" s="119">
        <f>H437</f>
        <v>2150</v>
      </c>
      <c r="I436" s="119">
        <f>H436+G436</f>
        <v>2150</v>
      </c>
    </row>
    <row r="437" spans="2:9" ht="13.5" thickBot="1">
      <c r="B437" s="20">
        <f t="shared" si="22"/>
        <v>429</v>
      </c>
      <c r="C437" s="24"/>
      <c r="D437" s="24">
        <v>311</v>
      </c>
      <c r="E437" s="116"/>
      <c r="F437" s="24" t="s">
        <v>218</v>
      </c>
      <c r="G437" s="63">
        <v>0</v>
      </c>
      <c r="H437" s="63">
        <v>2150</v>
      </c>
      <c r="I437" s="63">
        <f>H437+G437</f>
        <v>2150</v>
      </c>
    </row>
    <row r="438" spans="2:9" ht="15.75" thickBot="1">
      <c r="B438" s="20">
        <f t="shared" si="22"/>
        <v>430</v>
      </c>
      <c r="C438" s="64">
        <v>14</v>
      </c>
      <c r="D438" s="64"/>
      <c r="E438" s="123"/>
      <c r="F438" s="64" t="s">
        <v>475</v>
      </c>
      <c r="G438" s="65">
        <f>G439</f>
        <v>9637</v>
      </c>
      <c r="H438" s="65">
        <f>H439</f>
        <v>0</v>
      </c>
      <c r="I438" s="65">
        <f t="shared" si="23"/>
        <v>9637</v>
      </c>
    </row>
    <row r="439" spans="2:9" ht="12.75">
      <c r="B439" s="20">
        <f t="shared" si="22"/>
        <v>431</v>
      </c>
      <c r="C439" s="193"/>
      <c r="D439" s="193">
        <v>341</v>
      </c>
      <c r="E439" s="193"/>
      <c r="F439" s="193" t="s">
        <v>635</v>
      </c>
      <c r="G439" s="194">
        <f>G440</f>
        <v>9637</v>
      </c>
      <c r="H439" s="194">
        <f>H440</f>
        <v>0</v>
      </c>
      <c r="I439" s="194">
        <f t="shared" si="23"/>
        <v>9637</v>
      </c>
    </row>
    <row r="440" spans="2:9" ht="12.75">
      <c r="B440" s="20">
        <f t="shared" si="22"/>
        <v>432</v>
      </c>
      <c r="C440" s="24"/>
      <c r="D440" s="24"/>
      <c r="E440" s="116">
        <v>341</v>
      </c>
      <c r="F440" s="116" t="s">
        <v>636</v>
      </c>
      <c r="G440" s="63">
        <v>9637</v>
      </c>
      <c r="H440" s="63"/>
      <c r="I440" s="63">
        <f t="shared" si="23"/>
        <v>9637</v>
      </c>
    </row>
    <row r="441" spans="2:9" ht="15">
      <c r="B441" s="20">
        <f t="shared" si="22"/>
        <v>433</v>
      </c>
      <c r="C441" s="1"/>
      <c r="D441" s="1"/>
      <c r="E441" s="125"/>
      <c r="F441" s="1" t="s">
        <v>113</v>
      </c>
      <c r="G441" s="84">
        <f>G385+G25+G9</f>
        <v>51436596</v>
      </c>
      <c r="H441" s="84">
        <f>H385+H25+H9</f>
        <v>104401</v>
      </c>
      <c r="I441" s="84">
        <f t="shared" si="23"/>
        <v>51540997</v>
      </c>
    </row>
    <row r="442" spans="8:9" ht="12.75">
      <c r="H442" s="19"/>
      <c r="I442" s="19"/>
    </row>
    <row r="443" spans="8:9" ht="12.75">
      <c r="H443" s="19"/>
      <c r="I443" s="19"/>
    </row>
    <row r="444" spans="2:9" ht="12.75" customHeight="1">
      <c r="B444" s="214" t="s">
        <v>163</v>
      </c>
      <c r="C444" s="215"/>
      <c r="D444" s="215"/>
      <c r="E444" s="215"/>
      <c r="F444" s="216"/>
      <c r="G444" s="209" t="s">
        <v>612</v>
      </c>
      <c r="H444" s="209" t="s">
        <v>642</v>
      </c>
      <c r="I444" s="209" t="s">
        <v>643</v>
      </c>
    </row>
    <row r="445" spans="2:9" ht="12.75">
      <c r="B445" s="217"/>
      <c r="C445" s="218"/>
      <c r="D445" s="218"/>
      <c r="E445" s="218"/>
      <c r="F445" s="219"/>
      <c r="G445" s="210"/>
      <c r="H445" s="210"/>
      <c r="I445" s="210"/>
    </row>
    <row r="446" spans="2:9" ht="12.75">
      <c r="B446" s="226" t="s">
        <v>108</v>
      </c>
      <c r="C446" s="220" t="s">
        <v>109</v>
      </c>
      <c r="D446" s="222" t="s">
        <v>110</v>
      </c>
      <c r="E446" s="224" t="s">
        <v>112</v>
      </c>
      <c r="F446" s="212" t="s">
        <v>111</v>
      </c>
      <c r="G446" s="210"/>
      <c r="H446" s="210"/>
      <c r="I446" s="210"/>
    </row>
    <row r="447" spans="2:9" ht="13.5" thickBot="1">
      <c r="B447" s="228"/>
      <c r="C447" s="221"/>
      <c r="D447" s="223"/>
      <c r="E447" s="225"/>
      <c r="F447" s="213"/>
      <c r="G447" s="211"/>
      <c r="H447" s="211"/>
      <c r="I447" s="211"/>
    </row>
    <row r="448" spans="2:9" ht="17.25" thickBot="1" thickTop="1">
      <c r="B448" s="20">
        <v>1</v>
      </c>
      <c r="C448" s="11">
        <v>200</v>
      </c>
      <c r="D448" s="11"/>
      <c r="E448" s="122"/>
      <c r="F448" s="11" t="s">
        <v>162</v>
      </c>
      <c r="G448" s="14">
        <f>G449</f>
        <v>235000</v>
      </c>
      <c r="H448" s="14">
        <f>H449</f>
        <v>143250</v>
      </c>
      <c r="I448" s="14">
        <f>H448+G448</f>
        <v>378250</v>
      </c>
    </row>
    <row r="449" spans="2:9" ht="15.75" thickBot="1">
      <c r="B449" s="20">
        <f>B448+1</f>
        <v>2</v>
      </c>
      <c r="C449" s="78"/>
      <c r="D449" s="64"/>
      <c r="E449" s="123"/>
      <c r="F449" s="64" t="s">
        <v>49</v>
      </c>
      <c r="G449" s="65">
        <f>G450</f>
        <v>235000</v>
      </c>
      <c r="H449" s="65">
        <f>H450</f>
        <v>143250</v>
      </c>
      <c r="I449" s="65">
        <f aca="true" t="shared" si="26" ref="I449:I484">H449+G449</f>
        <v>378250</v>
      </c>
    </row>
    <row r="450" spans="2:9" ht="12.75">
      <c r="B450" s="20">
        <f aca="true" t="shared" si="27" ref="B450:B484">B449+1</f>
        <v>3</v>
      </c>
      <c r="C450" s="79">
        <v>230</v>
      </c>
      <c r="D450" s="6"/>
      <c r="E450" s="120"/>
      <c r="F450" s="6" t="s">
        <v>163</v>
      </c>
      <c r="G450" s="15">
        <f>G453+G451</f>
        <v>235000</v>
      </c>
      <c r="H450" s="15">
        <f>H453+H451</f>
        <v>143250</v>
      </c>
      <c r="I450" s="15">
        <f t="shared" si="26"/>
        <v>378250</v>
      </c>
    </row>
    <row r="451" spans="2:12" ht="12.75">
      <c r="B451" s="20">
        <f t="shared" si="27"/>
        <v>4</v>
      </c>
      <c r="C451" s="53"/>
      <c r="D451" s="3">
        <v>231</v>
      </c>
      <c r="E451" s="124"/>
      <c r="F451" s="3" t="s">
        <v>258</v>
      </c>
      <c r="G451" s="16">
        <f>G452</f>
        <v>35000</v>
      </c>
      <c r="H451" s="16">
        <f>H452</f>
        <v>22000</v>
      </c>
      <c r="I451" s="16">
        <f t="shared" si="26"/>
        <v>57000</v>
      </c>
      <c r="L451" s="19"/>
    </row>
    <row r="452" spans="2:9" ht="12.75">
      <c r="B452" s="20">
        <f t="shared" si="27"/>
        <v>5</v>
      </c>
      <c r="C452" s="51"/>
      <c r="D452" s="24"/>
      <c r="E452" s="116">
        <v>231</v>
      </c>
      <c r="F452" s="24" t="s">
        <v>258</v>
      </c>
      <c r="G452" s="63">
        <v>35000</v>
      </c>
      <c r="H452" s="63">
        <v>22000</v>
      </c>
      <c r="I452" s="63">
        <f t="shared" si="26"/>
        <v>57000</v>
      </c>
    </row>
    <row r="453" spans="2:9" ht="12.75">
      <c r="B453" s="20">
        <f t="shared" si="27"/>
        <v>6</v>
      </c>
      <c r="C453" s="53"/>
      <c r="D453" s="3">
        <v>233</v>
      </c>
      <c r="E453" s="124"/>
      <c r="F453" s="3" t="s">
        <v>164</v>
      </c>
      <c r="G453" s="16">
        <f>G454</f>
        <v>200000</v>
      </c>
      <c r="H453" s="16">
        <f>H454</f>
        <v>121250</v>
      </c>
      <c r="I453" s="16">
        <f t="shared" si="26"/>
        <v>321250</v>
      </c>
    </row>
    <row r="454" spans="2:9" ht="12.75">
      <c r="B454" s="20">
        <f t="shared" si="27"/>
        <v>7</v>
      </c>
      <c r="C454" s="51"/>
      <c r="D454" s="24"/>
      <c r="E454" s="116">
        <v>233001</v>
      </c>
      <c r="F454" s="24" t="s">
        <v>165</v>
      </c>
      <c r="G454" s="63">
        <v>200000</v>
      </c>
      <c r="H454" s="207">
        <f>114000-2132+9382</f>
        <v>121250</v>
      </c>
      <c r="I454" s="63">
        <f t="shared" si="26"/>
        <v>321250</v>
      </c>
    </row>
    <row r="455" spans="2:9" ht="16.5" thickBot="1">
      <c r="B455" s="20">
        <f t="shared" si="27"/>
        <v>8</v>
      </c>
      <c r="C455" s="11">
        <v>300</v>
      </c>
      <c r="D455" s="11"/>
      <c r="E455" s="122"/>
      <c r="F455" s="11" t="s">
        <v>219</v>
      </c>
      <c r="G455" s="14">
        <f>G456</f>
        <v>7701941</v>
      </c>
      <c r="H455" s="14">
        <f aca="true" t="shared" si="28" ref="G455:H458">H456</f>
        <v>14153</v>
      </c>
      <c r="I455" s="14">
        <f t="shared" si="26"/>
        <v>7716094</v>
      </c>
    </row>
    <row r="456" spans="2:9" ht="15.75" thickBot="1">
      <c r="B456" s="20">
        <f t="shared" si="27"/>
        <v>9</v>
      </c>
      <c r="C456" s="78"/>
      <c r="D456" s="64"/>
      <c r="E456" s="123"/>
      <c r="F456" s="64" t="s">
        <v>49</v>
      </c>
      <c r="G456" s="65">
        <f>G457+G481</f>
        <v>7701941</v>
      </c>
      <c r="H456" s="65">
        <f t="shared" si="28"/>
        <v>14153</v>
      </c>
      <c r="I456" s="65">
        <f t="shared" si="26"/>
        <v>7716094</v>
      </c>
    </row>
    <row r="457" spans="2:9" ht="12.75">
      <c r="B457" s="20">
        <f t="shared" si="27"/>
        <v>10</v>
      </c>
      <c r="C457" s="79">
        <v>320</v>
      </c>
      <c r="D457" s="6"/>
      <c r="E457" s="120"/>
      <c r="F457" s="6" t="s">
        <v>277</v>
      </c>
      <c r="G457" s="119">
        <f t="shared" si="28"/>
        <v>7687139</v>
      </c>
      <c r="H457" s="15">
        <f t="shared" si="28"/>
        <v>14153</v>
      </c>
      <c r="I457" s="15">
        <f t="shared" si="26"/>
        <v>7701292</v>
      </c>
    </row>
    <row r="458" spans="2:9" ht="12.75">
      <c r="B458" s="20">
        <f t="shared" si="27"/>
        <v>11</v>
      </c>
      <c r="C458" s="53"/>
      <c r="D458" s="3">
        <v>322</v>
      </c>
      <c r="E458" s="124"/>
      <c r="F458" s="3" t="s">
        <v>183</v>
      </c>
      <c r="G458" s="16">
        <f t="shared" si="28"/>
        <v>7687139</v>
      </c>
      <c r="H458" s="16">
        <f t="shared" si="28"/>
        <v>14153</v>
      </c>
      <c r="I458" s="16">
        <f t="shared" si="26"/>
        <v>7701292</v>
      </c>
    </row>
    <row r="459" spans="2:9" ht="12.75">
      <c r="B459" s="20">
        <f t="shared" si="27"/>
        <v>12</v>
      </c>
      <c r="C459" s="51"/>
      <c r="D459" s="24"/>
      <c r="E459" s="116">
        <v>322001</v>
      </c>
      <c r="F459" s="24" t="s">
        <v>278</v>
      </c>
      <c r="G459" s="63">
        <f>SUM(G460:G479)</f>
        <v>7687139</v>
      </c>
      <c r="H459" s="63">
        <f>SUM(H460:H480)</f>
        <v>14153</v>
      </c>
      <c r="I459" s="63">
        <f t="shared" si="26"/>
        <v>7701292</v>
      </c>
    </row>
    <row r="460" spans="2:9" ht="12.75">
      <c r="B460" s="20">
        <f t="shared" si="27"/>
        <v>13</v>
      </c>
      <c r="C460" s="58"/>
      <c r="D460" s="5"/>
      <c r="E460" s="5"/>
      <c r="F460" s="46" t="s">
        <v>296</v>
      </c>
      <c r="G460" s="104">
        <v>38300</v>
      </c>
      <c r="H460" s="104"/>
      <c r="I460" s="104">
        <f t="shared" si="26"/>
        <v>38300</v>
      </c>
    </row>
    <row r="461" spans="2:9" ht="22.5">
      <c r="B461" s="20">
        <f t="shared" si="27"/>
        <v>14</v>
      </c>
      <c r="C461" s="58"/>
      <c r="D461" s="5"/>
      <c r="E461" s="5"/>
      <c r="F461" s="46" t="s">
        <v>295</v>
      </c>
      <c r="G461" s="104">
        <v>264194</v>
      </c>
      <c r="H461" s="104"/>
      <c r="I461" s="104">
        <f t="shared" si="26"/>
        <v>264194</v>
      </c>
    </row>
    <row r="462" spans="2:9" ht="22.5">
      <c r="B462" s="20">
        <f t="shared" si="27"/>
        <v>15</v>
      </c>
      <c r="C462" s="58"/>
      <c r="D462" s="5"/>
      <c r="E462" s="5"/>
      <c r="F462" s="46" t="s">
        <v>411</v>
      </c>
      <c r="G462" s="104">
        <v>446500</v>
      </c>
      <c r="H462" s="104"/>
      <c r="I462" s="104">
        <f t="shared" si="26"/>
        <v>446500</v>
      </c>
    </row>
    <row r="463" spans="2:9" ht="22.5">
      <c r="B463" s="20">
        <f t="shared" si="27"/>
        <v>16</v>
      </c>
      <c r="C463" s="58"/>
      <c r="D463" s="5"/>
      <c r="E463" s="5"/>
      <c r="F463" s="46" t="s">
        <v>412</v>
      </c>
      <c r="G463" s="104">
        <v>392522</v>
      </c>
      <c r="H463" s="104"/>
      <c r="I463" s="104">
        <f t="shared" si="26"/>
        <v>392522</v>
      </c>
    </row>
    <row r="464" spans="2:9" ht="22.5">
      <c r="B464" s="20">
        <f t="shared" si="27"/>
        <v>17</v>
      </c>
      <c r="C464" s="58"/>
      <c r="D464" s="5"/>
      <c r="E464" s="5"/>
      <c r="F464" s="46" t="s">
        <v>297</v>
      </c>
      <c r="G464" s="104">
        <v>60649</v>
      </c>
      <c r="H464" s="104"/>
      <c r="I464" s="104">
        <f t="shared" si="26"/>
        <v>60649</v>
      </c>
    </row>
    <row r="465" spans="2:9" ht="12.75">
      <c r="B465" s="20">
        <f t="shared" si="27"/>
        <v>18</v>
      </c>
      <c r="C465" s="58"/>
      <c r="D465" s="5"/>
      <c r="E465" s="5"/>
      <c r="F465" s="46" t="s">
        <v>292</v>
      </c>
      <c r="G465" s="104">
        <v>115057</v>
      </c>
      <c r="H465" s="104"/>
      <c r="I465" s="104">
        <f t="shared" si="26"/>
        <v>115057</v>
      </c>
    </row>
    <row r="466" spans="2:9" ht="12.75">
      <c r="B466" s="20">
        <f t="shared" si="27"/>
        <v>19</v>
      </c>
      <c r="C466" s="58"/>
      <c r="D466" s="5"/>
      <c r="E466" s="5"/>
      <c r="F466" s="46" t="s">
        <v>293</v>
      </c>
      <c r="G466" s="104">
        <v>66304</v>
      </c>
      <c r="H466" s="104"/>
      <c r="I466" s="104">
        <f t="shared" si="26"/>
        <v>66304</v>
      </c>
    </row>
    <row r="467" spans="2:9" ht="12.75">
      <c r="B467" s="20">
        <f t="shared" si="27"/>
        <v>20</v>
      </c>
      <c r="C467" s="58"/>
      <c r="D467" s="5"/>
      <c r="E467" s="5"/>
      <c r="F467" s="46" t="s">
        <v>294</v>
      </c>
      <c r="G467" s="104">
        <v>49769</v>
      </c>
      <c r="H467" s="104"/>
      <c r="I467" s="104">
        <f t="shared" si="26"/>
        <v>49769</v>
      </c>
    </row>
    <row r="468" spans="2:9" ht="37.5" customHeight="1">
      <c r="B468" s="20">
        <f t="shared" si="27"/>
        <v>21</v>
      </c>
      <c r="C468" s="58"/>
      <c r="D468" s="5"/>
      <c r="E468" s="5"/>
      <c r="F468" s="46" t="s">
        <v>301</v>
      </c>
      <c r="G468" s="104">
        <v>514238</v>
      </c>
      <c r="H468" s="104"/>
      <c r="I468" s="104">
        <f t="shared" si="26"/>
        <v>514238</v>
      </c>
    </row>
    <row r="469" spans="2:9" ht="25.5" customHeight="1">
      <c r="B469" s="20">
        <f>B468+1</f>
        <v>22</v>
      </c>
      <c r="C469" s="58"/>
      <c r="D469" s="5"/>
      <c r="E469" s="5"/>
      <c r="F469" s="46" t="s">
        <v>413</v>
      </c>
      <c r="G469" s="104">
        <v>190860</v>
      </c>
      <c r="H469" s="104"/>
      <c r="I469" s="104">
        <f t="shared" si="26"/>
        <v>190860</v>
      </c>
    </row>
    <row r="470" spans="2:9" ht="12.75">
      <c r="B470" s="20">
        <f t="shared" si="27"/>
        <v>23</v>
      </c>
      <c r="C470" s="58"/>
      <c r="D470" s="5"/>
      <c r="E470" s="5"/>
      <c r="F470" s="46" t="s">
        <v>302</v>
      </c>
      <c r="G470" s="104">
        <v>154209</v>
      </c>
      <c r="H470" s="104"/>
      <c r="I470" s="104">
        <f t="shared" si="26"/>
        <v>154209</v>
      </c>
    </row>
    <row r="471" spans="2:9" ht="24.75" customHeight="1">
      <c r="B471" s="20">
        <f t="shared" si="27"/>
        <v>24</v>
      </c>
      <c r="C471" s="58"/>
      <c r="D471" s="5"/>
      <c r="E471" s="5"/>
      <c r="F471" s="46" t="s">
        <v>304</v>
      </c>
      <c r="G471" s="104">
        <v>820000</v>
      </c>
      <c r="H471" s="104"/>
      <c r="I471" s="104">
        <f t="shared" si="26"/>
        <v>820000</v>
      </c>
    </row>
    <row r="472" spans="2:9" ht="24.75" customHeight="1">
      <c r="B472" s="20">
        <f t="shared" si="27"/>
        <v>25</v>
      </c>
      <c r="C472" s="58"/>
      <c r="D472" s="5"/>
      <c r="E472" s="5"/>
      <c r="F472" s="46" t="s">
        <v>309</v>
      </c>
      <c r="G472" s="104">
        <v>491025</v>
      </c>
      <c r="H472" s="104"/>
      <c r="I472" s="104">
        <f t="shared" si="26"/>
        <v>491025</v>
      </c>
    </row>
    <row r="473" spans="2:9" ht="22.5">
      <c r="B473" s="20">
        <f t="shared" si="27"/>
        <v>26</v>
      </c>
      <c r="C473" s="58"/>
      <c r="D473" s="5"/>
      <c r="E473" s="5"/>
      <c r="F473" s="46" t="s">
        <v>311</v>
      </c>
      <c r="G473" s="104">
        <v>87258</v>
      </c>
      <c r="H473" s="104"/>
      <c r="I473" s="104">
        <f t="shared" si="26"/>
        <v>87258</v>
      </c>
    </row>
    <row r="474" spans="2:9" ht="24.75" customHeight="1">
      <c r="B474" s="20">
        <f t="shared" si="27"/>
        <v>27</v>
      </c>
      <c r="C474" s="58"/>
      <c r="D474" s="5"/>
      <c r="E474" s="5"/>
      <c r="F474" s="46" t="s">
        <v>414</v>
      </c>
      <c r="G474" s="104">
        <v>151988</v>
      </c>
      <c r="H474" s="104"/>
      <c r="I474" s="104">
        <f t="shared" si="26"/>
        <v>151988</v>
      </c>
    </row>
    <row r="475" spans="2:9" ht="22.5">
      <c r="B475" s="20">
        <f t="shared" si="27"/>
        <v>28</v>
      </c>
      <c r="C475" s="58"/>
      <c r="D475" s="5"/>
      <c r="E475" s="5"/>
      <c r="F475" s="46" t="s">
        <v>436</v>
      </c>
      <c r="G475" s="104">
        <v>420829</v>
      </c>
      <c r="H475" s="104"/>
      <c r="I475" s="104">
        <f t="shared" si="26"/>
        <v>420829</v>
      </c>
    </row>
    <row r="476" spans="2:9" ht="22.5">
      <c r="B476" s="20">
        <f t="shared" si="27"/>
        <v>29</v>
      </c>
      <c r="C476" s="58"/>
      <c r="D476" s="5"/>
      <c r="E476" s="5"/>
      <c r="F476" s="46" t="s">
        <v>437</v>
      </c>
      <c r="G476" s="104">
        <v>85737</v>
      </c>
      <c r="H476" s="104"/>
      <c r="I476" s="104">
        <f t="shared" si="26"/>
        <v>85737</v>
      </c>
    </row>
    <row r="477" spans="2:9" ht="12.75">
      <c r="B477" s="20">
        <f t="shared" si="27"/>
        <v>30</v>
      </c>
      <c r="C477" s="58"/>
      <c r="D477" s="5"/>
      <c r="E477" s="5"/>
      <c r="F477" s="46" t="s">
        <v>440</v>
      </c>
      <c r="G477" s="104">
        <v>1595050</v>
      </c>
      <c r="H477" s="104"/>
      <c r="I477" s="104">
        <f t="shared" si="26"/>
        <v>1595050</v>
      </c>
    </row>
    <row r="478" spans="2:9" ht="12.75">
      <c r="B478" s="20">
        <f t="shared" si="27"/>
        <v>31</v>
      </c>
      <c r="C478" s="58"/>
      <c r="D478" s="5"/>
      <c r="E478" s="5"/>
      <c r="F478" s="46" t="s">
        <v>305</v>
      </c>
      <c r="G478" s="104">
        <v>242650</v>
      </c>
      <c r="H478" s="104"/>
      <c r="I478" s="104">
        <f t="shared" si="26"/>
        <v>242650</v>
      </c>
    </row>
    <row r="479" spans="2:9" ht="22.5">
      <c r="B479" s="20">
        <f t="shared" si="27"/>
        <v>32</v>
      </c>
      <c r="C479" s="173"/>
      <c r="D479" s="174"/>
      <c r="E479" s="174"/>
      <c r="F479" s="175" t="s">
        <v>595</v>
      </c>
      <c r="G479" s="176">
        <v>1500000</v>
      </c>
      <c r="H479" s="176"/>
      <c r="I479" s="176">
        <f t="shared" si="26"/>
        <v>1500000</v>
      </c>
    </row>
    <row r="480" spans="2:9" ht="12.75">
      <c r="B480" s="20">
        <f t="shared" si="27"/>
        <v>33</v>
      </c>
      <c r="C480" s="173"/>
      <c r="D480" s="174"/>
      <c r="E480" s="174"/>
      <c r="F480" s="175" t="s">
        <v>657</v>
      </c>
      <c r="G480" s="176">
        <v>0</v>
      </c>
      <c r="H480" s="176">
        <v>14153</v>
      </c>
      <c r="I480" s="176">
        <f t="shared" si="26"/>
        <v>14153</v>
      </c>
    </row>
    <row r="481" spans="2:9" ht="12.75">
      <c r="B481" s="20">
        <f t="shared" si="27"/>
        <v>34</v>
      </c>
      <c r="C481" s="79">
        <v>330</v>
      </c>
      <c r="D481" s="6"/>
      <c r="E481" s="120"/>
      <c r="F481" s="6" t="s">
        <v>648</v>
      </c>
      <c r="G481" s="15">
        <f>G482</f>
        <v>14802</v>
      </c>
      <c r="H481" s="196"/>
      <c r="I481" s="196">
        <f>H481+G481</f>
        <v>14802</v>
      </c>
    </row>
    <row r="482" spans="2:9" ht="12.75">
      <c r="B482" s="20">
        <f t="shared" si="27"/>
        <v>35</v>
      </c>
      <c r="C482" s="173"/>
      <c r="D482" s="3">
        <v>332</v>
      </c>
      <c r="E482" s="124"/>
      <c r="F482" s="3" t="s">
        <v>649</v>
      </c>
      <c r="G482" s="16">
        <f>G483</f>
        <v>14802</v>
      </c>
      <c r="H482" s="197"/>
      <c r="I482" s="198">
        <f>H482+G482</f>
        <v>14802</v>
      </c>
    </row>
    <row r="483" spans="2:9" ht="12.75">
      <c r="B483" s="20">
        <f t="shared" si="27"/>
        <v>36</v>
      </c>
      <c r="C483" s="173"/>
      <c r="D483" s="174"/>
      <c r="E483" s="174"/>
      <c r="F483" s="175" t="s">
        <v>650</v>
      </c>
      <c r="G483" s="176">
        <v>14802</v>
      </c>
      <c r="H483" s="176"/>
      <c r="I483" s="176">
        <f>H483+G483</f>
        <v>14802</v>
      </c>
    </row>
    <row r="484" spans="2:9" ht="15">
      <c r="B484" s="20">
        <f t="shared" si="27"/>
        <v>37</v>
      </c>
      <c r="C484" s="80"/>
      <c r="D484" s="1"/>
      <c r="E484" s="125"/>
      <c r="F484" s="1" t="s">
        <v>51</v>
      </c>
      <c r="G484" s="84">
        <f>G455+G448</f>
        <v>7936941</v>
      </c>
      <c r="H484" s="84">
        <f>H455+H448</f>
        <v>157403</v>
      </c>
      <c r="I484" s="84">
        <f t="shared" si="26"/>
        <v>8094344</v>
      </c>
    </row>
    <row r="485" spans="8:9" ht="12.75">
      <c r="H485" s="19"/>
      <c r="I485" s="19"/>
    </row>
    <row r="486" spans="2:9" ht="12.75" customHeight="1">
      <c r="B486" s="214" t="s">
        <v>52</v>
      </c>
      <c r="C486" s="215"/>
      <c r="D486" s="215"/>
      <c r="E486" s="215"/>
      <c r="F486" s="216"/>
      <c r="G486" s="209" t="s">
        <v>612</v>
      </c>
      <c r="H486" s="209" t="s">
        <v>642</v>
      </c>
      <c r="I486" s="209" t="s">
        <v>643</v>
      </c>
    </row>
    <row r="487" spans="2:9" ht="12.75">
      <c r="B487" s="217"/>
      <c r="C487" s="218"/>
      <c r="D487" s="218"/>
      <c r="E487" s="218"/>
      <c r="F487" s="219"/>
      <c r="G487" s="210"/>
      <c r="H487" s="210"/>
      <c r="I487" s="210"/>
    </row>
    <row r="488" spans="2:9" ht="12.75">
      <c r="B488" s="226" t="s">
        <v>108</v>
      </c>
      <c r="C488" s="220" t="s">
        <v>109</v>
      </c>
      <c r="D488" s="222" t="s">
        <v>110</v>
      </c>
      <c r="E488" s="224" t="s">
        <v>112</v>
      </c>
      <c r="F488" s="212" t="s">
        <v>111</v>
      </c>
      <c r="G488" s="210"/>
      <c r="H488" s="210"/>
      <c r="I488" s="210"/>
    </row>
    <row r="489" spans="2:9" ht="13.5" thickBot="1">
      <c r="B489" s="227"/>
      <c r="C489" s="221"/>
      <c r="D489" s="223"/>
      <c r="E489" s="225"/>
      <c r="F489" s="213"/>
      <c r="G489" s="211"/>
      <c r="H489" s="211"/>
      <c r="I489" s="211"/>
    </row>
    <row r="490" spans="2:9" ht="15.75" thickTop="1">
      <c r="B490" s="81">
        <v>1</v>
      </c>
      <c r="C490" s="1"/>
      <c r="D490" s="1"/>
      <c r="E490" s="125"/>
      <c r="F490" s="1" t="s">
        <v>113</v>
      </c>
      <c r="G490" s="84">
        <f>G441</f>
        <v>51436596</v>
      </c>
      <c r="H490" s="84">
        <f>H441</f>
        <v>104401</v>
      </c>
      <c r="I490" s="84">
        <f>H490+G490</f>
        <v>51540997</v>
      </c>
    </row>
    <row r="491" spans="2:9" ht="15.75" thickBot="1">
      <c r="B491" s="81">
        <v>2</v>
      </c>
      <c r="C491" s="1"/>
      <c r="D491" s="1"/>
      <c r="E491" s="125"/>
      <c r="F491" s="1" t="s">
        <v>51</v>
      </c>
      <c r="G491" s="84">
        <f>G484</f>
        <v>7936941</v>
      </c>
      <c r="H491" s="84">
        <f>H484</f>
        <v>157403</v>
      </c>
      <c r="I491" s="84">
        <f>H491+G491</f>
        <v>8094344</v>
      </c>
    </row>
    <row r="492" spans="2:9" ht="15.75" thickTop="1">
      <c r="B492" s="82">
        <v>3</v>
      </c>
      <c r="C492" s="8"/>
      <c r="D492" s="8"/>
      <c r="E492" s="126"/>
      <c r="F492" s="8" t="s">
        <v>52</v>
      </c>
      <c r="G492" s="85">
        <f>G441+G484</f>
        <v>59373537</v>
      </c>
      <c r="H492" s="85">
        <f>H441+H484</f>
        <v>261804</v>
      </c>
      <c r="I492" s="85">
        <f>H492+G492</f>
        <v>59635341</v>
      </c>
    </row>
    <row r="493" spans="8:9" ht="12.75">
      <c r="H493" s="113"/>
      <c r="I493" s="113"/>
    </row>
    <row r="494" spans="8:9" ht="12.75">
      <c r="H494" s="113"/>
      <c r="I494" s="113"/>
    </row>
  </sheetData>
  <sheetProtection/>
  <mergeCells count="28">
    <mergeCell ref="B2:I2"/>
    <mergeCell ref="H4:H7"/>
    <mergeCell ref="I4:I7"/>
    <mergeCell ref="H444:H447"/>
    <mergeCell ref="I444:I447"/>
    <mergeCell ref="H486:H489"/>
    <mergeCell ref="I486:I489"/>
    <mergeCell ref="G4:G7"/>
    <mergeCell ref="D6:D7"/>
    <mergeCell ref="E6:E7"/>
    <mergeCell ref="F6:F7"/>
    <mergeCell ref="E446:E447"/>
    <mergeCell ref="B488:B489"/>
    <mergeCell ref="B4:F5"/>
    <mergeCell ref="B446:B447"/>
    <mergeCell ref="C446:C447"/>
    <mergeCell ref="C6:C7"/>
    <mergeCell ref="D446:D447"/>
    <mergeCell ref="B6:B7"/>
    <mergeCell ref="G486:G489"/>
    <mergeCell ref="F446:F447"/>
    <mergeCell ref="B444:F445"/>
    <mergeCell ref="G444:G447"/>
    <mergeCell ref="C488:C489"/>
    <mergeCell ref="D488:D489"/>
    <mergeCell ref="E488:E489"/>
    <mergeCell ref="F488:F489"/>
    <mergeCell ref="B486:F487"/>
  </mergeCells>
  <printOptions/>
  <pageMargins left="0.11811023622047245" right="0.11811023622047245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U199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.8515625" style="25" customWidth="1"/>
    <col min="3" max="3" width="3.00390625" style="0" customWidth="1"/>
    <col min="4" max="4" width="2.140625" style="0" customWidth="1"/>
    <col min="5" max="5" width="2.7109375" style="0" customWidth="1"/>
    <col min="6" max="6" width="5.421875" style="37" customWidth="1"/>
    <col min="7" max="7" width="4.57421875" style="0" customWidth="1"/>
    <col min="8" max="8" width="45.7109375" style="0" customWidth="1"/>
    <col min="9" max="9" width="13.00390625" style="19" customWidth="1"/>
    <col min="10" max="10" width="11.8515625" style="19" customWidth="1"/>
    <col min="11" max="11" width="13.00390625" style="19" customWidth="1"/>
    <col min="12" max="14" width="12.8515625" style="19" customWidth="1"/>
    <col min="15" max="15" width="13.140625" style="19" customWidth="1"/>
    <col min="16" max="16" width="12.8515625" style="19" customWidth="1"/>
    <col min="17" max="17" width="12.7109375" style="0" customWidth="1"/>
    <col min="18" max="18" width="5.28125" style="0" customWidth="1"/>
    <col min="19" max="19" width="5.421875" style="0" customWidth="1"/>
    <col min="20" max="20" width="5.28125" style="0" customWidth="1"/>
    <col min="21" max="22" width="9.140625" style="0" customWidth="1"/>
  </cols>
  <sheetData>
    <row r="1" ht="8.25" customHeight="1"/>
    <row r="2" spans="2:15" ht="25.5" customHeight="1">
      <c r="B2" s="248" t="s">
        <v>48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17" ht="18" customHeight="1">
      <c r="B3" s="244" t="s">
        <v>327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250" t="s">
        <v>612</v>
      </c>
      <c r="P3" s="250" t="s">
        <v>642</v>
      </c>
      <c r="Q3" s="250" t="s">
        <v>644</v>
      </c>
    </row>
    <row r="4" spans="2:17" s="13" customFormat="1" ht="12.75" customHeight="1">
      <c r="B4" s="251"/>
      <c r="C4" s="243" t="s">
        <v>114</v>
      </c>
      <c r="D4" s="243" t="s">
        <v>115</v>
      </c>
      <c r="E4" s="243"/>
      <c r="F4" s="243" t="s">
        <v>116</v>
      </c>
      <c r="G4" s="247" t="s">
        <v>117</v>
      </c>
      <c r="H4" s="252" t="s">
        <v>118</v>
      </c>
      <c r="I4" s="239" t="s">
        <v>609</v>
      </c>
      <c r="J4" s="209" t="s">
        <v>642</v>
      </c>
      <c r="K4" s="209" t="s">
        <v>644</v>
      </c>
      <c r="L4" s="239" t="s">
        <v>610</v>
      </c>
      <c r="M4" s="209" t="s">
        <v>642</v>
      </c>
      <c r="N4" s="209" t="s">
        <v>644</v>
      </c>
      <c r="O4" s="250"/>
      <c r="P4" s="250"/>
      <c r="Q4" s="250"/>
    </row>
    <row r="5" spans="2:17" s="13" customFormat="1" ht="12.75">
      <c r="B5" s="251"/>
      <c r="C5" s="243"/>
      <c r="D5" s="243"/>
      <c r="E5" s="243"/>
      <c r="F5" s="243"/>
      <c r="G5" s="247"/>
      <c r="H5" s="252"/>
      <c r="I5" s="239"/>
      <c r="J5" s="210"/>
      <c r="K5" s="210"/>
      <c r="L5" s="239"/>
      <c r="M5" s="210"/>
      <c r="N5" s="210"/>
      <c r="O5" s="250"/>
      <c r="P5" s="250"/>
      <c r="Q5" s="250"/>
    </row>
    <row r="6" spans="2:17" s="13" customFormat="1" ht="12.75">
      <c r="B6" s="251"/>
      <c r="C6" s="243"/>
      <c r="D6" s="243"/>
      <c r="E6" s="243"/>
      <c r="F6" s="243"/>
      <c r="G6" s="247"/>
      <c r="H6" s="252"/>
      <c r="I6" s="239"/>
      <c r="J6" s="210"/>
      <c r="K6" s="210"/>
      <c r="L6" s="239"/>
      <c r="M6" s="210"/>
      <c r="N6" s="210"/>
      <c r="O6" s="250"/>
      <c r="P6" s="250"/>
      <c r="Q6" s="250"/>
    </row>
    <row r="7" spans="2:17" s="13" customFormat="1" ht="15.75" customHeight="1">
      <c r="B7" s="251"/>
      <c r="C7" s="243"/>
      <c r="D7" s="243"/>
      <c r="E7" s="243"/>
      <c r="F7" s="243"/>
      <c r="G7" s="247"/>
      <c r="H7" s="252"/>
      <c r="I7" s="239"/>
      <c r="J7" s="255"/>
      <c r="K7" s="255"/>
      <c r="L7" s="239"/>
      <c r="M7" s="255"/>
      <c r="N7" s="255"/>
      <c r="O7" s="250"/>
      <c r="P7" s="250"/>
      <c r="Q7" s="250"/>
    </row>
    <row r="8" spans="2:17" ht="15.75">
      <c r="B8" s="22">
        <v>1</v>
      </c>
      <c r="C8" s="240" t="s">
        <v>48</v>
      </c>
      <c r="D8" s="241"/>
      <c r="E8" s="241"/>
      <c r="F8" s="241"/>
      <c r="G8" s="241"/>
      <c r="H8" s="242"/>
      <c r="I8" s="86">
        <f>I66+I63+I55+I43+I29+I9</f>
        <v>694190</v>
      </c>
      <c r="J8" s="86">
        <f>J66+J63+J55+J43+J29+J9</f>
        <v>0</v>
      </c>
      <c r="K8" s="86">
        <f>J8+I8</f>
        <v>694190</v>
      </c>
      <c r="L8" s="86">
        <f>L66+L63+L55+L43+L29+L9</f>
        <v>751332</v>
      </c>
      <c r="M8" s="86">
        <f>M66+M63+M55+M43+M29+M9</f>
        <v>-95600</v>
      </c>
      <c r="N8" s="86">
        <f>M8+L8</f>
        <v>655732</v>
      </c>
      <c r="O8" s="86">
        <f aca="true" t="shared" si="0" ref="O8:O39">I8+L8</f>
        <v>1445522</v>
      </c>
      <c r="P8" s="86">
        <f aca="true" t="shared" si="1" ref="P8:P39">J8+M8</f>
        <v>-95600</v>
      </c>
      <c r="Q8" s="86">
        <f>P8+O8</f>
        <v>1349922</v>
      </c>
    </row>
    <row r="9" spans="2:17" ht="15">
      <c r="B9" s="21">
        <f aca="true" t="shared" si="2" ref="B9:B37">B8+1</f>
        <v>2</v>
      </c>
      <c r="C9" s="7">
        <v>1</v>
      </c>
      <c r="D9" s="232" t="s">
        <v>194</v>
      </c>
      <c r="E9" s="233"/>
      <c r="F9" s="233"/>
      <c r="G9" s="233"/>
      <c r="H9" s="234"/>
      <c r="I9" s="87">
        <f>I23+I20+I17+I10</f>
        <v>182806</v>
      </c>
      <c r="J9" s="87">
        <f>J23+J20+J17+J10</f>
        <v>0</v>
      </c>
      <c r="K9" s="87">
        <f aca="true" t="shared" si="3" ref="K9:K66">J9+I9</f>
        <v>182806</v>
      </c>
      <c r="L9" s="87">
        <f>L23+L20+L17+L10</f>
        <v>0</v>
      </c>
      <c r="M9" s="87">
        <f>M23+M20+M17+M10</f>
        <v>0</v>
      </c>
      <c r="N9" s="87">
        <f aca="true" t="shared" si="4" ref="N9:N66">M9+L9</f>
        <v>0</v>
      </c>
      <c r="O9" s="87">
        <f t="shared" si="0"/>
        <v>182806</v>
      </c>
      <c r="P9" s="87">
        <f t="shared" si="1"/>
        <v>0</v>
      </c>
      <c r="Q9" s="87">
        <f aca="true" t="shared" si="5" ref="Q9:Q66">P9+O9</f>
        <v>182806</v>
      </c>
    </row>
    <row r="10" spans="2:17" ht="15">
      <c r="B10" s="21">
        <f t="shared" si="2"/>
        <v>3</v>
      </c>
      <c r="C10" s="2"/>
      <c r="D10" s="2">
        <v>1</v>
      </c>
      <c r="E10" s="238" t="s">
        <v>208</v>
      </c>
      <c r="F10" s="233"/>
      <c r="G10" s="233"/>
      <c r="H10" s="234"/>
      <c r="I10" s="88">
        <f>I11</f>
        <v>24300</v>
      </c>
      <c r="J10" s="88">
        <f>J11</f>
        <v>0</v>
      </c>
      <c r="K10" s="88">
        <f t="shared" si="3"/>
        <v>24300</v>
      </c>
      <c r="L10" s="88"/>
      <c r="M10" s="88"/>
      <c r="N10" s="88">
        <f t="shared" si="4"/>
        <v>0</v>
      </c>
      <c r="O10" s="88">
        <f t="shared" si="0"/>
        <v>24300</v>
      </c>
      <c r="P10" s="88">
        <f t="shared" si="1"/>
        <v>0</v>
      </c>
      <c r="Q10" s="88">
        <f t="shared" si="5"/>
        <v>24300</v>
      </c>
    </row>
    <row r="11" spans="2:17" ht="12.75">
      <c r="B11" s="20">
        <f t="shared" si="2"/>
        <v>4</v>
      </c>
      <c r="C11" s="10"/>
      <c r="D11" s="10"/>
      <c r="E11" s="10"/>
      <c r="F11" s="30" t="s">
        <v>86</v>
      </c>
      <c r="G11" s="10">
        <v>630</v>
      </c>
      <c r="H11" s="10" t="s">
        <v>121</v>
      </c>
      <c r="I11" s="61">
        <f>I16+I15+I14+I13+I12</f>
        <v>24300</v>
      </c>
      <c r="J11" s="61">
        <f>J16+J15+J14+J13+J12</f>
        <v>0</v>
      </c>
      <c r="K11" s="61">
        <f t="shared" si="3"/>
        <v>24300</v>
      </c>
      <c r="L11" s="61"/>
      <c r="M11" s="61"/>
      <c r="N11" s="61">
        <f t="shared" si="4"/>
        <v>0</v>
      </c>
      <c r="O11" s="61">
        <f t="shared" si="0"/>
        <v>24300</v>
      </c>
      <c r="P11" s="61">
        <f t="shared" si="1"/>
        <v>0</v>
      </c>
      <c r="Q11" s="61">
        <f t="shared" si="5"/>
        <v>24300</v>
      </c>
    </row>
    <row r="12" spans="2:17" ht="12.75">
      <c r="B12" s="20">
        <f t="shared" si="2"/>
        <v>5</v>
      </c>
      <c r="C12" s="4"/>
      <c r="D12" s="4"/>
      <c r="E12" s="4"/>
      <c r="F12" s="31" t="s">
        <v>86</v>
      </c>
      <c r="G12" s="4">
        <v>631</v>
      </c>
      <c r="H12" s="4" t="s">
        <v>127</v>
      </c>
      <c r="I12" s="17">
        <f>4000-1000</f>
        <v>3000</v>
      </c>
      <c r="J12" s="17"/>
      <c r="K12" s="17">
        <f t="shared" si="3"/>
        <v>3000</v>
      </c>
      <c r="L12" s="17"/>
      <c r="M12" s="17"/>
      <c r="N12" s="17">
        <f t="shared" si="4"/>
        <v>0</v>
      </c>
      <c r="O12" s="17">
        <f t="shared" si="0"/>
        <v>3000</v>
      </c>
      <c r="P12" s="17">
        <f t="shared" si="1"/>
        <v>0</v>
      </c>
      <c r="Q12" s="17">
        <f t="shared" si="5"/>
        <v>3000</v>
      </c>
    </row>
    <row r="13" spans="2:17" ht="12.75">
      <c r="B13" s="20">
        <f t="shared" si="2"/>
        <v>6</v>
      </c>
      <c r="C13" s="4"/>
      <c r="D13" s="4"/>
      <c r="E13" s="4"/>
      <c r="F13" s="31" t="s">
        <v>86</v>
      </c>
      <c r="G13" s="4">
        <v>633</v>
      </c>
      <c r="H13" s="4" t="s">
        <v>125</v>
      </c>
      <c r="I13" s="17">
        <f>15000-5000</f>
        <v>10000</v>
      </c>
      <c r="J13" s="17"/>
      <c r="K13" s="17">
        <f t="shared" si="3"/>
        <v>10000</v>
      </c>
      <c r="L13" s="17"/>
      <c r="M13" s="17"/>
      <c r="N13" s="17">
        <f t="shared" si="4"/>
        <v>0</v>
      </c>
      <c r="O13" s="17">
        <f t="shared" si="0"/>
        <v>10000</v>
      </c>
      <c r="P13" s="17">
        <f t="shared" si="1"/>
        <v>0</v>
      </c>
      <c r="Q13" s="17">
        <f t="shared" si="5"/>
        <v>10000</v>
      </c>
    </row>
    <row r="14" spans="2:17" ht="12.75">
      <c r="B14" s="20">
        <f t="shared" si="2"/>
        <v>7</v>
      </c>
      <c r="C14" s="4"/>
      <c r="D14" s="4"/>
      <c r="E14" s="4"/>
      <c r="F14" s="31" t="s">
        <v>86</v>
      </c>
      <c r="G14" s="4">
        <v>634</v>
      </c>
      <c r="H14" s="4" t="s">
        <v>132</v>
      </c>
      <c r="I14" s="17">
        <v>1000</v>
      </c>
      <c r="J14" s="17"/>
      <c r="K14" s="17">
        <f t="shared" si="3"/>
        <v>1000</v>
      </c>
      <c r="L14" s="17"/>
      <c r="M14" s="17"/>
      <c r="N14" s="17">
        <f t="shared" si="4"/>
        <v>0</v>
      </c>
      <c r="O14" s="17">
        <f t="shared" si="0"/>
        <v>1000</v>
      </c>
      <c r="P14" s="17">
        <f t="shared" si="1"/>
        <v>0</v>
      </c>
      <c r="Q14" s="17">
        <f>P14+O14</f>
        <v>1000</v>
      </c>
    </row>
    <row r="15" spans="2:17" ht="12.75">
      <c r="B15" s="20">
        <f t="shared" si="2"/>
        <v>8</v>
      </c>
      <c r="C15" s="4"/>
      <c r="D15" s="4"/>
      <c r="E15" s="4"/>
      <c r="F15" s="31" t="s">
        <v>86</v>
      </c>
      <c r="G15" s="4">
        <v>636</v>
      </c>
      <c r="H15" s="4" t="s">
        <v>126</v>
      </c>
      <c r="I15" s="17">
        <v>700</v>
      </c>
      <c r="J15" s="17"/>
      <c r="K15" s="17">
        <f t="shared" si="3"/>
        <v>700</v>
      </c>
      <c r="L15" s="17"/>
      <c r="M15" s="17"/>
      <c r="N15" s="17">
        <f t="shared" si="4"/>
        <v>0</v>
      </c>
      <c r="O15" s="17">
        <f t="shared" si="0"/>
        <v>700</v>
      </c>
      <c r="P15" s="17">
        <f t="shared" si="1"/>
        <v>0</v>
      </c>
      <c r="Q15" s="17">
        <f t="shared" si="5"/>
        <v>700</v>
      </c>
    </row>
    <row r="16" spans="2:17" ht="12.75">
      <c r="B16" s="20">
        <f t="shared" si="2"/>
        <v>9</v>
      </c>
      <c r="C16" s="4"/>
      <c r="D16" s="4"/>
      <c r="E16" s="4"/>
      <c r="F16" s="31" t="s">
        <v>86</v>
      </c>
      <c r="G16" s="4">
        <v>637</v>
      </c>
      <c r="H16" s="4" t="s">
        <v>122</v>
      </c>
      <c r="I16" s="17">
        <v>9600</v>
      </c>
      <c r="J16" s="17"/>
      <c r="K16" s="17">
        <f t="shared" si="3"/>
        <v>9600</v>
      </c>
      <c r="L16" s="17"/>
      <c r="M16" s="17"/>
      <c r="N16" s="17">
        <f t="shared" si="4"/>
        <v>0</v>
      </c>
      <c r="O16" s="17">
        <f t="shared" si="0"/>
        <v>9600</v>
      </c>
      <c r="P16" s="17">
        <f t="shared" si="1"/>
        <v>0</v>
      </c>
      <c r="Q16" s="17">
        <f t="shared" si="5"/>
        <v>9600</v>
      </c>
    </row>
    <row r="17" spans="2:17" ht="15">
      <c r="B17" s="20">
        <f t="shared" si="2"/>
        <v>10</v>
      </c>
      <c r="C17" s="2"/>
      <c r="D17" s="2">
        <v>2</v>
      </c>
      <c r="E17" s="238" t="s">
        <v>237</v>
      </c>
      <c r="F17" s="233"/>
      <c r="G17" s="233"/>
      <c r="H17" s="234"/>
      <c r="I17" s="88">
        <f>I18</f>
        <v>2000</v>
      </c>
      <c r="J17" s="88">
        <f>J18</f>
        <v>0</v>
      </c>
      <c r="K17" s="88">
        <f t="shared" si="3"/>
        <v>2000</v>
      </c>
      <c r="L17" s="88"/>
      <c r="M17" s="88"/>
      <c r="N17" s="88">
        <f t="shared" si="4"/>
        <v>0</v>
      </c>
      <c r="O17" s="88">
        <f t="shared" si="0"/>
        <v>2000</v>
      </c>
      <c r="P17" s="88">
        <f t="shared" si="1"/>
        <v>0</v>
      </c>
      <c r="Q17" s="88">
        <f t="shared" si="5"/>
        <v>2000</v>
      </c>
    </row>
    <row r="18" spans="2:17" ht="12.75">
      <c r="B18" s="20">
        <f t="shared" si="2"/>
        <v>11</v>
      </c>
      <c r="C18" s="10"/>
      <c r="D18" s="10"/>
      <c r="E18" s="10"/>
      <c r="F18" s="30" t="s">
        <v>86</v>
      </c>
      <c r="G18" s="10">
        <v>630</v>
      </c>
      <c r="H18" s="10" t="s">
        <v>121</v>
      </c>
      <c r="I18" s="61">
        <f>I19</f>
        <v>2000</v>
      </c>
      <c r="J18" s="61">
        <f>J19</f>
        <v>0</v>
      </c>
      <c r="K18" s="61">
        <f t="shared" si="3"/>
        <v>2000</v>
      </c>
      <c r="L18" s="61"/>
      <c r="M18" s="61"/>
      <c r="N18" s="61">
        <f t="shared" si="4"/>
        <v>0</v>
      </c>
      <c r="O18" s="61">
        <f t="shared" si="0"/>
        <v>2000</v>
      </c>
      <c r="P18" s="61">
        <f t="shared" si="1"/>
        <v>0</v>
      </c>
      <c r="Q18" s="61">
        <f t="shared" si="5"/>
        <v>2000</v>
      </c>
    </row>
    <row r="19" spans="2:17" ht="12.75">
      <c r="B19" s="20">
        <f t="shared" si="2"/>
        <v>12</v>
      </c>
      <c r="C19" s="4"/>
      <c r="D19" s="4"/>
      <c r="E19" s="4"/>
      <c r="F19" s="31" t="s">
        <v>86</v>
      </c>
      <c r="G19" s="4">
        <v>633</v>
      </c>
      <c r="H19" s="4" t="s">
        <v>125</v>
      </c>
      <c r="I19" s="17">
        <f>3000-1000</f>
        <v>2000</v>
      </c>
      <c r="J19" s="17"/>
      <c r="K19" s="17">
        <f t="shared" si="3"/>
        <v>2000</v>
      </c>
      <c r="L19" s="17"/>
      <c r="M19" s="17"/>
      <c r="N19" s="17">
        <f t="shared" si="4"/>
        <v>0</v>
      </c>
      <c r="O19" s="17">
        <f t="shared" si="0"/>
        <v>2000</v>
      </c>
      <c r="P19" s="17">
        <f t="shared" si="1"/>
        <v>0</v>
      </c>
      <c r="Q19" s="17">
        <f t="shared" si="5"/>
        <v>2000</v>
      </c>
    </row>
    <row r="20" spans="2:17" ht="15">
      <c r="B20" s="20">
        <f t="shared" si="2"/>
        <v>13</v>
      </c>
      <c r="C20" s="2"/>
      <c r="D20" s="2">
        <v>3</v>
      </c>
      <c r="E20" s="238" t="s">
        <v>238</v>
      </c>
      <c r="F20" s="233"/>
      <c r="G20" s="233"/>
      <c r="H20" s="234"/>
      <c r="I20" s="88">
        <f>I21</f>
        <v>2000</v>
      </c>
      <c r="J20" s="88">
        <f>J21</f>
        <v>0</v>
      </c>
      <c r="K20" s="88">
        <f t="shared" si="3"/>
        <v>2000</v>
      </c>
      <c r="L20" s="88"/>
      <c r="M20" s="88"/>
      <c r="N20" s="88">
        <f t="shared" si="4"/>
        <v>0</v>
      </c>
      <c r="O20" s="88">
        <f t="shared" si="0"/>
        <v>2000</v>
      </c>
      <c r="P20" s="88">
        <f t="shared" si="1"/>
        <v>0</v>
      </c>
      <c r="Q20" s="88">
        <f t="shared" si="5"/>
        <v>2000</v>
      </c>
    </row>
    <row r="21" spans="2:17" ht="12.75">
      <c r="B21" s="20">
        <f t="shared" si="2"/>
        <v>14</v>
      </c>
      <c r="C21" s="10"/>
      <c r="D21" s="10"/>
      <c r="E21" s="10"/>
      <c r="F21" s="30" t="s">
        <v>86</v>
      </c>
      <c r="G21" s="10">
        <v>630</v>
      </c>
      <c r="H21" s="10" t="s">
        <v>121</v>
      </c>
      <c r="I21" s="61">
        <f>I22</f>
        <v>2000</v>
      </c>
      <c r="J21" s="61">
        <f>J22</f>
        <v>0</v>
      </c>
      <c r="K21" s="61">
        <f t="shared" si="3"/>
        <v>2000</v>
      </c>
      <c r="L21" s="61"/>
      <c r="M21" s="61"/>
      <c r="N21" s="61">
        <f t="shared" si="4"/>
        <v>0</v>
      </c>
      <c r="O21" s="61">
        <f t="shared" si="0"/>
        <v>2000</v>
      </c>
      <c r="P21" s="61">
        <f t="shared" si="1"/>
        <v>0</v>
      </c>
      <c r="Q21" s="61">
        <f t="shared" si="5"/>
        <v>2000</v>
      </c>
    </row>
    <row r="22" spans="2:17" ht="12.75">
      <c r="B22" s="20">
        <f t="shared" si="2"/>
        <v>15</v>
      </c>
      <c r="C22" s="4"/>
      <c r="D22" s="4"/>
      <c r="E22" s="4"/>
      <c r="F22" s="31" t="s">
        <v>86</v>
      </c>
      <c r="G22" s="4">
        <v>633</v>
      </c>
      <c r="H22" s="4" t="s">
        <v>125</v>
      </c>
      <c r="I22" s="17">
        <v>2000</v>
      </c>
      <c r="J22" s="17"/>
      <c r="K22" s="17">
        <f t="shared" si="3"/>
        <v>2000</v>
      </c>
      <c r="L22" s="17"/>
      <c r="M22" s="17"/>
      <c r="N22" s="17">
        <f t="shared" si="4"/>
        <v>0</v>
      </c>
      <c r="O22" s="17">
        <f t="shared" si="0"/>
        <v>2000</v>
      </c>
      <c r="P22" s="17">
        <f t="shared" si="1"/>
        <v>0</v>
      </c>
      <c r="Q22" s="17">
        <f t="shared" si="5"/>
        <v>2000</v>
      </c>
    </row>
    <row r="23" spans="2:17" ht="15">
      <c r="B23" s="20">
        <f t="shared" si="2"/>
        <v>16</v>
      </c>
      <c r="C23" s="2"/>
      <c r="D23" s="2">
        <v>4</v>
      </c>
      <c r="E23" s="238" t="s">
        <v>193</v>
      </c>
      <c r="F23" s="233"/>
      <c r="G23" s="233"/>
      <c r="H23" s="234"/>
      <c r="I23" s="88">
        <f>I24+I25</f>
        <v>154506</v>
      </c>
      <c r="J23" s="88">
        <f>J24+J25</f>
        <v>0</v>
      </c>
      <c r="K23" s="88">
        <f t="shared" si="3"/>
        <v>154506</v>
      </c>
      <c r="L23" s="88"/>
      <c r="M23" s="88"/>
      <c r="N23" s="88">
        <f t="shared" si="4"/>
        <v>0</v>
      </c>
      <c r="O23" s="88">
        <f t="shared" si="0"/>
        <v>154506</v>
      </c>
      <c r="P23" s="88">
        <f t="shared" si="1"/>
        <v>0</v>
      </c>
      <c r="Q23" s="88">
        <f t="shared" si="5"/>
        <v>154506</v>
      </c>
    </row>
    <row r="24" spans="2:17" ht="12.75">
      <c r="B24" s="20">
        <f t="shared" si="2"/>
        <v>17</v>
      </c>
      <c r="C24" s="10"/>
      <c r="D24" s="10"/>
      <c r="E24" s="10"/>
      <c r="F24" s="30" t="s">
        <v>86</v>
      </c>
      <c r="G24" s="10">
        <v>620</v>
      </c>
      <c r="H24" s="10" t="s">
        <v>124</v>
      </c>
      <c r="I24" s="61">
        <v>32006</v>
      </c>
      <c r="J24" s="61"/>
      <c r="K24" s="61">
        <f t="shared" si="3"/>
        <v>32006</v>
      </c>
      <c r="L24" s="61"/>
      <c r="M24" s="61"/>
      <c r="N24" s="61">
        <f t="shared" si="4"/>
        <v>0</v>
      </c>
      <c r="O24" s="61">
        <f t="shared" si="0"/>
        <v>32006</v>
      </c>
      <c r="P24" s="61">
        <f t="shared" si="1"/>
        <v>0</v>
      </c>
      <c r="Q24" s="61">
        <f t="shared" si="5"/>
        <v>32006</v>
      </c>
    </row>
    <row r="25" spans="2:17" ht="12.75">
      <c r="B25" s="20">
        <f t="shared" si="2"/>
        <v>18</v>
      </c>
      <c r="C25" s="10"/>
      <c r="D25" s="10"/>
      <c r="E25" s="10"/>
      <c r="F25" s="30" t="s">
        <v>86</v>
      </c>
      <c r="G25" s="10">
        <v>630</v>
      </c>
      <c r="H25" s="10" t="s">
        <v>121</v>
      </c>
      <c r="I25" s="61">
        <f>I28+I27+I26</f>
        <v>122500</v>
      </c>
      <c r="J25" s="61">
        <f>J28+J27+J26</f>
        <v>0</v>
      </c>
      <c r="K25" s="61">
        <f t="shared" si="3"/>
        <v>122500</v>
      </c>
      <c r="L25" s="61"/>
      <c r="M25" s="61"/>
      <c r="N25" s="61">
        <f t="shared" si="4"/>
        <v>0</v>
      </c>
      <c r="O25" s="61">
        <f t="shared" si="0"/>
        <v>122500</v>
      </c>
      <c r="P25" s="61">
        <f t="shared" si="1"/>
        <v>0</v>
      </c>
      <c r="Q25" s="61">
        <f t="shared" si="5"/>
        <v>122500</v>
      </c>
    </row>
    <row r="26" spans="2:17" ht="12.75">
      <c r="B26" s="20">
        <f t="shared" si="2"/>
        <v>19</v>
      </c>
      <c r="C26" s="4"/>
      <c r="D26" s="4"/>
      <c r="E26" s="4"/>
      <c r="F26" s="31" t="s">
        <v>86</v>
      </c>
      <c r="G26" s="4">
        <v>632</v>
      </c>
      <c r="H26" s="4" t="s">
        <v>134</v>
      </c>
      <c r="I26" s="17">
        <v>19500</v>
      </c>
      <c r="J26" s="17"/>
      <c r="K26" s="17">
        <f t="shared" si="3"/>
        <v>19500</v>
      </c>
      <c r="L26" s="17"/>
      <c r="M26" s="17"/>
      <c r="N26" s="17">
        <f t="shared" si="4"/>
        <v>0</v>
      </c>
      <c r="O26" s="17">
        <f t="shared" si="0"/>
        <v>19500</v>
      </c>
      <c r="P26" s="17">
        <f t="shared" si="1"/>
        <v>0</v>
      </c>
      <c r="Q26" s="17">
        <f t="shared" si="5"/>
        <v>19500</v>
      </c>
    </row>
    <row r="27" spans="2:17" ht="12.75">
      <c r="B27" s="20">
        <f t="shared" si="2"/>
        <v>20</v>
      </c>
      <c r="C27" s="4"/>
      <c r="D27" s="4"/>
      <c r="E27" s="4"/>
      <c r="F27" s="31" t="s">
        <v>86</v>
      </c>
      <c r="G27" s="4">
        <v>633</v>
      </c>
      <c r="H27" s="4" t="s">
        <v>125</v>
      </c>
      <c r="I27" s="17">
        <v>3000</v>
      </c>
      <c r="J27" s="17"/>
      <c r="K27" s="17">
        <f t="shared" si="3"/>
        <v>3000</v>
      </c>
      <c r="L27" s="17"/>
      <c r="M27" s="17"/>
      <c r="N27" s="17">
        <f t="shared" si="4"/>
        <v>0</v>
      </c>
      <c r="O27" s="17">
        <f t="shared" si="0"/>
        <v>3000</v>
      </c>
      <c r="P27" s="17">
        <f t="shared" si="1"/>
        <v>0</v>
      </c>
      <c r="Q27" s="17">
        <f t="shared" si="5"/>
        <v>3000</v>
      </c>
    </row>
    <row r="28" spans="2:17" ht="12.75">
      <c r="B28" s="20">
        <f t="shared" si="2"/>
        <v>21</v>
      </c>
      <c r="C28" s="4"/>
      <c r="D28" s="4"/>
      <c r="E28" s="4"/>
      <c r="F28" s="31" t="s">
        <v>86</v>
      </c>
      <c r="G28" s="4">
        <v>637</v>
      </c>
      <c r="H28" s="4" t="s">
        <v>122</v>
      </c>
      <c r="I28" s="17">
        <v>100000</v>
      </c>
      <c r="J28" s="17"/>
      <c r="K28" s="17">
        <f t="shared" si="3"/>
        <v>100000</v>
      </c>
      <c r="L28" s="17"/>
      <c r="M28" s="17"/>
      <c r="N28" s="17">
        <f t="shared" si="4"/>
        <v>0</v>
      </c>
      <c r="O28" s="17">
        <f t="shared" si="0"/>
        <v>100000</v>
      </c>
      <c r="P28" s="17">
        <f t="shared" si="1"/>
        <v>0</v>
      </c>
      <c r="Q28" s="17">
        <f t="shared" si="5"/>
        <v>100000</v>
      </c>
    </row>
    <row r="29" spans="2:17" ht="15">
      <c r="B29" s="20">
        <f t="shared" si="2"/>
        <v>22</v>
      </c>
      <c r="C29" s="7">
        <v>2</v>
      </c>
      <c r="D29" s="232" t="s">
        <v>207</v>
      </c>
      <c r="E29" s="233"/>
      <c r="F29" s="233"/>
      <c r="G29" s="233"/>
      <c r="H29" s="234"/>
      <c r="I29" s="87">
        <f>I30+I31</f>
        <v>224800</v>
      </c>
      <c r="J29" s="87">
        <f>J30+J31</f>
        <v>0</v>
      </c>
      <c r="K29" s="87">
        <f t="shared" si="3"/>
        <v>224800</v>
      </c>
      <c r="L29" s="87">
        <f>L36</f>
        <v>217000</v>
      </c>
      <c r="M29" s="87">
        <f>M36</f>
        <v>0</v>
      </c>
      <c r="N29" s="87">
        <f t="shared" si="4"/>
        <v>217000</v>
      </c>
      <c r="O29" s="87">
        <f t="shared" si="0"/>
        <v>441800</v>
      </c>
      <c r="P29" s="87">
        <f t="shared" si="1"/>
        <v>0</v>
      </c>
      <c r="Q29" s="87">
        <f t="shared" si="5"/>
        <v>441800</v>
      </c>
    </row>
    <row r="30" spans="2:17" ht="12.75">
      <c r="B30" s="20">
        <f t="shared" si="2"/>
        <v>23</v>
      </c>
      <c r="C30" s="10"/>
      <c r="D30" s="10"/>
      <c r="E30" s="10"/>
      <c r="F30" s="30" t="s">
        <v>206</v>
      </c>
      <c r="G30" s="10">
        <v>620</v>
      </c>
      <c r="H30" s="10" t="s">
        <v>124</v>
      </c>
      <c r="I30" s="61">
        <v>1000</v>
      </c>
      <c r="J30" s="61"/>
      <c r="K30" s="61">
        <f t="shared" si="3"/>
        <v>1000</v>
      </c>
      <c r="L30" s="61"/>
      <c r="M30" s="61"/>
      <c r="N30" s="61">
        <f t="shared" si="4"/>
        <v>0</v>
      </c>
      <c r="O30" s="61">
        <f t="shared" si="0"/>
        <v>1000</v>
      </c>
      <c r="P30" s="61">
        <f t="shared" si="1"/>
        <v>0</v>
      </c>
      <c r="Q30" s="61">
        <f t="shared" si="5"/>
        <v>1000</v>
      </c>
    </row>
    <row r="31" spans="2:17" ht="12.75">
      <c r="B31" s="20">
        <f t="shared" si="2"/>
        <v>24</v>
      </c>
      <c r="C31" s="10"/>
      <c r="D31" s="10"/>
      <c r="E31" s="10"/>
      <c r="F31" s="30" t="s">
        <v>206</v>
      </c>
      <c r="G31" s="10">
        <v>630</v>
      </c>
      <c r="H31" s="10" t="s">
        <v>121</v>
      </c>
      <c r="I31" s="61">
        <f>SUM(I32:I35)</f>
        <v>223800</v>
      </c>
      <c r="J31" s="61">
        <f>SUM(J32:J35)</f>
        <v>0</v>
      </c>
      <c r="K31" s="61">
        <f t="shared" si="3"/>
        <v>223800</v>
      </c>
      <c r="L31" s="61"/>
      <c r="M31" s="61"/>
      <c r="N31" s="61">
        <f t="shared" si="4"/>
        <v>0</v>
      </c>
      <c r="O31" s="61">
        <f t="shared" si="0"/>
        <v>223800</v>
      </c>
      <c r="P31" s="61">
        <f t="shared" si="1"/>
        <v>0</v>
      </c>
      <c r="Q31" s="61">
        <f t="shared" si="5"/>
        <v>223800</v>
      </c>
    </row>
    <row r="32" spans="2:17" ht="12.75">
      <c r="B32" s="20">
        <f t="shared" si="2"/>
        <v>25</v>
      </c>
      <c r="C32" s="4"/>
      <c r="D32" s="4"/>
      <c r="E32" s="4"/>
      <c r="F32" s="31" t="s">
        <v>206</v>
      </c>
      <c r="G32" s="4">
        <v>631</v>
      </c>
      <c r="H32" s="4" t="s">
        <v>127</v>
      </c>
      <c r="I32" s="17">
        <v>500</v>
      </c>
      <c r="J32" s="17"/>
      <c r="K32" s="17">
        <f t="shared" si="3"/>
        <v>500</v>
      </c>
      <c r="L32" s="17"/>
      <c r="M32" s="17"/>
      <c r="N32" s="17">
        <f t="shared" si="4"/>
        <v>0</v>
      </c>
      <c r="O32" s="17">
        <f t="shared" si="0"/>
        <v>500</v>
      </c>
      <c r="P32" s="17">
        <f t="shared" si="1"/>
        <v>0</v>
      </c>
      <c r="Q32" s="17">
        <f t="shared" si="5"/>
        <v>500</v>
      </c>
    </row>
    <row r="33" spans="2:17" ht="12.75">
      <c r="B33" s="20">
        <f t="shared" si="2"/>
        <v>26</v>
      </c>
      <c r="C33" s="4"/>
      <c r="D33" s="4"/>
      <c r="E33" s="4"/>
      <c r="F33" s="31" t="s">
        <v>206</v>
      </c>
      <c r="G33" s="4">
        <v>633</v>
      </c>
      <c r="H33" s="4" t="s">
        <v>125</v>
      </c>
      <c r="I33" s="17">
        <v>20500</v>
      </c>
      <c r="J33" s="17"/>
      <c r="K33" s="17">
        <f t="shared" si="3"/>
        <v>20500</v>
      </c>
      <c r="L33" s="17"/>
      <c r="M33" s="17"/>
      <c r="N33" s="17">
        <f t="shared" si="4"/>
        <v>0</v>
      </c>
      <c r="O33" s="17">
        <f t="shared" si="0"/>
        <v>20500</v>
      </c>
      <c r="P33" s="17">
        <f t="shared" si="1"/>
        <v>0</v>
      </c>
      <c r="Q33" s="17">
        <f t="shared" si="5"/>
        <v>20500</v>
      </c>
    </row>
    <row r="34" spans="2:17" ht="12.75">
      <c r="B34" s="20">
        <f t="shared" si="2"/>
        <v>27</v>
      </c>
      <c r="C34" s="4"/>
      <c r="D34" s="4"/>
      <c r="E34" s="4"/>
      <c r="F34" s="31" t="s">
        <v>206</v>
      </c>
      <c r="G34" s="4">
        <v>635</v>
      </c>
      <c r="H34" s="4" t="s">
        <v>133</v>
      </c>
      <c r="I34" s="17">
        <v>9000</v>
      </c>
      <c r="J34" s="17"/>
      <c r="K34" s="17">
        <f t="shared" si="3"/>
        <v>9000</v>
      </c>
      <c r="L34" s="17"/>
      <c r="M34" s="17"/>
      <c r="N34" s="17">
        <f t="shared" si="4"/>
        <v>0</v>
      </c>
      <c r="O34" s="17">
        <f t="shared" si="0"/>
        <v>9000</v>
      </c>
      <c r="P34" s="17">
        <f t="shared" si="1"/>
        <v>0</v>
      </c>
      <c r="Q34" s="17">
        <f t="shared" si="5"/>
        <v>9000</v>
      </c>
    </row>
    <row r="35" spans="2:17" ht="12.75">
      <c r="B35" s="20">
        <f t="shared" si="2"/>
        <v>28</v>
      </c>
      <c r="C35" s="4"/>
      <c r="D35" s="4"/>
      <c r="E35" s="4"/>
      <c r="F35" s="31" t="s">
        <v>206</v>
      </c>
      <c r="G35" s="4">
        <v>637</v>
      </c>
      <c r="H35" s="4" t="s">
        <v>122</v>
      </c>
      <c r="I35" s="17">
        <v>193800</v>
      </c>
      <c r="J35" s="17"/>
      <c r="K35" s="17">
        <f t="shared" si="3"/>
        <v>193800</v>
      </c>
      <c r="L35" s="17"/>
      <c r="M35" s="17"/>
      <c r="N35" s="17">
        <f t="shared" si="4"/>
        <v>0</v>
      </c>
      <c r="O35" s="17">
        <f t="shared" si="0"/>
        <v>193800</v>
      </c>
      <c r="P35" s="17">
        <f t="shared" si="1"/>
        <v>0</v>
      </c>
      <c r="Q35" s="17">
        <f t="shared" si="5"/>
        <v>193800</v>
      </c>
    </row>
    <row r="36" spans="2:17" ht="12.75">
      <c r="B36" s="20">
        <f t="shared" si="2"/>
        <v>29</v>
      </c>
      <c r="C36" s="10"/>
      <c r="D36" s="10"/>
      <c r="E36" s="10"/>
      <c r="F36" s="30" t="s">
        <v>206</v>
      </c>
      <c r="G36" s="10">
        <v>710</v>
      </c>
      <c r="H36" s="10" t="s">
        <v>176</v>
      </c>
      <c r="I36" s="61"/>
      <c r="J36" s="61"/>
      <c r="K36" s="61">
        <f t="shared" si="3"/>
        <v>0</v>
      </c>
      <c r="L36" s="61">
        <f>L39+L37</f>
        <v>217000</v>
      </c>
      <c r="M36" s="61">
        <f>M39+M37</f>
        <v>0</v>
      </c>
      <c r="N36" s="61">
        <f t="shared" si="4"/>
        <v>217000</v>
      </c>
      <c r="O36" s="61">
        <f t="shared" si="0"/>
        <v>217000</v>
      </c>
      <c r="P36" s="61">
        <f t="shared" si="1"/>
        <v>0</v>
      </c>
      <c r="Q36" s="61">
        <f t="shared" si="5"/>
        <v>217000</v>
      </c>
    </row>
    <row r="37" spans="2:17" ht="12.75">
      <c r="B37" s="20">
        <f t="shared" si="2"/>
        <v>30</v>
      </c>
      <c r="C37" s="4"/>
      <c r="D37" s="4"/>
      <c r="E37" s="4"/>
      <c r="F37" s="31" t="s">
        <v>206</v>
      </c>
      <c r="G37" s="4">
        <v>711</v>
      </c>
      <c r="H37" s="4" t="s">
        <v>214</v>
      </c>
      <c r="I37" s="17"/>
      <c r="J37" s="17"/>
      <c r="K37" s="17">
        <f t="shared" si="3"/>
        <v>0</v>
      </c>
      <c r="L37" s="17">
        <f>L38</f>
        <v>40000</v>
      </c>
      <c r="M37" s="17">
        <f>M38</f>
        <v>0</v>
      </c>
      <c r="N37" s="17">
        <f t="shared" si="4"/>
        <v>40000</v>
      </c>
      <c r="O37" s="17">
        <f t="shared" si="0"/>
        <v>40000</v>
      </c>
      <c r="P37" s="17">
        <f t="shared" si="1"/>
        <v>0</v>
      </c>
      <c r="Q37" s="17">
        <f t="shared" si="5"/>
        <v>40000</v>
      </c>
    </row>
    <row r="38" spans="2:17" ht="12.75">
      <c r="B38" s="20">
        <f aca="true" t="shared" si="6" ref="B38:B66">B37+1</f>
        <v>31</v>
      </c>
      <c r="C38" s="5"/>
      <c r="D38" s="5"/>
      <c r="E38" s="5"/>
      <c r="F38" s="32"/>
      <c r="G38" s="5"/>
      <c r="H38" s="5" t="s">
        <v>347</v>
      </c>
      <c r="I38" s="18"/>
      <c r="J38" s="18"/>
      <c r="K38" s="18">
        <f t="shared" si="3"/>
        <v>0</v>
      </c>
      <c r="L38" s="18">
        <v>40000</v>
      </c>
      <c r="M38" s="18"/>
      <c r="N38" s="18">
        <f t="shared" si="4"/>
        <v>40000</v>
      </c>
      <c r="O38" s="18">
        <f t="shared" si="0"/>
        <v>40000</v>
      </c>
      <c r="P38" s="18">
        <f t="shared" si="1"/>
        <v>0</v>
      </c>
      <c r="Q38" s="18">
        <f t="shared" si="5"/>
        <v>40000</v>
      </c>
    </row>
    <row r="39" spans="2:17" ht="12.75">
      <c r="B39" s="20">
        <f t="shared" si="6"/>
        <v>32</v>
      </c>
      <c r="C39" s="4"/>
      <c r="D39" s="29"/>
      <c r="E39" s="4"/>
      <c r="F39" s="31" t="s">
        <v>206</v>
      </c>
      <c r="G39" s="4">
        <v>716</v>
      </c>
      <c r="H39" s="4" t="s">
        <v>222</v>
      </c>
      <c r="I39" s="17"/>
      <c r="J39" s="17"/>
      <c r="K39" s="17">
        <f t="shared" si="3"/>
        <v>0</v>
      </c>
      <c r="L39" s="17">
        <f>SUM(L40:L42)</f>
        <v>177000</v>
      </c>
      <c r="M39" s="17">
        <f>SUM(M40:M42)</f>
        <v>0</v>
      </c>
      <c r="N39" s="17">
        <f t="shared" si="4"/>
        <v>177000</v>
      </c>
      <c r="O39" s="17">
        <f t="shared" si="0"/>
        <v>177000</v>
      </c>
      <c r="P39" s="17">
        <f t="shared" si="1"/>
        <v>0</v>
      </c>
      <c r="Q39" s="17">
        <f t="shared" si="5"/>
        <v>177000</v>
      </c>
    </row>
    <row r="40" spans="2:17" ht="12.75">
      <c r="B40" s="20">
        <f t="shared" si="6"/>
        <v>33</v>
      </c>
      <c r="C40" s="5"/>
      <c r="D40" s="26"/>
      <c r="E40" s="5"/>
      <c r="F40" s="32"/>
      <c r="G40" s="5"/>
      <c r="H40" s="5" t="s">
        <v>348</v>
      </c>
      <c r="I40" s="18"/>
      <c r="J40" s="18"/>
      <c r="K40" s="18">
        <f t="shared" si="3"/>
        <v>0</v>
      </c>
      <c r="L40" s="18">
        <v>90000</v>
      </c>
      <c r="M40" s="18"/>
      <c r="N40" s="18">
        <f t="shared" si="4"/>
        <v>90000</v>
      </c>
      <c r="O40" s="18">
        <f aca="true" t="shared" si="7" ref="O40:O66">I40+L40</f>
        <v>90000</v>
      </c>
      <c r="P40" s="18">
        <f aca="true" t="shared" si="8" ref="P40:P66">J40+M40</f>
        <v>0</v>
      </c>
      <c r="Q40" s="18">
        <f t="shared" si="5"/>
        <v>90000</v>
      </c>
    </row>
    <row r="41" spans="2:17" ht="12.75">
      <c r="B41" s="20">
        <f t="shared" si="6"/>
        <v>34</v>
      </c>
      <c r="C41" s="5"/>
      <c r="D41" s="26"/>
      <c r="E41" s="5"/>
      <c r="F41" s="32"/>
      <c r="G41" s="5"/>
      <c r="H41" s="5" t="s">
        <v>493</v>
      </c>
      <c r="I41" s="18"/>
      <c r="J41" s="18"/>
      <c r="K41" s="18">
        <f t="shared" si="3"/>
        <v>0</v>
      </c>
      <c r="L41" s="18">
        <v>26000</v>
      </c>
      <c r="M41" s="18"/>
      <c r="N41" s="18">
        <f t="shared" si="4"/>
        <v>26000</v>
      </c>
      <c r="O41" s="18">
        <f t="shared" si="7"/>
        <v>26000</v>
      </c>
      <c r="P41" s="18">
        <f t="shared" si="8"/>
        <v>0</v>
      </c>
      <c r="Q41" s="18">
        <f t="shared" si="5"/>
        <v>26000</v>
      </c>
    </row>
    <row r="42" spans="2:17" ht="12.75">
      <c r="B42" s="20">
        <f t="shared" si="6"/>
        <v>35</v>
      </c>
      <c r="C42" s="5"/>
      <c r="D42" s="26"/>
      <c r="E42" s="5"/>
      <c r="F42" s="32"/>
      <c r="G42" s="5"/>
      <c r="H42" s="5" t="s">
        <v>349</v>
      </c>
      <c r="I42" s="18"/>
      <c r="J42" s="18"/>
      <c r="K42" s="18">
        <f t="shared" si="3"/>
        <v>0</v>
      </c>
      <c r="L42" s="18">
        <f>53000+3000+5000</f>
        <v>61000</v>
      </c>
      <c r="M42" s="18"/>
      <c r="N42" s="18">
        <f t="shared" si="4"/>
        <v>61000</v>
      </c>
      <c r="O42" s="18">
        <f t="shared" si="7"/>
        <v>61000</v>
      </c>
      <c r="P42" s="18">
        <f t="shared" si="8"/>
        <v>0</v>
      </c>
      <c r="Q42" s="18">
        <f t="shared" si="5"/>
        <v>61000</v>
      </c>
    </row>
    <row r="43" spans="2:17" ht="15">
      <c r="B43" s="20">
        <f t="shared" si="6"/>
        <v>36</v>
      </c>
      <c r="C43" s="7">
        <v>3</v>
      </c>
      <c r="D43" s="232" t="s">
        <v>136</v>
      </c>
      <c r="E43" s="233"/>
      <c r="F43" s="233"/>
      <c r="G43" s="233"/>
      <c r="H43" s="234"/>
      <c r="I43" s="87">
        <f>I44</f>
        <v>116834</v>
      </c>
      <c r="J43" s="87">
        <f>J44</f>
        <v>0</v>
      </c>
      <c r="K43" s="87">
        <f t="shared" si="3"/>
        <v>116834</v>
      </c>
      <c r="L43" s="87">
        <f>L46</f>
        <v>534332</v>
      </c>
      <c r="M43" s="87">
        <f>M46</f>
        <v>-95600</v>
      </c>
      <c r="N43" s="87">
        <f t="shared" si="4"/>
        <v>438732</v>
      </c>
      <c r="O43" s="87">
        <f t="shared" si="7"/>
        <v>651166</v>
      </c>
      <c r="P43" s="87">
        <f t="shared" si="8"/>
        <v>-95600</v>
      </c>
      <c r="Q43" s="87">
        <f t="shared" si="5"/>
        <v>555566</v>
      </c>
    </row>
    <row r="44" spans="2:17" ht="12.75">
      <c r="B44" s="20">
        <f t="shared" si="6"/>
        <v>37</v>
      </c>
      <c r="C44" s="10"/>
      <c r="D44" s="10"/>
      <c r="E44" s="10"/>
      <c r="F44" s="30" t="s">
        <v>86</v>
      </c>
      <c r="G44" s="10">
        <v>630</v>
      </c>
      <c r="H44" s="10" t="s">
        <v>121</v>
      </c>
      <c r="I44" s="61">
        <f>I45</f>
        <v>116834</v>
      </c>
      <c r="J44" s="61">
        <f>J45</f>
        <v>0</v>
      </c>
      <c r="K44" s="61">
        <f t="shared" si="3"/>
        <v>116834</v>
      </c>
      <c r="L44" s="61"/>
      <c r="M44" s="61"/>
      <c r="N44" s="61">
        <f t="shared" si="4"/>
        <v>0</v>
      </c>
      <c r="O44" s="61">
        <f t="shared" si="7"/>
        <v>116834</v>
      </c>
      <c r="P44" s="61">
        <f t="shared" si="8"/>
        <v>0</v>
      </c>
      <c r="Q44" s="61">
        <f t="shared" si="5"/>
        <v>116834</v>
      </c>
    </row>
    <row r="45" spans="2:17" ht="12.75">
      <c r="B45" s="20">
        <f t="shared" si="6"/>
        <v>38</v>
      </c>
      <c r="C45" s="4"/>
      <c r="D45" s="4"/>
      <c r="E45" s="4"/>
      <c r="F45" s="31" t="s">
        <v>86</v>
      </c>
      <c r="G45" s="4">
        <v>637</v>
      </c>
      <c r="H45" s="4" t="s">
        <v>122</v>
      </c>
      <c r="I45" s="17">
        <f>130000-25287-3209+19430-4100</f>
        <v>116834</v>
      </c>
      <c r="J45" s="17"/>
      <c r="K45" s="17">
        <f t="shared" si="3"/>
        <v>116834</v>
      </c>
      <c r="L45" s="17"/>
      <c r="M45" s="17"/>
      <c r="N45" s="17">
        <f t="shared" si="4"/>
        <v>0</v>
      </c>
      <c r="O45" s="17">
        <f t="shared" si="7"/>
        <v>116834</v>
      </c>
      <c r="P45" s="17">
        <f t="shared" si="8"/>
        <v>0</v>
      </c>
      <c r="Q45" s="17">
        <f t="shared" si="5"/>
        <v>116834</v>
      </c>
    </row>
    <row r="46" spans="2:17" ht="12.75">
      <c r="B46" s="20">
        <f t="shared" si="6"/>
        <v>39</v>
      </c>
      <c r="C46" s="10"/>
      <c r="D46" s="10"/>
      <c r="E46" s="10"/>
      <c r="F46" s="30" t="s">
        <v>86</v>
      </c>
      <c r="G46" s="10">
        <v>710</v>
      </c>
      <c r="H46" s="10" t="s">
        <v>176</v>
      </c>
      <c r="I46" s="61"/>
      <c r="J46" s="61"/>
      <c r="K46" s="61">
        <f t="shared" si="3"/>
        <v>0</v>
      </c>
      <c r="L46" s="61">
        <f>L49+L47</f>
        <v>534332</v>
      </c>
      <c r="M46" s="61">
        <f>M49+M47</f>
        <v>-95600</v>
      </c>
      <c r="N46" s="61">
        <f t="shared" si="4"/>
        <v>438732</v>
      </c>
      <c r="O46" s="61">
        <f t="shared" si="7"/>
        <v>534332</v>
      </c>
      <c r="P46" s="61">
        <f t="shared" si="8"/>
        <v>-95600</v>
      </c>
      <c r="Q46" s="61">
        <f t="shared" si="5"/>
        <v>438732</v>
      </c>
    </row>
    <row r="47" spans="2:17" ht="12.75">
      <c r="B47" s="20">
        <f t="shared" si="6"/>
        <v>40</v>
      </c>
      <c r="C47" s="4"/>
      <c r="D47" s="4"/>
      <c r="E47" s="4"/>
      <c r="F47" s="31" t="s">
        <v>86</v>
      </c>
      <c r="G47" s="4">
        <v>716</v>
      </c>
      <c r="H47" s="4" t="s">
        <v>222</v>
      </c>
      <c r="I47" s="17"/>
      <c r="J47" s="17"/>
      <c r="K47" s="17">
        <f t="shared" si="3"/>
        <v>0</v>
      </c>
      <c r="L47" s="17">
        <f>L48</f>
        <v>402060</v>
      </c>
      <c r="M47" s="17">
        <f>M48</f>
        <v>0</v>
      </c>
      <c r="N47" s="17">
        <f t="shared" si="4"/>
        <v>402060</v>
      </c>
      <c r="O47" s="17">
        <f t="shared" si="7"/>
        <v>402060</v>
      </c>
      <c r="P47" s="17">
        <f t="shared" si="8"/>
        <v>0</v>
      </c>
      <c r="Q47" s="17">
        <f t="shared" si="5"/>
        <v>402060</v>
      </c>
    </row>
    <row r="48" spans="2:17" ht="12.75">
      <c r="B48" s="20">
        <f t="shared" si="6"/>
        <v>41</v>
      </c>
      <c r="C48" s="5"/>
      <c r="D48" s="5"/>
      <c r="E48" s="5"/>
      <c r="F48" s="32"/>
      <c r="G48" s="5"/>
      <c r="H48" s="5" t="s">
        <v>350</v>
      </c>
      <c r="I48" s="18"/>
      <c r="J48" s="18"/>
      <c r="K48" s="18">
        <f t="shared" si="3"/>
        <v>0</v>
      </c>
      <c r="L48" s="18">
        <f>500000-15720-52000-13920-9000-7300</f>
        <v>402060</v>
      </c>
      <c r="M48" s="18"/>
      <c r="N48" s="18">
        <f t="shared" si="4"/>
        <v>402060</v>
      </c>
      <c r="O48" s="18">
        <f t="shared" si="7"/>
        <v>402060</v>
      </c>
      <c r="P48" s="18">
        <f t="shared" si="8"/>
        <v>0</v>
      </c>
      <c r="Q48" s="18">
        <f t="shared" si="5"/>
        <v>402060</v>
      </c>
    </row>
    <row r="49" spans="2:17" ht="12.75">
      <c r="B49" s="20">
        <f t="shared" si="6"/>
        <v>42</v>
      </c>
      <c r="C49" s="4"/>
      <c r="D49" s="4"/>
      <c r="E49" s="4"/>
      <c r="F49" s="31" t="s">
        <v>86</v>
      </c>
      <c r="G49" s="4">
        <v>717</v>
      </c>
      <c r="H49" s="4" t="s">
        <v>186</v>
      </c>
      <c r="I49" s="17"/>
      <c r="J49" s="17"/>
      <c r="K49" s="17">
        <f t="shared" si="3"/>
        <v>0</v>
      </c>
      <c r="L49" s="17">
        <f>L50+L51</f>
        <v>132272</v>
      </c>
      <c r="M49" s="17">
        <f>M50+M51</f>
        <v>-95600</v>
      </c>
      <c r="N49" s="17">
        <f t="shared" si="4"/>
        <v>36672</v>
      </c>
      <c r="O49" s="17">
        <f t="shared" si="7"/>
        <v>132272</v>
      </c>
      <c r="P49" s="17">
        <f t="shared" si="8"/>
        <v>-95600</v>
      </c>
      <c r="Q49" s="17">
        <f t="shared" si="5"/>
        <v>36672</v>
      </c>
    </row>
    <row r="50" spans="2:17" ht="12.75">
      <c r="B50" s="20">
        <f t="shared" si="6"/>
        <v>43</v>
      </c>
      <c r="C50" s="5"/>
      <c r="D50" s="5"/>
      <c r="E50" s="5"/>
      <c r="F50" s="32"/>
      <c r="G50" s="5"/>
      <c r="H50" s="5" t="s">
        <v>91</v>
      </c>
      <c r="I50" s="18"/>
      <c r="J50" s="18"/>
      <c r="K50" s="18">
        <f t="shared" si="3"/>
        <v>0</v>
      </c>
      <c r="L50" s="18">
        <f>326665-5388-20000+5000-192000-67000-10605</f>
        <v>36672</v>
      </c>
      <c r="M50" s="18"/>
      <c r="N50" s="18">
        <f t="shared" si="4"/>
        <v>36672</v>
      </c>
      <c r="O50" s="18">
        <f t="shared" si="7"/>
        <v>36672</v>
      </c>
      <c r="P50" s="18">
        <f t="shared" si="8"/>
        <v>0</v>
      </c>
      <c r="Q50" s="18">
        <f t="shared" si="5"/>
        <v>36672</v>
      </c>
    </row>
    <row r="51" spans="2:17" ht="12.75">
      <c r="B51" s="20">
        <f t="shared" si="6"/>
        <v>44</v>
      </c>
      <c r="C51" s="5"/>
      <c r="D51" s="5"/>
      <c r="E51" s="5"/>
      <c r="F51" s="32"/>
      <c r="G51" s="5"/>
      <c r="H51" s="5" t="s">
        <v>495</v>
      </c>
      <c r="I51" s="18"/>
      <c r="J51" s="18"/>
      <c r="K51" s="18">
        <f t="shared" si="3"/>
        <v>0</v>
      </c>
      <c r="L51" s="18">
        <f>137000-9200-3800-2400-7000-19000</f>
        <v>95600</v>
      </c>
      <c r="M51" s="18">
        <v>-95600</v>
      </c>
      <c r="N51" s="18">
        <f t="shared" si="4"/>
        <v>0</v>
      </c>
      <c r="O51" s="18">
        <f t="shared" si="7"/>
        <v>95600</v>
      </c>
      <c r="P51" s="18">
        <f t="shared" si="8"/>
        <v>-95600</v>
      </c>
      <c r="Q51" s="18">
        <f t="shared" si="5"/>
        <v>0</v>
      </c>
    </row>
    <row r="52" spans="2:17" ht="15">
      <c r="B52" s="20">
        <f t="shared" si="6"/>
        <v>45</v>
      </c>
      <c r="C52" s="7">
        <v>4</v>
      </c>
      <c r="D52" s="235" t="s">
        <v>329</v>
      </c>
      <c r="E52" s="253"/>
      <c r="F52" s="253"/>
      <c r="G52" s="253"/>
      <c r="H52" s="254"/>
      <c r="I52" s="87">
        <v>0</v>
      </c>
      <c r="J52" s="87">
        <v>0</v>
      </c>
      <c r="K52" s="87">
        <f t="shared" si="3"/>
        <v>0</v>
      </c>
      <c r="L52" s="87"/>
      <c r="M52" s="87"/>
      <c r="N52" s="87">
        <f t="shared" si="4"/>
        <v>0</v>
      </c>
      <c r="O52" s="87">
        <f t="shared" si="7"/>
        <v>0</v>
      </c>
      <c r="P52" s="87">
        <f t="shared" si="8"/>
        <v>0</v>
      </c>
      <c r="Q52" s="87">
        <f t="shared" si="5"/>
        <v>0</v>
      </c>
    </row>
    <row r="53" spans="2:17" ht="15">
      <c r="B53" s="20">
        <f t="shared" si="6"/>
        <v>46</v>
      </c>
      <c r="C53" s="7">
        <v>5</v>
      </c>
      <c r="D53" s="235" t="s">
        <v>330</v>
      </c>
      <c r="E53" s="236"/>
      <c r="F53" s="236"/>
      <c r="G53" s="236"/>
      <c r="H53" s="237"/>
      <c r="I53" s="87">
        <v>0</v>
      </c>
      <c r="J53" s="87">
        <v>0</v>
      </c>
      <c r="K53" s="87">
        <f t="shared" si="3"/>
        <v>0</v>
      </c>
      <c r="L53" s="87"/>
      <c r="M53" s="87"/>
      <c r="N53" s="87">
        <f t="shared" si="4"/>
        <v>0</v>
      </c>
      <c r="O53" s="87">
        <f t="shared" si="7"/>
        <v>0</v>
      </c>
      <c r="P53" s="87">
        <f t="shared" si="8"/>
        <v>0</v>
      </c>
      <c r="Q53" s="87">
        <f t="shared" si="5"/>
        <v>0</v>
      </c>
    </row>
    <row r="54" spans="2:17" ht="15">
      <c r="B54" s="20">
        <f t="shared" si="6"/>
        <v>47</v>
      </c>
      <c r="C54" s="7">
        <v>6</v>
      </c>
      <c r="D54" s="235" t="s">
        <v>331</v>
      </c>
      <c r="E54" s="236"/>
      <c r="F54" s="236"/>
      <c r="G54" s="236"/>
      <c r="H54" s="237"/>
      <c r="I54" s="87">
        <v>0</v>
      </c>
      <c r="J54" s="87">
        <v>0</v>
      </c>
      <c r="K54" s="87">
        <f t="shared" si="3"/>
        <v>0</v>
      </c>
      <c r="L54" s="87"/>
      <c r="M54" s="87"/>
      <c r="N54" s="87">
        <f t="shared" si="4"/>
        <v>0</v>
      </c>
      <c r="O54" s="87">
        <f t="shared" si="7"/>
        <v>0</v>
      </c>
      <c r="P54" s="87">
        <f t="shared" si="8"/>
        <v>0</v>
      </c>
      <c r="Q54" s="87">
        <f t="shared" si="5"/>
        <v>0</v>
      </c>
    </row>
    <row r="55" spans="2:17" ht="15">
      <c r="B55" s="20">
        <f t="shared" si="6"/>
        <v>48</v>
      </c>
      <c r="C55" s="7">
        <v>7</v>
      </c>
      <c r="D55" s="232" t="s">
        <v>253</v>
      </c>
      <c r="E55" s="233"/>
      <c r="F55" s="233"/>
      <c r="G55" s="233"/>
      <c r="H55" s="234"/>
      <c r="I55" s="87">
        <f>I56+I57+I61</f>
        <v>155700</v>
      </c>
      <c r="J55" s="87">
        <f>J56+J57+J61</f>
        <v>0</v>
      </c>
      <c r="K55" s="87">
        <f t="shared" si="3"/>
        <v>155700</v>
      </c>
      <c r="L55" s="87"/>
      <c r="M55" s="87"/>
      <c r="N55" s="87">
        <f t="shared" si="4"/>
        <v>0</v>
      </c>
      <c r="O55" s="87">
        <f t="shared" si="7"/>
        <v>155700</v>
      </c>
      <c r="P55" s="87">
        <f t="shared" si="8"/>
        <v>0</v>
      </c>
      <c r="Q55" s="87">
        <f t="shared" si="5"/>
        <v>155700</v>
      </c>
    </row>
    <row r="56" spans="2:17" ht="12.75">
      <c r="B56" s="20">
        <f t="shared" si="6"/>
        <v>49</v>
      </c>
      <c r="C56" s="10"/>
      <c r="D56" s="10"/>
      <c r="E56" s="10"/>
      <c r="F56" s="30" t="s">
        <v>86</v>
      </c>
      <c r="G56" s="10">
        <v>620</v>
      </c>
      <c r="H56" s="10" t="s">
        <v>124</v>
      </c>
      <c r="I56" s="61">
        <f>11500-9500</f>
        <v>2000</v>
      </c>
      <c r="J56" s="61"/>
      <c r="K56" s="61">
        <f t="shared" si="3"/>
        <v>2000</v>
      </c>
      <c r="L56" s="61"/>
      <c r="M56" s="61"/>
      <c r="N56" s="61">
        <f t="shared" si="4"/>
        <v>0</v>
      </c>
      <c r="O56" s="61">
        <f t="shared" si="7"/>
        <v>2000</v>
      </c>
      <c r="P56" s="61">
        <f t="shared" si="8"/>
        <v>0</v>
      </c>
      <c r="Q56" s="61">
        <f t="shared" si="5"/>
        <v>2000</v>
      </c>
    </row>
    <row r="57" spans="2:17" ht="12.75">
      <c r="B57" s="20">
        <f t="shared" si="6"/>
        <v>50</v>
      </c>
      <c r="C57" s="10"/>
      <c r="D57" s="10"/>
      <c r="E57" s="10"/>
      <c r="F57" s="30" t="s">
        <v>86</v>
      </c>
      <c r="G57" s="10">
        <v>630</v>
      </c>
      <c r="H57" s="10" t="s">
        <v>121</v>
      </c>
      <c r="I57" s="61">
        <f>I60+I59+I58</f>
        <v>136300</v>
      </c>
      <c r="J57" s="61">
        <f>J60+J59+J58</f>
        <v>0</v>
      </c>
      <c r="K57" s="61">
        <f t="shared" si="3"/>
        <v>136300</v>
      </c>
      <c r="L57" s="61"/>
      <c r="M57" s="61"/>
      <c r="N57" s="61">
        <f t="shared" si="4"/>
        <v>0</v>
      </c>
      <c r="O57" s="61">
        <f t="shared" si="7"/>
        <v>136300</v>
      </c>
      <c r="P57" s="61">
        <f t="shared" si="8"/>
        <v>0</v>
      </c>
      <c r="Q57" s="61">
        <f t="shared" si="5"/>
        <v>136300</v>
      </c>
    </row>
    <row r="58" spans="2:17" ht="12.75">
      <c r="B58" s="20">
        <f t="shared" si="6"/>
        <v>51</v>
      </c>
      <c r="C58" s="4"/>
      <c r="D58" s="4"/>
      <c r="E58" s="4"/>
      <c r="F58" s="31" t="s">
        <v>86</v>
      </c>
      <c r="G58" s="4">
        <v>632</v>
      </c>
      <c r="H58" s="4" t="s">
        <v>134</v>
      </c>
      <c r="I58" s="17">
        <f>30000+75800</f>
        <v>105800</v>
      </c>
      <c r="J58" s="17"/>
      <c r="K58" s="17">
        <f t="shared" si="3"/>
        <v>105800</v>
      </c>
      <c r="L58" s="17"/>
      <c r="M58" s="17"/>
      <c r="N58" s="17">
        <f t="shared" si="4"/>
        <v>0</v>
      </c>
      <c r="O58" s="17">
        <f t="shared" si="7"/>
        <v>105800</v>
      </c>
      <c r="P58" s="17">
        <f t="shared" si="8"/>
        <v>0</v>
      </c>
      <c r="Q58" s="17">
        <f t="shared" si="5"/>
        <v>105800</v>
      </c>
    </row>
    <row r="59" spans="2:17" ht="12.75">
      <c r="B59" s="20">
        <f t="shared" si="6"/>
        <v>52</v>
      </c>
      <c r="C59" s="4"/>
      <c r="D59" s="4"/>
      <c r="E59" s="4"/>
      <c r="F59" s="31" t="s">
        <v>86</v>
      </c>
      <c r="G59" s="4">
        <v>633</v>
      </c>
      <c r="H59" s="4" t="s">
        <v>125</v>
      </c>
      <c r="I59" s="17">
        <v>5500</v>
      </c>
      <c r="J59" s="17"/>
      <c r="K59" s="17">
        <f t="shared" si="3"/>
        <v>5500</v>
      </c>
      <c r="L59" s="17"/>
      <c r="M59" s="17"/>
      <c r="N59" s="17">
        <f t="shared" si="4"/>
        <v>0</v>
      </c>
      <c r="O59" s="17">
        <f t="shared" si="7"/>
        <v>5500</v>
      </c>
      <c r="P59" s="17">
        <f t="shared" si="8"/>
        <v>0</v>
      </c>
      <c r="Q59" s="17">
        <f t="shared" si="5"/>
        <v>5500</v>
      </c>
    </row>
    <row r="60" spans="2:17" ht="12.75">
      <c r="B60" s="20">
        <f t="shared" si="6"/>
        <v>53</v>
      </c>
      <c r="C60" s="4"/>
      <c r="D60" s="4"/>
      <c r="E60" s="4"/>
      <c r="F60" s="31" t="s">
        <v>86</v>
      </c>
      <c r="G60" s="4">
        <v>637</v>
      </c>
      <c r="H60" s="4" t="s">
        <v>122</v>
      </c>
      <c r="I60" s="17">
        <f>91300-66300</f>
        <v>25000</v>
      </c>
      <c r="J60" s="17"/>
      <c r="K60" s="17">
        <f t="shared" si="3"/>
        <v>25000</v>
      </c>
      <c r="L60" s="17"/>
      <c r="M60" s="17"/>
      <c r="N60" s="17">
        <f t="shared" si="4"/>
        <v>0</v>
      </c>
      <c r="O60" s="17">
        <f t="shared" si="7"/>
        <v>25000</v>
      </c>
      <c r="P60" s="17">
        <f t="shared" si="8"/>
        <v>0</v>
      </c>
      <c r="Q60" s="17">
        <f t="shared" si="5"/>
        <v>25000</v>
      </c>
    </row>
    <row r="61" spans="2:17" ht="12.75">
      <c r="B61" s="20">
        <f t="shared" si="6"/>
        <v>54</v>
      </c>
      <c r="C61" s="10"/>
      <c r="D61" s="10"/>
      <c r="E61" s="10"/>
      <c r="F61" s="30" t="s">
        <v>252</v>
      </c>
      <c r="G61" s="10">
        <v>630</v>
      </c>
      <c r="H61" s="10" t="s">
        <v>121</v>
      </c>
      <c r="I61" s="61">
        <f>I62</f>
        <v>17400</v>
      </c>
      <c r="J61" s="61">
        <f>J62</f>
        <v>0</v>
      </c>
      <c r="K61" s="61">
        <f t="shared" si="3"/>
        <v>17400</v>
      </c>
      <c r="L61" s="61"/>
      <c r="M61" s="61"/>
      <c r="N61" s="61">
        <f t="shared" si="4"/>
        <v>0</v>
      </c>
      <c r="O61" s="61">
        <f t="shared" si="7"/>
        <v>17400</v>
      </c>
      <c r="P61" s="61">
        <f t="shared" si="8"/>
        <v>0</v>
      </c>
      <c r="Q61" s="61">
        <f t="shared" si="5"/>
        <v>17400</v>
      </c>
    </row>
    <row r="62" spans="2:17" ht="12.75">
      <c r="B62" s="20">
        <f t="shared" si="6"/>
        <v>55</v>
      </c>
      <c r="C62" s="4"/>
      <c r="D62" s="4"/>
      <c r="E62" s="4"/>
      <c r="F62" s="31" t="s">
        <v>252</v>
      </c>
      <c r="G62" s="4">
        <v>637</v>
      </c>
      <c r="H62" s="4" t="s">
        <v>122</v>
      </c>
      <c r="I62" s="17">
        <v>17400</v>
      </c>
      <c r="J62" s="17"/>
      <c r="K62" s="17">
        <f t="shared" si="3"/>
        <v>17400</v>
      </c>
      <c r="L62" s="17"/>
      <c r="M62" s="17"/>
      <c r="N62" s="17">
        <f t="shared" si="4"/>
        <v>0</v>
      </c>
      <c r="O62" s="17">
        <f t="shared" si="7"/>
        <v>17400</v>
      </c>
      <c r="P62" s="17">
        <f t="shared" si="8"/>
        <v>0</v>
      </c>
      <c r="Q62" s="17">
        <f t="shared" si="5"/>
        <v>17400</v>
      </c>
    </row>
    <row r="63" spans="2:17" ht="15">
      <c r="B63" s="20">
        <f t="shared" si="6"/>
        <v>56</v>
      </c>
      <c r="C63" s="7">
        <v>8</v>
      </c>
      <c r="D63" s="232" t="s">
        <v>279</v>
      </c>
      <c r="E63" s="233"/>
      <c r="F63" s="233"/>
      <c r="G63" s="233"/>
      <c r="H63" s="234"/>
      <c r="I63" s="87">
        <f>I64</f>
        <v>14050</v>
      </c>
      <c r="J63" s="87">
        <f>J64</f>
        <v>0</v>
      </c>
      <c r="K63" s="87">
        <f t="shared" si="3"/>
        <v>14050</v>
      </c>
      <c r="L63" s="87"/>
      <c r="M63" s="87"/>
      <c r="N63" s="87">
        <f t="shared" si="4"/>
        <v>0</v>
      </c>
      <c r="O63" s="87">
        <f t="shared" si="7"/>
        <v>14050</v>
      </c>
      <c r="P63" s="87">
        <f t="shared" si="8"/>
        <v>0</v>
      </c>
      <c r="Q63" s="87">
        <f t="shared" si="5"/>
        <v>14050</v>
      </c>
    </row>
    <row r="64" spans="2:17" ht="12.75">
      <c r="B64" s="20">
        <f t="shared" si="6"/>
        <v>57</v>
      </c>
      <c r="C64" s="10"/>
      <c r="D64" s="10"/>
      <c r="E64" s="10"/>
      <c r="F64" s="30" t="s">
        <v>144</v>
      </c>
      <c r="G64" s="10">
        <v>640</v>
      </c>
      <c r="H64" s="10" t="s">
        <v>129</v>
      </c>
      <c r="I64" s="61">
        <f>I65</f>
        <v>14050</v>
      </c>
      <c r="J64" s="61">
        <f>J65</f>
        <v>0</v>
      </c>
      <c r="K64" s="61">
        <f t="shared" si="3"/>
        <v>14050</v>
      </c>
      <c r="L64" s="61"/>
      <c r="M64" s="61"/>
      <c r="N64" s="61">
        <f t="shared" si="4"/>
        <v>0</v>
      </c>
      <c r="O64" s="61">
        <f t="shared" si="7"/>
        <v>14050</v>
      </c>
      <c r="P64" s="61">
        <f t="shared" si="8"/>
        <v>0</v>
      </c>
      <c r="Q64" s="61">
        <f t="shared" si="5"/>
        <v>14050</v>
      </c>
    </row>
    <row r="65" spans="2:17" ht="12.75">
      <c r="B65" s="20">
        <f t="shared" si="6"/>
        <v>58</v>
      </c>
      <c r="C65" s="4"/>
      <c r="D65" s="4"/>
      <c r="E65" s="4"/>
      <c r="F65" s="31" t="s">
        <v>144</v>
      </c>
      <c r="G65" s="4">
        <v>642</v>
      </c>
      <c r="H65" s="4" t="s">
        <v>130</v>
      </c>
      <c r="I65" s="17">
        <v>14050</v>
      </c>
      <c r="J65" s="17"/>
      <c r="K65" s="17">
        <f t="shared" si="3"/>
        <v>14050</v>
      </c>
      <c r="L65" s="17"/>
      <c r="M65" s="17"/>
      <c r="N65" s="17">
        <f t="shared" si="4"/>
        <v>0</v>
      </c>
      <c r="O65" s="17">
        <f t="shared" si="7"/>
        <v>14050</v>
      </c>
      <c r="P65" s="17">
        <f t="shared" si="8"/>
        <v>0</v>
      </c>
      <c r="Q65" s="17">
        <f t="shared" si="5"/>
        <v>14050</v>
      </c>
    </row>
    <row r="66" spans="2:17" ht="15">
      <c r="B66" s="20">
        <f t="shared" si="6"/>
        <v>59</v>
      </c>
      <c r="C66" s="7">
        <v>9</v>
      </c>
      <c r="D66" s="232" t="s">
        <v>180</v>
      </c>
      <c r="E66" s="233"/>
      <c r="F66" s="233"/>
      <c r="G66" s="233"/>
      <c r="H66" s="234"/>
      <c r="I66" s="87">
        <v>0</v>
      </c>
      <c r="J66" s="87">
        <v>0</v>
      </c>
      <c r="K66" s="87">
        <f t="shared" si="3"/>
        <v>0</v>
      </c>
      <c r="L66" s="87"/>
      <c r="M66" s="87"/>
      <c r="N66" s="87">
        <f t="shared" si="4"/>
        <v>0</v>
      </c>
      <c r="O66" s="87">
        <f t="shared" si="7"/>
        <v>0</v>
      </c>
      <c r="P66" s="87">
        <f t="shared" si="8"/>
        <v>0</v>
      </c>
      <c r="Q66" s="87">
        <f t="shared" si="5"/>
        <v>0</v>
      </c>
    </row>
    <row r="69" spans="2:16" ht="27">
      <c r="B69" s="248" t="s">
        <v>21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/>
    </row>
    <row r="70" spans="2:17" ht="12.75">
      <c r="B70" s="244" t="s">
        <v>327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6"/>
      <c r="O70" s="250" t="s">
        <v>612</v>
      </c>
      <c r="P70" s="250" t="s">
        <v>642</v>
      </c>
      <c r="Q70" s="250" t="s">
        <v>644</v>
      </c>
    </row>
    <row r="71" spans="2:17" ht="12.75">
      <c r="B71" s="251"/>
      <c r="C71" s="243" t="s">
        <v>114</v>
      </c>
      <c r="D71" s="243" t="s">
        <v>115</v>
      </c>
      <c r="E71" s="243"/>
      <c r="F71" s="243" t="s">
        <v>116</v>
      </c>
      <c r="G71" s="247" t="s">
        <v>117</v>
      </c>
      <c r="H71" s="252" t="s">
        <v>118</v>
      </c>
      <c r="I71" s="239" t="s">
        <v>609</v>
      </c>
      <c r="J71" s="209" t="s">
        <v>642</v>
      </c>
      <c r="K71" s="209" t="s">
        <v>644</v>
      </c>
      <c r="L71" s="239" t="s">
        <v>610</v>
      </c>
      <c r="M71" s="209" t="s">
        <v>642</v>
      </c>
      <c r="N71" s="209" t="s">
        <v>644</v>
      </c>
      <c r="O71" s="250"/>
      <c r="P71" s="250"/>
      <c r="Q71" s="250"/>
    </row>
    <row r="72" spans="2:17" ht="12.75">
      <c r="B72" s="251"/>
      <c r="C72" s="243"/>
      <c r="D72" s="243"/>
      <c r="E72" s="243"/>
      <c r="F72" s="243"/>
      <c r="G72" s="247"/>
      <c r="H72" s="252"/>
      <c r="I72" s="239"/>
      <c r="J72" s="210"/>
      <c r="K72" s="210"/>
      <c r="L72" s="239"/>
      <c r="M72" s="210"/>
      <c r="N72" s="210"/>
      <c r="O72" s="250"/>
      <c r="P72" s="250"/>
      <c r="Q72" s="250"/>
    </row>
    <row r="73" spans="2:17" ht="12.75">
      <c r="B73" s="251"/>
      <c r="C73" s="243"/>
      <c r="D73" s="243"/>
      <c r="E73" s="243"/>
      <c r="F73" s="243"/>
      <c r="G73" s="247"/>
      <c r="H73" s="252"/>
      <c r="I73" s="239"/>
      <c r="J73" s="210"/>
      <c r="K73" s="210"/>
      <c r="L73" s="239"/>
      <c r="M73" s="210"/>
      <c r="N73" s="210"/>
      <c r="O73" s="250"/>
      <c r="P73" s="250"/>
      <c r="Q73" s="250"/>
    </row>
    <row r="74" spans="2:17" ht="13.5" thickBot="1">
      <c r="B74" s="251"/>
      <c r="C74" s="243"/>
      <c r="D74" s="243"/>
      <c r="E74" s="243"/>
      <c r="F74" s="243"/>
      <c r="G74" s="247"/>
      <c r="H74" s="252"/>
      <c r="I74" s="239"/>
      <c r="J74" s="255"/>
      <c r="K74" s="255"/>
      <c r="L74" s="239"/>
      <c r="M74" s="255"/>
      <c r="N74" s="255"/>
      <c r="O74" s="250"/>
      <c r="P74" s="250"/>
      <c r="Q74" s="250"/>
    </row>
    <row r="75" spans="2:17" ht="16.5" thickTop="1">
      <c r="B75" s="23">
        <v>1</v>
      </c>
      <c r="C75" s="256" t="s">
        <v>21</v>
      </c>
      <c r="D75" s="257"/>
      <c r="E75" s="257"/>
      <c r="F75" s="257"/>
      <c r="G75" s="257"/>
      <c r="H75" s="258"/>
      <c r="I75" s="89">
        <f>I90+I76</f>
        <v>526800</v>
      </c>
      <c r="J75" s="89">
        <f>J90+J76</f>
        <v>0</v>
      </c>
      <c r="K75" s="89">
        <f aca="true" t="shared" si="9" ref="K75:K95">I75+J75</f>
        <v>526800</v>
      </c>
      <c r="L75" s="89">
        <v>0</v>
      </c>
      <c r="M75" s="89">
        <v>0</v>
      </c>
      <c r="N75" s="89">
        <v>0</v>
      </c>
      <c r="O75" s="89">
        <f aca="true" t="shared" si="10" ref="O75:O95">I75+L75</f>
        <v>526800</v>
      </c>
      <c r="P75" s="89">
        <f aca="true" t="shared" si="11" ref="P75:P95">J75+M75</f>
        <v>0</v>
      </c>
      <c r="Q75" s="89">
        <f aca="true" t="shared" si="12" ref="Q75:Q95">O75+P75</f>
        <v>526800</v>
      </c>
    </row>
    <row r="76" spans="2:17" ht="15">
      <c r="B76" s="21">
        <f aca="true" t="shared" si="13" ref="B76:B95">B75+1</f>
        <v>2</v>
      </c>
      <c r="C76" s="7">
        <v>1</v>
      </c>
      <c r="D76" s="232" t="s">
        <v>199</v>
      </c>
      <c r="E76" s="233"/>
      <c r="F76" s="233"/>
      <c r="G76" s="233"/>
      <c r="H76" s="234"/>
      <c r="I76" s="87">
        <f>I77+I79+I81+I82+I84</f>
        <v>495800</v>
      </c>
      <c r="J76" s="87">
        <f>J77+J79+J81+J82+J84</f>
        <v>0</v>
      </c>
      <c r="K76" s="87">
        <f t="shared" si="9"/>
        <v>495800</v>
      </c>
      <c r="L76" s="87"/>
      <c r="M76" s="87"/>
      <c r="N76" s="87"/>
      <c r="O76" s="87">
        <f t="shared" si="10"/>
        <v>495800</v>
      </c>
      <c r="P76" s="87">
        <f t="shared" si="11"/>
        <v>0</v>
      </c>
      <c r="Q76" s="87">
        <f t="shared" si="12"/>
        <v>495800</v>
      </c>
    </row>
    <row r="77" spans="2:17" ht="12.75">
      <c r="B77" s="20">
        <f t="shared" si="13"/>
        <v>3</v>
      </c>
      <c r="C77" s="10"/>
      <c r="D77" s="10"/>
      <c r="E77" s="10"/>
      <c r="F77" s="30" t="s">
        <v>86</v>
      </c>
      <c r="G77" s="10">
        <v>630</v>
      </c>
      <c r="H77" s="10" t="s">
        <v>121</v>
      </c>
      <c r="I77" s="61">
        <f>I78</f>
        <v>22000</v>
      </c>
      <c r="J77" s="61">
        <f>J78</f>
        <v>0</v>
      </c>
      <c r="K77" s="61">
        <f t="shared" si="9"/>
        <v>22000</v>
      </c>
      <c r="L77" s="61"/>
      <c r="M77" s="61"/>
      <c r="N77" s="61"/>
      <c r="O77" s="61">
        <f t="shared" si="10"/>
        <v>22000</v>
      </c>
      <c r="P77" s="61">
        <f t="shared" si="11"/>
        <v>0</v>
      </c>
      <c r="Q77" s="61">
        <f t="shared" si="12"/>
        <v>22000</v>
      </c>
    </row>
    <row r="78" spans="2:17" ht="12.75">
      <c r="B78" s="20">
        <f t="shared" si="13"/>
        <v>4</v>
      </c>
      <c r="C78" s="4"/>
      <c r="D78" s="4"/>
      <c r="E78" s="4"/>
      <c r="F78" s="31" t="s">
        <v>86</v>
      </c>
      <c r="G78" s="4">
        <v>637</v>
      </c>
      <c r="H78" s="4" t="s">
        <v>351</v>
      </c>
      <c r="I78" s="17">
        <v>22000</v>
      </c>
      <c r="J78" s="17"/>
      <c r="K78" s="17">
        <f t="shared" si="9"/>
        <v>22000</v>
      </c>
      <c r="L78" s="17"/>
      <c r="M78" s="17"/>
      <c r="N78" s="17"/>
      <c r="O78" s="17">
        <f t="shared" si="10"/>
        <v>22000</v>
      </c>
      <c r="P78" s="17">
        <f t="shared" si="11"/>
        <v>0</v>
      </c>
      <c r="Q78" s="17">
        <f t="shared" si="12"/>
        <v>22000</v>
      </c>
    </row>
    <row r="79" spans="2:17" ht="12.75">
      <c r="B79" s="20">
        <f t="shared" si="13"/>
        <v>5</v>
      </c>
      <c r="C79" s="10"/>
      <c r="D79" s="10"/>
      <c r="E79" s="10"/>
      <c r="F79" s="30" t="s">
        <v>249</v>
      </c>
      <c r="G79" s="10">
        <v>630</v>
      </c>
      <c r="H79" s="10" t="s">
        <v>121</v>
      </c>
      <c r="I79" s="61">
        <f>I80</f>
        <v>11500</v>
      </c>
      <c r="J79" s="61">
        <f>J80</f>
        <v>0</v>
      </c>
      <c r="K79" s="61">
        <f t="shared" si="9"/>
        <v>11500</v>
      </c>
      <c r="L79" s="61"/>
      <c r="M79" s="61"/>
      <c r="N79" s="61"/>
      <c r="O79" s="61">
        <f t="shared" si="10"/>
        <v>11500</v>
      </c>
      <c r="P79" s="61">
        <f t="shared" si="11"/>
        <v>0</v>
      </c>
      <c r="Q79" s="61">
        <f t="shared" si="12"/>
        <v>11500</v>
      </c>
    </row>
    <row r="80" spans="2:17" ht="12.75">
      <c r="B80" s="20">
        <f t="shared" si="13"/>
        <v>6</v>
      </c>
      <c r="C80" s="4"/>
      <c r="D80" s="4"/>
      <c r="E80" s="4"/>
      <c r="F80" s="31" t="s">
        <v>249</v>
      </c>
      <c r="G80" s="4">
        <v>637</v>
      </c>
      <c r="H80" s="4" t="s">
        <v>352</v>
      </c>
      <c r="I80" s="17">
        <v>11500</v>
      </c>
      <c r="J80" s="17"/>
      <c r="K80" s="17">
        <f t="shared" si="9"/>
        <v>11500</v>
      </c>
      <c r="L80" s="17"/>
      <c r="M80" s="17"/>
      <c r="N80" s="17"/>
      <c r="O80" s="17">
        <f t="shared" si="10"/>
        <v>11500</v>
      </c>
      <c r="P80" s="17">
        <f t="shared" si="11"/>
        <v>0</v>
      </c>
      <c r="Q80" s="17">
        <f t="shared" si="12"/>
        <v>11500</v>
      </c>
    </row>
    <row r="81" spans="2:17" ht="13.5" customHeight="1">
      <c r="B81" s="20">
        <f t="shared" si="13"/>
        <v>7</v>
      </c>
      <c r="C81" s="10"/>
      <c r="D81" s="10"/>
      <c r="E81" s="10"/>
      <c r="F81" s="30" t="s">
        <v>87</v>
      </c>
      <c r="G81" s="10">
        <v>600</v>
      </c>
      <c r="H81" s="10" t="s">
        <v>353</v>
      </c>
      <c r="I81" s="61">
        <v>27300</v>
      </c>
      <c r="J81" s="61"/>
      <c r="K81" s="61">
        <f t="shared" si="9"/>
        <v>27300</v>
      </c>
      <c r="L81" s="61"/>
      <c r="M81" s="61"/>
      <c r="N81" s="61"/>
      <c r="O81" s="61">
        <f t="shared" si="10"/>
        <v>27300</v>
      </c>
      <c r="P81" s="61">
        <f t="shared" si="11"/>
        <v>0</v>
      </c>
      <c r="Q81" s="61">
        <f t="shared" si="12"/>
        <v>27300</v>
      </c>
    </row>
    <row r="82" spans="2:17" ht="12.75" customHeight="1">
      <c r="B82" s="20">
        <f t="shared" si="13"/>
        <v>8</v>
      </c>
      <c r="C82" s="10"/>
      <c r="D82" s="10"/>
      <c r="E82" s="10"/>
      <c r="F82" s="30" t="s">
        <v>224</v>
      </c>
      <c r="G82" s="10">
        <v>630</v>
      </c>
      <c r="H82" s="10" t="s">
        <v>121</v>
      </c>
      <c r="I82" s="61">
        <f>I83</f>
        <v>25000</v>
      </c>
      <c r="J82" s="61">
        <f>J83</f>
        <v>0</v>
      </c>
      <c r="K82" s="61">
        <f t="shared" si="9"/>
        <v>25000</v>
      </c>
      <c r="L82" s="61"/>
      <c r="M82" s="61"/>
      <c r="N82" s="61"/>
      <c r="O82" s="61">
        <f t="shared" si="10"/>
        <v>25000</v>
      </c>
      <c r="P82" s="61">
        <f t="shared" si="11"/>
        <v>0</v>
      </c>
      <c r="Q82" s="61">
        <f t="shared" si="12"/>
        <v>25000</v>
      </c>
    </row>
    <row r="83" spans="2:17" ht="12.75">
      <c r="B83" s="20">
        <f t="shared" si="13"/>
        <v>9</v>
      </c>
      <c r="C83" s="4"/>
      <c r="D83" s="4"/>
      <c r="E83" s="4"/>
      <c r="F83" s="31" t="s">
        <v>224</v>
      </c>
      <c r="G83" s="4">
        <v>637</v>
      </c>
      <c r="H83" s="4" t="s">
        <v>354</v>
      </c>
      <c r="I83" s="17">
        <f>27000-2000</f>
        <v>25000</v>
      </c>
      <c r="J83" s="17"/>
      <c r="K83" s="17">
        <f t="shared" si="9"/>
        <v>25000</v>
      </c>
      <c r="L83" s="17"/>
      <c r="M83" s="17"/>
      <c r="N83" s="17"/>
      <c r="O83" s="17">
        <f t="shared" si="10"/>
        <v>25000</v>
      </c>
      <c r="P83" s="17">
        <f t="shared" si="11"/>
        <v>0</v>
      </c>
      <c r="Q83" s="17">
        <f t="shared" si="12"/>
        <v>25000</v>
      </c>
    </row>
    <row r="84" spans="2:17" ht="12.75">
      <c r="B84" s="20">
        <f t="shared" si="13"/>
        <v>10</v>
      </c>
      <c r="C84" s="10"/>
      <c r="D84" s="10"/>
      <c r="E84" s="10"/>
      <c r="F84" s="109" t="s">
        <v>249</v>
      </c>
      <c r="G84" s="110"/>
      <c r="H84" s="111" t="s">
        <v>398</v>
      </c>
      <c r="I84" s="112">
        <f>I85+I86+I87+I88+I89</f>
        <v>410000</v>
      </c>
      <c r="J84" s="112">
        <f>J85+J86+J87+J88+J89</f>
        <v>0</v>
      </c>
      <c r="K84" s="112">
        <f t="shared" si="9"/>
        <v>410000</v>
      </c>
      <c r="L84" s="112">
        <f>L85+L86+L87+L88+L89</f>
        <v>0</v>
      </c>
      <c r="M84" s="112"/>
      <c r="N84" s="112"/>
      <c r="O84" s="112">
        <f t="shared" si="10"/>
        <v>410000</v>
      </c>
      <c r="P84" s="112">
        <f t="shared" si="11"/>
        <v>0</v>
      </c>
      <c r="Q84" s="112">
        <f t="shared" si="12"/>
        <v>410000</v>
      </c>
    </row>
    <row r="85" spans="2:17" ht="12.75">
      <c r="B85" s="20">
        <f t="shared" si="13"/>
        <v>11</v>
      </c>
      <c r="C85" s="10"/>
      <c r="D85" s="10"/>
      <c r="E85" s="10"/>
      <c r="F85" s="177"/>
      <c r="G85" s="178">
        <v>620</v>
      </c>
      <c r="H85" s="4" t="s">
        <v>124</v>
      </c>
      <c r="I85" s="17">
        <v>48000</v>
      </c>
      <c r="J85" s="17"/>
      <c r="K85" s="17">
        <f t="shared" si="9"/>
        <v>48000</v>
      </c>
      <c r="L85" s="17"/>
      <c r="M85" s="17"/>
      <c r="N85" s="17"/>
      <c r="O85" s="17">
        <f t="shared" si="10"/>
        <v>48000</v>
      </c>
      <c r="P85" s="17">
        <f t="shared" si="11"/>
        <v>0</v>
      </c>
      <c r="Q85" s="17">
        <f t="shared" si="12"/>
        <v>48000</v>
      </c>
    </row>
    <row r="86" spans="2:17" ht="12.75">
      <c r="B86" s="20">
        <f t="shared" si="13"/>
        <v>12</v>
      </c>
      <c r="C86" s="10"/>
      <c r="D86" s="10"/>
      <c r="E86" s="10"/>
      <c r="F86" s="177"/>
      <c r="G86" s="178">
        <v>631</v>
      </c>
      <c r="H86" s="4" t="s">
        <v>596</v>
      </c>
      <c r="I86" s="17">
        <v>7500</v>
      </c>
      <c r="J86" s="17"/>
      <c r="K86" s="17">
        <f t="shared" si="9"/>
        <v>7500</v>
      </c>
      <c r="L86" s="17"/>
      <c r="M86" s="17"/>
      <c r="N86" s="17"/>
      <c r="O86" s="17">
        <f t="shared" si="10"/>
        <v>7500</v>
      </c>
      <c r="P86" s="17">
        <f t="shared" si="11"/>
        <v>0</v>
      </c>
      <c r="Q86" s="17">
        <f t="shared" si="12"/>
        <v>7500</v>
      </c>
    </row>
    <row r="87" spans="2:17" ht="12.75">
      <c r="B87" s="20">
        <f t="shared" si="13"/>
        <v>13</v>
      </c>
      <c r="C87" s="10"/>
      <c r="D87" s="10"/>
      <c r="E87" s="10"/>
      <c r="F87" s="177"/>
      <c r="G87" s="178">
        <v>633</v>
      </c>
      <c r="H87" s="4" t="s">
        <v>125</v>
      </c>
      <c r="I87" s="17">
        <v>2000</v>
      </c>
      <c r="J87" s="17"/>
      <c r="K87" s="17">
        <f t="shared" si="9"/>
        <v>2000</v>
      </c>
      <c r="L87" s="17"/>
      <c r="M87" s="17"/>
      <c r="N87" s="17"/>
      <c r="O87" s="17">
        <f t="shared" si="10"/>
        <v>2000</v>
      </c>
      <c r="P87" s="17">
        <f t="shared" si="11"/>
        <v>0</v>
      </c>
      <c r="Q87" s="17">
        <f t="shared" si="12"/>
        <v>2000</v>
      </c>
    </row>
    <row r="88" spans="2:17" ht="12.75">
      <c r="B88" s="20">
        <f t="shared" si="13"/>
        <v>14</v>
      </c>
      <c r="C88" s="10"/>
      <c r="D88" s="10"/>
      <c r="E88" s="10"/>
      <c r="F88" s="177"/>
      <c r="G88" s="178">
        <v>636</v>
      </c>
      <c r="H88" s="4" t="s">
        <v>574</v>
      </c>
      <c r="I88" s="17">
        <v>1500</v>
      </c>
      <c r="J88" s="17"/>
      <c r="K88" s="17">
        <f t="shared" si="9"/>
        <v>1500</v>
      </c>
      <c r="L88" s="17"/>
      <c r="M88" s="17"/>
      <c r="N88" s="17"/>
      <c r="O88" s="17">
        <f t="shared" si="10"/>
        <v>1500</v>
      </c>
      <c r="P88" s="17">
        <f t="shared" si="11"/>
        <v>0</v>
      </c>
      <c r="Q88" s="17">
        <f t="shared" si="12"/>
        <v>1500</v>
      </c>
    </row>
    <row r="89" spans="2:17" ht="12.75">
      <c r="B89" s="20">
        <f t="shared" si="13"/>
        <v>15</v>
      </c>
      <c r="C89" s="10"/>
      <c r="D89" s="10"/>
      <c r="E89" s="10"/>
      <c r="F89" s="179"/>
      <c r="G89" s="180">
        <v>637</v>
      </c>
      <c r="H89" s="181" t="s">
        <v>584</v>
      </c>
      <c r="I89" s="182">
        <f>40000+321000-10000</f>
        <v>351000</v>
      </c>
      <c r="J89" s="182"/>
      <c r="K89" s="182">
        <f t="shared" si="9"/>
        <v>351000</v>
      </c>
      <c r="L89" s="182"/>
      <c r="M89" s="182"/>
      <c r="N89" s="182"/>
      <c r="O89" s="182">
        <f t="shared" si="10"/>
        <v>351000</v>
      </c>
      <c r="P89" s="182">
        <f t="shared" si="11"/>
        <v>0</v>
      </c>
      <c r="Q89" s="182">
        <f t="shared" si="12"/>
        <v>351000</v>
      </c>
    </row>
    <row r="90" spans="2:17" ht="15">
      <c r="B90" s="20">
        <f t="shared" si="13"/>
        <v>16</v>
      </c>
      <c r="C90" s="7">
        <v>2</v>
      </c>
      <c r="D90" s="232" t="s">
        <v>250</v>
      </c>
      <c r="E90" s="233"/>
      <c r="F90" s="233"/>
      <c r="G90" s="233"/>
      <c r="H90" s="234"/>
      <c r="I90" s="87">
        <f>I91+I93</f>
        <v>31000</v>
      </c>
      <c r="J90" s="87">
        <f>J91+J93</f>
        <v>0</v>
      </c>
      <c r="K90" s="87">
        <f t="shared" si="9"/>
        <v>31000</v>
      </c>
      <c r="L90" s="87">
        <v>0</v>
      </c>
      <c r="M90" s="87"/>
      <c r="N90" s="87"/>
      <c r="O90" s="87">
        <f t="shared" si="10"/>
        <v>31000</v>
      </c>
      <c r="P90" s="87">
        <f t="shared" si="11"/>
        <v>0</v>
      </c>
      <c r="Q90" s="87">
        <f t="shared" si="12"/>
        <v>31000</v>
      </c>
    </row>
    <row r="91" spans="2:17" ht="12.75">
      <c r="B91" s="20">
        <f t="shared" si="13"/>
        <v>17</v>
      </c>
      <c r="C91" s="10"/>
      <c r="D91" s="10"/>
      <c r="E91" s="10"/>
      <c r="F91" s="30" t="s">
        <v>249</v>
      </c>
      <c r="G91" s="10">
        <v>630</v>
      </c>
      <c r="H91" s="10" t="s">
        <v>121</v>
      </c>
      <c r="I91" s="61">
        <f>I92</f>
        <v>6000</v>
      </c>
      <c r="J91" s="61">
        <f>J92</f>
        <v>0</v>
      </c>
      <c r="K91" s="61">
        <f t="shared" si="9"/>
        <v>6000</v>
      </c>
      <c r="L91" s="61"/>
      <c r="M91" s="61"/>
      <c r="N91" s="61"/>
      <c r="O91" s="61">
        <f t="shared" si="10"/>
        <v>6000</v>
      </c>
      <c r="P91" s="61">
        <f t="shared" si="11"/>
        <v>0</v>
      </c>
      <c r="Q91" s="61">
        <f t="shared" si="12"/>
        <v>6000</v>
      </c>
    </row>
    <row r="92" spans="2:17" ht="12.75">
      <c r="B92" s="20">
        <f t="shared" si="13"/>
        <v>18</v>
      </c>
      <c r="C92" s="4"/>
      <c r="D92" s="4"/>
      <c r="E92" s="4"/>
      <c r="F92" s="31" t="s">
        <v>249</v>
      </c>
      <c r="G92" s="4">
        <v>637</v>
      </c>
      <c r="H92" s="4" t="s">
        <v>122</v>
      </c>
      <c r="I92" s="17">
        <v>6000</v>
      </c>
      <c r="J92" s="17"/>
      <c r="K92" s="17">
        <f t="shared" si="9"/>
        <v>6000</v>
      </c>
      <c r="L92" s="17"/>
      <c r="M92" s="17"/>
      <c r="N92" s="17"/>
      <c r="O92" s="17">
        <f t="shared" si="10"/>
        <v>6000</v>
      </c>
      <c r="P92" s="17">
        <f t="shared" si="11"/>
        <v>0</v>
      </c>
      <c r="Q92" s="17">
        <f t="shared" si="12"/>
        <v>6000</v>
      </c>
    </row>
    <row r="93" spans="2:17" ht="12.75">
      <c r="B93" s="20">
        <f t="shared" si="13"/>
        <v>19</v>
      </c>
      <c r="C93" s="10"/>
      <c r="D93" s="10"/>
      <c r="E93" s="10"/>
      <c r="F93" s="30" t="s">
        <v>249</v>
      </c>
      <c r="G93" s="10">
        <v>640</v>
      </c>
      <c r="H93" s="10" t="s">
        <v>129</v>
      </c>
      <c r="I93" s="61">
        <f>I94</f>
        <v>25000</v>
      </c>
      <c r="J93" s="61">
        <f>J94</f>
        <v>0</v>
      </c>
      <c r="K93" s="61">
        <f t="shared" si="9"/>
        <v>25000</v>
      </c>
      <c r="L93" s="61"/>
      <c r="M93" s="61"/>
      <c r="N93" s="61"/>
      <c r="O93" s="61">
        <f t="shared" si="10"/>
        <v>25000</v>
      </c>
      <c r="P93" s="61">
        <f t="shared" si="11"/>
        <v>0</v>
      </c>
      <c r="Q93" s="61">
        <f t="shared" si="12"/>
        <v>25000</v>
      </c>
    </row>
    <row r="94" spans="2:17" ht="12.75">
      <c r="B94" s="20">
        <f t="shared" si="13"/>
        <v>20</v>
      </c>
      <c r="C94" s="4"/>
      <c r="D94" s="4"/>
      <c r="E94" s="4"/>
      <c r="F94" s="31" t="s">
        <v>249</v>
      </c>
      <c r="G94" s="4">
        <v>642</v>
      </c>
      <c r="H94" s="4" t="s">
        <v>130</v>
      </c>
      <c r="I94" s="17">
        <f>I95</f>
        <v>25000</v>
      </c>
      <c r="J94" s="17">
        <f>J95</f>
        <v>0</v>
      </c>
      <c r="K94" s="17">
        <f t="shared" si="9"/>
        <v>25000</v>
      </c>
      <c r="L94" s="17"/>
      <c r="M94" s="17"/>
      <c r="N94" s="17"/>
      <c r="O94" s="17">
        <f t="shared" si="10"/>
        <v>25000</v>
      </c>
      <c r="P94" s="17">
        <f t="shared" si="11"/>
        <v>0</v>
      </c>
      <c r="Q94" s="17">
        <f t="shared" si="12"/>
        <v>25000</v>
      </c>
    </row>
    <row r="95" spans="2:17" ht="12.75">
      <c r="B95" s="20">
        <f t="shared" si="13"/>
        <v>21</v>
      </c>
      <c r="C95" s="5"/>
      <c r="D95" s="5"/>
      <c r="E95" s="5"/>
      <c r="F95" s="32"/>
      <c r="G95" s="5"/>
      <c r="H95" s="5" t="s">
        <v>332</v>
      </c>
      <c r="I95" s="18">
        <v>25000</v>
      </c>
      <c r="J95" s="18"/>
      <c r="K95" s="18">
        <f t="shared" si="9"/>
        <v>25000</v>
      </c>
      <c r="L95" s="18"/>
      <c r="M95" s="18"/>
      <c r="N95" s="18"/>
      <c r="O95" s="18">
        <f t="shared" si="10"/>
        <v>25000</v>
      </c>
      <c r="P95" s="18">
        <f t="shared" si="11"/>
        <v>0</v>
      </c>
      <c r="Q95" s="18">
        <f t="shared" si="12"/>
        <v>25000</v>
      </c>
    </row>
    <row r="112" spans="2:16" ht="27">
      <c r="B112" s="248" t="s">
        <v>22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/>
    </row>
    <row r="113" spans="2:17" ht="12.75">
      <c r="B113" s="244" t="s">
        <v>327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6"/>
      <c r="O113" s="250" t="s">
        <v>612</v>
      </c>
      <c r="P113" s="250" t="s">
        <v>642</v>
      </c>
      <c r="Q113" s="250" t="s">
        <v>644</v>
      </c>
    </row>
    <row r="114" spans="2:17" ht="12.75">
      <c r="B114" s="251"/>
      <c r="C114" s="243" t="s">
        <v>114</v>
      </c>
      <c r="D114" s="243" t="s">
        <v>115</v>
      </c>
      <c r="E114" s="243"/>
      <c r="F114" s="243" t="s">
        <v>116</v>
      </c>
      <c r="G114" s="247" t="s">
        <v>117</v>
      </c>
      <c r="H114" s="252" t="s">
        <v>118</v>
      </c>
      <c r="I114" s="239" t="s">
        <v>609</v>
      </c>
      <c r="J114" s="209" t="s">
        <v>642</v>
      </c>
      <c r="K114" s="209" t="s">
        <v>644</v>
      </c>
      <c r="L114" s="239" t="s">
        <v>610</v>
      </c>
      <c r="M114" s="209" t="s">
        <v>642</v>
      </c>
      <c r="N114" s="209" t="s">
        <v>644</v>
      </c>
      <c r="O114" s="250"/>
      <c r="P114" s="250"/>
      <c r="Q114" s="250"/>
    </row>
    <row r="115" spans="2:17" ht="12.75">
      <c r="B115" s="251"/>
      <c r="C115" s="243"/>
      <c r="D115" s="243"/>
      <c r="E115" s="243"/>
      <c r="F115" s="243"/>
      <c r="G115" s="247"/>
      <c r="H115" s="252"/>
      <c r="I115" s="239"/>
      <c r="J115" s="210"/>
      <c r="K115" s="210"/>
      <c r="L115" s="239"/>
      <c r="M115" s="210"/>
      <c r="N115" s="210"/>
      <c r="O115" s="250"/>
      <c r="P115" s="250"/>
      <c r="Q115" s="250"/>
    </row>
    <row r="116" spans="2:17" ht="12.75">
      <c r="B116" s="251"/>
      <c r="C116" s="243"/>
      <c r="D116" s="243"/>
      <c r="E116" s="243"/>
      <c r="F116" s="243"/>
      <c r="G116" s="247"/>
      <c r="H116" s="252"/>
      <c r="I116" s="239"/>
      <c r="J116" s="210"/>
      <c r="K116" s="210"/>
      <c r="L116" s="239"/>
      <c r="M116" s="210"/>
      <c r="N116" s="210"/>
      <c r="O116" s="250"/>
      <c r="P116" s="250"/>
      <c r="Q116" s="250"/>
    </row>
    <row r="117" spans="2:17" ht="13.5" thickBot="1">
      <c r="B117" s="251"/>
      <c r="C117" s="243"/>
      <c r="D117" s="243"/>
      <c r="E117" s="243"/>
      <c r="F117" s="243"/>
      <c r="G117" s="247"/>
      <c r="H117" s="252"/>
      <c r="I117" s="239"/>
      <c r="J117" s="255"/>
      <c r="K117" s="255"/>
      <c r="L117" s="239"/>
      <c r="M117" s="255"/>
      <c r="N117" s="255"/>
      <c r="O117" s="250"/>
      <c r="P117" s="250"/>
      <c r="Q117" s="250"/>
    </row>
    <row r="118" spans="2:17" ht="16.5" thickTop="1">
      <c r="B118" s="23">
        <v>1</v>
      </c>
      <c r="C118" s="256" t="s">
        <v>22</v>
      </c>
      <c r="D118" s="257"/>
      <c r="E118" s="257"/>
      <c r="F118" s="257"/>
      <c r="G118" s="257"/>
      <c r="H118" s="258"/>
      <c r="I118" s="89">
        <f>I192+I178+I173+I160+I146+I140+I122+I119</f>
        <v>5469314</v>
      </c>
      <c r="J118" s="89">
        <f>J192+J178+J173+J160+J146+J140+J122+J119</f>
        <v>-200</v>
      </c>
      <c r="K118" s="89">
        <f aca="true" t="shared" si="14" ref="K118:K149">J118+I118</f>
        <v>5469114</v>
      </c>
      <c r="L118" s="89">
        <f>L192+L178+L173+L160+L146+L140+L122+L119</f>
        <v>493602</v>
      </c>
      <c r="M118" s="89">
        <f>M192+M178+M173+M160+M146+M140+M122+M119</f>
        <v>100000</v>
      </c>
      <c r="N118" s="89">
        <f aca="true" t="shared" si="15" ref="N118:N149">M118+L118</f>
        <v>593602</v>
      </c>
      <c r="O118" s="89">
        <f aca="true" t="shared" si="16" ref="O118:O149">I118+L118</f>
        <v>5962916</v>
      </c>
      <c r="P118" s="89">
        <f aca="true" t="shared" si="17" ref="P118:P149">J118+M118</f>
        <v>99800</v>
      </c>
      <c r="Q118" s="89">
        <f aca="true" t="shared" si="18" ref="Q118:Q149">O118+P118</f>
        <v>6062716</v>
      </c>
    </row>
    <row r="119" spans="2:17" ht="15">
      <c r="B119" s="21">
        <f aca="true" t="shared" si="19" ref="B119:B164">B118+1</f>
        <v>2</v>
      </c>
      <c r="C119" s="7">
        <v>1</v>
      </c>
      <c r="D119" s="232" t="s">
        <v>143</v>
      </c>
      <c r="E119" s="233"/>
      <c r="F119" s="233"/>
      <c r="G119" s="233"/>
      <c r="H119" s="234"/>
      <c r="I119" s="87">
        <f>I120</f>
        <v>120000</v>
      </c>
      <c r="J119" s="87">
        <f>J120</f>
        <v>0</v>
      </c>
      <c r="K119" s="87">
        <f t="shared" si="14"/>
        <v>120000</v>
      </c>
      <c r="L119" s="87"/>
      <c r="M119" s="87"/>
      <c r="N119" s="87">
        <f t="shared" si="15"/>
        <v>0</v>
      </c>
      <c r="O119" s="87">
        <f t="shared" si="16"/>
        <v>120000</v>
      </c>
      <c r="P119" s="87">
        <f t="shared" si="17"/>
        <v>0</v>
      </c>
      <c r="Q119" s="87">
        <f t="shared" si="18"/>
        <v>120000</v>
      </c>
    </row>
    <row r="120" spans="2:17" ht="12.75">
      <c r="B120" s="20">
        <f t="shared" si="19"/>
        <v>3</v>
      </c>
      <c r="C120" s="10"/>
      <c r="D120" s="10"/>
      <c r="E120" s="10"/>
      <c r="F120" s="30" t="s">
        <v>86</v>
      </c>
      <c r="G120" s="10">
        <v>630</v>
      </c>
      <c r="H120" s="10" t="s">
        <v>121</v>
      </c>
      <c r="I120" s="61">
        <f>I121</f>
        <v>120000</v>
      </c>
      <c r="J120" s="61">
        <f>J121</f>
        <v>0</v>
      </c>
      <c r="K120" s="61">
        <f t="shared" si="14"/>
        <v>120000</v>
      </c>
      <c r="L120" s="61"/>
      <c r="M120" s="61"/>
      <c r="N120" s="61">
        <f t="shared" si="15"/>
        <v>0</v>
      </c>
      <c r="O120" s="61">
        <f t="shared" si="16"/>
        <v>120000</v>
      </c>
      <c r="P120" s="61">
        <f t="shared" si="17"/>
        <v>0</v>
      </c>
      <c r="Q120" s="61">
        <f t="shared" si="18"/>
        <v>120000</v>
      </c>
    </row>
    <row r="121" spans="2:17" ht="12.75">
      <c r="B121" s="20">
        <f t="shared" si="19"/>
        <v>4</v>
      </c>
      <c r="C121" s="4"/>
      <c r="D121" s="4"/>
      <c r="E121" s="4"/>
      <c r="F121" s="31" t="s">
        <v>86</v>
      </c>
      <c r="G121" s="4">
        <v>637</v>
      </c>
      <c r="H121" s="4" t="s">
        <v>122</v>
      </c>
      <c r="I121" s="17">
        <v>120000</v>
      </c>
      <c r="J121" s="17"/>
      <c r="K121" s="17">
        <f t="shared" si="14"/>
        <v>120000</v>
      </c>
      <c r="L121" s="17"/>
      <c r="M121" s="17"/>
      <c r="N121" s="17">
        <f t="shared" si="15"/>
        <v>0</v>
      </c>
      <c r="O121" s="17">
        <f t="shared" si="16"/>
        <v>120000</v>
      </c>
      <c r="P121" s="17">
        <f t="shared" si="17"/>
        <v>0</v>
      </c>
      <c r="Q121" s="17">
        <f t="shared" si="18"/>
        <v>120000</v>
      </c>
    </row>
    <row r="122" spans="2:17" ht="15">
      <c r="B122" s="20">
        <f t="shared" si="19"/>
        <v>5</v>
      </c>
      <c r="C122" s="7">
        <v>2</v>
      </c>
      <c r="D122" s="232" t="s">
        <v>142</v>
      </c>
      <c r="E122" s="233"/>
      <c r="F122" s="233"/>
      <c r="G122" s="233"/>
      <c r="H122" s="234"/>
      <c r="I122" s="87">
        <f>I133+I126+I123</f>
        <v>89760</v>
      </c>
      <c r="J122" s="87">
        <f>J133+J126+J123</f>
        <v>-250</v>
      </c>
      <c r="K122" s="87">
        <f t="shared" si="14"/>
        <v>89510</v>
      </c>
      <c r="L122" s="87">
        <f>L133+L126+L123</f>
        <v>356100</v>
      </c>
      <c r="M122" s="87">
        <f>M133+M126+M123</f>
        <v>100000</v>
      </c>
      <c r="N122" s="87">
        <f t="shared" si="15"/>
        <v>456100</v>
      </c>
      <c r="O122" s="87">
        <f t="shared" si="16"/>
        <v>445860</v>
      </c>
      <c r="P122" s="87">
        <f t="shared" si="17"/>
        <v>99750</v>
      </c>
      <c r="Q122" s="87">
        <f t="shared" si="18"/>
        <v>545610</v>
      </c>
    </row>
    <row r="123" spans="2:17" ht="15">
      <c r="B123" s="20">
        <f t="shared" si="19"/>
        <v>6</v>
      </c>
      <c r="C123" s="2"/>
      <c r="D123" s="2">
        <v>1</v>
      </c>
      <c r="E123" s="238" t="s">
        <v>148</v>
      </c>
      <c r="F123" s="233"/>
      <c r="G123" s="233"/>
      <c r="H123" s="234"/>
      <c r="I123" s="88">
        <f>I124</f>
        <v>2750</v>
      </c>
      <c r="J123" s="88">
        <f>J124</f>
        <v>50</v>
      </c>
      <c r="K123" s="88">
        <f t="shared" si="14"/>
        <v>2800</v>
      </c>
      <c r="L123" s="88">
        <v>0</v>
      </c>
      <c r="M123" s="88">
        <v>0</v>
      </c>
      <c r="N123" s="88">
        <f t="shared" si="15"/>
        <v>0</v>
      </c>
      <c r="O123" s="88">
        <f t="shared" si="16"/>
        <v>2750</v>
      </c>
      <c r="P123" s="88">
        <f t="shared" si="17"/>
        <v>50</v>
      </c>
      <c r="Q123" s="88">
        <f t="shared" si="18"/>
        <v>2800</v>
      </c>
    </row>
    <row r="124" spans="2:17" ht="12.75">
      <c r="B124" s="20">
        <f t="shared" si="19"/>
        <v>7</v>
      </c>
      <c r="C124" s="10"/>
      <c r="D124" s="10"/>
      <c r="E124" s="10"/>
      <c r="F124" s="30" t="s">
        <v>86</v>
      </c>
      <c r="G124" s="10">
        <v>630</v>
      </c>
      <c r="H124" s="10" t="s">
        <v>121</v>
      </c>
      <c r="I124" s="61">
        <f>I125</f>
        <v>2750</v>
      </c>
      <c r="J124" s="61">
        <f>J125</f>
        <v>50</v>
      </c>
      <c r="K124" s="61">
        <f t="shared" si="14"/>
        <v>2800</v>
      </c>
      <c r="L124" s="61"/>
      <c r="M124" s="61"/>
      <c r="N124" s="61">
        <f t="shared" si="15"/>
        <v>0</v>
      </c>
      <c r="O124" s="61">
        <f t="shared" si="16"/>
        <v>2750</v>
      </c>
      <c r="P124" s="61">
        <f t="shared" si="17"/>
        <v>50</v>
      </c>
      <c r="Q124" s="61">
        <f t="shared" si="18"/>
        <v>2800</v>
      </c>
    </row>
    <row r="125" spans="2:17" ht="12.75">
      <c r="B125" s="20">
        <f t="shared" si="19"/>
        <v>8</v>
      </c>
      <c r="C125" s="4"/>
      <c r="D125" s="4"/>
      <c r="E125" s="4"/>
      <c r="F125" s="31" t="s">
        <v>86</v>
      </c>
      <c r="G125" s="4">
        <v>637</v>
      </c>
      <c r="H125" s="4" t="s">
        <v>122</v>
      </c>
      <c r="I125" s="17">
        <v>2750</v>
      </c>
      <c r="J125" s="17">
        <v>50</v>
      </c>
      <c r="K125" s="17">
        <f t="shared" si="14"/>
        <v>2800</v>
      </c>
      <c r="L125" s="17"/>
      <c r="M125" s="17"/>
      <c r="N125" s="17">
        <f t="shared" si="15"/>
        <v>0</v>
      </c>
      <c r="O125" s="17">
        <f t="shared" si="16"/>
        <v>2750</v>
      </c>
      <c r="P125" s="17">
        <f t="shared" si="17"/>
        <v>50</v>
      </c>
      <c r="Q125" s="17">
        <f t="shared" si="18"/>
        <v>2800</v>
      </c>
    </row>
    <row r="126" spans="2:17" ht="15">
      <c r="B126" s="20">
        <f t="shared" si="19"/>
        <v>9</v>
      </c>
      <c r="C126" s="2"/>
      <c r="D126" s="2">
        <v>2</v>
      </c>
      <c r="E126" s="238" t="s">
        <v>141</v>
      </c>
      <c r="F126" s="233"/>
      <c r="G126" s="233"/>
      <c r="H126" s="234"/>
      <c r="I126" s="88">
        <f>I127</f>
        <v>23410</v>
      </c>
      <c r="J126" s="88">
        <f>J127</f>
        <v>-300</v>
      </c>
      <c r="K126" s="88">
        <f t="shared" si="14"/>
        <v>23110</v>
      </c>
      <c r="L126" s="88">
        <f>L130</f>
        <v>100</v>
      </c>
      <c r="M126" s="88">
        <f>M130</f>
        <v>0</v>
      </c>
      <c r="N126" s="88">
        <f t="shared" si="15"/>
        <v>100</v>
      </c>
      <c r="O126" s="88">
        <f t="shared" si="16"/>
        <v>23510</v>
      </c>
      <c r="P126" s="88">
        <f t="shared" si="17"/>
        <v>-300</v>
      </c>
      <c r="Q126" s="88">
        <f t="shared" si="18"/>
        <v>23210</v>
      </c>
    </row>
    <row r="127" spans="2:17" ht="12.75">
      <c r="B127" s="20">
        <f t="shared" si="19"/>
        <v>10</v>
      </c>
      <c r="C127" s="10"/>
      <c r="D127" s="10"/>
      <c r="E127" s="10"/>
      <c r="F127" s="30" t="s">
        <v>86</v>
      </c>
      <c r="G127" s="10">
        <v>630</v>
      </c>
      <c r="H127" s="10" t="s">
        <v>121</v>
      </c>
      <c r="I127" s="61">
        <f>I129+I128</f>
        <v>23410</v>
      </c>
      <c r="J127" s="61">
        <f>J129+J128</f>
        <v>-300</v>
      </c>
      <c r="K127" s="61">
        <f t="shared" si="14"/>
        <v>23110</v>
      </c>
      <c r="L127" s="61"/>
      <c r="M127" s="61"/>
      <c r="N127" s="61">
        <f t="shared" si="15"/>
        <v>0</v>
      </c>
      <c r="O127" s="61">
        <f t="shared" si="16"/>
        <v>23410</v>
      </c>
      <c r="P127" s="61">
        <f t="shared" si="17"/>
        <v>-300</v>
      </c>
      <c r="Q127" s="61">
        <f t="shared" si="18"/>
        <v>23110</v>
      </c>
    </row>
    <row r="128" spans="2:17" ht="12.75">
      <c r="B128" s="20">
        <f t="shared" si="19"/>
        <v>11</v>
      </c>
      <c r="C128" s="4"/>
      <c r="D128" s="4"/>
      <c r="E128" s="4"/>
      <c r="F128" s="31" t="s">
        <v>86</v>
      </c>
      <c r="G128" s="4">
        <v>636</v>
      </c>
      <c r="H128" s="4" t="s">
        <v>126</v>
      </c>
      <c r="I128" s="17">
        <v>9410</v>
      </c>
      <c r="J128" s="17"/>
      <c r="K128" s="17">
        <f t="shared" si="14"/>
        <v>9410</v>
      </c>
      <c r="L128" s="17"/>
      <c r="M128" s="17"/>
      <c r="N128" s="17">
        <f t="shared" si="15"/>
        <v>0</v>
      </c>
      <c r="O128" s="17">
        <f t="shared" si="16"/>
        <v>9410</v>
      </c>
      <c r="P128" s="17">
        <f t="shared" si="17"/>
        <v>0</v>
      </c>
      <c r="Q128" s="17">
        <f t="shared" si="18"/>
        <v>9410</v>
      </c>
    </row>
    <row r="129" spans="2:17" ht="12.75">
      <c r="B129" s="20">
        <f t="shared" si="19"/>
        <v>12</v>
      </c>
      <c r="C129" s="4"/>
      <c r="D129" s="4"/>
      <c r="E129" s="4"/>
      <c r="F129" s="31" t="s">
        <v>86</v>
      </c>
      <c r="G129" s="4">
        <v>637</v>
      </c>
      <c r="H129" s="4" t="s">
        <v>122</v>
      </c>
      <c r="I129" s="17">
        <v>14000</v>
      </c>
      <c r="J129" s="17">
        <v>-300</v>
      </c>
      <c r="K129" s="17">
        <f t="shared" si="14"/>
        <v>13700</v>
      </c>
      <c r="L129" s="17"/>
      <c r="M129" s="17"/>
      <c r="N129" s="17">
        <f t="shared" si="15"/>
        <v>0</v>
      </c>
      <c r="O129" s="17">
        <f t="shared" si="16"/>
        <v>14000</v>
      </c>
      <c r="P129" s="17">
        <f t="shared" si="17"/>
        <v>-300</v>
      </c>
      <c r="Q129" s="17">
        <f t="shared" si="18"/>
        <v>13700</v>
      </c>
    </row>
    <row r="130" spans="2:17" ht="12.75">
      <c r="B130" s="20">
        <f t="shared" si="19"/>
        <v>13</v>
      </c>
      <c r="C130" s="10"/>
      <c r="D130" s="10"/>
      <c r="E130" s="10"/>
      <c r="F130" s="30" t="s">
        <v>86</v>
      </c>
      <c r="G130" s="10">
        <v>710</v>
      </c>
      <c r="H130" s="10" t="s">
        <v>176</v>
      </c>
      <c r="I130" s="61"/>
      <c r="J130" s="61"/>
      <c r="K130" s="61">
        <f t="shared" si="14"/>
        <v>0</v>
      </c>
      <c r="L130" s="61">
        <f>L131</f>
        <v>100</v>
      </c>
      <c r="M130" s="61">
        <f>M131</f>
        <v>0</v>
      </c>
      <c r="N130" s="61">
        <f t="shared" si="15"/>
        <v>100</v>
      </c>
      <c r="O130" s="61">
        <f t="shared" si="16"/>
        <v>100</v>
      </c>
      <c r="P130" s="61">
        <f t="shared" si="17"/>
        <v>0</v>
      </c>
      <c r="Q130" s="61">
        <f t="shared" si="18"/>
        <v>100</v>
      </c>
    </row>
    <row r="131" spans="2:17" ht="12.75">
      <c r="B131" s="20">
        <f t="shared" si="19"/>
        <v>14</v>
      </c>
      <c r="C131" s="4"/>
      <c r="D131" s="4"/>
      <c r="E131" s="4"/>
      <c r="F131" s="31" t="s">
        <v>86</v>
      </c>
      <c r="G131" s="4">
        <v>712</v>
      </c>
      <c r="H131" s="4" t="s">
        <v>70</v>
      </c>
      <c r="I131" s="17"/>
      <c r="J131" s="17"/>
      <c r="K131" s="17">
        <f t="shared" si="14"/>
        <v>0</v>
      </c>
      <c r="L131" s="17">
        <f>L132</f>
        <v>100</v>
      </c>
      <c r="M131" s="17">
        <f>M132</f>
        <v>0</v>
      </c>
      <c r="N131" s="17">
        <f t="shared" si="15"/>
        <v>100</v>
      </c>
      <c r="O131" s="17">
        <f t="shared" si="16"/>
        <v>100</v>
      </c>
      <c r="P131" s="17">
        <f t="shared" si="17"/>
        <v>0</v>
      </c>
      <c r="Q131" s="17">
        <f t="shared" si="18"/>
        <v>100</v>
      </c>
    </row>
    <row r="132" spans="2:17" ht="12.75">
      <c r="B132" s="20">
        <f t="shared" si="19"/>
        <v>15</v>
      </c>
      <c r="C132" s="5"/>
      <c r="D132" s="5"/>
      <c r="E132" s="5"/>
      <c r="F132" s="32"/>
      <c r="G132" s="5"/>
      <c r="H132" s="5" t="s">
        <v>355</v>
      </c>
      <c r="I132" s="18"/>
      <c r="J132" s="18"/>
      <c r="K132" s="18">
        <f t="shared" si="14"/>
        <v>0</v>
      </c>
      <c r="L132" s="18">
        <v>100</v>
      </c>
      <c r="M132" s="18"/>
      <c r="N132" s="18">
        <f t="shared" si="15"/>
        <v>100</v>
      </c>
      <c r="O132" s="18">
        <f t="shared" si="16"/>
        <v>100</v>
      </c>
      <c r="P132" s="18">
        <f t="shared" si="17"/>
        <v>0</v>
      </c>
      <c r="Q132" s="18">
        <f t="shared" si="18"/>
        <v>100</v>
      </c>
    </row>
    <row r="133" spans="2:17" ht="15">
      <c r="B133" s="20">
        <f t="shared" si="19"/>
        <v>16</v>
      </c>
      <c r="C133" s="2"/>
      <c r="D133" s="2">
        <v>3</v>
      </c>
      <c r="E133" s="238" t="s">
        <v>211</v>
      </c>
      <c r="F133" s="233"/>
      <c r="G133" s="233"/>
      <c r="H133" s="234"/>
      <c r="I133" s="88">
        <f>I134</f>
        <v>63600</v>
      </c>
      <c r="J133" s="88">
        <f>J134</f>
        <v>0</v>
      </c>
      <c r="K133" s="88">
        <f t="shared" si="14"/>
        <v>63600</v>
      </c>
      <c r="L133" s="88">
        <f>L137</f>
        <v>356000</v>
      </c>
      <c r="M133" s="88">
        <f>M137</f>
        <v>100000</v>
      </c>
      <c r="N133" s="88">
        <f t="shared" si="15"/>
        <v>456000</v>
      </c>
      <c r="O133" s="88">
        <f t="shared" si="16"/>
        <v>419600</v>
      </c>
      <c r="P133" s="88">
        <f t="shared" si="17"/>
        <v>100000</v>
      </c>
      <c r="Q133" s="88">
        <f t="shared" si="18"/>
        <v>519600</v>
      </c>
    </row>
    <row r="134" spans="2:17" ht="12.75">
      <c r="B134" s="20">
        <f t="shared" si="19"/>
        <v>17</v>
      </c>
      <c r="C134" s="10"/>
      <c r="D134" s="10"/>
      <c r="E134" s="10"/>
      <c r="F134" s="30" t="s">
        <v>86</v>
      </c>
      <c r="G134" s="10">
        <v>630</v>
      </c>
      <c r="H134" s="10" t="s">
        <v>121</v>
      </c>
      <c r="I134" s="61">
        <f>I136+I135</f>
        <v>63600</v>
      </c>
      <c r="J134" s="61">
        <f>J136+J135</f>
        <v>0</v>
      </c>
      <c r="K134" s="61">
        <f t="shared" si="14"/>
        <v>63600</v>
      </c>
      <c r="L134" s="61"/>
      <c r="M134" s="61"/>
      <c r="N134" s="61">
        <f t="shared" si="15"/>
        <v>0</v>
      </c>
      <c r="O134" s="61">
        <f t="shared" si="16"/>
        <v>63600</v>
      </c>
      <c r="P134" s="61">
        <f t="shared" si="17"/>
        <v>0</v>
      </c>
      <c r="Q134" s="61">
        <f t="shared" si="18"/>
        <v>63600</v>
      </c>
    </row>
    <row r="135" spans="2:17" ht="12.75">
      <c r="B135" s="20">
        <f t="shared" si="19"/>
        <v>18</v>
      </c>
      <c r="C135" s="4"/>
      <c r="D135" s="4"/>
      <c r="E135" s="4"/>
      <c r="F135" s="31" t="s">
        <v>86</v>
      </c>
      <c r="G135" s="4">
        <v>636</v>
      </c>
      <c r="H135" s="4" t="s">
        <v>126</v>
      </c>
      <c r="I135" s="17">
        <v>55000</v>
      </c>
      <c r="J135" s="17"/>
      <c r="K135" s="17">
        <f t="shared" si="14"/>
        <v>55000</v>
      </c>
      <c r="L135" s="17"/>
      <c r="M135" s="17"/>
      <c r="N135" s="17">
        <f t="shared" si="15"/>
        <v>0</v>
      </c>
      <c r="O135" s="17">
        <f t="shared" si="16"/>
        <v>55000</v>
      </c>
      <c r="P135" s="17">
        <f t="shared" si="17"/>
        <v>0</v>
      </c>
      <c r="Q135" s="17">
        <f t="shared" si="18"/>
        <v>55000</v>
      </c>
    </row>
    <row r="136" spans="2:17" ht="12.75">
      <c r="B136" s="20">
        <f t="shared" si="19"/>
        <v>19</v>
      </c>
      <c r="C136" s="4"/>
      <c r="D136" s="4"/>
      <c r="E136" s="4"/>
      <c r="F136" s="31" t="s">
        <v>86</v>
      </c>
      <c r="G136" s="4">
        <v>637</v>
      </c>
      <c r="H136" s="4" t="s">
        <v>122</v>
      </c>
      <c r="I136" s="17">
        <v>8600</v>
      </c>
      <c r="J136" s="17"/>
      <c r="K136" s="17">
        <f t="shared" si="14"/>
        <v>8600</v>
      </c>
      <c r="L136" s="17"/>
      <c r="M136" s="17"/>
      <c r="N136" s="17">
        <f t="shared" si="15"/>
        <v>0</v>
      </c>
      <c r="O136" s="17">
        <f t="shared" si="16"/>
        <v>8600</v>
      </c>
      <c r="P136" s="17">
        <f t="shared" si="17"/>
        <v>0</v>
      </c>
      <c r="Q136" s="17">
        <f t="shared" si="18"/>
        <v>8600</v>
      </c>
    </row>
    <row r="137" spans="2:17" ht="12.75">
      <c r="B137" s="20">
        <f t="shared" si="19"/>
        <v>20</v>
      </c>
      <c r="C137" s="10"/>
      <c r="D137" s="10"/>
      <c r="E137" s="10"/>
      <c r="F137" s="30" t="s">
        <v>86</v>
      </c>
      <c r="G137" s="10">
        <v>710</v>
      </c>
      <c r="H137" s="10" t="s">
        <v>176</v>
      </c>
      <c r="I137" s="61"/>
      <c r="J137" s="61"/>
      <c r="K137" s="61">
        <f t="shared" si="14"/>
        <v>0</v>
      </c>
      <c r="L137" s="61">
        <f>L138</f>
        <v>356000</v>
      </c>
      <c r="M137" s="61">
        <f>M138</f>
        <v>100000</v>
      </c>
      <c r="N137" s="61">
        <f t="shared" si="15"/>
        <v>456000</v>
      </c>
      <c r="O137" s="61">
        <f t="shared" si="16"/>
        <v>356000</v>
      </c>
      <c r="P137" s="61">
        <f t="shared" si="17"/>
        <v>100000</v>
      </c>
      <c r="Q137" s="61">
        <f t="shared" si="18"/>
        <v>456000</v>
      </c>
    </row>
    <row r="138" spans="2:17" ht="12.75">
      <c r="B138" s="20">
        <f t="shared" si="19"/>
        <v>21</v>
      </c>
      <c r="C138" s="4"/>
      <c r="D138" s="4"/>
      <c r="E138" s="4"/>
      <c r="F138" s="31" t="s">
        <v>86</v>
      </c>
      <c r="G138" s="4">
        <v>711</v>
      </c>
      <c r="H138" s="4" t="s">
        <v>214</v>
      </c>
      <c r="I138" s="17"/>
      <c r="J138" s="17"/>
      <c r="K138" s="17">
        <f t="shared" si="14"/>
        <v>0</v>
      </c>
      <c r="L138" s="17">
        <f>L139</f>
        <v>356000</v>
      </c>
      <c r="M138" s="17">
        <f>M139</f>
        <v>100000</v>
      </c>
      <c r="N138" s="17">
        <f t="shared" si="15"/>
        <v>456000</v>
      </c>
      <c r="O138" s="17">
        <f t="shared" si="16"/>
        <v>356000</v>
      </c>
      <c r="P138" s="17">
        <f t="shared" si="17"/>
        <v>100000</v>
      </c>
      <c r="Q138" s="17">
        <f t="shared" si="18"/>
        <v>456000</v>
      </c>
    </row>
    <row r="139" spans="2:17" ht="12.75">
      <c r="B139" s="20">
        <f t="shared" si="19"/>
        <v>22</v>
      </c>
      <c r="C139" s="5"/>
      <c r="D139" s="5"/>
      <c r="E139" s="5"/>
      <c r="F139" s="32"/>
      <c r="G139" s="5"/>
      <c r="H139" s="5" t="s">
        <v>356</v>
      </c>
      <c r="I139" s="18"/>
      <c r="J139" s="18"/>
      <c r="K139" s="18">
        <f t="shared" si="14"/>
        <v>0</v>
      </c>
      <c r="L139" s="18">
        <f>400000-91000+91000-44000</f>
        <v>356000</v>
      </c>
      <c r="M139" s="18">
        <v>100000</v>
      </c>
      <c r="N139" s="18">
        <f t="shared" si="15"/>
        <v>456000</v>
      </c>
      <c r="O139" s="18">
        <f t="shared" si="16"/>
        <v>356000</v>
      </c>
      <c r="P139" s="18">
        <f t="shared" si="17"/>
        <v>100000</v>
      </c>
      <c r="Q139" s="18">
        <f t="shared" si="18"/>
        <v>456000</v>
      </c>
    </row>
    <row r="140" spans="2:17" ht="15">
      <c r="B140" s="20">
        <f t="shared" si="19"/>
        <v>23</v>
      </c>
      <c r="C140" s="7">
        <v>3</v>
      </c>
      <c r="D140" s="232" t="s">
        <v>149</v>
      </c>
      <c r="E140" s="233"/>
      <c r="F140" s="233"/>
      <c r="G140" s="233"/>
      <c r="H140" s="234"/>
      <c r="I140" s="87">
        <f>I143+I141+I142</f>
        <v>128200</v>
      </c>
      <c r="J140" s="87">
        <f>J143+J141+J142</f>
        <v>0</v>
      </c>
      <c r="K140" s="87">
        <f t="shared" si="14"/>
        <v>128200</v>
      </c>
      <c r="L140" s="87"/>
      <c r="M140" s="87"/>
      <c r="N140" s="87">
        <f t="shared" si="15"/>
        <v>0</v>
      </c>
      <c r="O140" s="87">
        <f t="shared" si="16"/>
        <v>128200</v>
      </c>
      <c r="P140" s="87">
        <f t="shared" si="17"/>
        <v>0</v>
      </c>
      <c r="Q140" s="87">
        <f t="shared" si="18"/>
        <v>128200</v>
      </c>
    </row>
    <row r="141" spans="2:17" ht="12.75">
      <c r="B141" s="20">
        <f t="shared" si="19"/>
        <v>24</v>
      </c>
      <c r="C141" s="10"/>
      <c r="D141" s="10"/>
      <c r="E141" s="10"/>
      <c r="F141" s="30" t="s">
        <v>86</v>
      </c>
      <c r="G141" s="10">
        <v>610</v>
      </c>
      <c r="H141" s="10" t="s">
        <v>131</v>
      </c>
      <c r="I141" s="61">
        <v>700</v>
      </c>
      <c r="J141" s="61"/>
      <c r="K141" s="61">
        <f t="shared" si="14"/>
        <v>700</v>
      </c>
      <c r="L141" s="61"/>
      <c r="M141" s="61"/>
      <c r="N141" s="61">
        <f t="shared" si="15"/>
        <v>0</v>
      </c>
      <c r="O141" s="61">
        <f t="shared" si="16"/>
        <v>700</v>
      </c>
      <c r="P141" s="61">
        <f t="shared" si="17"/>
        <v>0</v>
      </c>
      <c r="Q141" s="61">
        <f t="shared" si="18"/>
        <v>700</v>
      </c>
    </row>
    <row r="142" spans="2:17" ht="13.5" customHeight="1">
      <c r="B142" s="20">
        <f t="shared" si="19"/>
        <v>25</v>
      </c>
      <c r="C142" s="10"/>
      <c r="D142" s="10"/>
      <c r="E142" s="10"/>
      <c r="F142" s="30" t="s">
        <v>86</v>
      </c>
      <c r="G142" s="10">
        <v>620</v>
      </c>
      <c r="H142" s="10" t="s">
        <v>124</v>
      </c>
      <c r="I142" s="61">
        <v>8270</v>
      </c>
      <c r="J142" s="61"/>
      <c r="K142" s="61">
        <f t="shared" si="14"/>
        <v>8270</v>
      </c>
      <c r="L142" s="61"/>
      <c r="M142" s="61"/>
      <c r="N142" s="61">
        <f t="shared" si="15"/>
        <v>0</v>
      </c>
      <c r="O142" s="61">
        <f t="shared" si="16"/>
        <v>8270</v>
      </c>
      <c r="P142" s="61">
        <f t="shared" si="17"/>
        <v>0</v>
      </c>
      <c r="Q142" s="61">
        <f t="shared" si="18"/>
        <v>8270</v>
      </c>
    </row>
    <row r="143" spans="2:17" ht="12.75" customHeight="1">
      <c r="B143" s="20">
        <f t="shared" si="19"/>
        <v>26</v>
      </c>
      <c r="C143" s="10"/>
      <c r="D143" s="10"/>
      <c r="E143" s="10"/>
      <c r="F143" s="30" t="s">
        <v>86</v>
      </c>
      <c r="G143" s="10">
        <v>630</v>
      </c>
      <c r="H143" s="10" t="s">
        <v>121</v>
      </c>
      <c r="I143" s="61">
        <f>I145+I144</f>
        <v>119230</v>
      </c>
      <c r="J143" s="61">
        <f>J145+J144</f>
        <v>0</v>
      </c>
      <c r="K143" s="61">
        <f t="shared" si="14"/>
        <v>119230</v>
      </c>
      <c r="L143" s="61"/>
      <c r="M143" s="61"/>
      <c r="N143" s="61">
        <f t="shared" si="15"/>
        <v>0</v>
      </c>
      <c r="O143" s="61">
        <f t="shared" si="16"/>
        <v>119230</v>
      </c>
      <c r="P143" s="61">
        <f t="shared" si="17"/>
        <v>0</v>
      </c>
      <c r="Q143" s="61">
        <f t="shared" si="18"/>
        <v>119230</v>
      </c>
    </row>
    <row r="144" spans="2:17" ht="12.75">
      <c r="B144" s="20">
        <f t="shared" si="19"/>
        <v>27</v>
      </c>
      <c r="C144" s="4"/>
      <c r="D144" s="4"/>
      <c r="E144" s="4"/>
      <c r="F144" s="31" t="s">
        <v>86</v>
      </c>
      <c r="G144" s="4">
        <v>633</v>
      </c>
      <c r="H144" s="4" t="s">
        <v>125</v>
      </c>
      <c r="I144" s="17">
        <f>2500+50530</f>
        <v>53030</v>
      </c>
      <c r="J144" s="17"/>
      <c r="K144" s="17">
        <f t="shared" si="14"/>
        <v>53030</v>
      </c>
      <c r="L144" s="17"/>
      <c r="M144" s="17"/>
      <c r="N144" s="17">
        <f t="shared" si="15"/>
        <v>0</v>
      </c>
      <c r="O144" s="17">
        <f t="shared" si="16"/>
        <v>53030</v>
      </c>
      <c r="P144" s="17">
        <f t="shared" si="17"/>
        <v>0</v>
      </c>
      <c r="Q144" s="17">
        <f t="shared" si="18"/>
        <v>53030</v>
      </c>
    </row>
    <row r="145" spans="2:17" ht="12.75">
      <c r="B145" s="20">
        <f t="shared" si="19"/>
        <v>28</v>
      </c>
      <c r="C145" s="4"/>
      <c r="D145" s="4"/>
      <c r="E145" s="4"/>
      <c r="F145" s="31" t="s">
        <v>86</v>
      </c>
      <c r="G145" s="4">
        <v>637</v>
      </c>
      <c r="H145" s="4" t="s">
        <v>122</v>
      </c>
      <c r="I145" s="17">
        <f>16200+50000</f>
        <v>66200</v>
      </c>
      <c r="J145" s="17"/>
      <c r="K145" s="17">
        <f t="shared" si="14"/>
        <v>66200</v>
      </c>
      <c r="L145" s="17"/>
      <c r="M145" s="17"/>
      <c r="N145" s="17">
        <f t="shared" si="15"/>
        <v>0</v>
      </c>
      <c r="O145" s="17">
        <f t="shared" si="16"/>
        <v>66200</v>
      </c>
      <c r="P145" s="17">
        <f t="shared" si="17"/>
        <v>0</v>
      </c>
      <c r="Q145" s="17">
        <f t="shared" si="18"/>
        <v>66200</v>
      </c>
    </row>
    <row r="146" spans="2:17" ht="15">
      <c r="B146" s="20">
        <f t="shared" si="19"/>
        <v>29</v>
      </c>
      <c r="C146" s="7">
        <v>4</v>
      </c>
      <c r="D146" s="232" t="s">
        <v>195</v>
      </c>
      <c r="E146" s="233"/>
      <c r="F146" s="233"/>
      <c r="G146" s="233"/>
      <c r="H146" s="234"/>
      <c r="I146" s="87">
        <f>I147</f>
        <v>164700</v>
      </c>
      <c r="J146" s="87">
        <f>J147</f>
        <v>0</v>
      </c>
      <c r="K146" s="87">
        <f t="shared" si="14"/>
        <v>164700</v>
      </c>
      <c r="L146" s="87">
        <f>L153</f>
        <v>50700</v>
      </c>
      <c r="M146" s="87">
        <f>M153</f>
        <v>0</v>
      </c>
      <c r="N146" s="87">
        <f t="shared" si="15"/>
        <v>50700</v>
      </c>
      <c r="O146" s="87">
        <f t="shared" si="16"/>
        <v>215400</v>
      </c>
      <c r="P146" s="87">
        <f t="shared" si="17"/>
        <v>0</v>
      </c>
      <c r="Q146" s="87">
        <f t="shared" si="18"/>
        <v>215400</v>
      </c>
    </row>
    <row r="147" spans="2:17" ht="12.75">
      <c r="B147" s="20">
        <f t="shared" si="19"/>
        <v>30</v>
      </c>
      <c r="C147" s="10"/>
      <c r="D147" s="10"/>
      <c r="E147" s="10"/>
      <c r="F147" s="30" t="s">
        <v>153</v>
      </c>
      <c r="G147" s="10">
        <v>630</v>
      </c>
      <c r="H147" s="10" t="s">
        <v>121</v>
      </c>
      <c r="I147" s="61">
        <f>SUM(I148:I152)</f>
        <v>164700</v>
      </c>
      <c r="J147" s="61">
        <f>SUM(J148:J152)</f>
        <v>0</v>
      </c>
      <c r="K147" s="61">
        <f t="shared" si="14"/>
        <v>164700</v>
      </c>
      <c r="L147" s="61"/>
      <c r="M147" s="61"/>
      <c r="N147" s="61">
        <f t="shared" si="15"/>
        <v>0</v>
      </c>
      <c r="O147" s="61">
        <f t="shared" si="16"/>
        <v>164700</v>
      </c>
      <c r="P147" s="61">
        <f t="shared" si="17"/>
        <v>0</v>
      </c>
      <c r="Q147" s="61">
        <f t="shared" si="18"/>
        <v>164700</v>
      </c>
    </row>
    <row r="148" spans="2:17" ht="12.75">
      <c r="B148" s="20">
        <f t="shared" si="19"/>
        <v>31</v>
      </c>
      <c r="C148" s="4"/>
      <c r="D148" s="4"/>
      <c r="E148" s="4"/>
      <c r="F148" s="31" t="s">
        <v>153</v>
      </c>
      <c r="G148" s="4">
        <v>632</v>
      </c>
      <c r="H148" s="4" t="s">
        <v>134</v>
      </c>
      <c r="I148" s="17">
        <f>66000-7000</f>
        <v>59000</v>
      </c>
      <c r="J148" s="17"/>
      <c r="K148" s="17">
        <f t="shared" si="14"/>
        <v>59000</v>
      </c>
      <c r="L148" s="17"/>
      <c r="M148" s="17"/>
      <c r="N148" s="17">
        <f t="shared" si="15"/>
        <v>0</v>
      </c>
      <c r="O148" s="17">
        <f t="shared" si="16"/>
        <v>59000</v>
      </c>
      <c r="P148" s="17">
        <f t="shared" si="17"/>
        <v>0</v>
      </c>
      <c r="Q148" s="17">
        <f t="shared" si="18"/>
        <v>59000</v>
      </c>
    </row>
    <row r="149" spans="2:17" ht="12.75">
      <c r="B149" s="20">
        <f t="shared" si="19"/>
        <v>32</v>
      </c>
      <c r="C149" s="4"/>
      <c r="D149" s="4"/>
      <c r="E149" s="4"/>
      <c r="F149" s="31" t="s">
        <v>153</v>
      </c>
      <c r="G149" s="4">
        <v>633</v>
      </c>
      <c r="H149" s="4" t="s">
        <v>125</v>
      </c>
      <c r="I149" s="17">
        <v>11000</v>
      </c>
      <c r="J149" s="17"/>
      <c r="K149" s="17">
        <f t="shared" si="14"/>
        <v>11000</v>
      </c>
      <c r="L149" s="17"/>
      <c r="M149" s="17"/>
      <c r="N149" s="17">
        <f t="shared" si="15"/>
        <v>0</v>
      </c>
      <c r="O149" s="17">
        <f t="shared" si="16"/>
        <v>11000</v>
      </c>
      <c r="P149" s="17">
        <f t="shared" si="17"/>
        <v>0</v>
      </c>
      <c r="Q149" s="17">
        <f t="shared" si="18"/>
        <v>11000</v>
      </c>
    </row>
    <row r="150" spans="2:17" ht="12.75">
      <c r="B150" s="20">
        <f t="shared" si="19"/>
        <v>33</v>
      </c>
      <c r="C150" s="4"/>
      <c r="D150" s="4"/>
      <c r="E150" s="4"/>
      <c r="F150" s="31" t="s">
        <v>153</v>
      </c>
      <c r="G150" s="4">
        <v>635</v>
      </c>
      <c r="H150" s="4" t="s">
        <v>133</v>
      </c>
      <c r="I150" s="17">
        <f>50000-5000</f>
        <v>45000</v>
      </c>
      <c r="J150" s="17"/>
      <c r="K150" s="17">
        <f aca="true" t="shared" si="20" ref="K150:K183">J150+I150</f>
        <v>45000</v>
      </c>
      <c r="L150" s="17"/>
      <c r="M150" s="17"/>
      <c r="N150" s="17">
        <f aca="true" t="shared" si="21" ref="N150:N183">M150+L150</f>
        <v>0</v>
      </c>
      <c r="O150" s="17">
        <f aca="true" t="shared" si="22" ref="O150:O183">I150+L150</f>
        <v>45000</v>
      </c>
      <c r="P150" s="17">
        <f aca="true" t="shared" si="23" ref="P150:P183">J150+M150</f>
        <v>0</v>
      </c>
      <c r="Q150" s="17">
        <f aca="true" t="shared" si="24" ref="Q150:Q183">O150+P150</f>
        <v>45000</v>
      </c>
    </row>
    <row r="151" spans="2:17" ht="12.75">
      <c r="B151" s="20">
        <f t="shared" si="19"/>
        <v>34</v>
      </c>
      <c r="C151" s="4"/>
      <c r="D151" s="4"/>
      <c r="E151" s="4"/>
      <c r="F151" s="31" t="s">
        <v>153</v>
      </c>
      <c r="G151" s="4">
        <v>637</v>
      </c>
      <c r="H151" s="4" t="s">
        <v>122</v>
      </c>
      <c r="I151" s="17">
        <f>15000+1200+2000</f>
        <v>18200</v>
      </c>
      <c r="J151" s="17"/>
      <c r="K151" s="17">
        <f t="shared" si="20"/>
        <v>18200</v>
      </c>
      <c r="L151" s="17"/>
      <c r="M151" s="17"/>
      <c r="N151" s="17">
        <f t="shared" si="21"/>
        <v>0</v>
      </c>
      <c r="O151" s="17">
        <f t="shared" si="22"/>
        <v>18200</v>
      </c>
      <c r="P151" s="17">
        <f t="shared" si="23"/>
        <v>0</v>
      </c>
      <c r="Q151" s="17">
        <f t="shared" si="24"/>
        <v>18200</v>
      </c>
    </row>
    <row r="152" spans="2:17" ht="24">
      <c r="B152" s="20">
        <f t="shared" si="19"/>
        <v>35</v>
      </c>
      <c r="C152" s="159"/>
      <c r="D152" s="159"/>
      <c r="E152" s="159"/>
      <c r="F152" s="160" t="s">
        <v>153</v>
      </c>
      <c r="G152" s="159">
        <v>637</v>
      </c>
      <c r="H152" s="192" t="s">
        <v>568</v>
      </c>
      <c r="I152" s="161">
        <v>31500</v>
      </c>
      <c r="J152" s="161"/>
      <c r="K152" s="161">
        <f t="shared" si="20"/>
        <v>31500</v>
      </c>
      <c r="L152" s="161"/>
      <c r="M152" s="161"/>
      <c r="N152" s="161">
        <f t="shared" si="21"/>
        <v>0</v>
      </c>
      <c r="O152" s="161">
        <f t="shared" si="22"/>
        <v>31500</v>
      </c>
      <c r="P152" s="161">
        <f t="shared" si="23"/>
        <v>0</v>
      </c>
      <c r="Q152" s="161">
        <f t="shared" si="24"/>
        <v>31500</v>
      </c>
    </row>
    <row r="153" spans="2:17" ht="12.75">
      <c r="B153" s="20">
        <f t="shared" si="19"/>
        <v>36</v>
      </c>
      <c r="C153" s="10"/>
      <c r="D153" s="10"/>
      <c r="E153" s="10"/>
      <c r="F153" s="30" t="s">
        <v>196</v>
      </c>
      <c r="G153" s="10">
        <v>710</v>
      </c>
      <c r="H153" s="10" t="s">
        <v>176</v>
      </c>
      <c r="I153" s="61"/>
      <c r="J153" s="61"/>
      <c r="K153" s="61">
        <f t="shared" si="20"/>
        <v>0</v>
      </c>
      <c r="L153" s="61">
        <f>L156+L154</f>
        <v>50700</v>
      </c>
      <c r="M153" s="61">
        <f>M156</f>
        <v>0</v>
      </c>
      <c r="N153" s="61">
        <f t="shared" si="21"/>
        <v>50700</v>
      </c>
      <c r="O153" s="61">
        <f t="shared" si="22"/>
        <v>50700</v>
      </c>
      <c r="P153" s="61">
        <f t="shared" si="23"/>
        <v>0</v>
      </c>
      <c r="Q153" s="61">
        <f t="shared" si="24"/>
        <v>50700</v>
      </c>
    </row>
    <row r="154" spans="2:17" ht="12.75">
      <c r="B154" s="20">
        <f t="shared" si="19"/>
        <v>37</v>
      </c>
      <c r="C154" s="10"/>
      <c r="D154" s="10"/>
      <c r="E154" s="10"/>
      <c r="F154" s="31" t="s">
        <v>196</v>
      </c>
      <c r="G154" s="4">
        <v>716</v>
      </c>
      <c r="H154" s="4" t="s">
        <v>222</v>
      </c>
      <c r="I154" s="17"/>
      <c r="J154" s="17"/>
      <c r="K154" s="17">
        <f>I154+J154</f>
        <v>0</v>
      </c>
      <c r="L154" s="17">
        <f>L155</f>
        <v>2300</v>
      </c>
      <c r="M154" s="17">
        <f>M155</f>
        <v>0</v>
      </c>
      <c r="N154" s="17">
        <f>L154+M154</f>
        <v>2300</v>
      </c>
      <c r="O154" s="17">
        <f t="shared" si="22"/>
        <v>2300</v>
      </c>
      <c r="P154" s="17">
        <f t="shared" si="23"/>
        <v>0</v>
      </c>
      <c r="Q154" s="17">
        <f t="shared" si="24"/>
        <v>2300</v>
      </c>
    </row>
    <row r="155" spans="2:17" ht="12.75">
      <c r="B155" s="20">
        <f t="shared" si="19"/>
        <v>38</v>
      </c>
      <c r="C155" s="10"/>
      <c r="D155" s="10"/>
      <c r="E155" s="10"/>
      <c r="F155" s="31"/>
      <c r="G155" s="4"/>
      <c r="H155" s="5" t="s">
        <v>666</v>
      </c>
      <c r="I155" s="17"/>
      <c r="J155" s="17"/>
      <c r="K155" s="17">
        <f>I155+J155</f>
        <v>0</v>
      </c>
      <c r="L155" s="18">
        <v>2300</v>
      </c>
      <c r="M155" s="18"/>
      <c r="N155" s="18">
        <f>L155+M155</f>
        <v>2300</v>
      </c>
      <c r="O155" s="18">
        <f t="shared" si="22"/>
        <v>2300</v>
      </c>
      <c r="P155" s="18">
        <f t="shared" si="23"/>
        <v>0</v>
      </c>
      <c r="Q155" s="18">
        <f t="shared" si="24"/>
        <v>2300</v>
      </c>
    </row>
    <row r="156" spans="2:17" ht="12.75">
      <c r="B156" s="20">
        <f t="shared" si="19"/>
        <v>39</v>
      </c>
      <c r="C156" s="4"/>
      <c r="D156" s="4"/>
      <c r="E156" s="4"/>
      <c r="F156" s="31" t="s">
        <v>196</v>
      </c>
      <c r="G156" s="4">
        <v>717</v>
      </c>
      <c r="H156" s="4" t="s">
        <v>186</v>
      </c>
      <c r="I156" s="17"/>
      <c r="J156" s="17"/>
      <c r="K156" s="17">
        <f t="shared" si="20"/>
        <v>0</v>
      </c>
      <c r="L156" s="17">
        <f>SUM(L157:L159)</f>
        <v>48400</v>
      </c>
      <c r="M156" s="17">
        <f>SUM(M157:M159)</f>
        <v>0</v>
      </c>
      <c r="N156" s="17">
        <f t="shared" si="21"/>
        <v>48400</v>
      </c>
      <c r="O156" s="17">
        <f t="shared" si="22"/>
        <v>48400</v>
      </c>
      <c r="P156" s="17">
        <f t="shared" si="23"/>
        <v>0</v>
      </c>
      <c r="Q156" s="17">
        <f t="shared" si="24"/>
        <v>48400</v>
      </c>
    </row>
    <row r="157" spans="2:17" ht="12.75">
      <c r="B157" s="20">
        <f t="shared" si="19"/>
        <v>40</v>
      </c>
      <c r="C157" s="5"/>
      <c r="D157" s="5"/>
      <c r="E157" s="5"/>
      <c r="F157" s="32"/>
      <c r="G157" s="5"/>
      <c r="H157" s="5" t="s">
        <v>473</v>
      </c>
      <c r="I157" s="18"/>
      <c r="J157" s="18"/>
      <c r="K157" s="18">
        <f t="shared" si="20"/>
        <v>0</v>
      </c>
      <c r="L157" s="18">
        <f>15000-1600</f>
        <v>13400</v>
      </c>
      <c r="M157" s="18"/>
      <c r="N157" s="18">
        <f t="shared" si="21"/>
        <v>13400</v>
      </c>
      <c r="O157" s="18">
        <f t="shared" si="22"/>
        <v>13400</v>
      </c>
      <c r="P157" s="18">
        <f t="shared" si="23"/>
        <v>0</v>
      </c>
      <c r="Q157" s="18">
        <f t="shared" si="24"/>
        <v>13400</v>
      </c>
    </row>
    <row r="158" spans="2:17" ht="12.75">
      <c r="B158" s="20">
        <f t="shared" si="19"/>
        <v>41</v>
      </c>
      <c r="C158" s="5"/>
      <c r="D158" s="5"/>
      <c r="E158" s="5"/>
      <c r="F158" s="32"/>
      <c r="G158" s="5"/>
      <c r="H158" s="5" t="s">
        <v>454</v>
      </c>
      <c r="I158" s="18"/>
      <c r="J158" s="18"/>
      <c r="K158" s="18">
        <f t="shared" si="20"/>
        <v>0</v>
      </c>
      <c r="L158" s="18">
        <v>30000</v>
      </c>
      <c r="M158" s="18"/>
      <c r="N158" s="18">
        <f t="shared" si="21"/>
        <v>30000</v>
      </c>
      <c r="O158" s="18">
        <f t="shared" si="22"/>
        <v>30000</v>
      </c>
      <c r="P158" s="18">
        <f t="shared" si="23"/>
        <v>0</v>
      </c>
      <c r="Q158" s="18">
        <f t="shared" si="24"/>
        <v>30000</v>
      </c>
    </row>
    <row r="159" spans="2:17" ht="12.75">
      <c r="B159" s="20">
        <f t="shared" si="19"/>
        <v>42</v>
      </c>
      <c r="C159" s="5"/>
      <c r="D159" s="5"/>
      <c r="E159" s="5"/>
      <c r="F159" s="32"/>
      <c r="G159" s="5"/>
      <c r="H159" s="5" t="s">
        <v>619</v>
      </c>
      <c r="I159" s="18"/>
      <c r="J159" s="18"/>
      <c r="K159" s="18">
        <f t="shared" si="20"/>
        <v>0</v>
      </c>
      <c r="L159" s="18">
        <v>5000</v>
      </c>
      <c r="M159" s="18"/>
      <c r="N159" s="18">
        <f t="shared" si="21"/>
        <v>5000</v>
      </c>
      <c r="O159" s="18">
        <f t="shared" si="22"/>
        <v>5000</v>
      </c>
      <c r="P159" s="18">
        <f t="shared" si="23"/>
        <v>0</v>
      </c>
      <c r="Q159" s="18">
        <f t="shared" si="24"/>
        <v>5000</v>
      </c>
    </row>
    <row r="160" spans="2:17" ht="15">
      <c r="B160" s="20">
        <f t="shared" si="19"/>
        <v>43</v>
      </c>
      <c r="C160" s="7">
        <v>5</v>
      </c>
      <c r="D160" s="232" t="s">
        <v>152</v>
      </c>
      <c r="E160" s="233"/>
      <c r="F160" s="233"/>
      <c r="G160" s="233"/>
      <c r="H160" s="234"/>
      <c r="I160" s="87">
        <f>I161+I162+I163+I169+I171+I172</f>
        <v>4594704</v>
      </c>
      <c r="J160" s="87">
        <f>J161+J162+J163+J169+J171+J172</f>
        <v>0</v>
      </c>
      <c r="K160" s="87">
        <f t="shared" si="20"/>
        <v>4594704</v>
      </c>
      <c r="L160" s="87"/>
      <c r="M160" s="87"/>
      <c r="N160" s="87">
        <f t="shared" si="21"/>
        <v>0</v>
      </c>
      <c r="O160" s="87">
        <f t="shared" si="22"/>
        <v>4594704</v>
      </c>
      <c r="P160" s="87">
        <f t="shared" si="23"/>
        <v>0</v>
      </c>
      <c r="Q160" s="87">
        <f t="shared" si="24"/>
        <v>4594704</v>
      </c>
    </row>
    <row r="161" spans="2:17" ht="12.75">
      <c r="B161" s="20">
        <f t="shared" si="19"/>
        <v>44</v>
      </c>
      <c r="C161" s="10"/>
      <c r="D161" s="10"/>
      <c r="E161" s="10"/>
      <c r="F161" s="30" t="s">
        <v>86</v>
      </c>
      <c r="G161" s="10">
        <v>610</v>
      </c>
      <c r="H161" s="10" t="s">
        <v>131</v>
      </c>
      <c r="I161" s="61">
        <v>2650000</v>
      </c>
      <c r="J161" s="61"/>
      <c r="K161" s="61">
        <f t="shared" si="20"/>
        <v>2650000</v>
      </c>
      <c r="L161" s="61"/>
      <c r="M161" s="61"/>
      <c r="N161" s="61">
        <f t="shared" si="21"/>
        <v>0</v>
      </c>
      <c r="O161" s="61">
        <f t="shared" si="22"/>
        <v>2650000</v>
      </c>
      <c r="P161" s="61">
        <f t="shared" si="23"/>
        <v>0</v>
      </c>
      <c r="Q161" s="61">
        <f t="shared" si="24"/>
        <v>2650000</v>
      </c>
    </row>
    <row r="162" spans="2:17" ht="12.75">
      <c r="B162" s="20">
        <f t="shared" si="19"/>
        <v>45</v>
      </c>
      <c r="C162" s="10"/>
      <c r="D162" s="10"/>
      <c r="E162" s="10"/>
      <c r="F162" s="30" t="s">
        <v>86</v>
      </c>
      <c r="G162" s="10">
        <v>620</v>
      </c>
      <c r="H162" s="10" t="s">
        <v>124</v>
      </c>
      <c r="I162" s="61">
        <v>1068585</v>
      </c>
      <c r="J162" s="61"/>
      <c r="K162" s="61">
        <f t="shared" si="20"/>
        <v>1068585</v>
      </c>
      <c r="L162" s="61"/>
      <c r="M162" s="61"/>
      <c r="N162" s="61">
        <f t="shared" si="21"/>
        <v>0</v>
      </c>
      <c r="O162" s="61">
        <f t="shared" si="22"/>
        <v>1068585</v>
      </c>
      <c r="P162" s="61">
        <f t="shared" si="23"/>
        <v>0</v>
      </c>
      <c r="Q162" s="61">
        <f t="shared" si="24"/>
        <v>1068585</v>
      </c>
    </row>
    <row r="163" spans="2:17" ht="12.75">
      <c r="B163" s="20">
        <f t="shared" si="19"/>
        <v>46</v>
      </c>
      <c r="C163" s="10"/>
      <c r="D163" s="10"/>
      <c r="E163" s="10"/>
      <c r="F163" s="30" t="s">
        <v>86</v>
      </c>
      <c r="G163" s="10">
        <v>630</v>
      </c>
      <c r="H163" s="10" t="s">
        <v>121</v>
      </c>
      <c r="I163" s="61">
        <f>SUM(I164:I168)</f>
        <v>666500</v>
      </c>
      <c r="J163" s="61">
        <f>SUM(J164:J168)</f>
        <v>0</v>
      </c>
      <c r="K163" s="61">
        <f t="shared" si="20"/>
        <v>666500</v>
      </c>
      <c r="L163" s="61"/>
      <c r="M163" s="61"/>
      <c r="N163" s="61">
        <f t="shared" si="21"/>
        <v>0</v>
      </c>
      <c r="O163" s="61">
        <f t="shared" si="22"/>
        <v>666500</v>
      </c>
      <c r="P163" s="61">
        <f t="shared" si="23"/>
        <v>0</v>
      </c>
      <c r="Q163" s="61">
        <f t="shared" si="24"/>
        <v>666500</v>
      </c>
    </row>
    <row r="164" spans="2:17" ht="12.75">
      <c r="B164" s="20">
        <f t="shared" si="19"/>
        <v>47</v>
      </c>
      <c r="C164" s="4"/>
      <c r="D164" s="4"/>
      <c r="E164" s="4"/>
      <c r="F164" s="31" t="s">
        <v>86</v>
      </c>
      <c r="G164" s="4">
        <v>632</v>
      </c>
      <c r="H164" s="4" t="s">
        <v>134</v>
      </c>
      <c r="I164" s="17">
        <f>200000-2000-5000</f>
        <v>193000</v>
      </c>
      <c r="J164" s="17"/>
      <c r="K164" s="17">
        <f t="shared" si="20"/>
        <v>193000</v>
      </c>
      <c r="L164" s="17"/>
      <c r="M164" s="17"/>
      <c r="N164" s="17">
        <f t="shared" si="21"/>
        <v>0</v>
      </c>
      <c r="O164" s="17">
        <f t="shared" si="22"/>
        <v>193000</v>
      </c>
      <c r="P164" s="17">
        <f t="shared" si="23"/>
        <v>0</v>
      </c>
      <c r="Q164" s="17">
        <f t="shared" si="24"/>
        <v>193000</v>
      </c>
    </row>
    <row r="165" spans="2:17" ht="12.75">
      <c r="B165" s="20">
        <f aca="true" t="shared" si="25" ref="B165:B189">B164+1</f>
        <v>48</v>
      </c>
      <c r="C165" s="4"/>
      <c r="D165" s="4"/>
      <c r="E165" s="4"/>
      <c r="F165" s="31" t="s">
        <v>86</v>
      </c>
      <c r="G165" s="4">
        <v>633</v>
      </c>
      <c r="H165" s="4" t="s">
        <v>125</v>
      </c>
      <c r="I165" s="17">
        <v>45000</v>
      </c>
      <c r="J165" s="17"/>
      <c r="K165" s="17">
        <f t="shared" si="20"/>
        <v>45000</v>
      </c>
      <c r="L165" s="17"/>
      <c r="M165" s="17"/>
      <c r="N165" s="17">
        <f t="shared" si="21"/>
        <v>0</v>
      </c>
      <c r="O165" s="17">
        <f t="shared" si="22"/>
        <v>45000</v>
      </c>
      <c r="P165" s="17">
        <f t="shared" si="23"/>
        <v>0</v>
      </c>
      <c r="Q165" s="17">
        <f t="shared" si="24"/>
        <v>45000</v>
      </c>
    </row>
    <row r="166" spans="2:17" ht="13.5" customHeight="1">
      <c r="B166" s="20">
        <f t="shared" si="25"/>
        <v>49</v>
      </c>
      <c r="C166" s="4"/>
      <c r="D166" s="4"/>
      <c r="E166" s="4"/>
      <c r="F166" s="31" t="s">
        <v>86</v>
      </c>
      <c r="G166" s="4">
        <v>635</v>
      </c>
      <c r="H166" s="4" t="s">
        <v>133</v>
      </c>
      <c r="I166" s="17">
        <f>54000-500+10000</f>
        <v>63500</v>
      </c>
      <c r="J166" s="17"/>
      <c r="K166" s="17">
        <f t="shared" si="20"/>
        <v>63500</v>
      </c>
      <c r="L166" s="17"/>
      <c r="M166" s="17"/>
      <c r="N166" s="17">
        <f t="shared" si="21"/>
        <v>0</v>
      </c>
      <c r="O166" s="17">
        <f t="shared" si="22"/>
        <v>63500</v>
      </c>
      <c r="P166" s="17">
        <f t="shared" si="23"/>
        <v>0</v>
      </c>
      <c r="Q166" s="17">
        <f t="shared" si="24"/>
        <v>63500</v>
      </c>
    </row>
    <row r="167" spans="2:17" ht="12.75" customHeight="1">
      <c r="B167" s="20">
        <f t="shared" si="25"/>
        <v>50</v>
      </c>
      <c r="C167" s="4"/>
      <c r="D167" s="4"/>
      <c r="E167" s="4"/>
      <c r="F167" s="31" t="s">
        <v>86</v>
      </c>
      <c r="G167" s="4">
        <v>637</v>
      </c>
      <c r="H167" s="4" t="s">
        <v>122</v>
      </c>
      <c r="I167" s="17">
        <v>320000</v>
      </c>
      <c r="J167" s="17"/>
      <c r="K167" s="17">
        <f t="shared" si="20"/>
        <v>320000</v>
      </c>
      <c r="L167" s="17"/>
      <c r="M167" s="17"/>
      <c r="N167" s="17">
        <f t="shared" si="21"/>
        <v>0</v>
      </c>
      <c r="O167" s="17">
        <f t="shared" si="22"/>
        <v>320000</v>
      </c>
      <c r="P167" s="17">
        <f t="shared" si="23"/>
        <v>0</v>
      </c>
      <c r="Q167" s="17">
        <f t="shared" si="24"/>
        <v>320000</v>
      </c>
    </row>
    <row r="168" spans="2:17" ht="12.75">
      <c r="B168" s="20">
        <f t="shared" si="25"/>
        <v>51</v>
      </c>
      <c r="C168" s="4"/>
      <c r="D168" s="4"/>
      <c r="E168" s="4"/>
      <c r="F168" s="33" t="s">
        <v>86</v>
      </c>
      <c r="G168" s="4">
        <v>637</v>
      </c>
      <c r="H168" s="24" t="s">
        <v>290</v>
      </c>
      <c r="I168" s="17">
        <v>45000</v>
      </c>
      <c r="J168" s="17"/>
      <c r="K168" s="17">
        <f t="shared" si="20"/>
        <v>45000</v>
      </c>
      <c r="L168" s="17"/>
      <c r="M168" s="17"/>
      <c r="N168" s="17">
        <f t="shared" si="21"/>
        <v>0</v>
      </c>
      <c r="O168" s="17">
        <f t="shared" si="22"/>
        <v>45000</v>
      </c>
      <c r="P168" s="17">
        <f t="shared" si="23"/>
        <v>0</v>
      </c>
      <c r="Q168" s="17">
        <f t="shared" si="24"/>
        <v>45000</v>
      </c>
    </row>
    <row r="169" spans="2:17" ht="12.75">
      <c r="B169" s="20">
        <f t="shared" si="25"/>
        <v>52</v>
      </c>
      <c r="C169" s="10"/>
      <c r="D169" s="10"/>
      <c r="E169" s="10"/>
      <c r="F169" s="30" t="s">
        <v>252</v>
      </c>
      <c r="G169" s="10">
        <v>630</v>
      </c>
      <c r="H169" s="10" t="s">
        <v>121</v>
      </c>
      <c r="I169" s="61">
        <f>I170</f>
        <v>20000</v>
      </c>
      <c r="J169" s="61"/>
      <c r="K169" s="61">
        <f t="shared" si="20"/>
        <v>20000</v>
      </c>
      <c r="L169" s="61"/>
      <c r="M169" s="61"/>
      <c r="N169" s="61">
        <f t="shared" si="21"/>
        <v>0</v>
      </c>
      <c r="O169" s="61">
        <f t="shared" si="22"/>
        <v>20000</v>
      </c>
      <c r="P169" s="61">
        <f t="shared" si="23"/>
        <v>0</v>
      </c>
      <c r="Q169" s="61">
        <f t="shared" si="24"/>
        <v>20000</v>
      </c>
    </row>
    <row r="170" spans="2:17" ht="12.75">
      <c r="B170" s="20">
        <f t="shared" si="25"/>
        <v>53</v>
      </c>
      <c r="C170" s="4"/>
      <c r="D170" s="4"/>
      <c r="E170" s="4"/>
      <c r="F170" s="31" t="s">
        <v>252</v>
      </c>
      <c r="G170" s="4">
        <v>637</v>
      </c>
      <c r="H170" s="4" t="s">
        <v>122</v>
      </c>
      <c r="I170" s="17">
        <v>20000</v>
      </c>
      <c r="J170" s="17"/>
      <c r="K170" s="17">
        <f t="shared" si="20"/>
        <v>20000</v>
      </c>
      <c r="L170" s="17"/>
      <c r="M170" s="17"/>
      <c r="N170" s="17">
        <f t="shared" si="21"/>
        <v>0</v>
      </c>
      <c r="O170" s="17">
        <f t="shared" si="22"/>
        <v>20000</v>
      </c>
      <c r="P170" s="17">
        <f t="shared" si="23"/>
        <v>0</v>
      </c>
      <c r="Q170" s="17">
        <f t="shared" si="24"/>
        <v>20000</v>
      </c>
    </row>
    <row r="171" spans="2:17" ht="12.75">
      <c r="B171" s="20">
        <f t="shared" si="25"/>
        <v>54</v>
      </c>
      <c r="C171" s="10"/>
      <c r="D171" s="10"/>
      <c r="E171" s="10"/>
      <c r="F171" s="30" t="s">
        <v>212</v>
      </c>
      <c r="G171" s="10">
        <v>650</v>
      </c>
      <c r="H171" s="10" t="s">
        <v>213</v>
      </c>
      <c r="I171" s="61">
        <f>157000-7000-6381-9000-4000</f>
        <v>130619</v>
      </c>
      <c r="J171" s="61"/>
      <c r="K171" s="61">
        <f t="shared" si="20"/>
        <v>130619</v>
      </c>
      <c r="L171" s="61"/>
      <c r="M171" s="61"/>
      <c r="N171" s="61">
        <f t="shared" si="21"/>
        <v>0</v>
      </c>
      <c r="O171" s="61">
        <f t="shared" si="22"/>
        <v>130619</v>
      </c>
      <c r="P171" s="61">
        <f t="shared" si="23"/>
        <v>0</v>
      </c>
      <c r="Q171" s="61">
        <f t="shared" si="24"/>
        <v>130619</v>
      </c>
    </row>
    <row r="172" spans="2:17" ht="12.75">
      <c r="B172" s="20">
        <f t="shared" si="25"/>
        <v>55</v>
      </c>
      <c r="C172" s="10"/>
      <c r="D172" s="10"/>
      <c r="E172" s="10"/>
      <c r="F172" s="30" t="s">
        <v>86</v>
      </c>
      <c r="G172" s="10">
        <v>640</v>
      </c>
      <c r="H172" s="10" t="s">
        <v>129</v>
      </c>
      <c r="I172" s="61">
        <v>59000</v>
      </c>
      <c r="J172" s="61"/>
      <c r="K172" s="61">
        <f t="shared" si="20"/>
        <v>59000</v>
      </c>
      <c r="L172" s="61"/>
      <c r="M172" s="61"/>
      <c r="N172" s="61">
        <f t="shared" si="21"/>
        <v>0</v>
      </c>
      <c r="O172" s="61">
        <f t="shared" si="22"/>
        <v>59000</v>
      </c>
      <c r="P172" s="61">
        <f t="shared" si="23"/>
        <v>0</v>
      </c>
      <c r="Q172" s="61">
        <f t="shared" si="24"/>
        <v>59000</v>
      </c>
    </row>
    <row r="173" spans="2:17" ht="15">
      <c r="B173" s="20">
        <f t="shared" si="25"/>
        <v>56</v>
      </c>
      <c r="C173" s="7">
        <v>6</v>
      </c>
      <c r="D173" s="232" t="s">
        <v>275</v>
      </c>
      <c r="E173" s="233"/>
      <c r="F173" s="233"/>
      <c r="G173" s="233"/>
      <c r="H173" s="234"/>
      <c r="I173" s="87">
        <f>I174+I176</f>
        <v>13000</v>
      </c>
      <c r="J173" s="87">
        <f>J174+J176</f>
        <v>0</v>
      </c>
      <c r="K173" s="87">
        <f t="shared" si="20"/>
        <v>13000</v>
      </c>
      <c r="L173" s="87"/>
      <c r="M173" s="87"/>
      <c r="N173" s="87">
        <f t="shared" si="21"/>
        <v>0</v>
      </c>
      <c r="O173" s="87">
        <f t="shared" si="22"/>
        <v>13000</v>
      </c>
      <c r="P173" s="87">
        <f t="shared" si="23"/>
        <v>0</v>
      </c>
      <c r="Q173" s="87">
        <f t="shared" si="24"/>
        <v>13000</v>
      </c>
    </row>
    <row r="174" spans="2:17" ht="12.75">
      <c r="B174" s="20">
        <f t="shared" si="25"/>
        <v>57</v>
      </c>
      <c r="C174" s="10"/>
      <c r="D174" s="10"/>
      <c r="E174" s="10"/>
      <c r="F174" s="30" t="s">
        <v>86</v>
      </c>
      <c r="G174" s="10">
        <v>630</v>
      </c>
      <c r="H174" s="10" t="s">
        <v>121</v>
      </c>
      <c r="I174" s="61">
        <f>I175</f>
        <v>5000</v>
      </c>
      <c r="J174" s="61">
        <f>J175</f>
        <v>0</v>
      </c>
      <c r="K174" s="61">
        <f t="shared" si="20"/>
        <v>5000</v>
      </c>
      <c r="L174" s="61"/>
      <c r="M174" s="61"/>
      <c r="N174" s="61">
        <f t="shared" si="21"/>
        <v>0</v>
      </c>
      <c r="O174" s="61">
        <f t="shared" si="22"/>
        <v>5000</v>
      </c>
      <c r="P174" s="61">
        <f t="shared" si="23"/>
        <v>0</v>
      </c>
      <c r="Q174" s="61">
        <f t="shared" si="24"/>
        <v>5000</v>
      </c>
    </row>
    <row r="175" spans="2:17" ht="12.75">
      <c r="B175" s="20">
        <f t="shared" si="25"/>
        <v>58</v>
      </c>
      <c r="C175" s="4"/>
      <c r="D175" s="4"/>
      <c r="E175" s="4"/>
      <c r="F175" s="31" t="s">
        <v>86</v>
      </c>
      <c r="G175" s="4">
        <v>631</v>
      </c>
      <c r="H175" s="4" t="s">
        <v>127</v>
      </c>
      <c r="I175" s="17">
        <v>5000</v>
      </c>
      <c r="J175" s="17"/>
      <c r="K175" s="17">
        <f t="shared" si="20"/>
        <v>5000</v>
      </c>
      <c r="L175" s="17"/>
      <c r="M175" s="17"/>
      <c r="N175" s="17">
        <f t="shared" si="21"/>
        <v>0</v>
      </c>
      <c r="O175" s="17">
        <f t="shared" si="22"/>
        <v>5000</v>
      </c>
      <c r="P175" s="17">
        <f t="shared" si="23"/>
        <v>0</v>
      </c>
      <c r="Q175" s="17">
        <f t="shared" si="24"/>
        <v>5000</v>
      </c>
    </row>
    <row r="176" spans="2:17" ht="12.75">
      <c r="B176" s="20">
        <f t="shared" si="25"/>
        <v>59</v>
      </c>
      <c r="C176" s="10"/>
      <c r="D176" s="10"/>
      <c r="E176" s="10"/>
      <c r="F176" s="30" t="s">
        <v>158</v>
      </c>
      <c r="G176" s="10">
        <v>630</v>
      </c>
      <c r="H176" s="10" t="s">
        <v>121</v>
      </c>
      <c r="I176" s="61">
        <f>I177</f>
        <v>8000</v>
      </c>
      <c r="J176" s="61">
        <f>J177</f>
        <v>0</v>
      </c>
      <c r="K176" s="61">
        <f t="shared" si="20"/>
        <v>8000</v>
      </c>
      <c r="L176" s="61"/>
      <c r="M176" s="61"/>
      <c r="N176" s="61">
        <f t="shared" si="21"/>
        <v>0</v>
      </c>
      <c r="O176" s="61">
        <f t="shared" si="22"/>
        <v>8000</v>
      </c>
      <c r="P176" s="61">
        <f t="shared" si="23"/>
        <v>0</v>
      </c>
      <c r="Q176" s="61">
        <f t="shared" si="24"/>
        <v>8000</v>
      </c>
    </row>
    <row r="177" spans="2:17" ht="12.75">
      <c r="B177" s="20">
        <f t="shared" si="25"/>
        <v>60</v>
      </c>
      <c r="C177" s="4"/>
      <c r="D177" s="4"/>
      <c r="E177" s="4"/>
      <c r="F177" s="31" t="s">
        <v>158</v>
      </c>
      <c r="G177" s="4">
        <v>637</v>
      </c>
      <c r="H177" s="4" t="s">
        <v>122</v>
      </c>
      <c r="I177" s="17">
        <v>8000</v>
      </c>
      <c r="J177" s="17"/>
      <c r="K177" s="17">
        <f t="shared" si="20"/>
        <v>8000</v>
      </c>
      <c r="L177" s="17"/>
      <c r="M177" s="17"/>
      <c r="N177" s="17">
        <f t="shared" si="21"/>
        <v>0</v>
      </c>
      <c r="O177" s="17">
        <f t="shared" si="22"/>
        <v>8000</v>
      </c>
      <c r="P177" s="17">
        <f t="shared" si="23"/>
        <v>0</v>
      </c>
      <c r="Q177" s="17">
        <f t="shared" si="24"/>
        <v>8000</v>
      </c>
    </row>
    <row r="178" spans="2:17" ht="15">
      <c r="B178" s="20">
        <f t="shared" si="25"/>
        <v>61</v>
      </c>
      <c r="C178" s="7">
        <v>7</v>
      </c>
      <c r="D178" s="232" t="s">
        <v>135</v>
      </c>
      <c r="E178" s="233"/>
      <c r="F178" s="233"/>
      <c r="G178" s="233"/>
      <c r="H178" s="234"/>
      <c r="I178" s="87">
        <f>I179</f>
        <v>312500</v>
      </c>
      <c r="J178" s="87">
        <f>J179</f>
        <v>0</v>
      </c>
      <c r="K178" s="87">
        <f t="shared" si="20"/>
        <v>312500</v>
      </c>
      <c r="L178" s="87">
        <f>L185</f>
        <v>44802</v>
      </c>
      <c r="M178" s="87">
        <f>M185</f>
        <v>0</v>
      </c>
      <c r="N178" s="87">
        <f t="shared" si="21"/>
        <v>44802</v>
      </c>
      <c r="O178" s="87">
        <f t="shared" si="22"/>
        <v>357302</v>
      </c>
      <c r="P178" s="87">
        <f t="shared" si="23"/>
        <v>0</v>
      </c>
      <c r="Q178" s="87">
        <f t="shared" si="24"/>
        <v>357302</v>
      </c>
    </row>
    <row r="179" spans="2:17" ht="12.75">
      <c r="B179" s="20">
        <f t="shared" si="25"/>
        <v>62</v>
      </c>
      <c r="C179" s="10"/>
      <c r="D179" s="10"/>
      <c r="E179" s="10"/>
      <c r="F179" s="30" t="s">
        <v>86</v>
      </c>
      <c r="G179" s="10">
        <v>630</v>
      </c>
      <c r="H179" s="10" t="s">
        <v>121</v>
      </c>
      <c r="I179" s="61">
        <f>I184+I183+I182+I181+I180</f>
        <v>312500</v>
      </c>
      <c r="J179" s="61">
        <f>J184+J183+J182+J181+J180</f>
        <v>0</v>
      </c>
      <c r="K179" s="61">
        <f t="shared" si="20"/>
        <v>312500</v>
      </c>
      <c r="L179" s="61"/>
      <c r="M179" s="61"/>
      <c r="N179" s="61">
        <f t="shared" si="21"/>
        <v>0</v>
      </c>
      <c r="O179" s="61">
        <f t="shared" si="22"/>
        <v>312500</v>
      </c>
      <c r="P179" s="61">
        <f t="shared" si="23"/>
        <v>0</v>
      </c>
      <c r="Q179" s="61">
        <f t="shared" si="24"/>
        <v>312500</v>
      </c>
    </row>
    <row r="180" spans="2:17" ht="12.75">
      <c r="B180" s="20">
        <f t="shared" si="25"/>
        <v>63</v>
      </c>
      <c r="C180" s="4"/>
      <c r="D180" s="4"/>
      <c r="E180" s="4"/>
      <c r="F180" s="31" t="s">
        <v>86</v>
      </c>
      <c r="G180" s="4">
        <v>632</v>
      </c>
      <c r="H180" s="4" t="s">
        <v>134</v>
      </c>
      <c r="I180" s="17">
        <f>4800+2000</f>
        <v>6800</v>
      </c>
      <c r="J180" s="17"/>
      <c r="K180" s="17">
        <f t="shared" si="20"/>
        <v>6800</v>
      </c>
      <c r="L180" s="17"/>
      <c r="M180" s="17"/>
      <c r="N180" s="17">
        <f t="shared" si="21"/>
        <v>0</v>
      </c>
      <c r="O180" s="17">
        <f t="shared" si="22"/>
        <v>6800</v>
      </c>
      <c r="P180" s="17">
        <f t="shared" si="23"/>
        <v>0</v>
      </c>
      <c r="Q180" s="17">
        <f t="shared" si="24"/>
        <v>6800</v>
      </c>
    </row>
    <row r="181" spans="2:17" ht="12.75">
      <c r="B181" s="20">
        <f t="shared" si="25"/>
        <v>64</v>
      </c>
      <c r="C181" s="4"/>
      <c r="D181" s="4"/>
      <c r="E181" s="4"/>
      <c r="F181" s="31" t="s">
        <v>86</v>
      </c>
      <c r="G181" s="4">
        <v>633</v>
      </c>
      <c r="H181" s="4" t="s">
        <v>125</v>
      </c>
      <c r="I181" s="17">
        <f>25000+31000</f>
        <v>56000</v>
      </c>
      <c r="J181" s="17"/>
      <c r="K181" s="17">
        <f t="shared" si="20"/>
        <v>56000</v>
      </c>
      <c r="L181" s="17"/>
      <c r="M181" s="17"/>
      <c r="N181" s="17">
        <f t="shared" si="21"/>
        <v>0</v>
      </c>
      <c r="O181" s="17">
        <f t="shared" si="22"/>
        <v>56000</v>
      </c>
      <c r="P181" s="17">
        <f t="shared" si="23"/>
        <v>0</v>
      </c>
      <c r="Q181" s="17">
        <f t="shared" si="24"/>
        <v>56000</v>
      </c>
    </row>
    <row r="182" spans="2:17" ht="12.75">
      <c r="B182" s="20">
        <f t="shared" si="25"/>
        <v>65</v>
      </c>
      <c r="C182" s="4"/>
      <c r="D182" s="4"/>
      <c r="E182" s="4"/>
      <c r="F182" s="31" t="s">
        <v>86</v>
      </c>
      <c r="G182" s="4">
        <v>635</v>
      </c>
      <c r="H182" s="4" t="s">
        <v>133</v>
      </c>
      <c r="I182" s="17">
        <v>174100</v>
      </c>
      <c r="J182" s="17"/>
      <c r="K182" s="17">
        <f t="shared" si="20"/>
        <v>174100</v>
      </c>
      <c r="L182" s="17"/>
      <c r="M182" s="17"/>
      <c r="N182" s="17">
        <f t="shared" si="21"/>
        <v>0</v>
      </c>
      <c r="O182" s="17">
        <f t="shared" si="22"/>
        <v>174100</v>
      </c>
      <c r="P182" s="17">
        <f t="shared" si="23"/>
        <v>0</v>
      </c>
      <c r="Q182" s="17">
        <f t="shared" si="24"/>
        <v>174100</v>
      </c>
    </row>
    <row r="183" spans="2:17" ht="12.75">
      <c r="B183" s="20">
        <f t="shared" si="25"/>
        <v>66</v>
      </c>
      <c r="C183" s="4"/>
      <c r="D183" s="4"/>
      <c r="E183" s="4"/>
      <c r="F183" s="31" t="s">
        <v>86</v>
      </c>
      <c r="G183" s="4">
        <v>636</v>
      </c>
      <c r="H183" s="57" t="s">
        <v>468</v>
      </c>
      <c r="I183" s="103">
        <f>68600-31000</f>
        <v>37600</v>
      </c>
      <c r="J183" s="103"/>
      <c r="K183" s="103">
        <f t="shared" si="20"/>
        <v>37600</v>
      </c>
      <c r="L183" s="17"/>
      <c r="M183" s="17"/>
      <c r="N183" s="17">
        <f t="shared" si="21"/>
        <v>0</v>
      </c>
      <c r="O183" s="17">
        <f t="shared" si="22"/>
        <v>37600</v>
      </c>
      <c r="P183" s="17">
        <f t="shared" si="23"/>
        <v>0</v>
      </c>
      <c r="Q183" s="17">
        <f t="shared" si="24"/>
        <v>37600</v>
      </c>
    </row>
    <row r="184" spans="2:17" ht="12.75">
      <c r="B184" s="20">
        <f t="shared" si="25"/>
        <v>67</v>
      </c>
      <c r="C184" s="4"/>
      <c r="D184" s="4"/>
      <c r="E184" s="4"/>
      <c r="F184" s="31" t="s">
        <v>86</v>
      </c>
      <c r="G184" s="4">
        <v>637</v>
      </c>
      <c r="H184" s="4" t="s">
        <v>122</v>
      </c>
      <c r="I184" s="17">
        <f>40000-2000</f>
        <v>38000</v>
      </c>
      <c r="J184" s="17"/>
      <c r="K184" s="17">
        <f aca="true" t="shared" si="26" ref="K184:K189">J184+I184</f>
        <v>38000</v>
      </c>
      <c r="L184" s="17"/>
      <c r="M184" s="17"/>
      <c r="N184" s="17">
        <f aca="true" t="shared" si="27" ref="N184:N189">M184+L184</f>
        <v>0</v>
      </c>
      <c r="O184" s="17">
        <f aca="true" t="shared" si="28" ref="O184:O189">I184+L184</f>
        <v>38000</v>
      </c>
      <c r="P184" s="17">
        <f aca="true" t="shared" si="29" ref="P184:P189">J184+M184</f>
        <v>0</v>
      </c>
      <c r="Q184" s="17">
        <f aca="true" t="shared" si="30" ref="Q184:Q189">O184+P184</f>
        <v>38000</v>
      </c>
    </row>
    <row r="185" spans="2:17" ht="12.75">
      <c r="B185" s="20">
        <f t="shared" si="25"/>
        <v>68</v>
      </c>
      <c r="C185" s="10"/>
      <c r="D185" s="10"/>
      <c r="E185" s="10"/>
      <c r="F185" s="30" t="s">
        <v>86</v>
      </c>
      <c r="G185" s="10">
        <v>710</v>
      </c>
      <c r="H185" s="10" t="s">
        <v>176</v>
      </c>
      <c r="I185" s="61"/>
      <c r="J185" s="61"/>
      <c r="K185" s="61">
        <f t="shared" si="26"/>
        <v>0</v>
      </c>
      <c r="L185" s="61">
        <f>L186+L188+L190</f>
        <v>44802</v>
      </c>
      <c r="M185" s="61">
        <f>M186+M188</f>
        <v>0</v>
      </c>
      <c r="N185" s="61">
        <f t="shared" si="27"/>
        <v>44802</v>
      </c>
      <c r="O185" s="61">
        <f t="shared" si="28"/>
        <v>44802</v>
      </c>
      <c r="P185" s="61">
        <f t="shared" si="29"/>
        <v>0</v>
      </c>
      <c r="Q185" s="61">
        <f t="shared" si="30"/>
        <v>44802</v>
      </c>
    </row>
    <row r="186" spans="2:17" ht="12.75">
      <c r="B186" s="20">
        <f t="shared" si="25"/>
        <v>69</v>
      </c>
      <c r="C186" s="4"/>
      <c r="D186" s="4"/>
      <c r="E186" s="4"/>
      <c r="F186" s="31" t="s">
        <v>86</v>
      </c>
      <c r="G186" s="4">
        <v>711</v>
      </c>
      <c r="H186" s="4" t="s">
        <v>214</v>
      </c>
      <c r="I186" s="17"/>
      <c r="J186" s="17"/>
      <c r="K186" s="17">
        <f t="shared" si="26"/>
        <v>0</v>
      </c>
      <c r="L186" s="17">
        <f>L187</f>
        <v>20000</v>
      </c>
      <c r="M186" s="17">
        <f>M187</f>
        <v>0</v>
      </c>
      <c r="N186" s="17">
        <f t="shared" si="27"/>
        <v>20000</v>
      </c>
      <c r="O186" s="17">
        <f t="shared" si="28"/>
        <v>20000</v>
      </c>
      <c r="P186" s="17">
        <f t="shared" si="29"/>
        <v>0</v>
      </c>
      <c r="Q186" s="17">
        <f t="shared" si="30"/>
        <v>20000</v>
      </c>
    </row>
    <row r="187" spans="2:17" ht="12.75">
      <c r="B187" s="20">
        <f t="shared" si="25"/>
        <v>70</v>
      </c>
      <c r="C187" s="5"/>
      <c r="D187" s="5"/>
      <c r="E187" s="5"/>
      <c r="F187" s="32"/>
      <c r="G187" s="5"/>
      <c r="H187" s="5" t="s">
        <v>422</v>
      </c>
      <c r="I187" s="18"/>
      <c r="J187" s="18"/>
      <c r="K187" s="18">
        <f t="shared" si="26"/>
        <v>0</v>
      </c>
      <c r="L187" s="18">
        <v>20000</v>
      </c>
      <c r="M187" s="18"/>
      <c r="N187" s="18">
        <f t="shared" si="27"/>
        <v>20000</v>
      </c>
      <c r="O187" s="18">
        <f t="shared" si="28"/>
        <v>20000</v>
      </c>
      <c r="P187" s="18">
        <f t="shared" si="29"/>
        <v>0</v>
      </c>
      <c r="Q187" s="18">
        <f t="shared" si="30"/>
        <v>20000</v>
      </c>
    </row>
    <row r="188" spans="2:17" ht="12.75">
      <c r="B188" s="20">
        <f t="shared" si="25"/>
        <v>71</v>
      </c>
      <c r="C188" s="4"/>
      <c r="D188" s="4"/>
      <c r="E188" s="4"/>
      <c r="F188" s="31" t="s">
        <v>86</v>
      </c>
      <c r="G188" s="4">
        <v>713</v>
      </c>
      <c r="H188" s="4" t="s">
        <v>225</v>
      </c>
      <c r="I188" s="17"/>
      <c r="J188" s="17"/>
      <c r="K188" s="17">
        <f t="shared" si="26"/>
        <v>0</v>
      </c>
      <c r="L188" s="17">
        <f>L189</f>
        <v>10000</v>
      </c>
      <c r="M188" s="17">
        <f>M189</f>
        <v>0</v>
      </c>
      <c r="N188" s="17">
        <f t="shared" si="27"/>
        <v>10000</v>
      </c>
      <c r="O188" s="17">
        <f t="shared" si="28"/>
        <v>10000</v>
      </c>
      <c r="P188" s="17">
        <f t="shared" si="29"/>
        <v>0</v>
      </c>
      <c r="Q188" s="17">
        <f t="shared" si="30"/>
        <v>10000</v>
      </c>
    </row>
    <row r="189" spans="2:17" ht="12.75">
      <c r="B189" s="20">
        <f t="shared" si="25"/>
        <v>72</v>
      </c>
      <c r="C189" s="5"/>
      <c r="D189" s="5"/>
      <c r="E189" s="5"/>
      <c r="F189" s="32"/>
      <c r="G189" s="5"/>
      <c r="H189" s="5" t="s">
        <v>357</v>
      </c>
      <c r="I189" s="18"/>
      <c r="J189" s="18"/>
      <c r="K189" s="18">
        <f t="shared" si="26"/>
        <v>0</v>
      </c>
      <c r="L189" s="18">
        <v>10000</v>
      </c>
      <c r="M189" s="18"/>
      <c r="N189" s="18">
        <f t="shared" si="27"/>
        <v>10000</v>
      </c>
      <c r="O189" s="18">
        <f t="shared" si="28"/>
        <v>10000</v>
      </c>
      <c r="P189" s="18">
        <f t="shared" si="29"/>
        <v>0</v>
      </c>
      <c r="Q189" s="18">
        <f t="shared" si="30"/>
        <v>10000</v>
      </c>
    </row>
    <row r="190" spans="2:17" ht="12.75">
      <c r="B190" s="20">
        <f aca="true" t="shared" si="31" ref="B190:B195">B189+1</f>
        <v>73</v>
      </c>
      <c r="C190" s="5"/>
      <c r="D190" s="26"/>
      <c r="E190" s="195"/>
      <c r="F190" s="31" t="s">
        <v>86</v>
      </c>
      <c r="G190" s="4">
        <v>717</v>
      </c>
      <c r="H190" s="4" t="s">
        <v>186</v>
      </c>
      <c r="I190" s="17"/>
      <c r="J190" s="18"/>
      <c r="K190" s="18"/>
      <c r="L190" s="18">
        <f>L191</f>
        <v>14802</v>
      </c>
      <c r="M190" s="18"/>
      <c r="N190" s="18"/>
      <c r="O190" s="18"/>
      <c r="P190" s="18"/>
      <c r="Q190" s="18"/>
    </row>
    <row r="191" spans="2:17" ht="12.75">
      <c r="B191" s="20">
        <f t="shared" si="31"/>
        <v>74</v>
      </c>
      <c r="C191" s="5"/>
      <c r="D191" s="26"/>
      <c r="E191" s="195"/>
      <c r="F191" s="32"/>
      <c r="G191" s="5"/>
      <c r="H191" s="5" t="s">
        <v>651</v>
      </c>
      <c r="I191" s="18"/>
      <c r="J191" s="18"/>
      <c r="K191" s="18"/>
      <c r="L191" s="18">
        <v>14802</v>
      </c>
      <c r="M191" s="18"/>
      <c r="N191" s="18"/>
      <c r="O191" s="18"/>
      <c r="P191" s="18"/>
      <c r="Q191" s="18"/>
    </row>
    <row r="192" spans="2:17" ht="15">
      <c r="B192" s="20">
        <f t="shared" si="31"/>
        <v>75</v>
      </c>
      <c r="C192" s="7">
        <v>8</v>
      </c>
      <c r="D192" s="232" t="s">
        <v>254</v>
      </c>
      <c r="E192" s="233"/>
      <c r="F192" s="233"/>
      <c r="G192" s="233"/>
      <c r="H192" s="234"/>
      <c r="I192" s="87">
        <f>I193</f>
        <v>46450</v>
      </c>
      <c r="J192" s="87">
        <f>J193</f>
        <v>50</v>
      </c>
      <c r="K192" s="87">
        <f aca="true" t="shared" si="32" ref="K192:K198">J192+I192</f>
        <v>46500</v>
      </c>
      <c r="L192" s="87">
        <f>L196</f>
        <v>42000</v>
      </c>
      <c r="M192" s="87">
        <f>M196</f>
        <v>0</v>
      </c>
      <c r="N192" s="87">
        <f aca="true" t="shared" si="33" ref="N192:N198">M192+L192</f>
        <v>42000</v>
      </c>
      <c r="O192" s="87">
        <f aca="true" t="shared" si="34" ref="O192:P198">I192+L192</f>
        <v>88450</v>
      </c>
      <c r="P192" s="87">
        <f t="shared" si="34"/>
        <v>50</v>
      </c>
      <c r="Q192" s="87">
        <f aca="true" t="shared" si="35" ref="Q192:Q198">O192+P192</f>
        <v>88500</v>
      </c>
    </row>
    <row r="193" spans="2:17" ht="12.75">
      <c r="B193" s="20">
        <f t="shared" si="31"/>
        <v>76</v>
      </c>
      <c r="C193" s="10"/>
      <c r="D193" s="10"/>
      <c r="E193" s="10"/>
      <c r="F193" s="30" t="s">
        <v>86</v>
      </c>
      <c r="G193" s="10">
        <v>630</v>
      </c>
      <c r="H193" s="10" t="s">
        <v>121</v>
      </c>
      <c r="I193" s="61">
        <f>I195+I194</f>
        <v>46450</v>
      </c>
      <c r="J193" s="61">
        <f>J195+J194</f>
        <v>50</v>
      </c>
      <c r="K193" s="61">
        <f t="shared" si="32"/>
        <v>46500</v>
      </c>
      <c r="L193" s="61"/>
      <c r="M193" s="61"/>
      <c r="N193" s="61">
        <f t="shared" si="33"/>
        <v>0</v>
      </c>
      <c r="O193" s="61">
        <f t="shared" si="34"/>
        <v>46450</v>
      </c>
      <c r="P193" s="61">
        <f t="shared" si="34"/>
        <v>50</v>
      </c>
      <c r="Q193" s="61">
        <f t="shared" si="35"/>
        <v>46500</v>
      </c>
    </row>
    <row r="194" spans="2:17" ht="12.75">
      <c r="B194" s="20">
        <f t="shared" si="31"/>
        <v>77</v>
      </c>
      <c r="C194" s="4"/>
      <c r="D194" s="4"/>
      <c r="E194" s="4"/>
      <c r="F194" s="31" t="s">
        <v>86</v>
      </c>
      <c r="G194" s="4">
        <v>634</v>
      </c>
      <c r="H194" s="4" t="s">
        <v>132</v>
      </c>
      <c r="I194" s="17">
        <v>45700</v>
      </c>
      <c r="J194" s="17"/>
      <c r="K194" s="17">
        <f t="shared" si="32"/>
        <v>45700</v>
      </c>
      <c r="L194" s="17"/>
      <c r="M194" s="17"/>
      <c r="N194" s="17">
        <f t="shared" si="33"/>
        <v>0</v>
      </c>
      <c r="O194" s="17">
        <f t="shared" si="34"/>
        <v>45700</v>
      </c>
      <c r="P194" s="17">
        <f t="shared" si="34"/>
        <v>0</v>
      </c>
      <c r="Q194" s="17">
        <f t="shared" si="35"/>
        <v>45700</v>
      </c>
    </row>
    <row r="195" spans="2:17" ht="12.75">
      <c r="B195" s="20">
        <f t="shared" si="31"/>
        <v>78</v>
      </c>
      <c r="C195" s="4"/>
      <c r="D195" s="4"/>
      <c r="E195" s="4"/>
      <c r="F195" s="31" t="s">
        <v>86</v>
      </c>
      <c r="G195" s="4">
        <v>637</v>
      </c>
      <c r="H195" s="4" t="s">
        <v>122</v>
      </c>
      <c r="I195" s="17">
        <v>750</v>
      </c>
      <c r="J195" s="17">
        <v>50</v>
      </c>
      <c r="K195" s="17">
        <f t="shared" si="32"/>
        <v>800</v>
      </c>
      <c r="L195" s="17"/>
      <c r="M195" s="17"/>
      <c r="N195" s="17">
        <f t="shared" si="33"/>
        <v>0</v>
      </c>
      <c r="O195" s="17">
        <f t="shared" si="34"/>
        <v>750</v>
      </c>
      <c r="P195" s="17">
        <f t="shared" si="34"/>
        <v>50</v>
      </c>
      <c r="Q195" s="17">
        <f t="shared" si="35"/>
        <v>800</v>
      </c>
    </row>
    <row r="196" spans="2:17" ht="12.75">
      <c r="B196" s="20">
        <f>B195+1</f>
        <v>79</v>
      </c>
      <c r="C196" s="10"/>
      <c r="D196" s="10"/>
      <c r="E196" s="10"/>
      <c r="F196" s="30" t="s">
        <v>86</v>
      </c>
      <c r="G196" s="10">
        <v>710</v>
      </c>
      <c r="H196" s="10" t="s">
        <v>176</v>
      </c>
      <c r="I196" s="61"/>
      <c r="J196" s="61"/>
      <c r="K196" s="61">
        <f t="shared" si="32"/>
        <v>0</v>
      </c>
      <c r="L196" s="61">
        <f>L197</f>
        <v>42000</v>
      </c>
      <c r="M196" s="61">
        <f>M197</f>
        <v>0</v>
      </c>
      <c r="N196" s="61">
        <f t="shared" si="33"/>
        <v>42000</v>
      </c>
      <c r="O196" s="61">
        <f t="shared" si="34"/>
        <v>42000</v>
      </c>
      <c r="P196" s="61">
        <f t="shared" si="34"/>
        <v>0</v>
      </c>
      <c r="Q196" s="61">
        <f t="shared" si="35"/>
        <v>42000</v>
      </c>
    </row>
    <row r="197" spans="2:17" ht="12.75">
      <c r="B197" s="20">
        <f>B196+1</f>
        <v>80</v>
      </c>
      <c r="C197" s="4"/>
      <c r="D197" s="4"/>
      <c r="E197" s="4"/>
      <c r="F197" s="31" t="s">
        <v>86</v>
      </c>
      <c r="G197" s="4">
        <v>714</v>
      </c>
      <c r="H197" s="4" t="s">
        <v>177</v>
      </c>
      <c r="I197" s="17"/>
      <c r="J197" s="17"/>
      <c r="K197" s="17">
        <f t="shared" si="32"/>
        <v>0</v>
      </c>
      <c r="L197" s="17">
        <f>L198</f>
        <v>42000</v>
      </c>
      <c r="M197" s="17">
        <f>M198</f>
        <v>0</v>
      </c>
      <c r="N197" s="17">
        <f t="shared" si="33"/>
        <v>42000</v>
      </c>
      <c r="O197" s="17">
        <f t="shared" si="34"/>
        <v>42000</v>
      </c>
      <c r="P197" s="17">
        <f t="shared" si="34"/>
        <v>0</v>
      </c>
      <c r="Q197" s="17">
        <f t="shared" si="35"/>
        <v>42000</v>
      </c>
    </row>
    <row r="198" spans="2:17" ht="12.75">
      <c r="B198" s="20">
        <f>B197+1</f>
        <v>81</v>
      </c>
      <c r="C198" s="5"/>
      <c r="D198" s="5"/>
      <c r="E198" s="5"/>
      <c r="F198" s="32"/>
      <c r="G198" s="5"/>
      <c r="H198" s="5" t="s">
        <v>639</v>
      </c>
      <c r="I198" s="18"/>
      <c r="J198" s="18"/>
      <c r="K198" s="18">
        <f t="shared" si="32"/>
        <v>0</v>
      </c>
      <c r="L198" s="18">
        <v>42000</v>
      </c>
      <c r="M198" s="18"/>
      <c r="N198" s="18">
        <f t="shared" si="33"/>
        <v>42000</v>
      </c>
      <c r="O198" s="18">
        <f t="shared" si="34"/>
        <v>42000</v>
      </c>
      <c r="P198" s="18">
        <f t="shared" si="34"/>
        <v>0</v>
      </c>
      <c r="Q198" s="18">
        <f t="shared" si="35"/>
        <v>42000</v>
      </c>
    </row>
    <row r="223" spans="2:16" ht="27">
      <c r="B223" s="248" t="s">
        <v>23</v>
      </c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/>
    </row>
    <row r="224" spans="2:17" ht="12.75">
      <c r="B224" s="244" t="s">
        <v>327</v>
      </c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6"/>
      <c r="O224" s="250" t="s">
        <v>612</v>
      </c>
      <c r="P224" s="250" t="s">
        <v>642</v>
      </c>
      <c r="Q224" s="250" t="s">
        <v>644</v>
      </c>
    </row>
    <row r="225" spans="2:17" ht="12.75">
      <c r="B225" s="251"/>
      <c r="C225" s="243" t="s">
        <v>114</v>
      </c>
      <c r="D225" s="243" t="s">
        <v>115</v>
      </c>
      <c r="E225" s="243"/>
      <c r="F225" s="243" t="s">
        <v>116</v>
      </c>
      <c r="G225" s="247" t="s">
        <v>117</v>
      </c>
      <c r="H225" s="252" t="s">
        <v>118</v>
      </c>
      <c r="I225" s="239" t="s">
        <v>609</v>
      </c>
      <c r="J225" s="209" t="s">
        <v>642</v>
      </c>
      <c r="K225" s="209" t="s">
        <v>644</v>
      </c>
      <c r="L225" s="239" t="s">
        <v>610</v>
      </c>
      <c r="M225" s="209" t="s">
        <v>642</v>
      </c>
      <c r="N225" s="209" t="s">
        <v>644</v>
      </c>
      <c r="O225" s="250"/>
      <c r="P225" s="250"/>
      <c r="Q225" s="250"/>
    </row>
    <row r="226" spans="2:17" ht="12.75">
      <c r="B226" s="251"/>
      <c r="C226" s="243"/>
      <c r="D226" s="243"/>
      <c r="E226" s="243"/>
      <c r="F226" s="243"/>
      <c r="G226" s="247"/>
      <c r="H226" s="252"/>
      <c r="I226" s="239"/>
      <c r="J226" s="210"/>
      <c r="K226" s="210"/>
      <c r="L226" s="239"/>
      <c r="M226" s="210"/>
      <c r="N226" s="210"/>
      <c r="O226" s="250"/>
      <c r="P226" s="250"/>
      <c r="Q226" s="250"/>
    </row>
    <row r="227" spans="2:17" ht="12.75">
      <c r="B227" s="251"/>
      <c r="C227" s="243"/>
      <c r="D227" s="243"/>
      <c r="E227" s="243"/>
      <c r="F227" s="243"/>
      <c r="G227" s="247"/>
      <c r="H227" s="252"/>
      <c r="I227" s="239"/>
      <c r="J227" s="210"/>
      <c r="K227" s="210"/>
      <c r="L227" s="239"/>
      <c r="M227" s="210"/>
      <c r="N227" s="210"/>
      <c r="O227" s="250"/>
      <c r="P227" s="250"/>
      <c r="Q227" s="250"/>
    </row>
    <row r="228" spans="2:17" ht="13.5" thickBot="1">
      <c r="B228" s="251"/>
      <c r="C228" s="243"/>
      <c r="D228" s="243"/>
      <c r="E228" s="243"/>
      <c r="F228" s="243"/>
      <c r="G228" s="247"/>
      <c r="H228" s="252"/>
      <c r="I228" s="239"/>
      <c r="J228" s="255"/>
      <c r="K228" s="255"/>
      <c r="L228" s="239"/>
      <c r="M228" s="255"/>
      <c r="N228" s="255"/>
      <c r="O228" s="250"/>
      <c r="P228" s="250"/>
      <c r="Q228" s="250"/>
    </row>
    <row r="229" spans="2:17" ht="16.5" thickTop="1">
      <c r="B229" s="23">
        <v>1</v>
      </c>
      <c r="C229" s="256" t="s">
        <v>23</v>
      </c>
      <c r="D229" s="257"/>
      <c r="E229" s="257"/>
      <c r="F229" s="257"/>
      <c r="G229" s="257"/>
      <c r="H229" s="258"/>
      <c r="I229" s="89">
        <f>I298+I283+I271+I260+I247+I235+I230</f>
        <v>975799</v>
      </c>
      <c r="J229" s="89">
        <f>J298+J283+J271+J260+J247+J235+J230</f>
        <v>18160</v>
      </c>
      <c r="K229" s="89">
        <f aca="true" t="shared" si="36" ref="K229:K256">I229+J229</f>
        <v>993959</v>
      </c>
      <c r="L229" s="89">
        <f>L298+L283+L271+L260+L247+L235+L230</f>
        <v>35400</v>
      </c>
      <c r="M229" s="89">
        <f>M298+M283+M271+M260+M247+M235+M230</f>
        <v>0</v>
      </c>
      <c r="N229" s="89">
        <f aca="true" t="shared" si="37" ref="N229:N257">L229+M229</f>
        <v>35400</v>
      </c>
      <c r="O229" s="89">
        <f aca="true" t="shared" si="38" ref="O229:O256">I229+L229</f>
        <v>1011199</v>
      </c>
      <c r="P229" s="89">
        <f aca="true" t="shared" si="39" ref="P229:P256">J229+M229</f>
        <v>18160</v>
      </c>
      <c r="Q229" s="89">
        <f aca="true" t="shared" si="40" ref="Q229:Q257">O229+P229</f>
        <v>1029359</v>
      </c>
    </row>
    <row r="230" spans="2:17" ht="15">
      <c r="B230" s="21">
        <f aca="true" t="shared" si="41" ref="B230:B257">B229+1</f>
        <v>2</v>
      </c>
      <c r="C230" s="7">
        <v>1</v>
      </c>
      <c r="D230" s="232" t="s">
        <v>184</v>
      </c>
      <c r="E230" s="233"/>
      <c r="F230" s="233"/>
      <c r="G230" s="233"/>
      <c r="H230" s="234"/>
      <c r="I230" s="87">
        <f>I231+I232</f>
        <v>32600</v>
      </c>
      <c r="J230" s="87">
        <f>J231+J232</f>
        <v>0</v>
      </c>
      <c r="K230" s="87">
        <f t="shared" si="36"/>
        <v>32600</v>
      </c>
      <c r="L230" s="87">
        <v>0</v>
      </c>
      <c r="M230" s="87">
        <v>0</v>
      </c>
      <c r="N230" s="87">
        <f t="shared" si="37"/>
        <v>0</v>
      </c>
      <c r="O230" s="87">
        <f t="shared" si="38"/>
        <v>32600</v>
      </c>
      <c r="P230" s="87">
        <f t="shared" si="39"/>
        <v>0</v>
      </c>
      <c r="Q230" s="87">
        <f t="shared" si="40"/>
        <v>32600</v>
      </c>
    </row>
    <row r="231" spans="2:17" ht="12.75">
      <c r="B231" s="20">
        <f t="shared" si="41"/>
        <v>3</v>
      </c>
      <c r="C231" s="10"/>
      <c r="D231" s="10"/>
      <c r="E231" s="10"/>
      <c r="F231" s="30" t="s">
        <v>87</v>
      </c>
      <c r="G231" s="10">
        <v>620</v>
      </c>
      <c r="H231" s="10" t="s">
        <v>124</v>
      </c>
      <c r="I231" s="61">
        <v>4500</v>
      </c>
      <c r="J231" s="61"/>
      <c r="K231" s="61">
        <f t="shared" si="36"/>
        <v>4500</v>
      </c>
      <c r="L231" s="61"/>
      <c r="M231" s="61"/>
      <c r="N231" s="61">
        <f t="shared" si="37"/>
        <v>0</v>
      </c>
      <c r="O231" s="61">
        <f t="shared" si="38"/>
        <v>4500</v>
      </c>
      <c r="P231" s="61">
        <f t="shared" si="39"/>
        <v>0</v>
      </c>
      <c r="Q231" s="61">
        <f t="shared" si="40"/>
        <v>4500</v>
      </c>
    </row>
    <row r="232" spans="2:17" ht="12.75">
      <c r="B232" s="20">
        <f t="shared" si="41"/>
        <v>4</v>
      </c>
      <c r="C232" s="10"/>
      <c r="D232" s="10"/>
      <c r="E232" s="10"/>
      <c r="F232" s="30" t="s">
        <v>87</v>
      </c>
      <c r="G232" s="10">
        <v>630</v>
      </c>
      <c r="H232" s="10" t="s">
        <v>121</v>
      </c>
      <c r="I232" s="61">
        <f>I234+I233</f>
        <v>28100</v>
      </c>
      <c r="J232" s="61">
        <f>J234+J233</f>
        <v>0</v>
      </c>
      <c r="K232" s="61">
        <f t="shared" si="36"/>
        <v>28100</v>
      </c>
      <c r="L232" s="61"/>
      <c r="M232" s="61"/>
      <c r="N232" s="61">
        <f t="shared" si="37"/>
        <v>0</v>
      </c>
      <c r="O232" s="61">
        <f t="shared" si="38"/>
        <v>28100</v>
      </c>
      <c r="P232" s="61">
        <f t="shared" si="39"/>
        <v>0</v>
      </c>
      <c r="Q232" s="61">
        <f t="shared" si="40"/>
        <v>28100</v>
      </c>
    </row>
    <row r="233" spans="2:17" ht="12.75">
      <c r="B233" s="20">
        <f t="shared" si="41"/>
        <v>5</v>
      </c>
      <c r="C233" s="4"/>
      <c r="D233" s="4"/>
      <c r="E233" s="4"/>
      <c r="F233" s="31" t="s">
        <v>87</v>
      </c>
      <c r="G233" s="4">
        <v>633</v>
      </c>
      <c r="H233" s="4" t="s">
        <v>125</v>
      </c>
      <c r="I233" s="17">
        <v>4100</v>
      </c>
      <c r="J233" s="17"/>
      <c r="K233" s="17">
        <f t="shared" si="36"/>
        <v>4100</v>
      </c>
      <c r="L233" s="17"/>
      <c r="M233" s="17"/>
      <c r="N233" s="17">
        <f t="shared" si="37"/>
        <v>0</v>
      </c>
      <c r="O233" s="17">
        <f t="shared" si="38"/>
        <v>4100</v>
      </c>
      <c r="P233" s="17">
        <f t="shared" si="39"/>
        <v>0</v>
      </c>
      <c r="Q233" s="17">
        <f t="shared" si="40"/>
        <v>4100</v>
      </c>
    </row>
    <row r="234" spans="2:17" ht="12.75">
      <c r="B234" s="20">
        <f t="shared" si="41"/>
        <v>6</v>
      </c>
      <c r="C234" s="4"/>
      <c r="D234" s="4"/>
      <c r="E234" s="4"/>
      <c r="F234" s="31" t="s">
        <v>87</v>
      </c>
      <c r="G234" s="4">
        <v>637</v>
      </c>
      <c r="H234" s="4" t="s">
        <v>122</v>
      </c>
      <c r="I234" s="17">
        <v>24000</v>
      </c>
      <c r="J234" s="17"/>
      <c r="K234" s="17">
        <f t="shared" si="36"/>
        <v>24000</v>
      </c>
      <c r="L234" s="17"/>
      <c r="M234" s="17"/>
      <c r="N234" s="17">
        <f t="shared" si="37"/>
        <v>0</v>
      </c>
      <c r="O234" s="17">
        <f t="shared" si="38"/>
        <v>24000</v>
      </c>
      <c r="P234" s="17">
        <f t="shared" si="39"/>
        <v>0</v>
      </c>
      <c r="Q234" s="17">
        <f t="shared" si="40"/>
        <v>24000</v>
      </c>
    </row>
    <row r="235" spans="2:17" ht="15">
      <c r="B235" s="20">
        <f t="shared" si="41"/>
        <v>7</v>
      </c>
      <c r="C235" s="7">
        <v>2</v>
      </c>
      <c r="D235" s="232" t="s">
        <v>188</v>
      </c>
      <c r="E235" s="233"/>
      <c r="F235" s="233"/>
      <c r="G235" s="233"/>
      <c r="H235" s="234"/>
      <c r="I235" s="87">
        <f>I236+I237+I238+I245+I246</f>
        <v>161427</v>
      </c>
      <c r="J235" s="87">
        <f>J236+J237+J238+J245+J246</f>
        <v>18160</v>
      </c>
      <c r="K235" s="87">
        <f t="shared" si="36"/>
        <v>179587</v>
      </c>
      <c r="L235" s="87">
        <v>0</v>
      </c>
      <c r="M235" s="87">
        <v>0</v>
      </c>
      <c r="N235" s="87">
        <f t="shared" si="37"/>
        <v>0</v>
      </c>
      <c r="O235" s="87">
        <f t="shared" si="38"/>
        <v>161427</v>
      </c>
      <c r="P235" s="87">
        <f t="shared" si="39"/>
        <v>18160</v>
      </c>
      <c r="Q235" s="87">
        <f t="shared" si="40"/>
        <v>179587</v>
      </c>
    </row>
    <row r="236" spans="2:17" ht="12.75">
      <c r="B236" s="20">
        <f t="shared" si="41"/>
        <v>8</v>
      </c>
      <c r="C236" s="10"/>
      <c r="D236" s="10"/>
      <c r="E236" s="10"/>
      <c r="F236" s="30" t="s">
        <v>187</v>
      </c>
      <c r="G236" s="10">
        <v>610</v>
      </c>
      <c r="H236" s="10" t="s">
        <v>131</v>
      </c>
      <c r="I236" s="61">
        <v>81000</v>
      </c>
      <c r="J236" s="61">
        <v>2260</v>
      </c>
      <c r="K236" s="61">
        <f t="shared" si="36"/>
        <v>83260</v>
      </c>
      <c r="L236" s="61"/>
      <c r="M236" s="61"/>
      <c r="N236" s="61">
        <f t="shared" si="37"/>
        <v>0</v>
      </c>
      <c r="O236" s="61">
        <f t="shared" si="38"/>
        <v>81000</v>
      </c>
      <c r="P236" s="61">
        <f t="shared" si="39"/>
        <v>2260</v>
      </c>
      <c r="Q236" s="61">
        <f t="shared" si="40"/>
        <v>83260</v>
      </c>
    </row>
    <row r="237" spans="2:17" ht="12.75">
      <c r="B237" s="20">
        <f t="shared" si="41"/>
        <v>9</v>
      </c>
      <c r="C237" s="10"/>
      <c r="D237" s="10"/>
      <c r="E237" s="10"/>
      <c r="F237" s="30" t="s">
        <v>187</v>
      </c>
      <c r="G237" s="10">
        <v>620</v>
      </c>
      <c r="H237" s="10" t="s">
        <v>124</v>
      </c>
      <c r="I237" s="61">
        <v>31000</v>
      </c>
      <c r="J237" s="61">
        <v>2000</v>
      </c>
      <c r="K237" s="61">
        <f t="shared" si="36"/>
        <v>33000</v>
      </c>
      <c r="L237" s="61"/>
      <c r="M237" s="61"/>
      <c r="N237" s="61">
        <f t="shared" si="37"/>
        <v>0</v>
      </c>
      <c r="O237" s="61">
        <f t="shared" si="38"/>
        <v>31000</v>
      </c>
      <c r="P237" s="61">
        <f t="shared" si="39"/>
        <v>2000</v>
      </c>
      <c r="Q237" s="61">
        <f t="shared" si="40"/>
        <v>33000</v>
      </c>
    </row>
    <row r="238" spans="2:17" ht="12.75">
      <c r="B238" s="20">
        <f t="shared" si="41"/>
        <v>10</v>
      </c>
      <c r="C238" s="10"/>
      <c r="D238" s="10"/>
      <c r="E238" s="10"/>
      <c r="F238" s="30" t="s">
        <v>187</v>
      </c>
      <c r="G238" s="10">
        <v>630</v>
      </c>
      <c r="H238" s="10" t="s">
        <v>121</v>
      </c>
      <c r="I238" s="61">
        <f>SUM(I239:I244)</f>
        <v>17375</v>
      </c>
      <c r="J238" s="61">
        <f>SUM(J239:J244)</f>
        <v>13500</v>
      </c>
      <c r="K238" s="61">
        <f t="shared" si="36"/>
        <v>30875</v>
      </c>
      <c r="L238" s="61"/>
      <c r="M238" s="61"/>
      <c r="N238" s="61">
        <f t="shared" si="37"/>
        <v>0</v>
      </c>
      <c r="O238" s="61">
        <f t="shared" si="38"/>
        <v>17375</v>
      </c>
      <c r="P238" s="61">
        <f t="shared" si="39"/>
        <v>13500</v>
      </c>
      <c r="Q238" s="61">
        <f t="shared" si="40"/>
        <v>30875</v>
      </c>
    </row>
    <row r="239" spans="2:17" ht="12.75">
      <c r="B239" s="20">
        <f t="shared" si="41"/>
        <v>11</v>
      </c>
      <c r="C239" s="4"/>
      <c r="D239" s="4"/>
      <c r="E239" s="4"/>
      <c r="F239" s="31" t="s">
        <v>187</v>
      </c>
      <c r="G239" s="4">
        <v>631</v>
      </c>
      <c r="H239" s="4" t="s">
        <v>127</v>
      </c>
      <c r="I239" s="17">
        <v>200</v>
      </c>
      <c r="J239" s="17"/>
      <c r="K239" s="17">
        <f t="shared" si="36"/>
        <v>200</v>
      </c>
      <c r="L239" s="17"/>
      <c r="M239" s="17"/>
      <c r="N239" s="17">
        <f t="shared" si="37"/>
        <v>0</v>
      </c>
      <c r="O239" s="17">
        <f t="shared" si="38"/>
        <v>200</v>
      </c>
      <c r="P239" s="17">
        <f t="shared" si="39"/>
        <v>0</v>
      </c>
      <c r="Q239" s="17">
        <f t="shared" si="40"/>
        <v>200</v>
      </c>
    </row>
    <row r="240" spans="2:17" ht="12.75">
      <c r="B240" s="20">
        <f t="shared" si="41"/>
        <v>12</v>
      </c>
      <c r="C240" s="4"/>
      <c r="D240" s="4"/>
      <c r="E240" s="4"/>
      <c r="F240" s="31" t="s">
        <v>187</v>
      </c>
      <c r="G240" s="4">
        <v>632</v>
      </c>
      <c r="H240" s="4" t="s">
        <v>134</v>
      </c>
      <c r="I240" s="17">
        <v>2500</v>
      </c>
      <c r="J240" s="17">
        <v>500</v>
      </c>
      <c r="K240" s="17">
        <f t="shared" si="36"/>
        <v>3000</v>
      </c>
      <c r="L240" s="17"/>
      <c r="M240" s="17"/>
      <c r="N240" s="17">
        <f t="shared" si="37"/>
        <v>0</v>
      </c>
      <c r="O240" s="17">
        <f t="shared" si="38"/>
        <v>2500</v>
      </c>
      <c r="P240" s="17">
        <f t="shared" si="39"/>
        <v>500</v>
      </c>
      <c r="Q240" s="17">
        <f t="shared" si="40"/>
        <v>3000</v>
      </c>
    </row>
    <row r="241" spans="2:17" ht="12.75">
      <c r="B241" s="20">
        <f t="shared" si="41"/>
        <v>13</v>
      </c>
      <c r="C241" s="4"/>
      <c r="D241" s="4"/>
      <c r="E241" s="4"/>
      <c r="F241" s="31" t="s">
        <v>187</v>
      </c>
      <c r="G241" s="4">
        <v>633</v>
      </c>
      <c r="H241" s="4" t="s">
        <v>125</v>
      </c>
      <c r="I241" s="17">
        <v>5100</v>
      </c>
      <c r="J241" s="17">
        <v>10000</v>
      </c>
      <c r="K241" s="17">
        <f t="shared" si="36"/>
        <v>15100</v>
      </c>
      <c r="L241" s="17"/>
      <c r="M241" s="17"/>
      <c r="N241" s="17">
        <f t="shared" si="37"/>
        <v>0</v>
      </c>
      <c r="O241" s="17">
        <f t="shared" si="38"/>
        <v>5100</v>
      </c>
      <c r="P241" s="17">
        <f t="shared" si="39"/>
        <v>10000</v>
      </c>
      <c r="Q241" s="17">
        <f t="shared" si="40"/>
        <v>15100</v>
      </c>
    </row>
    <row r="242" spans="2:17" ht="12.75">
      <c r="B242" s="20">
        <f t="shared" si="41"/>
        <v>14</v>
      </c>
      <c r="C242" s="4"/>
      <c r="D242" s="4"/>
      <c r="E242" s="4"/>
      <c r="F242" s="31" t="s">
        <v>187</v>
      </c>
      <c r="G242" s="4">
        <v>635</v>
      </c>
      <c r="H242" s="4" t="s">
        <v>133</v>
      </c>
      <c r="I242" s="17">
        <v>100</v>
      </c>
      <c r="J242" s="17"/>
      <c r="K242" s="17">
        <f t="shared" si="36"/>
        <v>100</v>
      </c>
      <c r="L242" s="17"/>
      <c r="M242" s="17"/>
      <c r="N242" s="17">
        <f t="shared" si="37"/>
        <v>0</v>
      </c>
      <c r="O242" s="17">
        <f t="shared" si="38"/>
        <v>100</v>
      </c>
      <c r="P242" s="17">
        <f t="shared" si="39"/>
        <v>0</v>
      </c>
      <c r="Q242" s="17">
        <f t="shared" si="40"/>
        <v>100</v>
      </c>
    </row>
    <row r="243" spans="2:17" s="13" customFormat="1" ht="12.75">
      <c r="B243" s="20">
        <f t="shared" si="41"/>
        <v>15</v>
      </c>
      <c r="C243" s="4"/>
      <c r="D243" s="4"/>
      <c r="E243" s="4"/>
      <c r="F243" s="31" t="s">
        <v>187</v>
      </c>
      <c r="G243" s="4">
        <v>637</v>
      </c>
      <c r="H243" s="4" t="s">
        <v>122</v>
      </c>
      <c r="I243" s="17">
        <v>8100</v>
      </c>
      <c r="J243" s="17">
        <v>3000</v>
      </c>
      <c r="K243" s="17">
        <f t="shared" si="36"/>
        <v>11100</v>
      </c>
      <c r="L243" s="17"/>
      <c r="M243" s="17"/>
      <c r="N243" s="17">
        <f t="shared" si="37"/>
        <v>0</v>
      </c>
      <c r="O243" s="17">
        <f t="shared" si="38"/>
        <v>8100</v>
      </c>
      <c r="P243" s="17">
        <f t="shared" si="39"/>
        <v>3000</v>
      </c>
      <c r="Q243" s="17">
        <f t="shared" si="40"/>
        <v>11100</v>
      </c>
    </row>
    <row r="244" spans="2:17" ht="12.75">
      <c r="B244" s="20">
        <f t="shared" si="41"/>
        <v>16</v>
      </c>
      <c r="C244" s="4"/>
      <c r="D244" s="4"/>
      <c r="E244" s="4"/>
      <c r="F244" s="31" t="s">
        <v>187</v>
      </c>
      <c r="G244" s="4">
        <v>637</v>
      </c>
      <c r="H244" s="4" t="s">
        <v>290</v>
      </c>
      <c r="I244" s="17">
        <v>1375</v>
      </c>
      <c r="J244" s="17"/>
      <c r="K244" s="17">
        <f t="shared" si="36"/>
        <v>1375</v>
      </c>
      <c r="L244" s="17"/>
      <c r="M244" s="17"/>
      <c r="N244" s="17">
        <f t="shared" si="37"/>
        <v>0</v>
      </c>
      <c r="O244" s="17">
        <f t="shared" si="38"/>
        <v>1375</v>
      </c>
      <c r="P244" s="17">
        <f t="shared" si="39"/>
        <v>0</v>
      </c>
      <c r="Q244" s="17">
        <f t="shared" si="40"/>
        <v>1375</v>
      </c>
    </row>
    <row r="245" spans="2:17" ht="12.75">
      <c r="B245" s="20">
        <f t="shared" si="41"/>
        <v>17</v>
      </c>
      <c r="C245" s="10"/>
      <c r="D245" s="10"/>
      <c r="E245" s="10"/>
      <c r="F245" s="30" t="s">
        <v>187</v>
      </c>
      <c r="G245" s="10">
        <v>640</v>
      </c>
      <c r="H245" s="10" t="s">
        <v>129</v>
      </c>
      <c r="I245" s="61">
        <v>600</v>
      </c>
      <c r="J245" s="61">
        <v>400</v>
      </c>
      <c r="K245" s="61">
        <f t="shared" si="36"/>
        <v>1000</v>
      </c>
      <c r="L245" s="61"/>
      <c r="M245" s="61"/>
      <c r="N245" s="61">
        <f t="shared" si="37"/>
        <v>0</v>
      </c>
      <c r="O245" s="61">
        <f t="shared" si="38"/>
        <v>600</v>
      </c>
      <c r="P245" s="61">
        <f t="shared" si="39"/>
        <v>400</v>
      </c>
      <c r="Q245" s="61">
        <f t="shared" si="40"/>
        <v>1000</v>
      </c>
    </row>
    <row r="246" spans="2:17" ht="12.75">
      <c r="B246" s="20">
        <f t="shared" si="41"/>
        <v>18</v>
      </c>
      <c r="C246" s="10"/>
      <c r="D246" s="10"/>
      <c r="E246" s="10"/>
      <c r="F246" s="30" t="s">
        <v>187</v>
      </c>
      <c r="G246" s="10">
        <v>630</v>
      </c>
      <c r="H246" s="10" t="s">
        <v>597</v>
      </c>
      <c r="I246" s="61">
        <v>31452</v>
      </c>
      <c r="J246" s="61"/>
      <c r="K246" s="61">
        <f t="shared" si="36"/>
        <v>31452</v>
      </c>
      <c r="L246" s="61"/>
      <c r="M246" s="61"/>
      <c r="N246" s="61">
        <f t="shared" si="37"/>
        <v>0</v>
      </c>
      <c r="O246" s="61">
        <f t="shared" si="38"/>
        <v>31452</v>
      </c>
      <c r="P246" s="61">
        <f t="shared" si="39"/>
        <v>0</v>
      </c>
      <c r="Q246" s="61">
        <f t="shared" si="40"/>
        <v>31452</v>
      </c>
    </row>
    <row r="247" spans="2:17" ht="15">
      <c r="B247" s="20">
        <f t="shared" si="41"/>
        <v>19</v>
      </c>
      <c r="C247" s="7">
        <v>3</v>
      </c>
      <c r="D247" s="232" t="s">
        <v>172</v>
      </c>
      <c r="E247" s="233"/>
      <c r="F247" s="233"/>
      <c r="G247" s="233"/>
      <c r="H247" s="234"/>
      <c r="I247" s="87">
        <f>I248+I249+I250+I256+I259+I258</f>
        <v>445573</v>
      </c>
      <c r="J247" s="87">
        <f>J248+J249+J250+J256+J259</f>
        <v>0</v>
      </c>
      <c r="K247" s="87">
        <f t="shared" si="36"/>
        <v>445573</v>
      </c>
      <c r="L247" s="87">
        <v>0</v>
      </c>
      <c r="M247" s="87">
        <v>0</v>
      </c>
      <c r="N247" s="87">
        <f t="shared" si="37"/>
        <v>0</v>
      </c>
      <c r="O247" s="87">
        <f t="shared" si="38"/>
        <v>445573</v>
      </c>
      <c r="P247" s="87">
        <f t="shared" si="39"/>
        <v>0</v>
      </c>
      <c r="Q247" s="87">
        <f t="shared" si="40"/>
        <v>445573</v>
      </c>
    </row>
    <row r="248" spans="2:17" ht="12.75">
      <c r="B248" s="20">
        <f t="shared" si="41"/>
        <v>20</v>
      </c>
      <c r="C248" s="10"/>
      <c r="D248" s="10"/>
      <c r="E248" s="10"/>
      <c r="F248" s="30" t="s">
        <v>86</v>
      </c>
      <c r="G248" s="10">
        <v>610</v>
      </c>
      <c r="H248" s="10" t="s">
        <v>131</v>
      </c>
      <c r="I248" s="61">
        <v>194420</v>
      </c>
      <c r="J248" s="61"/>
      <c r="K248" s="61">
        <f t="shared" si="36"/>
        <v>194420</v>
      </c>
      <c r="L248" s="61"/>
      <c r="M248" s="61"/>
      <c r="N248" s="61">
        <f t="shared" si="37"/>
        <v>0</v>
      </c>
      <c r="O248" s="61">
        <f t="shared" si="38"/>
        <v>194420</v>
      </c>
      <c r="P248" s="61">
        <f t="shared" si="39"/>
        <v>0</v>
      </c>
      <c r="Q248" s="61">
        <f t="shared" si="40"/>
        <v>194420</v>
      </c>
    </row>
    <row r="249" spans="2:17" ht="12.75">
      <c r="B249" s="20">
        <f t="shared" si="41"/>
        <v>21</v>
      </c>
      <c r="C249" s="10"/>
      <c r="D249" s="10"/>
      <c r="E249" s="10"/>
      <c r="F249" s="30" t="s">
        <v>86</v>
      </c>
      <c r="G249" s="10">
        <v>620</v>
      </c>
      <c r="H249" s="10" t="s">
        <v>124</v>
      </c>
      <c r="I249" s="61">
        <v>73300</v>
      </c>
      <c r="J249" s="61"/>
      <c r="K249" s="61">
        <f t="shared" si="36"/>
        <v>73300</v>
      </c>
      <c r="L249" s="61"/>
      <c r="M249" s="61"/>
      <c r="N249" s="61">
        <f t="shared" si="37"/>
        <v>0</v>
      </c>
      <c r="O249" s="61">
        <f t="shared" si="38"/>
        <v>73300</v>
      </c>
      <c r="P249" s="61">
        <f t="shared" si="39"/>
        <v>0</v>
      </c>
      <c r="Q249" s="61">
        <f t="shared" si="40"/>
        <v>73300</v>
      </c>
    </row>
    <row r="250" spans="2:17" ht="12.75">
      <c r="B250" s="20">
        <f t="shared" si="41"/>
        <v>22</v>
      </c>
      <c r="C250" s="10"/>
      <c r="D250" s="10"/>
      <c r="E250" s="10"/>
      <c r="F250" s="30" t="s">
        <v>86</v>
      </c>
      <c r="G250" s="10">
        <v>630</v>
      </c>
      <c r="H250" s="10" t="s">
        <v>121</v>
      </c>
      <c r="I250" s="61">
        <f>SUM(I251:I255)</f>
        <v>20070</v>
      </c>
      <c r="J250" s="61">
        <f>SUM(J251:J255)</f>
        <v>0</v>
      </c>
      <c r="K250" s="61">
        <f t="shared" si="36"/>
        <v>20070</v>
      </c>
      <c r="L250" s="61"/>
      <c r="M250" s="61"/>
      <c r="N250" s="61">
        <f t="shared" si="37"/>
        <v>0</v>
      </c>
      <c r="O250" s="61">
        <f t="shared" si="38"/>
        <v>20070</v>
      </c>
      <c r="P250" s="61">
        <f t="shared" si="39"/>
        <v>0</v>
      </c>
      <c r="Q250" s="61">
        <f t="shared" si="40"/>
        <v>20070</v>
      </c>
    </row>
    <row r="251" spans="2:17" ht="12.75">
      <c r="B251" s="20">
        <f t="shared" si="41"/>
        <v>23</v>
      </c>
      <c r="C251" s="4"/>
      <c r="D251" s="4"/>
      <c r="E251" s="4"/>
      <c r="F251" s="31" t="s">
        <v>86</v>
      </c>
      <c r="G251" s="4">
        <v>631</v>
      </c>
      <c r="H251" s="4" t="s">
        <v>127</v>
      </c>
      <c r="I251" s="17">
        <v>50</v>
      </c>
      <c r="J251" s="17"/>
      <c r="K251" s="17">
        <f t="shared" si="36"/>
        <v>50</v>
      </c>
      <c r="L251" s="17"/>
      <c r="M251" s="17"/>
      <c r="N251" s="17">
        <f t="shared" si="37"/>
        <v>0</v>
      </c>
      <c r="O251" s="17">
        <f t="shared" si="38"/>
        <v>50</v>
      </c>
      <c r="P251" s="17">
        <f t="shared" si="39"/>
        <v>0</v>
      </c>
      <c r="Q251" s="17">
        <f t="shared" si="40"/>
        <v>50</v>
      </c>
    </row>
    <row r="252" spans="2:17" ht="12.75">
      <c r="B252" s="20">
        <f t="shared" si="41"/>
        <v>24</v>
      </c>
      <c r="C252" s="4"/>
      <c r="D252" s="4"/>
      <c r="E252" s="4"/>
      <c r="F252" s="31" t="s">
        <v>86</v>
      </c>
      <c r="G252" s="4">
        <v>632</v>
      </c>
      <c r="H252" s="4" t="s">
        <v>134</v>
      </c>
      <c r="I252" s="17">
        <v>2500</v>
      </c>
      <c r="J252" s="17"/>
      <c r="K252" s="17">
        <f t="shared" si="36"/>
        <v>2500</v>
      </c>
      <c r="L252" s="17"/>
      <c r="M252" s="17"/>
      <c r="N252" s="17">
        <f t="shared" si="37"/>
        <v>0</v>
      </c>
      <c r="O252" s="17">
        <f t="shared" si="38"/>
        <v>2500</v>
      </c>
      <c r="P252" s="17">
        <f t="shared" si="39"/>
        <v>0</v>
      </c>
      <c r="Q252" s="17">
        <f t="shared" si="40"/>
        <v>2500</v>
      </c>
    </row>
    <row r="253" spans="2:17" ht="12.75">
      <c r="B253" s="20">
        <f t="shared" si="41"/>
        <v>25</v>
      </c>
      <c r="C253" s="4"/>
      <c r="D253" s="4"/>
      <c r="E253" s="4"/>
      <c r="F253" s="31" t="s">
        <v>86</v>
      </c>
      <c r="G253" s="4">
        <v>633</v>
      </c>
      <c r="H253" s="4" t="s">
        <v>125</v>
      </c>
      <c r="I253" s="17">
        <v>1500</v>
      </c>
      <c r="J253" s="17"/>
      <c r="K253" s="17">
        <f t="shared" si="36"/>
        <v>1500</v>
      </c>
      <c r="L253" s="17"/>
      <c r="M253" s="17"/>
      <c r="N253" s="17">
        <f t="shared" si="37"/>
        <v>0</v>
      </c>
      <c r="O253" s="17">
        <f t="shared" si="38"/>
        <v>1500</v>
      </c>
      <c r="P253" s="17">
        <f t="shared" si="39"/>
        <v>0</v>
      </c>
      <c r="Q253" s="17">
        <f t="shared" si="40"/>
        <v>1500</v>
      </c>
    </row>
    <row r="254" spans="2:17" ht="13.5" customHeight="1">
      <c r="B254" s="20">
        <f t="shared" si="41"/>
        <v>26</v>
      </c>
      <c r="C254" s="4"/>
      <c r="D254" s="4"/>
      <c r="E254" s="4"/>
      <c r="F254" s="31" t="s">
        <v>86</v>
      </c>
      <c r="G254" s="4">
        <v>637</v>
      </c>
      <c r="H254" s="4" t="s">
        <v>122</v>
      </c>
      <c r="I254" s="17">
        <v>12720</v>
      </c>
      <c r="J254" s="17"/>
      <c r="K254" s="17">
        <f t="shared" si="36"/>
        <v>12720</v>
      </c>
      <c r="L254" s="17"/>
      <c r="M254" s="17"/>
      <c r="N254" s="17">
        <f t="shared" si="37"/>
        <v>0</v>
      </c>
      <c r="O254" s="17">
        <f t="shared" si="38"/>
        <v>12720</v>
      </c>
      <c r="P254" s="17">
        <f t="shared" si="39"/>
        <v>0</v>
      </c>
      <c r="Q254" s="17">
        <f t="shared" si="40"/>
        <v>12720</v>
      </c>
    </row>
    <row r="255" spans="2:17" ht="12.75" customHeight="1">
      <c r="B255" s="20">
        <f t="shared" si="41"/>
        <v>27</v>
      </c>
      <c r="C255" s="4"/>
      <c r="D255" s="4"/>
      <c r="E255" s="4"/>
      <c r="F255" s="31" t="s">
        <v>86</v>
      </c>
      <c r="G255" s="4">
        <v>637</v>
      </c>
      <c r="H255" s="4" t="s">
        <v>290</v>
      </c>
      <c r="I255" s="17">
        <v>3300</v>
      </c>
      <c r="J255" s="17"/>
      <c r="K255" s="17">
        <f t="shared" si="36"/>
        <v>3300</v>
      </c>
      <c r="L255" s="17"/>
      <c r="M255" s="17"/>
      <c r="N255" s="17">
        <f t="shared" si="37"/>
        <v>0</v>
      </c>
      <c r="O255" s="17">
        <f t="shared" si="38"/>
        <v>3300</v>
      </c>
      <c r="P255" s="17">
        <f t="shared" si="39"/>
        <v>0</v>
      </c>
      <c r="Q255" s="17">
        <f t="shared" si="40"/>
        <v>3300</v>
      </c>
    </row>
    <row r="256" spans="2:17" ht="12.75">
      <c r="B256" s="20">
        <f t="shared" si="41"/>
        <v>28</v>
      </c>
      <c r="C256" s="10"/>
      <c r="D256" s="10"/>
      <c r="E256" s="10"/>
      <c r="F256" s="30" t="s">
        <v>86</v>
      </c>
      <c r="G256" s="10">
        <v>640</v>
      </c>
      <c r="H256" s="10" t="s">
        <v>129</v>
      </c>
      <c r="I256" s="61">
        <v>600</v>
      </c>
      <c r="J256" s="61"/>
      <c r="K256" s="61">
        <f t="shared" si="36"/>
        <v>600</v>
      </c>
      <c r="L256" s="61"/>
      <c r="M256" s="61"/>
      <c r="N256" s="61">
        <f t="shared" si="37"/>
        <v>0</v>
      </c>
      <c r="O256" s="61">
        <f t="shared" si="38"/>
        <v>600</v>
      </c>
      <c r="P256" s="61">
        <f t="shared" si="39"/>
        <v>0</v>
      </c>
      <c r="Q256" s="61">
        <f t="shared" si="40"/>
        <v>600</v>
      </c>
    </row>
    <row r="257" spans="2:17" ht="12.75">
      <c r="B257" s="20">
        <f t="shared" si="41"/>
        <v>29</v>
      </c>
      <c r="C257" s="10"/>
      <c r="D257" s="10"/>
      <c r="E257" s="10"/>
      <c r="F257" s="52"/>
      <c r="G257" s="3"/>
      <c r="H257" s="53"/>
      <c r="I257" s="16"/>
      <c r="J257" s="16"/>
      <c r="K257" s="16"/>
      <c r="L257" s="61"/>
      <c r="M257" s="61"/>
      <c r="N257" s="61">
        <f t="shared" si="37"/>
        <v>0</v>
      </c>
      <c r="O257" s="61"/>
      <c r="P257" s="61"/>
      <c r="Q257" s="61">
        <f t="shared" si="40"/>
        <v>0</v>
      </c>
    </row>
    <row r="258" spans="2:17" ht="12.75">
      <c r="B258" s="20">
        <f aca="true" t="shared" si="42" ref="B258:B263">B257+1</f>
        <v>30</v>
      </c>
      <c r="C258" s="10"/>
      <c r="D258" s="10"/>
      <c r="E258" s="10"/>
      <c r="F258" s="52"/>
      <c r="G258" s="3">
        <v>600</v>
      </c>
      <c r="H258" s="53" t="s">
        <v>646</v>
      </c>
      <c r="I258" s="16">
        <v>61604</v>
      </c>
      <c r="J258" s="16"/>
      <c r="K258" s="16"/>
      <c r="L258" s="61"/>
      <c r="M258" s="61"/>
      <c r="N258" s="61"/>
      <c r="O258" s="61"/>
      <c r="P258" s="61"/>
      <c r="Q258" s="61"/>
    </row>
    <row r="259" spans="2:17" ht="12.75">
      <c r="B259" s="20">
        <f t="shared" si="42"/>
        <v>31</v>
      </c>
      <c r="C259" s="10"/>
      <c r="D259" s="10"/>
      <c r="E259" s="10"/>
      <c r="F259" s="52"/>
      <c r="G259" s="3">
        <v>600</v>
      </c>
      <c r="H259" s="53" t="s">
        <v>598</v>
      </c>
      <c r="I259" s="16">
        <v>95579</v>
      </c>
      <c r="J259" s="16"/>
      <c r="K259" s="16">
        <f aca="true" t="shared" si="43" ref="K259:K304">I259+J259</f>
        <v>95579</v>
      </c>
      <c r="L259" s="61"/>
      <c r="M259" s="61"/>
      <c r="N259" s="61">
        <f aca="true" t="shared" si="44" ref="N259:N304">L259+M259</f>
        <v>0</v>
      </c>
      <c r="O259" s="61">
        <f aca="true" t="shared" si="45" ref="O259:O292">I259+L259</f>
        <v>95579</v>
      </c>
      <c r="P259" s="61">
        <f aca="true" t="shared" si="46" ref="P259:P292">J259+M259</f>
        <v>0</v>
      </c>
      <c r="Q259" s="61">
        <f aca="true" t="shared" si="47" ref="Q259:Q304">O259+P259</f>
        <v>95579</v>
      </c>
    </row>
    <row r="260" spans="2:17" ht="15">
      <c r="B260" s="20">
        <f t="shared" si="42"/>
        <v>32</v>
      </c>
      <c r="C260" s="7">
        <v>4</v>
      </c>
      <c r="D260" s="232" t="s">
        <v>55</v>
      </c>
      <c r="E260" s="233"/>
      <c r="F260" s="233"/>
      <c r="G260" s="233"/>
      <c r="H260" s="234"/>
      <c r="I260" s="87">
        <f>I261</f>
        <v>71905</v>
      </c>
      <c r="J260" s="87">
        <f>J261</f>
        <v>0</v>
      </c>
      <c r="K260" s="87">
        <f t="shared" si="43"/>
        <v>71905</v>
      </c>
      <c r="L260" s="87">
        <v>0</v>
      </c>
      <c r="M260" s="87">
        <v>0</v>
      </c>
      <c r="N260" s="87">
        <f t="shared" si="44"/>
        <v>0</v>
      </c>
      <c r="O260" s="87">
        <f t="shared" si="45"/>
        <v>71905</v>
      </c>
      <c r="P260" s="87">
        <f t="shared" si="46"/>
        <v>0</v>
      </c>
      <c r="Q260" s="87">
        <f t="shared" si="47"/>
        <v>71905</v>
      </c>
    </row>
    <row r="261" spans="2:17" ht="15">
      <c r="B261" s="20">
        <f t="shared" si="42"/>
        <v>33</v>
      </c>
      <c r="C261" s="12"/>
      <c r="D261" s="12"/>
      <c r="E261" s="12">
        <v>2</v>
      </c>
      <c r="F261" s="34"/>
      <c r="G261" s="12"/>
      <c r="H261" s="12" t="s">
        <v>16</v>
      </c>
      <c r="I261" s="90">
        <f>I262+I263+I264+I270</f>
        <v>71905</v>
      </c>
      <c r="J261" s="90">
        <f>J262+J263+J264+J270</f>
        <v>0</v>
      </c>
      <c r="K261" s="90">
        <f t="shared" si="43"/>
        <v>71905</v>
      </c>
      <c r="L261" s="90"/>
      <c r="M261" s="90"/>
      <c r="N261" s="90">
        <f t="shared" si="44"/>
        <v>0</v>
      </c>
      <c r="O261" s="90">
        <f t="shared" si="45"/>
        <v>71905</v>
      </c>
      <c r="P261" s="90">
        <f t="shared" si="46"/>
        <v>0</v>
      </c>
      <c r="Q261" s="90">
        <f t="shared" si="47"/>
        <v>71905</v>
      </c>
    </row>
    <row r="262" spans="2:17" ht="12.75">
      <c r="B262" s="20">
        <f t="shared" si="42"/>
        <v>34</v>
      </c>
      <c r="C262" s="10"/>
      <c r="D262" s="10"/>
      <c r="E262" s="10"/>
      <c r="F262" s="30" t="s">
        <v>196</v>
      </c>
      <c r="G262" s="10">
        <v>610</v>
      </c>
      <c r="H262" s="10" t="s">
        <v>131</v>
      </c>
      <c r="I262" s="61">
        <v>32820</v>
      </c>
      <c r="J262" s="61"/>
      <c r="K262" s="61">
        <f t="shared" si="43"/>
        <v>32820</v>
      </c>
      <c r="L262" s="61"/>
      <c r="M262" s="61"/>
      <c r="N262" s="61">
        <f t="shared" si="44"/>
        <v>0</v>
      </c>
      <c r="O262" s="61">
        <f t="shared" si="45"/>
        <v>32820</v>
      </c>
      <c r="P262" s="61">
        <f t="shared" si="46"/>
        <v>0</v>
      </c>
      <c r="Q262" s="61">
        <f t="shared" si="47"/>
        <v>32820</v>
      </c>
    </row>
    <row r="263" spans="2:17" ht="12.75">
      <c r="B263" s="20">
        <f t="shared" si="42"/>
        <v>35</v>
      </c>
      <c r="C263" s="10"/>
      <c r="D263" s="10"/>
      <c r="E263" s="10"/>
      <c r="F263" s="30" t="s">
        <v>196</v>
      </c>
      <c r="G263" s="10">
        <v>620</v>
      </c>
      <c r="H263" s="10" t="s">
        <v>124</v>
      </c>
      <c r="I263" s="61">
        <v>11985</v>
      </c>
      <c r="J263" s="61"/>
      <c r="K263" s="61">
        <f t="shared" si="43"/>
        <v>11985</v>
      </c>
      <c r="L263" s="61"/>
      <c r="M263" s="61"/>
      <c r="N263" s="61">
        <f t="shared" si="44"/>
        <v>0</v>
      </c>
      <c r="O263" s="61">
        <f t="shared" si="45"/>
        <v>11985</v>
      </c>
      <c r="P263" s="61">
        <f t="shared" si="46"/>
        <v>0</v>
      </c>
      <c r="Q263" s="61">
        <f t="shared" si="47"/>
        <v>11985</v>
      </c>
    </row>
    <row r="264" spans="2:17" ht="12.75">
      <c r="B264" s="20">
        <f aca="true" t="shared" si="48" ref="B264:B304">B263+1</f>
        <v>36</v>
      </c>
      <c r="C264" s="10"/>
      <c r="D264" s="10"/>
      <c r="E264" s="10"/>
      <c r="F264" s="30" t="s">
        <v>196</v>
      </c>
      <c r="G264" s="10">
        <v>630</v>
      </c>
      <c r="H264" s="10" t="s">
        <v>121</v>
      </c>
      <c r="I264" s="61">
        <f>SUM(I265:I269)</f>
        <v>26400</v>
      </c>
      <c r="J264" s="61">
        <f>SUM(J265:J269)</f>
        <v>0</v>
      </c>
      <c r="K264" s="61">
        <f t="shared" si="43"/>
        <v>26400</v>
      </c>
      <c r="L264" s="61"/>
      <c r="M264" s="61"/>
      <c r="N264" s="61">
        <f t="shared" si="44"/>
        <v>0</v>
      </c>
      <c r="O264" s="61">
        <f t="shared" si="45"/>
        <v>26400</v>
      </c>
      <c r="P264" s="61">
        <f t="shared" si="46"/>
        <v>0</v>
      </c>
      <c r="Q264" s="61">
        <f t="shared" si="47"/>
        <v>26400</v>
      </c>
    </row>
    <row r="265" spans="2:17" ht="12.75">
      <c r="B265" s="20">
        <f t="shared" si="48"/>
        <v>37</v>
      </c>
      <c r="C265" s="4"/>
      <c r="D265" s="4"/>
      <c r="E265" s="4"/>
      <c r="F265" s="31" t="s">
        <v>196</v>
      </c>
      <c r="G265" s="4">
        <v>632</v>
      </c>
      <c r="H265" s="4" t="s">
        <v>134</v>
      </c>
      <c r="I265" s="17">
        <v>9000</v>
      </c>
      <c r="J265" s="17"/>
      <c r="K265" s="17">
        <f t="shared" si="43"/>
        <v>9000</v>
      </c>
      <c r="L265" s="17"/>
      <c r="M265" s="17"/>
      <c r="N265" s="17">
        <f t="shared" si="44"/>
        <v>0</v>
      </c>
      <c r="O265" s="17">
        <f t="shared" si="45"/>
        <v>9000</v>
      </c>
      <c r="P265" s="17">
        <f t="shared" si="46"/>
        <v>0</v>
      </c>
      <c r="Q265" s="17">
        <f t="shared" si="47"/>
        <v>9000</v>
      </c>
    </row>
    <row r="266" spans="2:17" ht="12.75">
      <c r="B266" s="20">
        <f t="shared" si="48"/>
        <v>38</v>
      </c>
      <c r="C266" s="4"/>
      <c r="D266" s="4"/>
      <c r="E266" s="4"/>
      <c r="F266" s="31" t="s">
        <v>196</v>
      </c>
      <c r="G266" s="4">
        <v>633</v>
      </c>
      <c r="H266" s="4" t="s">
        <v>125</v>
      </c>
      <c r="I266" s="17">
        <v>3820</v>
      </c>
      <c r="J266" s="17"/>
      <c r="K266" s="17">
        <f t="shared" si="43"/>
        <v>3820</v>
      </c>
      <c r="L266" s="17"/>
      <c r="M266" s="17"/>
      <c r="N266" s="17">
        <f t="shared" si="44"/>
        <v>0</v>
      </c>
      <c r="O266" s="17">
        <f t="shared" si="45"/>
        <v>3820</v>
      </c>
      <c r="P266" s="17">
        <f t="shared" si="46"/>
        <v>0</v>
      </c>
      <c r="Q266" s="17">
        <f t="shared" si="47"/>
        <v>3820</v>
      </c>
    </row>
    <row r="267" spans="2:17" ht="13.5" customHeight="1">
      <c r="B267" s="20">
        <f t="shared" si="48"/>
        <v>39</v>
      </c>
      <c r="C267" s="4"/>
      <c r="D267" s="4"/>
      <c r="E267" s="4"/>
      <c r="F267" s="31" t="s">
        <v>196</v>
      </c>
      <c r="G267" s="4">
        <v>635</v>
      </c>
      <c r="H267" s="4" t="s">
        <v>133</v>
      </c>
      <c r="I267" s="17">
        <v>9600</v>
      </c>
      <c r="J267" s="17"/>
      <c r="K267" s="17">
        <f t="shared" si="43"/>
        <v>9600</v>
      </c>
      <c r="L267" s="17"/>
      <c r="M267" s="17"/>
      <c r="N267" s="17">
        <f t="shared" si="44"/>
        <v>0</v>
      </c>
      <c r="O267" s="17">
        <f t="shared" si="45"/>
        <v>9600</v>
      </c>
      <c r="P267" s="17">
        <f t="shared" si="46"/>
        <v>0</v>
      </c>
      <c r="Q267" s="17">
        <f t="shared" si="47"/>
        <v>9600</v>
      </c>
    </row>
    <row r="268" spans="2:17" ht="12.75" customHeight="1">
      <c r="B268" s="20">
        <f t="shared" si="48"/>
        <v>40</v>
      </c>
      <c r="C268" s="4"/>
      <c r="D268" s="4"/>
      <c r="E268" s="4"/>
      <c r="F268" s="31" t="s">
        <v>196</v>
      </c>
      <c r="G268" s="4">
        <v>637</v>
      </c>
      <c r="H268" s="4" t="s">
        <v>122</v>
      </c>
      <c r="I268" s="17">
        <v>3430</v>
      </c>
      <c r="J268" s="17"/>
      <c r="K268" s="17">
        <f t="shared" si="43"/>
        <v>3430</v>
      </c>
      <c r="L268" s="17"/>
      <c r="M268" s="17"/>
      <c r="N268" s="17">
        <f t="shared" si="44"/>
        <v>0</v>
      </c>
      <c r="O268" s="17">
        <f t="shared" si="45"/>
        <v>3430</v>
      </c>
      <c r="P268" s="17">
        <f t="shared" si="46"/>
        <v>0</v>
      </c>
      <c r="Q268" s="17">
        <f t="shared" si="47"/>
        <v>3430</v>
      </c>
    </row>
    <row r="269" spans="2:17" ht="12.75">
      <c r="B269" s="20">
        <f t="shared" si="48"/>
        <v>41</v>
      </c>
      <c r="C269" s="4"/>
      <c r="D269" s="4"/>
      <c r="E269" s="4"/>
      <c r="F269" s="31" t="s">
        <v>196</v>
      </c>
      <c r="G269" s="4">
        <v>637</v>
      </c>
      <c r="H269" s="4" t="s">
        <v>290</v>
      </c>
      <c r="I269" s="17">
        <v>550</v>
      </c>
      <c r="J269" s="17"/>
      <c r="K269" s="17">
        <f t="shared" si="43"/>
        <v>550</v>
      </c>
      <c r="L269" s="17"/>
      <c r="M269" s="17"/>
      <c r="N269" s="17">
        <f t="shared" si="44"/>
        <v>0</v>
      </c>
      <c r="O269" s="17">
        <f t="shared" si="45"/>
        <v>550</v>
      </c>
      <c r="P269" s="17">
        <f t="shared" si="46"/>
        <v>0</v>
      </c>
      <c r="Q269" s="17">
        <f t="shared" si="47"/>
        <v>550</v>
      </c>
    </row>
    <row r="270" spans="2:17" ht="12.75">
      <c r="B270" s="20">
        <f t="shared" si="48"/>
        <v>42</v>
      </c>
      <c r="C270" s="10"/>
      <c r="D270" s="10"/>
      <c r="E270" s="10"/>
      <c r="F270" s="30" t="s">
        <v>196</v>
      </c>
      <c r="G270" s="10">
        <v>640</v>
      </c>
      <c r="H270" s="10" t="s">
        <v>129</v>
      </c>
      <c r="I270" s="61">
        <v>700</v>
      </c>
      <c r="J270" s="61"/>
      <c r="K270" s="61">
        <f t="shared" si="43"/>
        <v>700</v>
      </c>
      <c r="L270" s="61"/>
      <c r="M270" s="61"/>
      <c r="N270" s="61">
        <f t="shared" si="44"/>
        <v>0</v>
      </c>
      <c r="O270" s="61">
        <f t="shared" si="45"/>
        <v>700</v>
      </c>
      <c r="P270" s="61">
        <f t="shared" si="46"/>
        <v>0</v>
      </c>
      <c r="Q270" s="61">
        <f t="shared" si="47"/>
        <v>700</v>
      </c>
    </row>
    <row r="271" spans="2:17" ht="15">
      <c r="B271" s="20">
        <f t="shared" si="48"/>
        <v>43</v>
      </c>
      <c r="C271" s="7">
        <v>5</v>
      </c>
      <c r="D271" s="232" t="s">
        <v>223</v>
      </c>
      <c r="E271" s="233"/>
      <c r="F271" s="233"/>
      <c r="G271" s="233"/>
      <c r="H271" s="234"/>
      <c r="I271" s="87">
        <f>I272</f>
        <v>82440</v>
      </c>
      <c r="J271" s="87">
        <f>J272</f>
        <v>0</v>
      </c>
      <c r="K271" s="87">
        <f t="shared" si="43"/>
        <v>82440</v>
      </c>
      <c r="L271" s="87">
        <f>L273+L274+L275+L282</f>
        <v>0</v>
      </c>
      <c r="M271" s="87">
        <f>M273+M274+M275+M282</f>
        <v>0</v>
      </c>
      <c r="N271" s="87">
        <f t="shared" si="44"/>
        <v>0</v>
      </c>
      <c r="O271" s="87">
        <f t="shared" si="45"/>
        <v>82440</v>
      </c>
      <c r="P271" s="87">
        <f t="shared" si="46"/>
        <v>0</v>
      </c>
      <c r="Q271" s="87">
        <f t="shared" si="47"/>
        <v>82440</v>
      </c>
    </row>
    <row r="272" spans="2:17" ht="15">
      <c r="B272" s="20">
        <f t="shared" si="48"/>
        <v>44</v>
      </c>
      <c r="C272" s="12"/>
      <c r="D272" s="12"/>
      <c r="E272" s="12">
        <v>2</v>
      </c>
      <c r="F272" s="34"/>
      <c r="G272" s="12"/>
      <c r="H272" s="12" t="s">
        <v>16</v>
      </c>
      <c r="I272" s="90">
        <f>I273+I274+I275+I282</f>
        <v>82440</v>
      </c>
      <c r="J272" s="90">
        <f>J273+J274+J275+J282</f>
        <v>0</v>
      </c>
      <c r="K272" s="90">
        <f t="shared" si="43"/>
        <v>82440</v>
      </c>
      <c r="L272" s="90"/>
      <c r="M272" s="90"/>
      <c r="N272" s="90">
        <f t="shared" si="44"/>
        <v>0</v>
      </c>
      <c r="O272" s="90">
        <f t="shared" si="45"/>
        <v>82440</v>
      </c>
      <c r="P272" s="90">
        <f t="shared" si="46"/>
        <v>0</v>
      </c>
      <c r="Q272" s="90">
        <f t="shared" si="47"/>
        <v>82440</v>
      </c>
    </row>
    <row r="273" spans="2:17" ht="12.75">
      <c r="B273" s="20">
        <f t="shared" si="48"/>
        <v>45</v>
      </c>
      <c r="C273" s="10"/>
      <c r="D273" s="10"/>
      <c r="E273" s="10"/>
      <c r="F273" s="30" t="s">
        <v>196</v>
      </c>
      <c r="G273" s="10">
        <v>610</v>
      </c>
      <c r="H273" s="10" t="s">
        <v>131</v>
      </c>
      <c r="I273" s="61">
        <v>22605</v>
      </c>
      <c r="J273" s="61"/>
      <c r="K273" s="61">
        <f t="shared" si="43"/>
        <v>22605</v>
      </c>
      <c r="L273" s="61"/>
      <c r="M273" s="61"/>
      <c r="N273" s="61">
        <f t="shared" si="44"/>
        <v>0</v>
      </c>
      <c r="O273" s="61">
        <f t="shared" si="45"/>
        <v>22605</v>
      </c>
      <c r="P273" s="61">
        <f t="shared" si="46"/>
        <v>0</v>
      </c>
      <c r="Q273" s="61">
        <f t="shared" si="47"/>
        <v>22605</v>
      </c>
    </row>
    <row r="274" spans="2:17" ht="12.75">
      <c r="B274" s="20">
        <f t="shared" si="48"/>
        <v>46</v>
      </c>
      <c r="C274" s="10"/>
      <c r="D274" s="10"/>
      <c r="E274" s="10"/>
      <c r="F274" s="30" t="s">
        <v>196</v>
      </c>
      <c r="G274" s="10">
        <v>620</v>
      </c>
      <c r="H274" s="10" t="s">
        <v>124</v>
      </c>
      <c r="I274" s="61">
        <v>10435</v>
      </c>
      <c r="J274" s="61"/>
      <c r="K274" s="61">
        <f t="shared" si="43"/>
        <v>10435</v>
      </c>
      <c r="L274" s="61"/>
      <c r="M274" s="61"/>
      <c r="N274" s="61">
        <f t="shared" si="44"/>
        <v>0</v>
      </c>
      <c r="O274" s="61">
        <f t="shared" si="45"/>
        <v>10435</v>
      </c>
      <c r="P274" s="61">
        <f t="shared" si="46"/>
        <v>0</v>
      </c>
      <c r="Q274" s="61">
        <f t="shared" si="47"/>
        <v>10435</v>
      </c>
    </row>
    <row r="275" spans="2:21" ht="12.75">
      <c r="B275" s="20">
        <f t="shared" si="48"/>
        <v>47</v>
      </c>
      <c r="C275" s="10"/>
      <c r="D275" s="10"/>
      <c r="E275" s="10"/>
      <c r="F275" s="30" t="s">
        <v>196</v>
      </c>
      <c r="G275" s="10">
        <v>630</v>
      </c>
      <c r="H275" s="10" t="s">
        <v>121</v>
      </c>
      <c r="I275" s="61">
        <f>SUM(I276:I281)</f>
        <v>48900</v>
      </c>
      <c r="J275" s="61">
        <f>SUM(J276:J281)</f>
        <v>0</v>
      </c>
      <c r="K275" s="61">
        <f t="shared" si="43"/>
        <v>48900</v>
      </c>
      <c r="L275" s="61"/>
      <c r="M275" s="61"/>
      <c r="N275" s="61">
        <f t="shared" si="44"/>
        <v>0</v>
      </c>
      <c r="O275" s="61">
        <f t="shared" si="45"/>
        <v>48900</v>
      </c>
      <c r="P275" s="61">
        <f t="shared" si="46"/>
        <v>0</v>
      </c>
      <c r="Q275" s="61">
        <f t="shared" si="47"/>
        <v>48900</v>
      </c>
      <c r="U275" s="19"/>
    </row>
    <row r="276" spans="2:21" ht="12.75">
      <c r="B276" s="20">
        <f t="shared" si="48"/>
        <v>48</v>
      </c>
      <c r="C276" s="4"/>
      <c r="D276" s="4"/>
      <c r="E276" s="4"/>
      <c r="F276" s="31" t="s">
        <v>196</v>
      </c>
      <c r="G276" s="4">
        <v>632</v>
      </c>
      <c r="H276" s="4" t="s">
        <v>134</v>
      </c>
      <c r="I276" s="17">
        <v>6400</v>
      </c>
      <c r="J276" s="17"/>
      <c r="K276" s="17">
        <f t="shared" si="43"/>
        <v>6400</v>
      </c>
      <c r="L276" s="17"/>
      <c r="M276" s="17"/>
      <c r="N276" s="17">
        <f t="shared" si="44"/>
        <v>0</v>
      </c>
      <c r="O276" s="17">
        <f t="shared" si="45"/>
        <v>6400</v>
      </c>
      <c r="P276" s="17">
        <f t="shared" si="46"/>
        <v>0</v>
      </c>
      <c r="Q276" s="17">
        <f t="shared" si="47"/>
        <v>6400</v>
      </c>
      <c r="U276" s="19"/>
    </row>
    <row r="277" spans="2:17" ht="12.75">
      <c r="B277" s="20">
        <f t="shared" si="48"/>
        <v>49</v>
      </c>
      <c r="C277" s="4"/>
      <c r="D277" s="4"/>
      <c r="E277" s="4"/>
      <c r="F277" s="31" t="s">
        <v>196</v>
      </c>
      <c r="G277" s="4">
        <v>633</v>
      </c>
      <c r="H277" s="4" t="s">
        <v>125</v>
      </c>
      <c r="I277" s="17">
        <v>12000</v>
      </c>
      <c r="J277" s="17"/>
      <c r="K277" s="17">
        <f t="shared" si="43"/>
        <v>12000</v>
      </c>
      <c r="L277" s="17"/>
      <c r="M277" s="17"/>
      <c r="N277" s="17">
        <f t="shared" si="44"/>
        <v>0</v>
      </c>
      <c r="O277" s="17">
        <f t="shared" si="45"/>
        <v>12000</v>
      </c>
      <c r="P277" s="17">
        <f t="shared" si="46"/>
        <v>0</v>
      </c>
      <c r="Q277" s="17">
        <f t="shared" si="47"/>
        <v>12000</v>
      </c>
    </row>
    <row r="278" spans="2:17" ht="12.75">
      <c r="B278" s="20">
        <f t="shared" si="48"/>
        <v>50</v>
      </c>
      <c r="C278" s="4"/>
      <c r="D278" s="4"/>
      <c r="E278" s="4"/>
      <c r="F278" s="31" t="s">
        <v>196</v>
      </c>
      <c r="G278" s="4">
        <v>635</v>
      </c>
      <c r="H278" s="4" t="s">
        <v>133</v>
      </c>
      <c r="I278" s="17">
        <v>400</v>
      </c>
      <c r="J278" s="17"/>
      <c r="K278" s="17">
        <f t="shared" si="43"/>
        <v>400</v>
      </c>
      <c r="L278" s="17"/>
      <c r="M278" s="17"/>
      <c r="N278" s="17">
        <f t="shared" si="44"/>
        <v>0</v>
      </c>
      <c r="O278" s="17">
        <f t="shared" si="45"/>
        <v>400</v>
      </c>
      <c r="P278" s="17">
        <f t="shared" si="46"/>
        <v>0</v>
      </c>
      <c r="Q278" s="17">
        <f t="shared" si="47"/>
        <v>400</v>
      </c>
    </row>
    <row r="279" spans="2:17" ht="12.75">
      <c r="B279" s="20">
        <f t="shared" si="48"/>
        <v>51</v>
      </c>
      <c r="C279" s="4"/>
      <c r="D279" s="4"/>
      <c r="E279" s="4"/>
      <c r="F279" s="31" t="s">
        <v>196</v>
      </c>
      <c r="G279" s="4">
        <v>636</v>
      </c>
      <c r="H279" s="4" t="s">
        <v>126</v>
      </c>
      <c r="I279" s="17">
        <f>14400-3000</f>
        <v>11400</v>
      </c>
      <c r="J279" s="17"/>
      <c r="K279" s="17">
        <f t="shared" si="43"/>
        <v>11400</v>
      </c>
      <c r="L279" s="17"/>
      <c r="M279" s="17"/>
      <c r="N279" s="17">
        <f t="shared" si="44"/>
        <v>0</v>
      </c>
      <c r="O279" s="17">
        <f t="shared" si="45"/>
        <v>11400</v>
      </c>
      <c r="P279" s="17">
        <f t="shared" si="46"/>
        <v>0</v>
      </c>
      <c r="Q279" s="17">
        <f t="shared" si="47"/>
        <v>11400</v>
      </c>
    </row>
    <row r="280" spans="2:17" ht="12.75">
      <c r="B280" s="20">
        <f t="shared" si="48"/>
        <v>52</v>
      </c>
      <c r="C280" s="4"/>
      <c r="D280" s="4"/>
      <c r="E280" s="4"/>
      <c r="F280" s="31" t="s">
        <v>196</v>
      </c>
      <c r="G280" s="4">
        <v>637</v>
      </c>
      <c r="H280" s="4" t="s">
        <v>122</v>
      </c>
      <c r="I280" s="17">
        <f>23150-5000</f>
        <v>18150</v>
      </c>
      <c r="J280" s="17"/>
      <c r="K280" s="17">
        <f t="shared" si="43"/>
        <v>18150</v>
      </c>
      <c r="L280" s="17"/>
      <c r="M280" s="17"/>
      <c r="N280" s="17">
        <f t="shared" si="44"/>
        <v>0</v>
      </c>
      <c r="O280" s="17">
        <f t="shared" si="45"/>
        <v>18150</v>
      </c>
      <c r="P280" s="17">
        <f t="shared" si="46"/>
        <v>0</v>
      </c>
      <c r="Q280" s="17">
        <f t="shared" si="47"/>
        <v>18150</v>
      </c>
    </row>
    <row r="281" spans="2:17" ht="12.75">
      <c r="B281" s="20">
        <f t="shared" si="48"/>
        <v>53</v>
      </c>
      <c r="C281" s="4"/>
      <c r="D281" s="4"/>
      <c r="E281" s="4"/>
      <c r="F281" s="31" t="s">
        <v>196</v>
      </c>
      <c r="G281" s="4">
        <v>637</v>
      </c>
      <c r="H281" s="4" t="s">
        <v>290</v>
      </c>
      <c r="I281" s="17">
        <v>550</v>
      </c>
      <c r="J281" s="17"/>
      <c r="K281" s="17">
        <f t="shared" si="43"/>
        <v>550</v>
      </c>
      <c r="L281" s="17"/>
      <c r="M281" s="17"/>
      <c r="N281" s="17">
        <f t="shared" si="44"/>
        <v>0</v>
      </c>
      <c r="O281" s="17">
        <f t="shared" si="45"/>
        <v>550</v>
      </c>
      <c r="P281" s="17">
        <f t="shared" si="46"/>
        <v>0</v>
      </c>
      <c r="Q281" s="17">
        <f t="shared" si="47"/>
        <v>550</v>
      </c>
    </row>
    <row r="282" spans="2:17" ht="12.75">
      <c r="B282" s="20">
        <f t="shared" si="48"/>
        <v>54</v>
      </c>
      <c r="C282" s="10"/>
      <c r="D282" s="48"/>
      <c r="E282" s="10"/>
      <c r="F282" s="30" t="s">
        <v>196</v>
      </c>
      <c r="G282" s="10">
        <v>640</v>
      </c>
      <c r="H282" s="49" t="s">
        <v>129</v>
      </c>
      <c r="I282" s="61">
        <v>500</v>
      </c>
      <c r="J282" s="61"/>
      <c r="K282" s="61">
        <f t="shared" si="43"/>
        <v>500</v>
      </c>
      <c r="L282" s="61"/>
      <c r="M282" s="61"/>
      <c r="N282" s="61">
        <f t="shared" si="44"/>
        <v>0</v>
      </c>
      <c r="O282" s="61">
        <f t="shared" si="45"/>
        <v>500</v>
      </c>
      <c r="P282" s="61">
        <f t="shared" si="46"/>
        <v>0</v>
      </c>
      <c r="Q282" s="61">
        <f t="shared" si="47"/>
        <v>500</v>
      </c>
    </row>
    <row r="283" spans="2:17" ht="15">
      <c r="B283" s="20">
        <f t="shared" si="48"/>
        <v>55</v>
      </c>
      <c r="C283" s="7">
        <v>6</v>
      </c>
      <c r="D283" s="232" t="s">
        <v>145</v>
      </c>
      <c r="E283" s="233"/>
      <c r="F283" s="233"/>
      <c r="G283" s="233"/>
      <c r="H283" s="234"/>
      <c r="I283" s="87">
        <f>I284</f>
        <v>179554</v>
      </c>
      <c r="J283" s="87">
        <f>J284</f>
        <v>0</v>
      </c>
      <c r="K283" s="87">
        <f t="shared" si="43"/>
        <v>179554</v>
      </c>
      <c r="L283" s="87">
        <f>L295+L289</f>
        <v>35400</v>
      </c>
      <c r="M283" s="87">
        <f>M295+M289</f>
        <v>0</v>
      </c>
      <c r="N283" s="87">
        <f t="shared" si="44"/>
        <v>35400</v>
      </c>
      <c r="O283" s="87">
        <f t="shared" si="45"/>
        <v>214954</v>
      </c>
      <c r="P283" s="87">
        <f t="shared" si="46"/>
        <v>0</v>
      </c>
      <c r="Q283" s="87">
        <f t="shared" si="47"/>
        <v>214954</v>
      </c>
    </row>
    <row r="284" spans="2:17" ht="12.75">
      <c r="B284" s="20">
        <f t="shared" si="48"/>
        <v>56</v>
      </c>
      <c r="C284" s="10"/>
      <c r="D284" s="10"/>
      <c r="E284" s="10"/>
      <c r="F284" s="30" t="s">
        <v>144</v>
      </c>
      <c r="G284" s="10">
        <v>630</v>
      </c>
      <c r="H284" s="10" t="s">
        <v>121</v>
      </c>
      <c r="I284" s="61">
        <f>I288+I287+I286+I285</f>
        <v>179554</v>
      </c>
      <c r="J284" s="61">
        <f>J288+J287+J286+J285</f>
        <v>0</v>
      </c>
      <c r="K284" s="61">
        <f t="shared" si="43"/>
        <v>179554</v>
      </c>
      <c r="L284" s="61"/>
      <c r="M284" s="61"/>
      <c r="N284" s="61">
        <f t="shared" si="44"/>
        <v>0</v>
      </c>
      <c r="O284" s="61">
        <f t="shared" si="45"/>
        <v>179554</v>
      </c>
      <c r="P284" s="61">
        <f t="shared" si="46"/>
        <v>0</v>
      </c>
      <c r="Q284" s="61">
        <f t="shared" si="47"/>
        <v>179554</v>
      </c>
    </row>
    <row r="285" spans="2:17" ht="12.75">
      <c r="B285" s="20">
        <f t="shared" si="48"/>
        <v>57</v>
      </c>
      <c r="C285" s="4"/>
      <c r="D285" s="4"/>
      <c r="E285" s="4"/>
      <c r="F285" s="31" t="s">
        <v>144</v>
      </c>
      <c r="G285" s="4">
        <v>632</v>
      </c>
      <c r="H285" s="4" t="s">
        <v>134</v>
      </c>
      <c r="I285" s="17">
        <f>24000-796</f>
        <v>23204</v>
      </c>
      <c r="J285" s="17"/>
      <c r="K285" s="17">
        <f t="shared" si="43"/>
        <v>23204</v>
      </c>
      <c r="L285" s="17"/>
      <c r="M285" s="17"/>
      <c r="N285" s="17">
        <f t="shared" si="44"/>
        <v>0</v>
      </c>
      <c r="O285" s="17">
        <f t="shared" si="45"/>
        <v>23204</v>
      </c>
      <c r="P285" s="17">
        <f t="shared" si="46"/>
        <v>0</v>
      </c>
      <c r="Q285" s="17">
        <f t="shared" si="47"/>
        <v>23204</v>
      </c>
    </row>
    <row r="286" spans="2:17" ht="12.75">
      <c r="B286" s="20">
        <f t="shared" si="48"/>
        <v>58</v>
      </c>
      <c r="C286" s="4"/>
      <c r="D286" s="4"/>
      <c r="E286" s="4"/>
      <c r="F286" s="31" t="s">
        <v>144</v>
      </c>
      <c r="G286" s="4">
        <v>633</v>
      </c>
      <c r="H286" s="4" t="s">
        <v>125</v>
      </c>
      <c r="I286" s="17">
        <v>6000</v>
      </c>
      <c r="J286" s="17"/>
      <c r="K286" s="17">
        <f t="shared" si="43"/>
        <v>6000</v>
      </c>
      <c r="L286" s="17"/>
      <c r="M286" s="17"/>
      <c r="N286" s="17">
        <f t="shared" si="44"/>
        <v>0</v>
      </c>
      <c r="O286" s="17">
        <f t="shared" si="45"/>
        <v>6000</v>
      </c>
      <c r="P286" s="17">
        <f t="shared" si="46"/>
        <v>0</v>
      </c>
      <c r="Q286" s="17">
        <f t="shared" si="47"/>
        <v>6000</v>
      </c>
    </row>
    <row r="287" spans="2:17" ht="12.75">
      <c r="B287" s="20">
        <f t="shared" si="48"/>
        <v>59</v>
      </c>
      <c r="C287" s="4"/>
      <c r="D287" s="4"/>
      <c r="E287" s="4"/>
      <c r="F287" s="31" t="s">
        <v>144</v>
      </c>
      <c r="G287" s="4">
        <v>635</v>
      </c>
      <c r="H287" s="4" t="s">
        <v>133</v>
      </c>
      <c r="I287" s="17">
        <f>34000-10000</f>
        <v>24000</v>
      </c>
      <c r="J287" s="17"/>
      <c r="K287" s="17">
        <f t="shared" si="43"/>
        <v>24000</v>
      </c>
      <c r="L287" s="17"/>
      <c r="M287" s="17"/>
      <c r="N287" s="17">
        <f t="shared" si="44"/>
        <v>0</v>
      </c>
      <c r="O287" s="17">
        <f t="shared" si="45"/>
        <v>24000</v>
      </c>
      <c r="P287" s="17">
        <f t="shared" si="46"/>
        <v>0</v>
      </c>
      <c r="Q287" s="17">
        <f t="shared" si="47"/>
        <v>24000</v>
      </c>
    </row>
    <row r="288" spans="2:17" ht="12.75">
      <c r="B288" s="20">
        <f t="shared" si="48"/>
        <v>60</v>
      </c>
      <c r="C288" s="4"/>
      <c r="D288" s="4"/>
      <c r="E288" s="4"/>
      <c r="F288" s="31" t="s">
        <v>144</v>
      </c>
      <c r="G288" s="4">
        <v>637</v>
      </c>
      <c r="H288" s="4" t="s">
        <v>122</v>
      </c>
      <c r="I288" s="17">
        <v>126350</v>
      </c>
      <c r="J288" s="17"/>
      <c r="K288" s="17">
        <f t="shared" si="43"/>
        <v>126350</v>
      </c>
      <c r="L288" s="17"/>
      <c r="M288" s="17"/>
      <c r="N288" s="17">
        <f t="shared" si="44"/>
        <v>0</v>
      </c>
      <c r="O288" s="17">
        <f t="shared" si="45"/>
        <v>126350</v>
      </c>
      <c r="P288" s="17">
        <f t="shared" si="46"/>
        <v>0</v>
      </c>
      <c r="Q288" s="17">
        <f t="shared" si="47"/>
        <v>126350</v>
      </c>
    </row>
    <row r="289" spans="2:17" ht="12.75">
      <c r="B289" s="20">
        <f t="shared" si="48"/>
        <v>61</v>
      </c>
      <c r="C289" s="4"/>
      <c r="D289" s="29"/>
      <c r="E289" s="4"/>
      <c r="F289" s="30" t="s">
        <v>144</v>
      </c>
      <c r="G289" s="10">
        <v>710</v>
      </c>
      <c r="H289" s="10" t="s">
        <v>176</v>
      </c>
      <c r="I289" s="17"/>
      <c r="J289" s="17"/>
      <c r="K289" s="17">
        <f t="shared" si="43"/>
        <v>0</v>
      </c>
      <c r="L289" s="16">
        <f>L290+L293</f>
        <v>21000</v>
      </c>
      <c r="M289" s="16">
        <f>M290+M293</f>
        <v>0</v>
      </c>
      <c r="N289" s="16">
        <f t="shared" si="44"/>
        <v>21000</v>
      </c>
      <c r="O289" s="16">
        <f t="shared" si="45"/>
        <v>21000</v>
      </c>
      <c r="P289" s="16">
        <f t="shared" si="46"/>
        <v>0</v>
      </c>
      <c r="Q289" s="16">
        <f t="shared" si="47"/>
        <v>21000</v>
      </c>
    </row>
    <row r="290" spans="2:17" ht="12.75">
      <c r="B290" s="20">
        <f t="shared" si="48"/>
        <v>62</v>
      </c>
      <c r="C290" s="4"/>
      <c r="D290" s="29"/>
      <c r="E290" s="4"/>
      <c r="F290" s="31" t="s">
        <v>144</v>
      </c>
      <c r="G290" s="4">
        <v>716</v>
      </c>
      <c r="H290" s="4" t="s">
        <v>222</v>
      </c>
      <c r="I290" s="17"/>
      <c r="J290" s="17"/>
      <c r="K290" s="17">
        <f t="shared" si="43"/>
        <v>0</v>
      </c>
      <c r="L290" s="17">
        <f>L291+L292</f>
        <v>11000</v>
      </c>
      <c r="M290" s="17">
        <f>M291+M292</f>
        <v>0</v>
      </c>
      <c r="N290" s="17">
        <f t="shared" si="44"/>
        <v>11000</v>
      </c>
      <c r="O290" s="17">
        <f t="shared" si="45"/>
        <v>11000</v>
      </c>
      <c r="P290" s="17">
        <f t="shared" si="46"/>
        <v>0</v>
      </c>
      <c r="Q290" s="17">
        <f t="shared" si="47"/>
        <v>11000</v>
      </c>
    </row>
    <row r="291" spans="2:17" ht="12.75">
      <c r="B291" s="20">
        <f t="shared" si="48"/>
        <v>63</v>
      </c>
      <c r="C291" s="4"/>
      <c r="D291" s="29"/>
      <c r="E291" s="4"/>
      <c r="F291" s="31"/>
      <c r="G291" s="4"/>
      <c r="H291" s="5" t="s">
        <v>576</v>
      </c>
      <c r="I291" s="17"/>
      <c r="J291" s="17"/>
      <c r="K291" s="17">
        <f t="shared" si="43"/>
        <v>0</v>
      </c>
      <c r="L291" s="18">
        <v>9200</v>
      </c>
      <c r="M291" s="18"/>
      <c r="N291" s="18">
        <f t="shared" si="44"/>
        <v>9200</v>
      </c>
      <c r="O291" s="18">
        <f t="shared" si="45"/>
        <v>9200</v>
      </c>
      <c r="P291" s="18">
        <f t="shared" si="46"/>
        <v>0</v>
      </c>
      <c r="Q291" s="18">
        <f t="shared" si="47"/>
        <v>9200</v>
      </c>
    </row>
    <row r="292" spans="2:17" ht="12.75">
      <c r="B292" s="20">
        <f t="shared" si="48"/>
        <v>64</v>
      </c>
      <c r="C292" s="4"/>
      <c r="D292" s="29"/>
      <c r="E292" s="4"/>
      <c r="F292" s="31"/>
      <c r="G292" s="4"/>
      <c r="H292" s="5" t="s">
        <v>640</v>
      </c>
      <c r="I292" s="17"/>
      <c r="J292" s="17"/>
      <c r="K292" s="17">
        <f t="shared" si="43"/>
        <v>0</v>
      </c>
      <c r="L292" s="18">
        <v>1800</v>
      </c>
      <c r="M292" s="18"/>
      <c r="N292" s="18">
        <f t="shared" si="44"/>
        <v>1800</v>
      </c>
      <c r="O292" s="18">
        <f t="shared" si="45"/>
        <v>1800</v>
      </c>
      <c r="P292" s="18">
        <f t="shared" si="46"/>
        <v>0</v>
      </c>
      <c r="Q292" s="18">
        <f t="shared" si="47"/>
        <v>1800</v>
      </c>
    </row>
    <row r="293" spans="2:17" ht="12.75">
      <c r="B293" s="20">
        <f t="shared" si="48"/>
        <v>65</v>
      </c>
      <c r="C293" s="4"/>
      <c r="D293" s="29"/>
      <c r="E293" s="4"/>
      <c r="F293" s="31" t="s">
        <v>144</v>
      </c>
      <c r="G293" s="4">
        <v>717</v>
      </c>
      <c r="H293" s="4" t="s">
        <v>186</v>
      </c>
      <c r="I293" s="17"/>
      <c r="J293" s="17"/>
      <c r="K293" s="17">
        <f t="shared" si="43"/>
        <v>0</v>
      </c>
      <c r="L293" s="17">
        <f>L294</f>
        <v>10000</v>
      </c>
      <c r="M293" s="17">
        <f>M294</f>
        <v>0</v>
      </c>
      <c r="N293" s="17">
        <f t="shared" si="44"/>
        <v>10000</v>
      </c>
      <c r="O293" s="17">
        <f>L293</f>
        <v>10000</v>
      </c>
      <c r="P293" s="17">
        <f>M293</f>
        <v>0</v>
      </c>
      <c r="Q293" s="17">
        <f t="shared" si="47"/>
        <v>10000</v>
      </c>
    </row>
    <row r="294" spans="2:17" ht="12.75">
      <c r="B294" s="20">
        <f t="shared" si="48"/>
        <v>66</v>
      </c>
      <c r="C294" s="4"/>
      <c r="D294" s="29"/>
      <c r="E294" s="4"/>
      <c r="F294" s="31"/>
      <c r="G294" s="4"/>
      <c r="H294" s="58" t="s">
        <v>625</v>
      </c>
      <c r="I294" s="17"/>
      <c r="J294" s="17"/>
      <c r="K294" s="17">
        <f t="shared" si="43"/>
        <v>0</v>
      </c>
      <c r="L294" s="18">
        <v>10000</v>
      </c>
      <c r="M294" s="18"/>
      <c r="N294" s="18">
        <f t="shared" si="44"/>
        <v>10000</v>
      </c>
      <c r="O294" s="18">
        <f>L294</f>
        <v>10000</v>
      </c>
      <c r="P294" s="18">
        <f>M294</f>
        <v>0</v>
      </c>
      <c r="Q294" s="18">
        <f t="shared" si="47"/>
        <v>10000</v>
      </c>
    </row>
    <row r="295" spans="2:17" ht="12.75">
      <c r="B295" s="20">
        <f t="shared" si="48"/>
        <v>67</v>
      </c>
      <c r="C295" s="5"/>
      <c r="D295" s="26"/>
      <c r="E295" s="5"/>
      <c r="F295" s="30" t="s">
        <v>144</v>
      </c>
      <c r="G295" s="10">
        <v>720</v>
      </c>
      <c r="H295" s="49" t="s">
        <v>6</v>
      </c>
      <c r="I295" s="18"/>
      <c r="J295" s="18"/>
      <c r="K295" s="18">
        <f t="shared" si="43"/>
        <v>0</v>
      </c>
      <c r="L295" s="16">
        <f>L296+L297</f>
        <v>14400</v>
      </c>
      <c r="M295" s="16">
        <f>M296+M297</f>
        <v>0</v>
      </c>
      <c r="N295" s="16">
        <f t="shared" si="44"/>
        <v>14400</v>
      </c>
      <c r="O295" s="16">
        <f aca="true" t="shared" si="49" ref="O295:O304">I295+L295</f>
        <v>14400</v>
      </c>
      <c r="P295" s="16">
        <f aca="true" t="shared" si="50" ref="P295:P304">J295+M295</f>
        <v>0</v>
      </c>
      <c r="Q295" s="16">
        <f t="shared" si="47"/>
        <v>14400</v>
      </c>
    </row>
    <row r="296" spans="2:17" ht="12.75">
      <c r="B296" s="20">
        <f t="shared" si="48"/>
        <v>68</v>
      </c>
      <c r="C296" s="5"/>
      <c r="D296" s="26"/>
      <c r="E296" s="5"/>
      <c r="F296" s="32"/>
      <c r="G296" s="5"/>
      <c r="H296" s="58" t="s">
        <v>496</v>
      </c>
      <c r="I296" s="18"/>
      <c r="J296" s="18"/>
      <c r="K296" s="18">
        <f t="shared" si="43"/>
        <v>0</v>
      </c>
      <c r="L296" s="18">
        <f>6000-6000</f>
        <v>0</v>
      </c>
      <c r="M296" s="18">
        <f>6000-6000</f>
        <v>0</v>
      </c>
      <c r="N296" s="18">
        <f t="shared" si="44"/>
        <v>0</v>
      </c>
      <c r="O296" s="18">
        <f t="shared" si="49"/>
        <v>0</v>
      </c>
      <c r="P296" s="18">
        <f t="shared" si="50"/>
        <v>0</v>
      </c>
      <c r="Q296" s="18">
        <f t="shared" si="47"/>
        <v>0</v>
      </c>
    </row>
    <row r="297" spans="2:17" s="13" customFormat="1" ht="22.5">
      <c r="B297" s="168">
        <f t="shared" si="48"/>
        <v>69</v>
      </c>
      <c r="C297" s="28"/>
      <c r="D297" s="200"/>
      <c r="E297" s="28"/>
      <c r="F297" s="36"/>
      <c r="G297" s="28"/>
      <c r="H297" s="201" t="s">
        <v>593</v>
      </c>
      <c r="I297" s="91"/>
      <c r="J297" s="91"/>
      <c r="K297" s="91">
        <f t="shared" si="43"/>
        <v>0</v>
      </c>
      <c r="L297" s="91">
        <v>14400</v>
      </c>
      <c r="M297" s="91"/>
      <c r="N297" s="91">
        <f t="shared" si="44"/>
        <v>14400</v>
      </c>
      <c r="O297" s="91">
        <f t="shared" si="49"/>
        <v>14400</v>
      </c>
      <c r="P297" s="91">
        <f t="shared" si="50"/>
        <v>0</v>
      </c>
      <c r="Q297" s="91">
        <f t="shared" si="47"/>
        <v>14400</v>
      </c>
    </row>
    <row r="298" spans="2:17" ht="15">
      <c r="B298" s="20">
        <f t="shared" si="48"/>
        <v>70</v>
      </c>
      <c r="C298" s="7">
        <v>7</v>
      </c>
      <c r="D298" s="232" t="s">
        <v>53</v>
      </c>
      <c r="E298" s="233"/>
      <c r="F298" s="233"/>
      <c r="G298" s="233"/>
      <c r="H298" s="234"/>
      <c r="I298" s="87">
        <f>I299</f>
        <v>2300</v>
      </c>
      <c r="J298" s="87">
        <f>J299</f>
        <v>0</v>
      </c>
      <c r="K298" s="87">
        <f t="shared" si="43"/>
        <v>2300</v>
      </c>
      <c r="L298" s="87">
        <v>0</v>
      </c>
      <c r="M298" s="87">
        <v>0</v>
      </c>
      <c r="N298" s="87">
        <f t="shared" si="44"/>
        <v>0</v>
      </c>
      <c r="O298" s="87">
        <f t="shared" si="49"/>
        <v>2300</v>
      </c>
      <c r="P298" s="87">
        <f t="shared" si="50"/>
        <v>0</v>
      </c>
      <c r="Q298" s="87">
        <f t="shared" si="47"/>
        <v>2300</v>
      </c>
    </row>
    <row r="299" spans="2:17" ht="15">
      <c r="B299" s="20">
        <f t="shared" si="48"/>
        <v>71</v>
      </c>
      <c r="C299" s="12"/>
      <c r="D299" s="12"/>
      <c r="E299" s="12">
        <v>2</v>
      </c>
      <c r="F299" s="34"/>
      <c r="G299" s="12"/>
      <c r="H299" s="12" t="s">
        <v>16</v>
      </c>
      <c r="I299" s="90">
        <f>I300</f>
        <v>2300</v>
      </c>
      <c r="J299" s="90">
        <f>J300</f>
        <v>0</v>
      </c>
      <c r="K299" s="90">
        <f t="shared" si="43"/>
        <v>2300</v>
      </c>
      <c r="L299" s="90"/>
      <c r="M299" s="90"/>
      <c r="N299" s="90">
        <f t="shared" si="44"/>
        <v>0</v>
      </c>
      <c r="O299" s="90">
        <f t="shared" si="49"/>
        <v>2300</v>
      </c>
      <c r="P299" s="90">
        <f t="shared" si="50"/>
        <v>0</v>
      </c>
      <c r="Q299" s="90">
        <f t="shared" si="47"/>
        <v>2300</v>
      </c>
    </row>
    <row r="300" spans="2:17" ht="12.75">
      <c r="B300" s="20">
        <f t="shared" si="48"/>
        <v>72</v>
      </c>
      <c r="C300" s="10"/>
      <c r="D300" s="10"/>
      <c r="E300" s="10"/>
      <c r="F300" s="30" t="s">
        <v>224</v>
      </c>
      <c r="G300" s="10">
        <v>630</v>
      </c>
      <c r="H300" s="10" t="s">
        <v>121</v>
      </c>
      <c r="I300" s="61">
        <f>I304+I303+I302+I301</f>
        <v>2300</v>
      </c>
      <c r="J300" s="61">
        <f>J304+J303+J302+J301</f>
        <v>0</v>
      </c>
      <c r="K300" s="61">
        <f t="shared" si="43"/>
        <v>2300</v>
      </c>
      <c r="L300" s="61"/>
      <c r="M300" s="61"/>
      <c r="N300" s="61">
        <f t="shared" si="44"/>
        <v>0</v>
      </c>
      <c r="O300" s="61">
        <f t="shared" si="49"/>
        <v>2300</v>
      </c>
      <c r="P300" s="61">
        <f t="shared" si="50"/>
        <v>0</v>
      </c>
      <c r="Q300" s="61">
        <f t="shared" si="47"/>
        <v>2300</v>
      </c>
    </row>
    <row r="301" spans="2:17" ht="12.75">
      <c r="B301" s="20">
        <f t="shared" si="48"/>
        <v>73</v>
      </c>
      <c r="C301" s="4"/>
      <c r="D301" s="4"/>
      <c r="E301" s="4"/>
      <c r="F301" s="31" t="s">
        <v>224</v>
      </c>
      <c r="G301" s="4">
        <v>633</v>
      </c>
      <c r="H301" s="4" t="s">
        <v>125</v>
      </c>
      <c r="I301" s="17">
        <v>700</v>
      </c>
      <c r="J301" s="17"/>
      <c r="K301" s="17">
        <f t="shared" si="43"/>
        <v>700</v>
      </c>
      <c r="L301" s="17"/>
      <c r="M301" s="17"/>
      <c r="N301" s="17">
        <f t="shared" si="44"/>
        <v>0</v>
      </c>
      <c r="O301" s="17">
        <f t="shared" si="49"/>
        <v>700</v>
      </c>
      <c r="P301" s="17">
        <f t="shared" si="50"/>
        <v>0</v>
      </c>
      <c r="Q301" s="17">
        <f t="shared" si="47"/>
        <v>700</v>
      </c>
    </row>
    <row r="302" spans="2:17" ht="12.75">
      <c r="B302" s="20">
        <f t="shared" si="48"/>
        <v>74</v>
      </c>
      <c r="C302" s="4"/>
      <c r="D302" s="4"/>
      <c r="E302" s="4"/>
      <c r="F302" s="31" t="s">
        <v>224</v>
      </c>
      <c r="G302" s="4">
        <v>634</v>
      </c>
      <c r="H302" s="4" t="s">
        <v>132</v>
      </c>
      <c r="I302" s="17">
        <v>400</v>
      </c>
      <c r="J302" s="17"/>
      <c r="K302" s="17">
        <f t="shared" si="43"/>
        <v>400</v>
      </c>
      <c r="L302" s="17"/>
      <c r="M302" s="17"/>
      <c r="N302" s="17">
        <f t="shared" si="44"/>
        <v>0</v>
      </c>
      <c r="O302" s="17">
        <f t="shared" si="49"/>
        <v>400</v>
      </c>
      <c r="P302" s="17">
        <f t="shared" si="50"/>
        <v>0</v>
      </c>
      <c r="Q302" s="17">
        <f t="shared" si="47"/>
        <v>400</v>
      </c>
    </row>
    <row r="303" spans="2:17" ht="12.75">
      <c r="B303" s="20">
        <f t="shared" si="48"/>
        <v>75</v>
      </c>
      <c r="C303" s="4"/>
      <c r="D303" s="4"/>
      <c r="E303" s="4"/>
      <c r="F303" s="31" t="s">
        <v>224</v>
      </c>
      <c r="G303" s="4">
        <v>635</v>
      </c>
      <c r="H303" s="4" t="s">
        <v>133</v>
      </c>
      <c r="I303" s="17">
        <v>1000</v>
      </c>
      <c r="J303" s="17"/>
      <c r="K303" s="17">
        <f t="shared" si="43"/>
        <v>1000</v>
      </c>
      <c r="L303" s="17"/>
      <c r="M303" s="17"/>
      <c r="N303" s="17">
        <f t="shared" si="44"/>
        <v>0</v>
      </c>
      <c r="O303" s="17">
        <f t="shared" si="49"/>
        <v>1000</v>
      </c>
      <c r="P303" s="17">
        <f t="shared" si="50"/>
        <v>0</v>
      </c>
      <c r="Q303" s="17">
        <f t="shared" si="47"/>
        <v>1000</v>
      </c>
    </row>
    <row r="304" spans="2:17" ht="12.75">
      <c r="B304" s="20">
        <f t="shared" si="48"/>
        <v>76</v>
      </c>
      <c r="C304" s="4"/>
      <c r="D304" s="4"/>
      <c r="E304" s="4"/>
      <c r="F304" s="31" t="s">
        <v>224</v>
      </c>
      <c r="G304" s="4">
        <v>637</v>
      </c>
      <c r="H304" s="4" t="s">
        <v>122</v>
      </c>
      <c r="I304" s="17">
        <v>200</v>
      </c>
      <c r="J304" s="17"/>
      <c r="K304" s="17">
        <f t="shared" si="43"/>
        <v>200</v>
      </c>
      <c r="L304" s="17"/>
      <c r="M304" s="17"/>
      <c r="N304" s="17">
        <f t="shared" si="44"/>
        <v>0</v>
      </c>
      <c r="O304" s="17">
        <f t="shared" si="49"/>
        <v>200</v>
      </c>
      <c r="P304" s="17">
        <f t="shared" si="50"/>
        <v>0</v>
      </c>
      <c r="Q304" s="17">
        <f t="shared" si="47"/>
        <v>200</v>
      </c>
    </row>
    <row r="334" spans="2:16" ht="27">
      <c r="B334" s="248" t="s">
        <v>24</v>
      </c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/>
    </row>
    <row r="335" spans="2:17" ht="12.75">
      <c r="B335" s="244" t="s">
        <v>327</v>
      </c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  <c r="N335" s="246"/>
      <c r="O335" s="250" t="s">
        <v>612</v>
      </c>
      <c r="P335" s="250" t="s">
        <v>642</v>
      </c>
      <c r="Q335" s="250" t="s">
        <v>644</v>
      </c>
    </row>
    <row r="336" spans="2:17" ht="12.75">
      <c r="B336" s="251"/>
      <c r="C336" s="243" t="s">
        <v>114</v>
      </c>
      <c r="D336" s="243" t="s">
        <v>115</v>
      </c>
      <c r="E336" s="243"/>
      <c r="F336" s="243" t="s">
        <v>116</v>
      </c>
      <c r="G336" s="247" t="s">
        <v>117</v>
      </c>
      <c r="H336" s="252" t="s">
        <v>118</v>
      </c>
      <c r="I336" s="239" t="s">
        <v>609</v>
      </c>
      <c r="J336" s="209" t="s">
        <v>642</v>
      </c>
      <c r="K336" s="209" t="s">
        <v>644</v>
      </c>
      <c r="L336" s="239" t="s">
        <v>610</v>
      </c>
      <c r="M336" s="209" t="s">
        <v>642</v>
      </c>
      <c r="N336" s="209" t="s">
        <v>644</v>
      </c>
      <c r="O336" s="250"/>
      <c r="P336" s="250"/>
      <c r="Q336" s="250"/>
    </row>
    <row r="337" spans="2:17" ht="12.75">
      <c r="B337" s="251"/>
      <c r="C337" s="243"/>
      <c r="D337" s="243"/>
      <c r="E337" s="243"/>
      <c r="F337" s="243"/>
      <c r="G337" s="247"/>
      <c r="H337" s="252"/>
      <c r="I337" s="239"/>
      <c r="J337" s="210"/>
      <c r="K337" s="210"/>
      <c r="L337" s="239"/>
      <c r="M337" s="210"/>
      <c r="N337" s="210"/>
      <c r="O337" s="250"/>
      <c r="P337" s="250"/>
      <c r="Q337" s="250"/>
    </row>
    <row r="338" spans="2:17" ht="12.75">
      <c r="B338" s="251"/>
      <c r="C338" s="243"/>
      <c r="D338" s="243"/>
      <c r="E338" s="243"/>
      <c r="F338" s="243"/>
      <c r="G338" s="247"/>
      <c r="H338" s="252"/>
      <c r="I338" s="239"/>
      <c r="J338" s="210"/>
      <c r="K338" s="210"/>
      <c r="L338" s="239"/>
      <c r="M338" s="210"/>
      <c r="N338" s="210"/>
      <c r="O338" s="250"/>
      <c r="P338" s="250"/>
      <c r="Q338" s="250"/>
    </row>
    <row r="339" spans="2:17" ht="13.5" thickBot="1">
      <c r="B339" s="251"/>
      <c r="C339" s="243"/>
      <c r="D339" s="243"/>
      <c r="E339" s="243"/>
      <c r="F339" s="243"/>
      <c r="G339" s="247"/>
      <c r="H339" s="252"/>
      <c r="I339" s="239"/>
      <c r="J339" s="255"/>
      <c r="K339" s="255"/>
      <c r="L339" s="239"/>
      <c r="M339" s="255"/>
      <c r="N339" s="255"/>
      <c r="O339" s="250"/>
      <c r="P339" s="250"/>
      <c r="Q339" s="250"/>
    </row>
    <row r="340" spans="2:17" ht="16.5" thickTop="1">
      <c r="B340" s="23">
        <v>1</v>
      </c>
      <c r="C340" s="256" t="s">
        <v>24</v>
      </c>
      <c r="D340" s="257"/>
      <c r="E340" s="257"/>
      <c r="F340" s="257"/>
      <c r="G340" s="257"/>
      <c r="H340" s="258"/>
      <c r="I340" s="89">
        <f>I405+I400+I392+I361+I341</f>
        <v>2205956</v>
      </c>
      <c r="J340" s="89">
        <f>J405+J400+J392+J361+J341</f>
        <v>400</v>
      </c>
      <c r="K340" s="89">
        <f aca="true" t="shared" si="51" ref="K340:K371">J340+I340</f>
        <v>2206356</v>
      </c>
      <c r="L340" s="89">
        <f>L405+L400+L392+L361+L341</f>
        <v>283400</v>
      </c>
      <c r="M340" s="89">
        <f>M405+M400+M392+M361+M341</f>
        <v>0</v>
      </c>
      <c r="N340" s="89">
        <f aca="true" t="shared" si="52" ref="N340:N371">M340+L340</f>
        <v>283400</v>
      </c>
      <c r="O340" s="89">
        <f aca="true" t="shared" si="53" ref="O340:O371">I340+L340</f>
        <v>2489356</v>
      </c>
      <c r="P340" s="89">
        <f aca="true" t="shared" si="54" ref="P340:P371">J340+M340</f>
        <v>400</v>
      </c>
      <c r="Q340" s="89">
        <f aca="true" t="shared" si="55" ref="Q340:Q371">P340+O340</f>
        <v>2489756</v>
      </c>
    </row>
    <row r="341" spans="2:17" ht="15">
      <c r="B341" s="21">
        <f aca="true" t="shared" si="56" ref="B341:B372">B340+1</f>
        <v>2</v>
      </c>
      <c r="C341" s="7">
        <v>1</v>
      </c>
      <c r="D341" s="232" t="s">
        <v>151</v>
      </c>
      <c r="E341" s="233"/>
      <c r="F341" s="233"/>
      <c r="G341" s="233"/>
      <c r="H341" s="234"/>
      <c r="I341" s="87">
        <f>I342+I343+I344+I353+I355</f>
        <v>1314900</v>
      </c>
      <c r="J341" s="87">
        <f>J342+J343+J344+J353+J355</f>
        <v>-500</v>
      </c>
      <c r="K341" s="87">
        <f t="shared" si="51"/>
        <v>1314400</v>
      </c>
      <c r="L341" s="87">
        <f>L356</f>
        <v>19000</v>
      </c>
      <c r="M341" s="87">
        <f>M356</f>
        <v>0</v>
      </c>
      <c r="N341" s="87">
        <f t="shared" si="52"/>
        <v>19000</v>
      </c>
      <c r="O341" s="87">
        <f t="shared" si="53"/>
        <v>1333900</v>
      </c>
      <c r="P341" s="87">
        <f t="shared" si="54"/>
        <v>-500</v>
      </c>
      <c r="Q341" s="87">
        <f t="shared" si="55"/>
        <v>1333400</v>
      </c>
    </row>
    <row r="342" spans="2:17" ht="12.75">
      <c r="B342" s="20">
        <f t="shared" si="56"/>
        <v>3</v>
      </c>
      <c r="C342" s="10"/>
      <c r="D342" s="10"/>
      <c r="E342" s="10"/>
      <c r="F342" s="30" t="s">
        <v>150</v>
      </c>
      <c r="G342" s="10">
        <v>610</v>
      </c>
      <c r="H342" s="10" t="s">
        <v>131</v>
      </c>
      <c r="I342" s="61">
        <v>800000</v>
      </c>
      <c r="J342" s="61"/>
      <c r="K342" s="61">
        <f t="shared" si="51"/>
        <v>800000</v>
      </c>
      <c r="L342" s="61"/>
      <c r="M342" s="61"/>
      <c r="N342" s="61">
        <f t="shared" si="52"/>
        <v>0</v>
      </c>
      <c r="O342" s="61">
        <f t="shared" si="53"/>
        <v>800000</v>
      </c>
      <c r="P342" s="61">
        <f t="shared" si="54"/>
        <v>0</v>
      </c>
      <c r="Q342" s="61">
        <f t="shared" si="55"/>
        <v>800000</v>
      </c>
    </row>
    <row r="343" spans="2:17" ht="12.75">
      <c r="B343" s="20">
        <f t="shared" si="56"/>
        <v>4</v>
      </c>
      <c r="C343" s="10"/>
      <c r="D343" s="10"/>
      <c r="E343" s="10"/>
      <c r="F343" s="30" t="s">
        <v>150</v>
      </c>
      <c r="G343" s="10">
        <v>620</v>
      </c>
      <c r="H343" s="10" t="s">
        <v>124</v>
      </c>
      <c r="I343" s="61">
        <v>279000</v>
      </c>
      <c r="J343" s="61"/>
      <c r="K343" s="61">
        <f t="shared" si="51"/>
        <v>279000</v>
      </c>
      <c r="L343" s="61"/>
      <c r="M343" s="61"/>
      <c r="N343" s="61">
        <f t="shared" si="52"/>
        <v>0</v>
      </c>
      <c r="O343" s="61">
        <f t="shared" si="53"/>
        <v>279000</v>
      </c>
      <c r="P343" s="61">
        <f t="shared" si="54"/>
        <v>0</v>
      </c>
      <c r="Q343" s="61">
        <f t="shared" si="55"/>
        <v>279000</v>
      </c>
    </row>
    <row r="344" spans="2:17" ht="12.75">
      <c r="B344" s="20">
        <f t="shared" si="56"/>
        <v>5</v>
      </c>
      <c r="C344" s="10"/>
      <c r="D344" s="10"/>
      <c r="E344" s="10"/>
      <c r="F344" s="30" t="s">
        <v>150</v>
      </c>
      <c r="G344" s="10">
        <v>630</v>
      </c>
      <c r="H344" s="10" t="s">
        <v>121</v>
      </c>
      <c r="I344" s="61">
        <f>SUM(I345:I352)</f>
        <v>227730</v>
      </c>
      <c r="J344" s="61">
        <f>SUM(J345:J352)</f>
        <v>-500</v>
      </c>
      <c r="K344" s="61">
        <f t="shared" si="51"/>
        <v>227230</v>
      </c>
      <c r="L344" s="61"/>
      <c r="M344" s="61"/>
      <c r="N344" s="61">
        <f t="shared" si="52"/>
        <v>0</v>
      </c>
      <c r="O344" s="61">
        <f t="shared" si="53"/>
        <v>227730</v>
      </c>
      <c r="P344" s="61">
        <f t="shared" si="54"/>
        <v>-500</v>
      </c>
      <c r="Q344" s="61">
        <f t="shared" si="55"/>
        <v>227230</v>
      </c>
    </row>
    <row r="345" spans="2:17" ht="12.75">
      <c r="B345" s="20">
        <f t="shared" si="56"/>
        <v>6</v>
      </c>
      <c r="C345" s="4"/>
      <c r="D345" s="4"/>
      <c r="E345" s="4"/>
      <c r="F345" s="31" t="s">
        <v>150</v>
      </c>
      <c r="G345" s="4">
        <v>631</v>
      </c>
      <c r="H345" s="4" t="s">
        <v>127</v>
      </c>
      <c r="I345" s="17">
        <v>8000</v>
      </c>
      <c r="J345" s="17"/>
      <c r="K345" s="17">
        <f t="shared" si="51"/>
        <v>8000</v>
      </c>
      <c r="L345" s="17"/>
      <c r="M345" s="17"/>
      <c r="N345" s="17">
        <f t="shared" si="52"/>
        <v>0</v>
      </c>
      <c r="O345" s="17">
        <f t="shared" si="53"/>
        <v>8000</v>
      </c>
      <c r="P345" s="17">
        <f t="shared" si="54"/>
        <v>0</v>
      </c>
      <c r="Q345" s="17">
        <f t="shared" si="55"/>
        <v>8000</v>
      </c>
    </row>
    <row r="346" spans="2:17" ht="12.75">
      <c r="B346" s="20">
        <f t="shared" si="56"/>
        <v>7</v>
      </c>
      <c r="C346" s="4"/>
      <c r="D346" s="4"/>
      <c r="E346" s="4"/>
      <c r="F346" s="31" t="s">
        <v>150</v>
      </c>
      <c r="G346" s="4">
        <v>632</v>
      </c>
      <c r="H346" s="4" t="s">
        <v>134</v>
      </c>
      <c r="I346" s="17">
        <v>30000</v>
      </c>
      <c r="J346" s="17"/>
      <c r="K346" s="17">
        <f t="shared" si="51"/>
        <v>30000</v>
      </c>
      <c r="L346" s="17"/>
      <c r="M346" s="17"/>
      <c r="N346" s="17">
        <f t="shared" si="52"/>
        <v>0</v>
      </c>
      <c r="O346" s="17">
        <f t="shared" si="53"/>
        <v>30000</v>
      </c>
      <c r="P346" s="17">
        <f t="shared" si="54"/>
        <v>0</v>
      </c>
      <c r="Q346" s="17">
        <f t="shared" si="55"/>
        <v>30000</v>
      </c>
    </row>
    <row r="347" spans="2:17" ht="12.75">
      <c r="B347" s="20">
        <f t="shared" si="56"/>
        <v>8</v>
      </c>
      <c r="C347" s="4"/>
      <c r="D347" s="4"/>
      <c r="E347" s="4"/>
      <c r="F347" s="31" t="s">
        <v>150</v>
      </c>
      <c r="G347" s="4">
        <v>633</v>
      </c>
      <c r="H347" s="4" t="s">
        <v>125</v>
      </c>
      <c r="I347" s="17">
        <f>65750-6000</f>
        <v>59750</v>
      </c>
      <c r="J347" s="17"/>
      <c r="K347" s="17">
        <f t="shared" si="51"/>
        <v>59750</v>
      </c>
      <c r="L347" s="17"/>
      <c r="M347" s="17"/>
      <c r="N347" s="17">
        <f t="shared" si="52"/>
        <v>0</v>
      </c>
      <c r="O347" s="17">
        <f t="shared" si="53"/>
        <v>59750</v>
      </c>
      <c r="P347" s="17">
        <f t="shared" si="54"/>
        <v>0</v>
      </c>
      <c r="Q347" s="17">
        <f t="shared" si="55"/>
        <v>59750</v>
      </c>
    </row>
    <row r="348" spans="2:17" ht="12.75">
      <c r="B348" s="20">
        <f t="shared" si="56"/>
        <v>9</v>
      </c>
      <c r="C348" s="4"/>
      <c r="D348" s="4"/>
      <c r="E348" s="4"/>
      <c r="F348" s="31" t="s">
        <v>150</v>
      </c>
      <c r="G348" s="4">
        <v>634</v>
      </c>
      <c r="H348" s="4" t="s">
        <v>132</v>
      </c>
      <c r="I348" s="17">
        <v>36580</v>
      </c>
      <c r="J348" s="17">
        <v>-500</v>
      </c>
      <c r="K348" s="17">
        <f t="shared" si="51"/>
        <v>36080</v>
      </c>
      <c r="L348" s="17"/>
      <c r="M348" s="17"/>
      <c r="N348" s="17">
        <f t="shared" si="52"/>
        <v>0</v>
      </c>
      <c r="O348" s="17">
        <f t="shared" si="53"/>
        <v>36580</v>
      </c>
      <c r="P348" s="17">
        <f t="shared" si="54"/>
        <v>-500</v>
      </c>
      <c r="Q348" s="17">
        <f t="shared" si="55"/>
        <v>36080</v>
      </c>
    </row>
    <row r="349" spans="2:17" ht="12.75">
      <c r="B349" s="20">
        <f t="shared" si="56"/>
        <v>10</v>
      </c>
      <c r="C349" s="4"/>
      <c r="D349" s="4"/>
      <c r="E349" s="4"/>
      <c r="F349" s="31" t="s">
        <v>150</v>
      </c>
      <c r="G349" s="4">
        <v>635</v>
      </c>
      <c r="H349" s="4" t="s">
        <v>133</v>
      </c>
      <c r="I349" s="17">
        <v>25700</v>
      </c>
      <c r="J349" s="17"/>
      <c r="K349" s="17">
        <f t="shared" si="51"/>
        <v>25700</v>
      </c>
      <c r="L349" s="17"/>
      <c r="M349" s="17"/>
      <c r="N349" s="17">
        <f t="shared" si="52"/>
        <v>0</v>
      </c>
      <c r="O349" s="17">
        <f t="shared" si="53"/>
        <v>25700</v>
      </c>
      <c r="P349" s="17">
        <f t="shared" si="54"/>
        <v>0</v>
      </c>
      <c r="Q349" s="17">
        <f t="shared" si="55"/>
        <v>25700</v>
      </c>
    </row>
    <row r="350" spans="2:17" ht="12.75">
      <c r="B350" s="20">
        <f t="shared" si="56"/>
        <v>11</v>
      </c>
      <c r="C350" s="4"/>
      <c r="D350" s="4"/>
      <c r="E350" s="4"/>
      <c r="F350" s="31" t="s">
        <v>150</v>
      </c>
      <c r="G350" s="4">
        <v>636</v>
      </c>
      <c r="H350" s="4" t="s">
        <v>126</v>
      </c>
      <c r="I350" s="17">
        <v>2000</v>
      </c>
      <c r="J350" s="17"/>
      <c r="K350" s="17">
        <f t="shared" si="51"/>
        <v>2000</v>
      </c>
      <c r="L350" s="17"/>
      <c r="M350" s="17"/>
      <c r="N350" s="17">
        <f t="shared" si="52"/>
        <v>0</v>
      </c>
      <c r="O350" s="17">
        <f t="shared" si="53"/>
        <v>2000</v>
      </c>
      <c r="P350" s="17">
        <f t="shared" si="54"/>
        <v>0</v>
      </c>
      <c r="Q350" s="17">
        <f t="shared" si="55"/>
        <v>2000</v>
      </c>
    </row>
    <row r="351" spans="2:17" ht="12.75">
      <c r="B351" s="20">
        <f t="shared" si="56"/>
        <v>12</v>
      </c>
      <c r="C351" s="4"/>
      <c r="D351" s="4"/>
      <c r="E351" s="4"/>
      <c r="F351" s="31" t="s">
        <v>150</v>
      </c>
      <c r="G351" s="4">
        <v>637</v>
      </c>
      <c r="H351" s="4" t="s">
        <v>122</v>
      </c>
      <c r="I351" s="17">
        <v>55700</v>
      </c>
      <c r="J351" s="17"/>
      <c r="K351" s="17">
        <f t="shared" si="51"/>
        <v>55700</v>
      </c>
      <c r="L351" s="17"/>
      <c r="M351" s="17"/>
      <c r="N351" s="17">
        <f t="shared" si="52"/>
        <v>0</v>
      </c>
      <c r="O351" s="17">
        <f t="shared" si="53"/>
        <v>55700</v>
      </c>
      <c r="P351" s="17">
        <f t="shared" si="54"/>
        <v>0</v>
      </c>
      <c r="Q351" s="17">
        <f t="shared" si="55"/>
        <v>55700</v>
      </c>
    </row>
    <row r="352" spans="2:17" ht="12.75">
      <c r="B352" s="20">
        <f t="shared" si="56"/>
        <v>13</v>
      </c>
      <c r="C352" s="4"/>
      <c r="D352" s="4"/>
      <c r="E352" s="4"/>
      <c r="F352" s="31" t="s">
        <v>150</v>
      </c>
      <c r="G352" s="4">
        <v>637</v>
      </c>
      <c r="H352" s="4" t="s">
        <v>290</v>
      </c>
      <c r="I352" s="17">
        <v>10000</v>
      </c>
      <c r="J352" s="17"/>
      <c r="K352" s="17">
        <f t="shared" si="51"/>
        <v>10000</v>
      </c>
      <c r="L352" s="17"/>
      <c r="M352" s="17"/>
      <c r="N352" s="17">
        <f t="shared" si="52"/>
        <v>0</v>
      </c>
      <c r="O352" s="17">
        <f t="shared" si="53"/>
        <v>10000</v>
      </c>
      <c r="P352" s="17">
        <f t="shared" si="54"/>
        <v>0</v>
      </c>
      <c r="Q352" s="17">
        <f t="shared" si="55"/>
        <v>10000</v>
      </c>
    </row>
    <row r="353" spans="2:17" ht="12.75">
      <c r="B353" s="20">
        <f t="shared" si="56"/>
        <v>14</v>
      </c>
      <c r="C353" s="10"/>
      <c r="D353" s="10"/>
      <c r="E353" s="10"/>
      <c r="F353" s="30" t="s">
        <v>158</v>
      </c>
      <c r="G353" s="10">
        <v>630</v>
      </c>
      <c r="H353" s="10" t="s">
        <v>121</v>
      </c>
      <c r="I353" s="61">
        <f>I354</f>
        <v>500</v>
      </c>
      <c r="J353" s="61">
        <f>J354</f>
        <v>0</v>
      </c>
      <c r="K353" s="61">
        <f t="shared" si="51"/>
        <v>500</v>
      </c>
      <c r="L353" s="61"/>
      <c r="M353" s="61"/>
      <c r="N353" s="61">
        <f t="shared" si="52"/>
        <v>0</v>
      </c>
      <c r="O353" s="61">
        <f t="shared" si="53"/>
        <v>500</v>
      </c>
      <c r="P353" s="61">
        <f t="shared" si="54"/>
        <v>0</v>
      </c>
      <c r="Q353" s="61">
        <f t="shared" si="55"/>
        <v>500</v>
      </c>
    </row>
    <row r="354" spans="2:17" ht="12.75">
      <c r="B354" s="20">
        <f t="shared" si="56"/>
        <v>15</v>
      </c>
      <c r="C354" s="4"/>
      <c r="D354" s="4"/>
      <c r="E354" s="4"/>
      <c r="F354" s="31" t="s">
        <v>158</v>
      </c>
      <c r="G354" s="4">
        <v>637</v>
      </c>
      <c r="H354" s="4" t="s">
        <v>122</v>
      </c>
      <c r="I354" s="17">
        <v>500</v>
      </c>
      <c r="J354" s="17"/>
      <c r="K354" s="17">
        <f t="shared" si="51"/>
        <v>500</v>
      </c>
      <c r="L354" s="17"/>
      <c r="M354" s="17"/>
      <c r="N354" s="17">
        <f t="shared" si="52"/>
        <v>0</v>
      </c>
      <c r="O354" s="17">
        <f t="shared" si="53"/>
        <v>500</v>
      </c>
      <c r="P354" s="17">
        <f t="shared" si="54"/>
        <v>0</v>
      </c>
      <c r="Q354" s="17">
        <f t="shared" si="55"/>
        <v>500</v>
      </c>
    </row>
    <row r="355" spans="2:17" ht="12.75">
      <c r="B355" s="20">
        <f t="shared" si="56"/>
        <v>16</v>
      </c>
      <c r="C355" s="10"/>
      <c r="D355" s="10"/>
      <c r="E355" s="10"/>
      <c r="F355" s="30" t="s">
        <v>150</v>
      </c>
      <c r="G355" s="10">
        <v>640</v>
      </c>
      <c r="H355" s="10" t="s">
        <v>129</v>
      </c>
      <c r="I355" s="61">
        <f>1670+6000</f>
        <v>7670</v>
      </c>
      <c r="J355" s="61"/>
      <c r="K355" s="61">
        <f t="shared" si="51"/>
        <v>7670</v>
      </c>
      <c r="L355" s="61"/>
      <c r="M355" s="61"/>
      <c r="N355" s="61">
        <f t="shared" si="52"/>
        <v>0</v>
      </c>
      <c r="O355" s="61">
        <f t="shared" si="53"/>
        <v>7670</v>
      </c>
      <c r="P355" s="61">
        <f t="shared" si="54"/>
        <v>0</v>
      </c>
      <c r="Q355" s="61">
        <f t="shared" si="55"/>
        <v>7670</v>
      </c>
    </row>
    <row r="356" spans="2:17" ht="12.75">
      <c r="B356" s="20">
        <f t="shared" si="56"/>
        <v>17</v>
      </c>
      <c r="C356" s="10"/>
      <c r="D356" s="10"/>
      <c r="E356" s="10"/>
      <c r="F356" s="30" t="s">
        <v>150</v>
      </c>
      <c r="G356" s="10">
        <v>710</v>
      </c>
      <c r="H356" s="10" t="s">
        <v>176</v>
      </c>
      <c r="I356" s="61"/>
      <c r="J356" s="61"/>
      <c r="K356" s="61">
        <f t="shared" si="51"/>
        <v>0</v>
      </c>
      <c r="L356" s="61">
        <f>L359+L357</f>
        <v>19000</v>
      </c>
      <c r="M356" s="61">
        <f>M359+M357</f>
        <v>0</v>
      </c>
      <c r="N356" s="61">
        <f t="shared" si="52"/>
        <v>19000</v>
      </c>
      <c r="O356" s="61">
        <f t="shared" si="53"/>
        <v>19000</v>
      </c>
      <c r="P356" s="61">
        <f t="shared" si="54"/>
        <v>0</v>
      </c>
      <c r="Q356" s="61">
        <f t="shared" si="55"/>
        <v>19000</v>
      </c>
    </row>
    <row r="357" spans="2:17" ht="12.75">
      <c r="B357" s="20">
        <f t="shared" si="56"/>
        <v>18</v>
      </c>
      <c r="C357" s="4"/>
      <c r="D357" s="4"/>
      <c r="E357" s="4"/>
      <c r="F357" s="31" t="s">
        <v>150</v>
      </c>
      <c r="G357" s="4">
        <v>713</v>
      </c>
      <c r="H357" s="4" t="s">
        <v>225</v>
      </c>
      <c r="I357" s="17"/>
      <c r="J357" s="17"/>
      <c r="K357" s="17">
        <f t="shared" si="51"/>
        <v>0</v>
      </c>
      <c r="L357" s="17">
        <f>L358</f>
        <v>3000</v>
      </c>
      <c r="M357" s="17">
        <f>M358</f>
        <v>0</v>
      </c>
      <c r="N357" s="17">
        <f t="shared" si="52"/>
        <v>3000</v>
      </c>
      <c r="O357" s="17">
        <f t="shared" si="53"/>
        <v>3000</v>
      </c>
      <c r="P357" s="17">
        <f t="shared" si="54"/>
        <v>0</v>
      </c>
      <c r="Q357" s="17">
        <f t="shared" si="55"/>
        <v>3000</v>
      </c>
    </row>
    <row r="358" spans="2:17" ht="12.75">
      <c r="B358" s="20">
        <f t="shared" si="56"/>
        <v>19</v>
      </c>
      <c r="C358" s="5"/>
      <c r="D358" s="5"/>
      <c r="E358" s="5"/>
      <c r="F358" s="32"/>
      <c r="G358" s="5"/>
      <c r="H358" s="5" t="s">
        <v>409</v>
      </c>
      <c r="I358" s="18"/>
      <c r="J358" s="18"/>
      <c r="K358" s="18">
        <f t="shared" si="51"/>
        <v>0</v>
      </c>
      <c r="L358" s="18">
        <v>3000</v>
      </c>
      <c r="M358" s="18"/>
      <c r="N358" s="18">
        <f t="shared" si="52"/>
        <v>3000</v>
      </c>
      <c r="O358" s="18">
        <f t="shared" si="53"/>
        <v>3000</v>
      </c>
      <c r="P358" s="18">
        <f t="shared" si="54"/>
        <v>0</v>
      </c>
      <c r="Q358" s="18">
        <f t="shared" si="55"/>
        <v>3000</v>
      </c>
    </row>
    <row r="359" spans="2:17" ht="12.75">
      <c r="B359" s="20">
        <f t="shared" si="56"/>
        <v>20</v>
      </c>
      <c r="C359" s="4"/>
      <c r="D359" s="4"/>
      <c r="E359" s="4"/>
      <c r="F359" s="31" t="s">
        <v>150</v>
      </c>
      <c r="G359" s="4">
        <v>714</v>
      </c>
      <c r="H359" s="4" t="s">
        <v>177</v>
      </c>
      <c r="I359" s="17"/>
      <c r="J359" s="17"/>
      <c r="K359" s="17">
        <f t="shared" si="51"/>
        <v>0</v>
      </c>
      <c r="L359" s="17">
        <f>L360</f>
        <v>16000</v>
      </c>
      <c r="M359" s="17">
        <f>M360</f>
        <v>0</v>
      </c>
      <c r="N359" s="17">
        <f t="shared" si="52"/>
        <v>16000</v>
      </c>
      <c r="O359" s="17">
        <f t="shared" si="53"/>
        <v>16000</v>
      </c>
      <c r="P359" s="17">
        <f t="shared" si="54"/>
        <v>0</v>
      </c>
      <c r="Q359" s="17">
        <f t="shared" si="55"/>
        <v>16000</v>
      </c>
    </row>
    <row r="360" spans="2:17" ht="12.75">
      <c r="B360" s="20">
        <f t="shared" si="56"/>
        <v>21</v>
      </c>
      <c r="C360" s="5"/>
      <c r="D360" s="5"/>
      <c r="E360" s="5"/>
      <c r="F360" s="32"/>
      <c r="G360" s="5"/>
      <c r="H360" s="5" t="s">
        <v>333</v>
      </c>
      <c r="I360" s="18"/>
      <c r="J360" s="18"/>
      <c r="K360" s="18">
        <f t="shared" si="51"/>
        <v>0</v>
      </c>
      <c r="L360" s="18">
        <v>16000</v>
      </c>
      <c r="M360" s="18"/>
      <c r="N360" s="18">
        <f t="shared" si="52"/>
        <v>16000</v>
      </c>
      <c r="O360" s="18">
        <f t="shared" si="53"/>
        <v>16000</v>
      </c>
      <c r="P360" s="18">
        <f t="shared" si="54"/>
        <v>0</v>
      </c>
      <c r="Q360" s="18">
        <f t="shared" si="55"/>
        <v>16000</v>
      </c>
    </row>
    <row r="361" spans="2:17" ht="15">
      <c r="B361" s="20">
        <f t="shared" si="56"/>
        <v>22</v>
      </c>
      <c r="C361" s="7">
        <v>2</v>
      </c>
      <c r="D361" s="232" t="s">
        <v>210</v>
      </c>
      <c r="E361" s="233"/>
      <c r="F361" s="233"/>
      <c r="G361" s="233"/>
      <c r="H361" s="234"/>
      <c r="I361" s="87">
        <f>I378+I362</f>
        <v>805286</v>
      </c>
      <c r="J361" s="87">
        <f>J378+J362</f>
        <v>0</v>
      </c>
      <c r="K361" s="87">
        <f t="shared" si="51"/>
        <v>805286</v>
      </c>
      <c r="L361" s="87">
        <f>L378+L364</f>
        <v>241400</v>
      </c>
      <c r="M361" s="87">
        <f>M378+M364</f>
        <v>0</v>
      </c>
      <c r="N361" s="87">
        <f t="shared" si="52"/>
        <v>241400</v>
      </c>
      <c r="O361" s="87">
        <f t="shared" si="53"/>
        <v>1046686</v>
      </c>
      <c r="P361" s="87">
        <f t="shared" si="54"/>
        <v>0</v>
      </c>
      <c r="Q361" s="87">
        <f t="shared" si="55"/>
        <v>1046686</v>
      </c>
    </row>
    <row r="362" spans="2:17" ht="12.75">
      <c r="B362" s="20">
        <f t="shared" si="56"/>
        <v>23</v>
      </c>
      <c r="C362" s="10"/>
      <c r="D362" s="10"/>
      <c r="E362" s="10"/>
      <c r="F362" s="30" t="s">
        <v>209</v>
      </c>
      <c r="G362" s="10">
        <v>630</v>
      </c>
      <c r="H362" s="10" t="s">
        <v>121</v>
      </c>
      <c r="I362" s="61">
        <f>SUM(I363:I370)</f>
        <v>32676</v>
      </c>
      <c r="J362" s="61">
        <f>SUM(J363:J370)</f>
        <v>0</v>
      </c>
      <c r="K362" s="61">
        <f t="shared" si="51"/>
        <v>32676</v>
      </c>
      <c r="L362" s="61"/>
      <c r="M362" s="61"/>
      <c r="N362" s="61">
        <f t="shared" si="52"/>
        <v>0</v>
      </c>
      <c r="O362" s="61">
        <f t="shared" si="53"/>
        <v>32676</v>
      </c>
      <c r="P362" s="61">
        <f t="shared" si="54"/>
        <v>0</v>
      </c>
      <c r="Q362" s="61">
        <f t="shared" si="55"/>
        <v>32676</v>
      </c>
    </row>
    <row r="363" spans="2:17" ht="22.5">
      <c r="B363" s="20">
        <f t="shared" si="56"/>
        <v>24</v>
      </c>
      <c r="C363" s="159"/>
      <c r="D363" s="159"/>
      <c r="E363" s="159"/>
      <c r="F363" s="160" t="s">
        <v>209</v>
      </c>
      <c r="G363" s="159">
        <v>637</v>
      </c>
      <c r="H363" s="27" t="s">
        <v>567</v>
      </c>
      <c r="I363" s="161">
        <v>32676</v>
      </c>
      <c r="J363" s="161"/>
      <c r="K363" s="161">
        <f t="shared" si="51"/>
        <v>32676</v>
      </c>
      <c r="L363" s="161"/>
      <c r="M363" s="161"/>
      <c r="N363" s="161">
        <f t="shared" si="52"/>
        <v>0</v>
      </c>
      <c r="O363" s="161">
        <f t="shared" si="53"/>
        <v>32676</v>
      </c>
      <c r="P363" s="161">
        <f t="shared" si="54"/>
        <v>0</v>
      </c>
      <c r="Q363" s="161">
        <f t="shared" si="55"/>
        <v>32676</v>
      </c>
    </row>
    <row r="364" spans="2:17" ht="12.75">
      <c r="B364" s="20">
        <f t="shared" si="56"/>
        <v>25</v>
      </c>
      <c r="C364" s="4"/>
      <c r="D364" s="4"/>
      <c r="E364" s="4"/>
      <c r="F364" s="30" t="s">
        <v>209</v>
      </c>
      <c r="G364" s="10">
        <v>710</v>
      </c>
      <c r="H364" s="10" t="s">
        <v>176</v>
      </c>
      <c r="I364" s="17"/>
      <c r="J364" s="17"/>
      <c r="K364" s="17">
        <f t="shared" si="51"/>
        <v>0</v>
      </c>
      <c r="L364" s="16">
        <f>L370+L365</f>
        <v>241400</v>
      </c>
      <c r="M364" s="16">
        <f>M370+M365</f>
        <v>0</v>
      </c>
      <c r="N364" s="16">
        <f t="shared" si="52"/>
        <v>241400</v>
      </c>
      <c r="O364" s="16">
        <f t="shared" si="53"/>
        <v>241400</v>
      </c>
      <c r="P364" s="16">
        <f t="shared" si="54"/>
        <v>0</v>
      </c>
      <c r="Q364" s="16">
        <f t="shared" si="55"/>
        <v>241400</v>
      </c>
    </row>
    <row r="365" spans="2:17" ht="12.75">
      <c r="B365" s="20">
        <f t="shared" si="56"/>
        <v>26</v>
      </c>
      <c r="C365" s="4"/>
      <c r="D365" s="4"/>
      <c r="E365" s="4"/>
      <c r="F365" s="31" t="s">
        <v>209</v>
      </c>
      <c r="G365" s="4">
        <v>716</v>
      </c>
      <c r="H365" s="4" t="s">
        <v>222</v>
      </c>
      <c r="I365" s="17"/>
      <c r="J365" s="17"/>
      <c r="K365" s="17">
        <f t="shared" si="51"/>
        <v>0</v>
      </c>
      <c r="L365" s="17">
        <f>L368+L367+L369+L366</f>
        <v>7300</v>
      </c>
      <c r="M365" s="17">
        <f>M368+M367+M369+M366</f>
        <v>0</v>
      </c>
      <c r="N365" s="17">
        <f t="shared" si="52"/>
        <v>7300</v>
      </c>
      <c r="O365" s="17">
        <f t="shared" si="53"/>
        <v>7300</v>
      </c>
      <c r="P365" s="17">
        <f t="shared" si="54"/>
        <v>0</v>
      </c>
      <c r="Q365" s="17">
        <f t="shared" si="55"/>
        <v>7300</v>
      </c>
    </row>
    <row r="366" spans="2:17" ht="12.75">
      <c r="B366" s="20">
        <f t="shared" si="56"/>
        <v>27</v>
      </c>
      <c r="C366" s="4"/>
      <c r="D366" s="4"/>
      <c r="E366" s="4"/>
      <c r="F366" s="31"/>
      <c r="G366" s="4"/>
      <c r="H366" s="128" t="s">
        <v>618</v>
      </c>
      <c r="I366" s="127"/>
      <c r="J366" s="127"/>
      <c r="K366" s="127">
        <f t="shared" si="51"/>
        <v>0</v>
      </c>
      <c r="L366" s="18">
        <v>1500</v>
      </c>
      <c r="M366" s="18"/>
      <c r="N366" s="18">
        <f t="shared" si="52"/>
        <v>1500</v>
      </c>
      <c r="O366" s="18">
        <f t="shared" si="53"/>
        <v>1500</v>
      </c>
      <c r="P366" s="18">
        <f t="shared" si="54"/>
        <v>0</v>
      </c>
      <c r="Q366" s="18">
        <f t="shared" si="55"/>
        <v>1500</v>
      </c>
    </row>
    <row r="367" spans="2:17" ht="22.5">
      <c r="B367" s="20">
        <f t="shared" si="56"/>
        <v>28</v>
      </c>
      <c r="C367" s="4"/>
      <c r="D367" s="4"/>
      <c r="E367" s="4"/>
      <c r="F367" s="31"/>
      <c r="G367" s="4"/>
      <c r="H367" s="128" t="s">
        <v>616</v>
      </c>
      <c r="I367" s="127"/>
      <c r="J367" s="127"/>
      <c r="K367" s="127">
        <f t="shared" si="51"/>
        <v>0</v>
      </c>
      <c r="L367" s="18">
        <v>900</v>
      </c>
      <c r="M367" s="18"/>
      <c r="N367" s="18">
        <f t="shared" si="52"/>
        <v>900</v>
      </c>
      <c r="O367" s="18">
        <f t="shared" si="53"/>
        <v>900</v>
      </c>
      <c r="P367" s="18">
        <f t="shared" si="54"/>
        <v>0</v>
      </c>
      <c r="Q367" s="18">
        <f t="shared" si="55"/>
        <v>900</v>
      </c>
    </row>
    <row r="368" spans="2:17" ht="12.75">
      <c r="B368" s="20">
        <f t="shared" si="56"/>
        <v>29</v>
      </c>
      <c r="C368" s="4"/>
      <c r="D368" s="4"/>
      <c r="E368" s="4"/>
      <c r="F368" s="31"/>
      <c r="G368" s="4"/>
      <c r="H368" s="28" t="s">
        <v>466</v>
      </c>
      <c r="I368" s="17"/>
      <c r="J368" s="17"/>
      <c r="K368" s="17">
        <f t="shared" si="51"/>
        <v>0</v>
      </c>
      <c r="L368" s="18">
        <v>3600</v>
      </c>
      <c r="M368" s="18"/>
      <c r="N368" s="18">
        <f t="shared" si="52"/>
        <v>3600</v>
      </c>
      <c r="O368" s="18">
        <f t="shared" si="53"/>
        <v>3600</v>
      </c>
      <c r="P368" s="18">
        <f t="shared" si="54"/>
        <v>0</v>
      </c>
      <c r="Q368" s="18">
        <f t="shared" si="55"/>
        <v>3600</v>
      </c>
    </row>
    <row r="369" spans="2:17" ht="12.75">
      <c r="B369" s="20">
        <f t="shared" si="56"/>
        <v>30</v>
      </c>
      <c r="C369" s="4"/>
      <c r="D369" s="4"/>
      <c r="E369" s="4"/>
      <c r="F369" s="31"/>
      <c r="G369" s="4"/>
      <c r="H369" s="28" t="s">
        <v>617</v>
      </c>
      <c r="I369" s="17"/>
      <c r="J369" s="17"/>
      <c r="K369" s="17">
        <f t="shared" si="51"/>
        <v>0</v>
      </c>
      <c r="L369" s="18">
        <v>1300</v>
      </c>
      <c r="M369" s="18"/>
      <c r="N369" s="18">
        <f t="shared" si="52"/>
        <v>1300</v>
      </c>
      <c r="O369" s="18">
        <f t="shared" si="53"/>
        <v>1300</v>
      </c>
      <c r="P369" s="18">
        <f t="shared" si="54"/>
        <v>0</v>
      </c>
      <c r="Q369" s="18">
        <f t="shared" si="55"/>
        <v>1300</v>
      </c>
    </row>
    <row r="370" spans="2:17" ht="12.75">
      <c r="B370" s="20">
        <f t="shared" si="56"/>
        <v>31</v>
      </c>
      <c r="C370" s="4"/>
      <c r="D370" s="4"/>
      <c r="E370" s="4"/>
      <c r="F370" s="33" t="s">
        <v>209</v>
      </c>
      <c r="G370" s="4">
        <v>717</v>
      </c>
      <c r="H370" s="24" t="s">
        <v>186</v>
      </c>
      <c r="I370" s="17"/>
      <c r="J370" s="17"/>
      <c r="K370" s="17">
        <f t="shared" si="51"/>
        <v>0</v>
      </c>
      <c r="L370" s="17">
        <f>SUM(L371:L377)</f>
        <v>234100</v>
      </c>
      <c r="M370" s="17">
        <f>SUM(M371:M377)</f>
        <v>0</v>
      </c>
      <c r="N370" s="17">
        <f t="shared" si="52"/>
        <v>234100</v>
      </c>
      <c r="O370" s="17">
        <f t="shared" si="53"/>
        <v>234100</v>
      </c>
      <c r="P370" s="17">
        <f t="shared" si="54"/>
        <v>0</v>
      </c>
      <c r="Q370" s="17">
        <f t="shared" si="55"/>
        <v>234100</v>
      </c>
    </row>
    <row r="371" spans="2:17" ht="12.75">
      <c r="B371" s="20">
        <f t="shared" si="56"/>
        <v>32</v>
      </c>
      <c r="C371" s="4"/>
      <c r="D371" s="4"/>
      <c r="E371" s="4"/>
      <c r="F371" s="33"/>
      <c r="G371" s="29"/>
      <c r="H371" s="28" t="s">
        <v>466</v>
      </c>
      <c r="I371" s="127"/>
      <c r="J371" s="127"/>
      <c r="K371" s="127">
        <f t="shared" si="51"/>
        <v>0</v>
      </c>
      <c r="L371" s="18">
        <f>200000-3600</f>
        <v>196400</v>
      </c>
      <c r="M371" s="18"/>
      <c r="N371" s="18">
        <f t="shared" si="52"/>
        <v>196400</v>
      </c>
      <c r="O371" s="18">
        <f t="shared" si="53"/>
        <v>196400</v>
      </c>
      <c r="P371" s="18">
        <f t="shared" si="54"/>
        <v>0</v>
      </c>
      <c r="Q371" s="18">
        <f t="shared" si="55"/>
        <v>196400</v>
      </c>
    </row>
    <row r="372" spans="2:17" ht="22.5">
      <c r="B372" s="20">
        <f t="shared" si="56"/>
        <v>33</v>
      </c>
      <c r="C372" s="4"/>
      <c r="D372" s="4"/>
      <c r="E372" s="4"/>
      <c r="F372" s="31"/>
      <c r="G372" s="29"/>
      <c r="H372" s="128" t="s">
        <v>467</v>
      </c>
      <c r="I372" s="127"/>
      <c r="J372" s="127"/>
      <c r="K372" s="127">
        <f aca="true" t="shared" si="57" ref="K372:K403">J372+I372</f>
        <v>0</v>
      </c>
      <c r="L372" s="18">
        <f>6000-900</f>
        <v>5100</v>
      </c>
      <c r="M372" s="18"/>
      <c r="N372" s="18">
        <f aca="true" t="shared" si="58" ref="N372:N403">M372+L372</f>
        <v>5100</v>
      </c>
      <c r="O372" s="18">
        <f aca="true" t="shared" si="59" ref="O372:O403">I372+L372</f>
        <v>5100</v>
      </c>
      <c r="P372" s="18">
        <f aca="true" t="shared" si="60" ref="P372:P403">J372+M372</f>
        <v>0</v>
      </c>
      <c r="Q372" s="18">
        <f aca="true" t="shared" si="61" ref="Q372:Q403">P372+O372</f>
        <v>5100</v>
      </c>
    </row>
    <row r="373" spans="2:17" ht="12.75">
      <c r="B373" s="20">
        <f aca="true" t="shared" si="62" ref="B373:B404">B372+1</f>
        <v>34</v>
      </c>
      <c r="C373" s="4"/>
      <c r="D373" s="4"/>
      <c r="E373" s="4"/>
      <c r="F373" s="31"/>
      <c r="G373" s="29"/>
      <c r="H373" s="128" t="s">
        <v>464</v>
      </c>
      <c r="I373" s="127"/>
      <c r="J373" s="127"/>
      <c r="K373" s="127">
        <f t="shared" si="57"/>
        <v>0</v>
      </c>
      <c r="L373" s="18">
        <f>7000-1300</f>
        <v>5700</v>
      </c>
      <c r="M373" s="18"/>
      <c r="N373" s="18">
        <f t="shared" si="58"/>
        <v>5700</v>
      </c>
      <c r="O373" s="18">
        <f t="shared" si="59"/>
        <v>5700</v>
      </c>
      <c r="P373" s="18">
        <f t="shared" si="60"/>
        <v>0</v>
      </c>
      <c r="Q373" s="18">
        <f t="shared" si="61"/>
        <v>5700</v>
      </c>
    </row>
    <row r="374" spans="2:17" ht="12.75">
      <c r="B374" s="20">
        <f t="shared" si="62"/>
        <v>35</v>
      </c>
      <c r="C374" s="4"/>
      <c r="D374" s="4"/>
      <c r="E374" s="4"/>
      <c r="F374" s="31"/>
      <c r="G374" s="29"/>
      <c r="H374" s="128" t="s">
        <v>465</v>
      </c>
      <c r="I374" s="127"/>
      <c r="J374" s="127"/>
      <c r="K374" s="127">
        <f t="shared" si="57"/>
        <v>0</v>
      </c>
      <c r="L374" s="18">
        <v>11000</v>
      </c>
      <c r="M374" s="18"/>
      <c r="N374" s="18">
        <f t="shared" si="58"/>
        <v>11000</v>
      </c>
      <c r="O374" s="18">
        <f t="shared" si="59"/>
        <v>11000</v>
      </c>
      <c r="P374" s="18">
        <f t="shared" si="60"/>
        <v>0</v>
      </c>
      <c r="Q374" s="18">
        <f t="shared" si="61"/>
        <v>11000</v>
      </c>
    </row>
    <row r="375" spans="2:17" ht="12.75">
      <c r="B375" s="20">
        <f t="shared" si="62"/>
        <v>36</v>
      </c>
      <c r="C375" s="4"/>
      <c r="D375" s="4"/>
      <c r="E375" s="4"/>
      <c r="F375" s="31"/>
      <c r="G375" s="29"/>
      <c r="H375" s="128" t="s">
        <v>497</v>
      </c>
      <c r="I375" s="127"/>
      <c r="J375" s="127"/>
      <c r="K375" s="127">
        <f t="shared" si="57"/>
        <v>0</v>
      </c>
      <c r="L375" s="18">
        <f>18000-8400-9600</f>
        <v>0</v>
      </c>
      <c r="M375" s="18"/>
      <c r="N375" s="18">
        <f t="shared" si="58"/>
        <v>0</v>
      </c>
      <c r="O375" s="18">
        <f t="shared" si="59"/>
        <v>0</v>
      </c>
      <c r="P375" s="18">
        <f t="shared" si="60"/>
        <v>0</v>
      </c>
      <c r="Q375" s="18">
        <f t="shared" si="61"/>
        <v>0</v>
      </c>
    </row>
    <row r="376" spans="2:17" ht="12.75">
      <c r="B376" s="20">
        <f t="shared" si="62"/>
        <v>37</v>
      </c>
      <c r="C376" s="4"/>
      <c r="D376" s="4"/>
      <c r="E376" s="4"/>
      <c r="F376" s="31"/>
      <c r="G376" s="29"/>
      <c r="H376" s="128" t="s">
        <v>498</v>
      </c>
      <c r="I376" s="127"/>
      <c r="J376" s="127"/>
      <c r="K376" s="127">
        <f t="shared" si="57"/>
        <v>0</v>
      </c>
      <c r="L376" s="18">
        <f>15000-1500</f>
        <v>13500</v>
      </c>
      <c r="M376" s="18"/>
      <c r="N376" s="18">
        <f t="shared" si="58"/>
        <v>13500</v>
      </c>
      <c r="O376" s="18">
        <f t="shared" si="59"/>
        <v>13500</v>
      </c>
      <c r="P376" s="18">
        <f t="shared" si="60"/>
        <v>0</v>
      </c>
      <c r="Q376" s="18">
        <f t="shared" si="61"/>
        <v>13500</v>
      </c>
    </row>
    <row r="377" spans="2:17" ht="12.75">
      <c r="B377" s="20">
        <f t="shared" si="62"/>
        <v>38</v>
      </c>
      <c r="C377" s="4"/>
      <c r="D377" s="4"/>
      <c r="E377" s="4"/>
      <c r="F377" s="31"/>
      <c r="G377" s="29"/>
      <c r="H377" s="128" t="s">
        <v>624</v>
      </c>
      <c r="I377" s="127"/>
      <c r="J377" s="127"/>
      <c r="K377" s="127">
        <f t="shared" si="57"/>
        <v>0</v>
      </c>
      <c r="L377" s="18">
        <v>2400</v>
      </c>
      <c r="M377" s="18"/>
      <c r="N377" s="18">
        <f t="shared" si="58"/>
        <v>2400</v>
      </c>
      <c r="O377" s="18">
        <f t="shared" si="59"/>
        <v>2400</v>
      </c>
      <c r="P377" s="18">
        <f t="shared" si="60"/>
        <v>0</v>
      </c>
      <c r="Q377" s="18">
        <f t="shared" si="61"/>
        <v>2400</v>
      </c>
    </row>
    <row r="378" spans="2:17" ht="15">
      <c r="B378" s="20">
        <f t="shared" si="62"/>
        <v>39</v>
      </c>
      <c r="C378" s="12"/>
      <c r="D378" s="12"/>
      <c r="E378" s="12">
        <v>2</v>
      </c>
      <c r="F378" s="34"/>
      <c r="G378" s="12"/>
      <c r="H378" s="12" t="s">
        <v>16</v>
      </c>
      <c r="I378" s="90">
        <f>I379+I380+I381+I388</f>
        <v>772610</v>
      </c>
      <c r="J378" s="90">
        <f>J379+J380+J381+J388</f>
        <v>0</v>
      </c>
      <c r="K378" s="90">
        <f t="shared" si="57"/>
        <v>772610</v>
      </c>
      <c r="L378" s="90">
        <f>L389</f>
        <v>0</v>
      </c>
      <c r="M378" s="90">
        <f>M389</f>
        <v>0</v>
      </c>
      <c r="N378" s="90">
        <f t="shared" si="58"/>
        <v>0</v>
      </c>
      <c r="O378" s="90">
        <f t="shared" si="59"/>
        <v>772610</v>
      </c>
      <c r="P378" s="90">
        <f t="shared" si="60"/>
        <v>0</v>
      </c>
      <c r="Q378" s="90">
        <f t="shared" si="61"/>
        <v>772610</v>
      </c>
    </row>
    <row r="379" spans="2:17" ht="12.75">
      <c r="B379" s="20">
        <f t="shared" si="62"/>
        <v>40</v>
      </c>
      <c r="C379" s="10"/>
      <c r="D379" s="10"/>
      <c r="E379" s="10"/>
      <c r="F379" s="30" t="s">
        <v>209</v>
      </c>
      <c r="G379" s="10">
        <v>610</v>
      </c>
      <c r="H379" s="10" t="s">
        <v>131</v>
      </c>
      <c r="I379" s="61">
        <v>62240</v>
      </c>
      <c r="J379" s="61"/>
      <c r="K379" s="61">
        <f t="shared" si="57"/>
        <v>62240</v>
      </c>
      <c r="L379" s="61"/>
      <c r="M379" s="61"/>
      <c r="N379" s="61">
        <f t="shared" si="58"/>
        <v>0</v>
      </c>
      <c r="O379" s="61">
        <f t="shared" si="59"/>
        <v>62240</v>
      </c>
      <c r="P379" s="61">
        <f t="shared" si="60"/>
        <v>0</v>
      </c>
      <c r="Q379" s="61">
        <f t="shared" si="61"/>
        <v>62240</v>
      </c>
    </row>
    <row r="380" spans="2:17" ht="12.75">
      <c r="B380" s="20">
        <f t="shared" si="62"/>
        <v>41</v>
      </c>
      <c r="C380" s="10"/>
      <c r="D380" s="10"/>
      <c r="E380" s="10"/>
      <c r="F380" s="30" t="s">
        <v>209</v>
      </c>
      <c r="G380" s="10">
        <v>620</v>
      </c>
      <c r="H380" s="10" t="s">
        <v>124</v>
      </c>
      <c r="I380" s="61">
        <v>26285</v>
      </c>
      <c r="J380" s="61"/>
      <c r="K380" s="61">
        <f t="shared" si="57"/>
        <v>26285</v>
      </c>
      <c r="L380" s="61"/>
      <c r="M380" s="61"/>
      <c r="N380" s="61">
        <f t="shared" si="58"/>
        <v>0</v>
      </c>
      <c r="O380" s="61">
        <f t="shared" si="59"/>
        <v>26285</v>
      </c>
      <c r="P380" s="61">
        <f t="shared" si="60"/>
        <v>0</v>
      </c>
      <c r="Q380" s="61">
        <f t="shared" si="61"/>
        <v>26285</v>
      </c>
    </row>
    <row r="381" spans="2:17" ht="12.75">
      <c r="B381" s="20">
        <f t="shared" si="62"/>
        <v>42</v>
      </c>
      <c r="C381" s="10"/>
      <c r="D381" s="10"/>
      <c r="E381" s="10"/>
      <c r="F381" s="30" t="s">
        <v>209</v>
      </c>
      <c r="G381" s="10">
        <v>630</v>
      </c>
      <c r="H381" s="10" t="s">
        <v>121</v>
      </c>
      <c r="I381" s="61">
        <f>SUM(I382:I387)</f>
        <v>681585</v>
      </c>
      <c r="J381" s="61">
        <f>SUM(J382:J387)</f>
        <v>0</v>
      </c>
      <c r="K381" s="61">
        <f t="shared" si="57"/>
        <v>681585</v>
      </c>
      <c r="L381" s="61"/>
      <c r="M381" s="61"/>
      <c r="N381" s="61">
        <f t="shared" si="58"/>
        <v>0</v>
      </c>
      <c r="O381" s="61">
        <f t="shared" si="59"/>
        <v>681585</v>
      </c>
      <c r="P381" s="61">
        <f t="shared" si="60"/>
        <v>0</v>
      </c>
      <c r="Q381" s="61">
        <f t="shared" si="61"/>
        <v>681585</v>
      </c>
    </row>
    <row r="382" spans="2:17" ht="12.75">
      <c r="B382" s="20">
        <f t="shared" si="62"/>
        <v>43</v>
      </c>
      <c r="C382" s="4"/>
      <c r="D382" s="4"/>
      <c r="E382" s="4"/>
      <c r="F382" s="31" t="s">
        <v>209</v>
      </c>
      <c r="G382" s="4">
        <v>632</v>
      </c>
      <c r="H382" s="4" t="s">
        <v>134</v>
      </c>
      <c r="I382" s="17">
        <f>600000-10500</f>
        <v>589500</v>
      </c>
      <c r="J382" s="17"/>
      <c r="K382" s="17">
        <f t="shared" si="57"/>
        <v>589500</v>
      </c>
      <c r="L382" s="17"/>
      <c r="M382" s="17"/>
      <c r="N382" s="17">
        <f t="shared" si="58"/>
        <v>0</v>
      </c>
      <c r="O382" s="17">
        <f t="shared" si="59"/>
        <v>589500</v>
      </c>
      <c r="P382" s="17">
        <f t="shared" si="60"/>
        <v>0</v>
      </c>
      <c r="Q382" s="17">
        <f t="shared" si="61"/>
        <v>589500</v>
      </c>
    </row>
    <row r="383" spans="2:17" ht="12.75">
      <c r="B383" s="20">
        <f t="shared" si="62"/>
        <v>44</v>
      </c>
      <c r="C383" s="4"/>
      <c r="D383" s="4"/>
      <c r="E383" s="4"/>
      <c r="F383" s="31" t="s">
        <v>209</v>
      </c>
      <c r="G383" s="4">
        <v>633</v>
      </c>
      <c r="H383" s="4" t="s">
        <v>125</v>
      </c>
      <c r="I383" s="17">
        <v>31750</v>
      </c>
      <c r="J383" s="17"/>
      <c r="K383" s="17">
        <f t="shared" si="57"/>
        <v>31750</v>
      </c>
      <c r="L383" s="17"/>
      <c r="M383" s="17"/>
      <c r="N383" s="17">
        <f t="shared" si="58"/>
        <v>0</v>
      </c>
      <c r="O383" s="17">
        <f t="shared" si="59"/>
        <v>31750</v>
      </c>
      <c r="P383" s="17">
        <f t="shared" si="60"/>
        <v>0</v>
      </c>
      <c r="Q383" s="17">
        <f t="shared" si="61"/>
        <v>31750</v>
      </c>
    </row>
    <row r="384" spans="2:17" ht="12.75">
      <c r="B384" s="20">
        <f t="shared" si="62"/>
        <v>45</v>
      </c>
      <c r="C384" s="4"/>
      <c r="D384" s="4"/>
      <c r="E384" s="4"/>
      <c r="F384" s="31" t="s">
        <v>209</v>
      </c>
      <c r="G384" s="4">
        <v>634</v>
      </c>
      <c r="H384" s="4" t="s">
        <v>132</v>
      </c>
      <c r="I384" s="17">
        <v>6310</v>
      </c>
      <c r="J384" s="17"/>
      <c r="K384" s="17">
        <f t="shared" si="57"/>
        <v>6310</v>
      </c>
      <c r="L384" s="17"/>
      <c r="M384" s="17"/>
      <c r="N384" s="17">
        <f t="shared" si="58"/>
        <v>0</v>
      </c>
      <c r="O384" s="17">
        <f t="shared" si="59"/>
        <v>6310</v>
      </c>
      <c r="P384" s="17">
        <f t="shared" si="60"/>
        <v>0</v>
      </c>
      <c r="Q384" s="17">
        <f t="shared" si="61"/>
        <v>6310</v>
      </c>
    </row>
    <row r="385" spans="2:17" ht="12.75">
      <c r="B385" s="20">
        <f t="shared" si="62"/>
        <v>46</v>
      </c>
      <c r="C385" s="4"/>
      <c r="D385" s="4"/>
      <c r="E385" s="4"/>
      <c r="F385" s="31" t="s">
        <v>209</v>
      </c>
      <c r="G385" s="4">
        <v>635</v>
      </c>
      <c r="H385" s="4" t="s">
        <v>133</v>
      </c>
      <c r="I385" s="17">
        <v>13000</v>
      </c>
      <c r="J385" s="17"/>
      <c r="K385" s="17">
        <f t="shared" si="57"/>
        <v>13000</v>
      </c>
      <c r="L385" s="17"/>
      <c r="M385" s="17"/>
      <c r="N385" s="17">
        <f t="shared" si="58"/>
        <v>0</v>
      </c>
      <c r="O385" s="17">
        <f t="shared" si="59"/>
        <v>13000</v>
      </c>
      <c r="P385" s="17">
        <f t="shared" si="60"/>
        <v>0</v>
      </c>
      <c r="Q385" s="17">
        <f t="shared" si="61"/>
        <v>13000</v>
      </c>
    </row>
    <row r="386" spans="2:17" ht="12.75">
      <c r="B386" s="20">
        <f t="shared" si="62"/>
        <v>47</v>
      </c>
      <c r="C386" s="4"/>
      <c r="D386" s="4"/>
      <c r="E386" s="4"/>
      <c r="F386" s="31" t="s">
        <v>209</v>
      </c>
      <c r="G386" s="4">
        <v>637</v>
      </c>
      <c r="H386" s="4" t="s">
        <v>122</v>
      </c>
      <c r="I386" s="17">
        <f>29700+10500</f>
        <v>40200</v>
      </c>
      <c r="J386" s="17"/>
      <c r="K386" s="17">
        <f t="shared" si="57"/>
        <v>40200</v>
      </c>
      <c r="L386" s="17"/>
      <c r="M386" s="17"/>
      <c r="N386" s="17">
        <f t="shared" si="58"/>
        <v>0</v>
      </c>
      <c r="O386" s="17">
        <f t="shared" si="59"/>
        <v>40200</v>
      </c>
      <c r="P386" s="17">
        <f t="shared" si="60"/>
        <v>0</v>
      </c>
      <c r="Q386" s="17">
        <f t="shared" si="61"/>
        <v>40200</v>
      </c>
    </row>
    <row r="387" spans="2:17" ht="12.75">
      <c r="B387" s="20">
        <f t="shared" si="62"/>
        <v>48</v>
      </c>
      <c r="C387" s="4"/>
      <c r="D387" s="4"/>
      <c r="E387" s="4"/>
      <c r="F387" s="31" t="s">
        <v>209</v>
      </c>
      <c r="G387" s="4">
        <v>637</v>
      </c>
      <c r="H387" s="4" t="s">
        <v>290</v>
      </c>
      <c r="I387" s="17">
        <v>825</v>
      </c>
      <c r="J387" s="17"/>
      <c r="K387" s="17">
        <f t="shared" si="57"/>
        <v>825</v>
      </c>
      <c r="L387" s="17"/>
      <c r="M387" s="17"/>
      <c r="N387" s="17">
        <f t="shared" si="58"/>
        <v>0</v>
      </c>
      <c r="O387" s="17">
        <f t="shared" si="59"/>
        <v>825</v>
      </c>
      <c r="P387" s="17">
        <f t="shared" si="60"/>
        <v>0</v>
      </c>
      <c r="Q387" s="17">
        <f t="shared" si="61"/>
        <v>825</v>
      </c>
    </row>
    <row r="388" spans="2:17" ht="12.75">
      <c r="B388" s="20">
        <f t="shared" si="62"/>
        <v>49</v>
      </c>
      <c r="C388" s="10"/>
      <c r="D388" s="10"/>
      <c r="E388" s="10"/>
      <c r="F388" s="30" t="s">
        <v>209</v>
      </c>
      <c r="G388" s="10">
        <v>640</v>
      </c>
      <c r="H388" s="10" t="s">
        <v>129</v>
      </c>
      <c r="I388" s="61">
        <v>2500</v>
      </c>
      <c r="J388" s="61"/>
      <c r="K388" s="61">
        <f t="shared" si="57"/>
        <v>2500</v>
      </c>
      <c r="L388" s="61"/>
      <c r="M388" s="61"/>
      <c r="N388" s="61">
        <f t="shared" si="58"/>
        <v>0</v>
      </c>
      <c r="O388" s="61">
        <f t="shared" si="59"/>
        <v>2500</v>
      </c>
      <c r="P388" s="61">
        <f t="shared" si="60"/>
        <v>0</v>
      </c>
      <c r="Q388" s="61">
        <f t="shared" si="61"/>
        <v>2500</v>
      </c>
    </row>
    <row r="389" spans="2:17" ht="12.75">
      <c r="B389" s="20">
        <f t="shared" si="62"/>
        <v>50</v>
      </c>
      <c r="C389" s="4"/>
      <c r="D389" s="4"/>
      <c r="E389" s="4"/>
      <c r="F389" s="30" t="s">
        <v>209</v>
      </c>
      <c r="G389" s="10">
        <v>710</v>
      </c>
      <c r="H389" s="10" t="s">
        <v>176</v>
      </c>
      <c r="I389" s="17"/>
      <c r="J389" s="17"/>
      <c r="K389" s="17">
        <f t="shared" si="57"/>
        <v>0</v>
      </c>
      <c r="L389" s="16">
        <f>L390</f>
        <v>0</v>
      </c>
      <c r="M389" s="16">
        <f>M390</f>
        <v>0</v>
      </c>
      <c r="N389" s="16">
        <f t="shared" si="58"/>
        <v>0</v>
      </c>
      <c r="O389" s="16">
        <f t="shared" si="59"/>
        <v>0</v>
      </c>
      <c r="P389" s="16">
        <f t="shared" si="60"/>
        <v>0</v>
      </c>
      <c r="Q389" s="16">
        <f t="shared" si="61"/>
        <v>0</v>
      </c>
    </row>
    <row r="390" spans="2:17" ht="12.75">
      <c r="B390" s="20">
        <f t="shared" si="62"/>
        <v>51</v>
      </c>
      <c r="C390" s="4"/>
      <c r="D390" s="4"/>
      <c r="E390" s="4"/>
      <c r="F390" s="33" t="s">
        <v>209</v>
      </c>
      <c r="G390" s="4">
        <v>717</v>
      </c>
      <c r="H390" s="24" t="s">
        <v>186</v>
      </c>
      <c r="I390" s="17"/>
      <c r="J390" s="17"/>
      <c r="K390" s="17">
        <f t="shared" si="57"/>
        <v>0</v>
      </c>
      <c r="L390" s="17">
        <f>L391</f>
        <v>0</v>
      </c>
      <c r="M390" s="17">
        <f>M391</f>
        <v>0</v>
      </c>
      <c r="N390" s="17">
        <f t="shared" si="58"/>
        <v>0</v>
      </c>
      <c r="O390" s="17">
        <f t="shared" si="59"/>
        <v>0</v>
      </c>
      <c r="P390" s="17">
        <f t="shared" si="60"/>
        <v>0</v>
      </c>
      <c r="Q390" s="17">
        <f t="shared" si="61"/>
        <v>0</v>
      </c>
    </row>
    <row r="391" spans="2:17" ht="12.75">
      <c r="B391" s="20">
        <f t="shared" si="62"/>
        <v>52</v>
      </c>
      <c r="C391" s="4"/>
      <c r="D391" s="4"/>
      <c r="E391" s="4"/>
      <c r="F391" s="31"/>
      <c r="G391" s="29"/>
      <c r="H391" s="28" t="s">
        <v>466</v>
      </c>
      <c r="I391" s="127"/>
      <c r="J391" s="127"/>
      <c r="K391" s="127">
        <f t="shared" si="57"/>
        <v>0</v>
      </c>
      <c r="L391" s="18">
        <v>0</v>
      </c>
      <c r="M391" s="18"/>
      <c r="N391" s="18">
        <f t="shared" si="58"/>
        <v>0</v>
      </c>
      <c r="O391" s="18">
        <f t="shared" si="59"/>
        <v>0</v>
      </c>
      <c r="P391" s="18">
        <f t="shared" si="60"/>
        <v>0</v>
      </c>
      <c r="Q391" s="18">
        <f t="shared" si="61"/>
        <v>0</v>
      </c>
    </row>
    <row r="392" spans="2:17" ht="15">
      <c r="B392" s="20">
        <f t="shared" si="62"/>
        <v>53</v>
      </c>
      <c r="C392" s="7">
        <v>3</v>
      </c>
      <c r="D392" s="232" t="s">
        <v>235</v>
      </c>
      <c r="E392" s="233"/>
      <c r="F392" s="233"/>
      <c r="G392" s="233"/>
      <c r="H392" s="234"/>
      <c r="I392" s="87">
        <f>I393</f>
        <v>7000</v>
      </c>
      <c r="J392" s="87">
        <f>J393</f>
        <v>0</v>
      </c>
      <c r="K392" s="87">
        <f t="shared" si="57"/>
        <v>7000</v>
      </c>
      <c r="L392" s="87">
        <f>L395</f>
        <v>18000</v>
      </c>
      <c r="M392" s="87">
        <f>M395</f>
        <v>0</v>
      </c>
      <c r="N392" s="87">
        <f t="shared" si="58"/>
        <v>18000</v>
      </c>
      <c r="O392" s="87">
        <f t="shared" si="59"/>
        <v>25000</v>
      </c>
      <c r="P392" s="87">
        <f t="shared" si="60"/>
        <v>0</v>
      </c>
      <c r="Q392" s="87">
        <f t="shared" si="61"/>
        <v>25000</v>
      </c>
    </row>
    <row r="393" spans="2:17" ht="12.75">
      <c r="B393" s="20">
        <f t="shared" si="62"/>
        <v>54</v>
      </c>
      <c r="C393" s="10"/>
      <c r="D393" s="10"/>
      <c r="E393" s="10"/>
      <c r="F393" s="30" t="s">
        <v>196</v>
      </c>
      <c r="G393" s="10">
        <v>630</v>
      </c>
      <c r="H393" s="10" t="s">
        <v>121</v>
      </c>
      <c r="I393" s="61">
        <f>I394</f>
        <v>7000</v>
      </c>
      <c r="J393" s="61">
        <f>J394</f>
        <v>0</v>
      </c>
      <c r="K393" s="61">
        <f t="shared" si="57"/>
        <v>7000</v>
      </c>
      <c r="L393" s="61"/>
      <c r="M393" s="61"/>
      <c r="N393" s="61">
        <f t="shared" si="58"/>
        <v>0</v>
      </c>
      <c r="O393" s="61">
        <f t="shared" si="59"/>
        <v>7000</v>
      </c>
      <c r="P393" s="61">
        <f t="shared" si="60"/>
        <v>0</v>
      </c>
      <c r="Q393" s="61">
        <f t="shared" si="61"/>
        <v>7000</v>
      </c>
    </row>
    <row r="394" spans="2:17" ht="12.75">
      <c r="B394" s="20">
        <f t="shared" si="62"/>
        <v>55</v>
      </c>
      <c r="C394" s="4"/>
      <c r="D394" s="4"/>
      <c r="E394" s="4"/>
      <c r="F394" s="31" t="s">
        <v>196</v>
      </c>
      <c r="G394" s="4">
        <v>635</v>
      </c>
      <c r="H394" s="4" t="s">
        <v>133</v>
      </c>
      <c r="I394" s="17">
        <v>7000</v>
      </c>
      <c r="J394" s="17"/>
      <c r="K394" s="17">
        <f t="shared" si="57"/>
        <v>7000</v>
      </c>
      <c r="L394" s="17"/>
      <c r="M394" s="17"/>
      <c r="N394" s="17">
        <f t="shared" si="58"/>
        <v>0</v>
      </c>
      <c r="O394" s="17">
        <f t="shared" si="59"/>
        <v>7000</v>
      </c>
      <c r="P394" s="17">
        <f t="shared" si="60"/>
        <v>0</v>
      </c>
      <c r="Q394" s="17">
        <f t="shared" si="61"/>
        <v>7000</v>
      </c>
    </row>
    <row r="395" spans="2:17" ht="12.75">
      <c r="B395" s="20">
        <f t="shared" si="62"/>
        <v>56</v>
      </c>
      <c r="C395" s="10"/>
      <c r="D395" s="10"/>
      <c r="E395" s="10"/>
      <c r="F395" s="30" t="s">
        <v>196</v>
      </c>
      <c r="G395" s="10">
        <v>710</v>
      </c>
      <c r="H395" s="10" t="s">
        <v>176</v>
      </c>
      <c r="I395" s="61"/>
      <c r="J395" s="61"/>
      <c r="K395" s="61">
        <f t="shared" si="57"/>
        <v>0</v>
      </c>
      <c r="L395" s="61">
        <f>L396+L398</f>
        <v>18000</v>
      </c>
      <c r="M395" s="61">
        <f>M396+M398</f>
        <v>0</v>
      </c>
      <c r="N395" s="61">
        <f t="shared" si="58"/>
        <v>18000</v>
      </c>
      <c r="O395" s="61">
        <f t="shared" si="59"/>
        <v>18000</v>
      </c>
      <c r="P395" s="61">
        <f t="shared" si="60"/>
        <v>0</v>
      </c>
      <c r="Q395" s="61">
        <f t="shared" si="61"/>
        <v>18000</v>
      </c>
    </row>
    <row r="396" spans="2:17" ht="12.75">
      <c r="B396" s="20">
        <f t="shared" si="62"/>
        <v>57</v>
      </c>
      <c r="C396" s="4"/>
      <c r="D396" s="4"/>
      <c r="E396" s="4"/>
      <c r="F396" s="31" t="s">
        <v>196</v>
      </c>
      <c r="G396" s="4">
        <v>713</v>
      </c>
      <c r="H396" s="4" t="s">
        <v>225</v>
      </c>
      <c r="I396" s="17"/>
      <c r="J396" s="17"/>
      <c r="K396" s="17">
        <f t="shared" si="57"/>
        <v>0</v>
      </c>
      <c r="L396" s="17">
        <f>L397</f>
        <v>15000</v>
      </c>
      <c r="M396" s="17">
        <f>M397</f>
        <v>0</v>
      </c>
      <c r="N396" s="17">
        <f t="shared" si="58"/>
        <v>15000</v>
      </c>
      <c r="O396" s="17">
        <f t="shared" si="59"/>
        <v>15000</v>
      </c>
      <c r="P396" s="17">
        <f t="shared" si="60"/>
        <v>0</v>
      </c>
      <c r="Q396" s="17">
        <f t="shared" si="61"/>
        <v>15000</v>
      </c>
    </row>
    <row r="397" spans="2:17" ht="12.75">
      <c r="B397" s="20">
        <f t="shared" si="62"/>
        <v>58</v>
      </c>
      <c r="C397" s="28"/>
      <c r="D397" s="28"/>
      <c r="E397" s="28"/>
      <c r="F397" s="36"/>
      <c r="G397" s="28"/>
      <c r="H397" s="27" t="s">
        <v>358</v>
      </c>
      <c r="I397" s="91"/>
      <c r="J397" s="91"/>
      <c r="K397" s="91">
        <f t="shared" si="57"/>
        <v>0</v>
      </c>
      <c r="L397" s="91">
        <v>15000</v>
      </c>
      <c r="M397" s="91"/>
      <c r="N397" s="91">
        <f t="shared" si="58"/>
        <v>15000</v>
      </c>
      <c r="O397" s="91">
        <f t="shared" si="59"/>
        <v>15000</v>
      </c>
      <c r="P397" s="91">
        <f t="shared" si="60"/>
        <v>0</v>
      </c>
      <c r="Q397" s="91">
        <f t="shared" si="61"/>
        <v>15000</v>
      </c>
    </row>
    <row r="398" spans="2:17" ht="12.75">
      <c r="B398" s="20">
        <f t="shared" si="62"/>
        <v>59</v>
      </c>
      <c r="C398" s="5"/>
      <c r="D398" s="5"/>
      <c r="E398" s="5"/>
      <c r="F398" s="31" t="s">
        <v>196</v>
      </c>
      <c r="G398" s="4">
        <v>717</v>
      </c>
      <c r="H398" s="4" t="s">
        <v>186</v>
      </c>
      <c r="I398" s="17"/>
      <c r="J398" s="17"/>
      <c r="K398" s="17">
        <f t="shared" si="57"/>
        <v>0</v>
      </c>
      <c r="L398" s="17">
        <f>L399</f>
        <v>3000</v>
      </c>
      <c r="M398" s="17">
        <f>M399</f>
        <v>0</v>
      </c>
      <c r="N398" s="17">
        <f t="shared" si="58"/>
        <v>3000</v>
      </c>
      <c r="O398" s="17">
        <f t="shared" si="59"/>
        <v>3000</v>
      </c>
      <c r="P398" s="17">
        <f t="shared" si="60"/>
        <v>0</v>
      </c>
      <c r="Q398" s="17">
        <f t="shared" si="61"/>
        <v>3000</v>
      </c>
    </row>
    <row r="399" spans="2:17" ht="12.75">
      <c r="B399" s="20">
        <f t="shared" si="62"/>
        <v>60</v>
      </c>
      <c r="C399" s="5"/>
      <c r="D399" s="5"/>
      <c r="E399" s="5"/>
      <c r="F399" s="32"/>
      <c r="G399" s="5"/>
      <c r="H399" s="5" t="s">
        <v>499</v>
      </c>
      <c r="I399" s="18"/>
      <c r="J399" s="18"/>
      <c r="K399" s="18">
        <f t="shared" si="57"/>
        <v>0</v>
      </c>
      <c r="L399" s="18">
        <v>3000</v>
      </c>
      <c r="M399" s="18"/>
      <c r="N399" s="18">
        <f t="shared" si="58"/>
        <v>3000</v>
      </c>
      <c r="O399" s="18">
        <f t="shared" si="59"/>
        <v>3000</v>
      </c>
      <c r="P399" s="18">
        <f t="shared" si="60"/>
        <v>0</v>
      </c>
      <c r="Q399" s="18">
        <f t="shared" si="61"/>
        <v>3000</v>
      </c>
    </row>
    <row r="400" spans="2:17" ht="15">
      <c r="B400" s="20">
        <f t="shared" si="62"/>
        <v>61</v>
      </c>
      <c r="C400" s="7">
        <v>4</v>
      </c>
      <c r="D400" s="232" t="s">
        <v>157</v>
      </c>
      <c r="E400" s="233"/>
      <c r="F400" s="233"/>
      <c r="G400" s="233"/>
      <c r="H400" s="234"/>
      <c r="I400" s="87">
        <f>I401</f>
        <v>35200</v>
      </c>
      <c r="J400" s="87">
        <f>J401</f>
        <v>0</v>
      </c>
      <c r="K400" s="87">
        <f t="shared" si="57"/>
        <v>35200</v>
      </c>
      <c r="L400" s="87"/>
      <c r="M400" s="87"/>
      <c r="N400" s="87">
        <f t="shared" si="58"/>
        <v>0</v>
      </c>
      <c r="O400" s="87">
        <f t="shared" si="59"/>
        <v>35200</v>
      </c>
      <c r="P400" s="87">
        <f t="shared" si="60"/>
        <v>0</v>
      </c>
      <c r="Q400" s="87">
        <f t="shared" si="61"/>
        <v>35200</v>
      </c>
    </row>
    <row r="401" spans="2:17" ht="12.75">
      <c r="B401" s="20">
        <f t="shared" si="62"/>
        <v>62</v>
      </c>
      <c r="C401" s="10"/>
      <c r="D401" s="10"/>
      <c r="E401" s="10"/>
      <c r="F401" s="30" t="s">
        <v>156</v>
      </c>
      <c r="G401" s="10">
        <v>630</v>
      </c>
      <c r="H401" s="10" t="s">
        <v>121</v>
      </c>
      <c r="I401" s="61">
        <f>SUM(I402:I404)</f>
        <v>35200</v>
      </c>
      <c r="J401" s="61">
        <f>SUM(J402:J404)</f>
        <v>0</v>
      </c>
      <c r="K401" s="61">
        <f t="shared" si="57"/>
        <v>35200</v>
      </c>
      <c r="L401" s="61"/>
      <c r="M401" s="61"/>
      <c r="N401" s="61">
        <f t="shared" si="58"/>
        <v>0</v>
      </c>
      <c r="O401" s="61">
        <f t="shared" si="59"/>
        <v>35200</v>
      </c>
      <c r="P401" s="61">
        <f t="shared" si="60"/>
        <v>0</v>
      </c>
      <c r="Q401" s="61">
        <f t="shared" si="61"/>
        <v>35200</v>
      </c>
    </row>
    <row r="402" spans="2:17" ht="12.75">
      <c r="B402" s="20">
        <f t="shared" si="62"/>
        <v>63</v>
      </c>
      <c r="C402" s="4"/>
      <c r="D402" s="4"/>
      <c r="E402" s="4"/>
      <c r="F402" s="31" t="s">
        <v>156</v>
      </c>
      <c r="G402" s="4">
        <v>633</v>
      </c>
      <c r="H402" s="4" t="s">
        <v>125</v>
      </c>
      <c r="I402" s="17">
        <v>4400</v>
      </c>
      <c r="J402" s="17"/>
      <c r="K402" s="17">
        <f t="shared" si="57"/>
        <v>4400</v>
      </c>
      <c r="L402" s="17"/>
      <c r="M402" s="17"/>
      <c r="N402" s="17">
        <f t="shared" si="58"/>
        <v>0</v>
      </c>
      <c r="O402" s="17">
        <f t="shared" si="59"/>
        <v>4400</v>
      </c>
      <c r="P402" s="17">
        <f t="shared" si="60"/>
        <v>0</v>
      </c>
      <c r="Q402" s="17">
        <f t="shared" si="61"/>
        <v>4400</v>
      </c>
    </row>
    <row r="403" spans="2:17" ht="12.75">
      <c r="B403" s="20">
        <f t="shared" si="62"/>
        <v>64</v>
      </c>
      <c r="C403" s="4"/>
      <c r="D403" s="4"/>
      <c r="E403" s="4"/>
      <c r="F403" s="31" t="s">
        <v>156</v>
      </c>
      <c r="G403" s="4">
        <v>635</v>
      </c>
      <c r="H403" s="4" t="s">
        <v>133</v>
      </c>
      <c r="I403" s="17">
        <v>10000</v>
      </c>
      <c r="J403" s="17"/>
      <c r="K403" s="17">
        <f t="shared" si="57"/>
        <v>10000</v>
      </c>
      <c r="L403" s="17"/>
      <c r="M403" s="17"/>
      <c r="N403" s="17">
        <f t="shared" si="58"/>
        <v>0</v>
      </c>
      <c r="O403" s="17">
        <f t="shared" si="59"/>
        <v>10000</v>
      </c>
      <c r="P403" s="17">
        <f t="shared" si="60"/>
        <v>0</v>
      </c>
      <c r="Q403" s="17">
        <f t="shared" si="61"/>
        <v>10000</v>
      </c>
    </row>
    <row r="404" spans="2:17" ht="12.75">
      <c r="B404" s="20">
        <f t="shared" si="62"/>
        <v>65</v>
      </c>
      <c r="C404" s="4"/>
      <c r="D404" s="4"/>
      <c r="E404" s="4"/>
      <c r="F404" s="31" t="s">
        <v>156</v>
      </c>
      <c r="G404" s="4">
        <v>637</v>
      </c>
      <c r="H404" s="4" t="s">
        <v>122</v>
      </c>
      <c r="I404" s="17">
        <v>20800</v>
      </c>
      <c r="J404" s="17"/>
      <c r="K404" s="17">
        <f aca="true" t="shared" si="63" ref="K404:K418">J404+I404</f>
        <v>20800</v>
      </c>
      <c r="L404" s="17"/>
      <c r="M404" s="17"/>
      <c r="N404" s="17">
        <f aca="true" t="shared" si="64" ref="N404:N418">M404+L404</f>
        <v>0</v>
      </c>
      <c r="O404" s="17">
        <f aca="true" t="shared" si="65" ref="O404:O418">I404+L404</f>
        <v>20800</v>
      </c>
      <c r="P404" s="17">
        <f aca="true" t="shared" si="66" ref="P404:P418">J404+M404</f>
        <v>0</v>
      </c>
      <c r="Q404" s="17">
        <f aca="true" t="shared" si="67" ref="Q404:Q418">P404+O404</f>
        <v>20800</v>
      </c>
    </row>
    <row r="405" spans="2:17" ht="15">
      <c r="B405" s="20">
        <f aca="true" t="shared" si="68" ref="B405:B418">B404+1</f>
        <v>66</v>
      </c>
      <c r="C405" s="7">
        <v>5</v>
      </c>
      <c r="D405" s="232" t="s">
        <v>147</v>
      </c>
      <c r="E405" s="233"/>
      <c r="F405" s="233"/>
      <c r="G405" s="233"/>
      <c r="H405" s="234"/>
      <c r="I405" s="87">
        <f>I406+I412</f>
        <v>43570</v>
      </c>
      <c r="J405" s="87">
        <f>J406+J412</f>
        <v>900</v>
      </c>
      <c r="K405" s="87">
        <f t="shared" si="63"/>
        <v>44470</v>
      </c>
      <c r="L405" s="87">
        <f>L416</f>
        <v>5000</v>
      </c>
      <c r="M405" s="87">
        <f>M416</f>
        <v>0</v>
      </c>
      <c r="N405" s="87">
        <f t="shared" si="64"/>
        <v>5000</v>
      </c>
      <c r="O405" s="87">
        <f t="shared" si="65"/>
        <v>48570</v>
      </c>
      <c r="P405" s="87">
        <f t="shared" si="66"/>
        <v>900</v>
      </c>
      <c r="Q405" s="87">
        <f t="shared" si="67"/>
        <v>49470</v>
      </c>
    </row>
    <row r="406" spans="2:17" ht="12.75">
      <c r="B406" s="20">
        <f t="shared" si="68"/>
        <v>67</v>
      </c>
      <c r="C406" s="10"/>
      <c r="D406" s="10"/>
      <c r="E406" s="10"/>
      <c r="F406" s="30" t="s">
        <v>146</v>
      </c>
      <c r="G406" s="10">
        <v>630</v>
      </c>
      <c r="H406" s="10" t="s">
        <v>121</v>
      </c>
      <c r="I406" s="61">
        <f>I411+I410+I407+I408+I409</f>
        <v>34570</v>
      </c>
      <c r="J406" s="61">
        <f>J411+J410+J407+J408+J409</f>
        <v>900</v>
      </c>
      <c r="K406" s="61">
        <f t="shared" si="63"/>
        <v>35470</v>
      </c>
      <c r="L406" s="61"/>
      <c r="M406" s="61"/>
      <c r="N406" s="61">
        <f t="shared" si="64"/>
        <v>0</v>
      </c>
      <c r="O406" s="61">
        <f t="shared" si="65"/>
        <v>34570</v>
      </c>
      <c r="P406" s="61">
        <f t="shared" si="66"/>
        <v>900</v>
      </c>
      <c r="Q406" s="61">
        <f t="shared" si="67"/>
        <v>35470</v>
      </c>
    </row>
    <row r="407" spans="2:17" ht="12.75">
      <c r="B407" s="20">
        <f t="shared" si="68"/>
        <v>68</v>
      </c>
      <c r="C407" s="4"/>
      <c r="D407" s="4"/>
      <c r="E407" s="4"/>
      <c r="F407" s="31" t="s">
        <v>146</v>
      </c>
      <c r="G407" s="4">
        <v>633</v>
      </c>
      <c r="H407" s="4" t="s">
        <v>125</v>
      </c>
      <c r="I407" s="17">
        <f>6220-235</f>
        <v>5985</v>
      </c>
      <c r="J407" s="17"/>
      <c r="K407" s="17">
        <f t="shared" si="63"/>
        <v>5985</v>
      </c>
      <c r="L407" s="17"/>
      <c r="M407" s="17"/>
      <c r="N407" s="17">
        <f t="shared" si="64"/>
        <v>0</v>
      </c>
      <c r="O407" s="17">
        <f t="shared" si="65"/>
        <v>5985</v>
      </c>
      <c r="P407" s="17">
        <f t="shared" si="66"/>
        <v>0</v>
      </c>
      <c r="Q407" s="17">
        <f t="shared" si="67"/>
        <v>5985</v>
      </c>
    </row>
    <row r="408" spans="2:17" ht="13.5" customHeight="1">
      <c r="B408" s="20">
        <f t="shared" si="68"/>
        <v>69</v>
      </c>
      <c r="C408" s="4"/>
      <c r="D408" s="4"/>
      <c r="E408" s="4"/>
      <c r="F408" s="31" t="s">
        <v>146</v>
      </c>
      <c r="G408" s="4">
        <v>633</v>
      </c>
      <c r="H408" s="4" t="s">
        <v>606</v>
      </c>
      <c r="I408" s="17">
        <v>3160</v>
      </c>
      <c r="J408" s="17"/>
      <c r="K408" s="17">
        <f t="shared" si="63"/>
        <v>3160</v>
      </c>
      <c r="L408" s="17"/>
      <c r="M408" s="17"/>
      <c r="N408" s="17">
        <f t="shared" si="64"/>
        <v>0</v>
      </c>
      <c r="O408" s="17">
        <f t="shared" si="65"/>
        <v>3160</v>
      </c>
      <c r="P408" s="17">
        <f t="shared" si="66"/>
        <v>0</v>
      </c>
      <c r="Q408" s="17">
        <f t="shared" si="67"/>
        <v>3160</v>
      </c>
    </row>
    <row r="409" spans="2:17" ht="12.75" customHeight="1">
      <c r="B409" s="20">
        <f t="shared" si="68"/>
        <v>70</v>
      </c>
      <c r="C409" s="4"/>
      <c r="D409" s="4"/>
      <c r="E409" s="4"/>
      <c r="F409" s="31" t="s">
        <v>146</v>
      </c>
      <c r="G409" s="4">
        <v>633</v>
      </c>
      <c r="H409" s="4" t="s">
        <v>607</v>
      </c>
      <c r="I409" s="17">
        <v>1475</v>
      </c>
      <c r="J409" s="17"/>
      <c r="K409" s="17">
        <f t="shared" si="63"/>
        <v>1475</v>
      </c>
      <c r="L409" s="17"/>
      <c r="M409" s="17"/>
      <c r="N409" s="17">
        <f t="shared" si="64"/>
        <v>0</v>
      </c>
      <c r="O409" s="17">
        <f t="shared" si="65"/>
        <v>1475</v>
      </c>
      <c r="P409" s="17">
        <f t="shared" si="66"/>
        <v>0</v>
      </c>
      <c r="Q409" s="17">
        <f t="shared" si="67"/>
        <v>1475</v>
      </c>
    </row>
    <row r="410" spans="2:17" ht="12.75">
      <c r="B410" s="20">
        <f t="shared" si="68"/>
        <v>71</v>
      </c>
      <c r="C410" s="4"/>
      <c r="D410" s="4"/>
      <c r="E410" s="4"/>
      <c r="F410" s="31" t="s">
        <v>146</v>
      </c>
      <c r="G410" s="4">
        <v>634</v>
      </c>
      <c r="H410" s="4" t="s">
        <v>132</v>
      </c>
      <c r="I410" s="17">
        <v>2200</v>
      </c>
      <c r="J410" s="17">
        <v>800</v>
      </c>
      <c r="K410" s="17">
        <f t="shared" si="63"/>
        <v>3000</v>
      </c>
      <c r="L410" s="17"/>
      <c r="M410" s="17"/>
      <c r="N410" s="17">
        <f t="shared" si="64"/>
        <v>0</v>
      </c>
      <c r="O410" s="17">
        <f t="shared" si="65"/>
        <v>2200</v>
      </c>
      <c r="P410" s="17">
        <f t="shared" si="66"/>
        <v>800</v>
      </c>
      <c r="Q410" s="17">
        <f t="shared" si="67"/>
        <v>3000</v>
      </c>
    </row>
    <row r="411" spans="2:17" ht="12.75">
      <c r="B411" s="20">
        <f t="shared" si="68"/>
        <v>72</v>
      </c>
      <c r="C411" s="4"/>
      <c r="D411" s="4"/>
      <c r="E411" s="4"/>
      <c r="F411" s="31" t="s">
        <v>146</v>
      </c>
      <c r="G411" s="4">
        <v>637</v>
      </c>
      <c r="H411" s="4" t="s">
        <v>122</v>
      </c>
      <c r="I411" s="17">
        <v>21750</v>
      </c>
      <c r="J411" s="17">
        <v>100</v>
      </c>
      <c r="K411" s="17">
        <f t="shared" si="63"/>
        <v>21850</v>
      </c>
      <c r="L411" s="17"/>
      <c r="M411" s="17"/>
      <c r="N411" s="17">
        <f t="shared" si="64"/>
        <v>0</v>
      </c>
      <c r="O411" s="17">
        <f t="shared" si="65"/>
        <v>21750</v>
      </c>
      <c r="P411" s="17">
        <f t="shared" si="66"/>
        <v>100</v>
      </c>
      <c r="Q411" s="17">
        <f t="shared" si="67"/>
        <v>21850</v>
      </c>
    </row>
    <row r="412" spans="2:17" ht="12.75">
      <c r="B412" s="20">
        <f t="shared" si="68"/>
        <v>73</v>
      </c>
      <c r="C412" s="10"/>
      <c r="D412" s="10"/>
      <c r="E412" s="10"/>
      <c r="F412" s="30" t="s">
        <v>146</v>
      </c>
      <c r="G412" s="10">
        <v>640</v>
      </c>
      <c r="H412" s="10" t="s">
        <v>129</v>
      </c>
      <c r="I412" s="61">
        <f>I413</f>
        <v>9000</v>
      </c>
      <c r="J412" s="61">
        <f>J413</f>
        <v>0</v>
      </c>
      <c r="K412" s="61">
        <f t="shared" si="63"/>
        <v>9000</v>
      </c>
      <c r="L412" s="61"/>
      <c r="M412" s="61"/>
      <c r="N412" s="61">
        <f t="shared" si="64"/>
        <v>0</v>
      </c>
      <c r="O412" s="61">
        <f t="shared" si="65"/>
        <v>9000</v>
      </c>
      <c r="P412" s="61">
        <f t="shared" si="66"/>
        <v>0</v>
      </c>
      <c r="Q412" s="61">
        <f t="shared" si="67"/>
        <v>9000</v>
      </c>
    </row>
    <row r="413" spans="2:17" ht="12.75">
      <c r="B413" s="20">
        <f t="shared" si="68"/>
        <v>74</v>
      </c>
      <c r="C413" s="4"/>
      <c r="D413" s="4"/>
      <c r="E413" s="4"/>
      <c r="F413" s="31" t="s">
        <v>146</v>
      </c>
      <c r="G413" s="4">
        <v>642</v>
      </c>
      <c r="H413" s="4" t="s">
        <v>130</v>
      </c>
      <c r="I413" s="17">
        <f>SUM(I414:I415)</f>
        <v>9000</v>
      </c>
      <c r="J413" s="17">
        <f>SUM(J414:J415)</f>
        <v>0</v>
      </c>
      <c r="K413" s="17">
        <f t="shared" si="63"/>
        <v>9000</v>
      </c>
      <c r="L413" s="17"/>
      <c r="M413" s="17"/>
      <c r="N413" s="17">
        <f t="shared" si="64"/>
        <v>0</v>
      </c>
      <c r="O413" s="17">
        <f t="shared" si="65"/>
        <v>9000</v>
      </c>
      <c r="P413" s="17">
        <f t="shared" si="66"/>
        <v>0</v>
      </c>
      <c r="Q413" s="17">
        <f t="shared" si="67"/>
        <v>9000</v>
      </c>
    </row>
    <row r="414" spans="2:17" ht="12.75">
      <c r="B414" s="20">
        <f t="shared" si="68"/>
        <v>75</v>
      </c>
      <c r="C414" s="5"/>
      <c r="D414" s="5"/>
      <c r="E414" s="5"/>
      <c r="F414" s="32"/>
      <c r="G414" s="5"/>
      <c r="H414" s="59" t="s">
        <v>14</v>
      </c>
      <c r="I414" s="18">
        <f>1000+2000</f>
        <v>3000</v>
      </c>
      <c r="J414" s="18"/>
      <c r="K414" s="18">
        <f t="shared" si="63"/>
        <v>3000</v>
      </c>
      <c r="L414" s="18"/>
      <c r="M414" s="18"/>
      <c r="N414" s="18">
        <f t="shared" si="64"/>
        <v>0</v>
      </c>
      <c r="O414" s="18">
        <f t="shared" si="65"/>
        <v>3000</v>
      </c>
      <c r="P414" s="18">
        <f t="shared" si="66"/>
        <v>0</v>
      </c>
      <c r="Q414" s="18">
        <f t="shared" si="67"/>
        <v>3000</v>
      </c>
    </row>
    <row r="415" spans="2:17" ht="12.75">
      <c r="B415" s="20">
        <f t="shared" si="68"/>
        <v>76</v>
      </c>
      <c r="C415" s="5"/>
      <c r="D415" s="5"/>
      <c r="E415" s="5"/>
      <c r="F415" s="32"/>
      <c r="G415" s="5"/>
      <c r="H415" s="5" t="s">
        <v>15</v>
      </c>
      <c r="I415" s="18">
        <v>6000</v>
      </c>
      <c r="J415" s="18"/>
      <c r="K415" s="18">
        <f t="shared" si="63"/>
        <v>6000</v>
      </c>
      <c r="L415" s="18"/>
      <c r="M415" s="18"/>
      <c r="N415" s="18">
        <f t="shared" si="64"/>
        <v>0</v>
      </c>
      <c r="O415" s="18">
        <f t="shared" si="65"/>
        <v>6000</v>
      </c>
      <c r="P415" s="18">
        <f t="shared" si="66"/>
        <v>0</v>
      </c>
      <c r="Q415" s="18">
        <f t="shared" si="67"/>
        <v>6000</v>
      </c>
    </row>
    <row r="416" spans="2:17" ht="12.75">
      <c r="B416" s="20">
        <f t="shared" si="68"/>
        <v>77</v>
      </c>
      <c r="C416" s="5"/>
      <c r="D416" s="5"/>
      <c r="E416" s="5"/>
      <c r="F416" s="70" t="s">
        <v>146</v>
      </c>
      <c r="G416" s="71">
        <v>710</v>
      </c>
      <c r="H416" s="71" t="s">
        <v>176</v>
      </c>
      <c r="I416" s="18"/>
      <c r="J416" s="18"/>
      <c r="K416" s="18">
        <f t="shared" si="63"/>
        <v>0</v>
      </c>
      <c r="L416" s="16">
        <f>L417</f>
        <v>5000</v>
      </c>
      <c r="M416" s="16">
        <f>M417</f>
        <v>0</v>
      </c>
      <c r="N416" s="16">
        <f t="shared" si="64"/>
        <v>5000</v>
      </c>
      <c r="O416" s="16">
        <f t="shared" si="65"/>
        <v>5000</v>
      </c>
      <c r="P416" s="16">
        <f t="shared" si="66"/>
        <v>0</v>
      </c>
      <c r="Q416" s="16">
        <f t="shared" si="67"/>
        <v>5000</v>
      </c>
    </row>
    <row r="417" spans="2:17" ht="12.75">
      <c r="B417" s="20">
        <f t="shared" si="68"/>
        <v>78</v>
      </c>
      <c r="C417" s="5"/>
      <c r="D417" s="5"/>
      <c r="E417" s="5"/>
      <c r="F417" s="33" t="s">
        <v>146</v>
      </c>
      <c r="G417" s="24">
        <v>713</v>
      </c>
      <c r="H417" s="4" t="s">
        <v>225</v>
      </c>
      <c r="I417" s="18"/>
      <c r="J417" s="18"/>
      <c r="K417" s="18">
        <f t="shared" si="63"/>
        <v>0</v>
      </c>
      <c r="L417" s="17">
        <f>L418</f>
        <v>5000</v>
      </c>
      <c r="M417" s="17">
        <f>M418</f>
        <v>0</v>
      </c>
      <c r="N417" s="17">
        <f t="shared" si="64"/>
        <v>5000</v>
      </c>
      <c r="O417" s="17">
        <f t="shared" si="65"/>
        <v>5000</v>
      </c>
      <c r="P417" s="17">
        <f t="shared" si="66"/>
        <v>0</v>
      </c>
      <c r="Q417" s="17">
        <f t="shared" si="67"/>
        <v>5000</v>
      </c>
    </row>
    <row r="418" spans="2:17" ht="12.75">
      <c r="B418" s="20">
        <f t="shared" si="68"/>
        <v>79</v>
      </c>
      <c r="C418" s="5"/>
      <c r="D418" s="5"/>
      <c r="E418" s="5"/>
      <c r="F418" s="32"/>
      <c r="G418" s="5"/>
      <c r="H418" s="5" t="s">
        <v>500</v>
      </c>
      <c r="I418" s="18"/>
      <c r="J418" s="18"/>
      <c r="K418" s="18">
        <f t="shared" si="63"/>
        <v>0</v>
      </c>
      <c r="L418" s="18">
        <v>5000</v>
      </c>
      <c r="M418" s="18"/>
      <c r="N418" s="18">
        <f t="shared" si="64"/>
        <v>5000</v>
      </c>
      <c r="O418" s="18">
        <f t="shared" si="65"/>
        <v>5000</v>
      </c>
      <c r="P418" s="18">
        <f t="shared" si="66"/>
        <v>0</v>
      </c>
      <c r="Q418" s="18">
        <f t="shared" si="67"/>
        <v>5000</v>
      </c>
    </row>
    <row r="446" spans="2:16" ht="27">
      <c r="B446" s="248" t="s">
        <v>25</v>
      </c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/>
    </row>
    <row r="447" spans="2:17" ht="12.75">
      <c r="B447" s="244" t="s">
        <v>327</v>
      </c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  <c r="N447" s="246"/>
      <c r="O447" s="250" t="s">
        <v>612</v>
      </c>
      <c r="P447" s="250" t="s">
        <v>642</v>
      </c>
      <c r="Q447" s="250" t="s">
        <v>644</v>
      </c>
    </row>
    <row r="448" spans="2:17" ht="12.75">
      <c r="B448" s="251"/>
      <c r="C448" s="243" t="s">
        <v>114</v>
      </c>
      <c r="D448" s="243" t="s">
        <v>115</v>
      </c>
      <c r="E448" s="243"/>
      <c r="F448" s="243" t="s">
        <v>116</v>
      </c>
      <c r="G448" s="247" t="s">
        <v>117</v>
      </c>
      <c r="H448" s="252" t="s">
        <v>118</v>
      </c>
      <c r="I448" s="239" t="s">
        <v>609</v>
      </c>
      <c r="J448" s="209" t="s">
        <v>642</v>
      </c>
      <c r="K448" s="209" t="s">
        <v>644</v>
      </c>
      <c r="L448" s="239" t="s">
        <v>610</v>
      </c>
      <c r="M448" s="209" t="s">
        <v>642</v>
      </c>
      <c r="N448" s="209" t="s">
        <v>644</v>
      </c>
      <c r="O448" s="250"/>
      <c r="P448" s="250"/>
      <c r="Q448" s="250"/>
    </row>
    <row r="449" spans="2:17" ht="12.75">
      <c r="B449" s="251"/>
      <c r="C449" s="243"/>
      <c r="D449" s="243"/>
      <c r="E449" s="243"/>
      <c r="F449" s="243"/>
      <c r="G449" s="247"/>
      <c r="H449" s="252"/>
      <c r="I449" s="239"/>
      <c r="J449" s="210"/>
      <c r="K449" s="210"/>
      <c r="L449" s="239"/>
      <c r="M449" s="210"/>
      <c r="N449" s="210"/>
      <c r="O449" s="250"/>
      <c r="P449" s="250"/>
      <c r="Q449" s="250"/>
    </row>
    <row r="450" spans="2:17" ht="12.75">
      <c r="B450" s="251"/>
      <c r="C450" s="243"/>
      <c r="D450" s="243"/>
      <c r="E450" s="243"/>
      <c r="F450" s="243"/>
      <c r="G450" s="247"/>
      <c r="H450" s="252"/>
      <c r="I450" s="239"/>
      <c r="J450" s="210"/>
      <c r="K450" s="210"/>
      <c r="L450" s="239"/>
      <c r="M450" s="210"/>
      <c r="N450" s="210"/>
      <c r="O450" s="250"/>
      <c r="P450" s="250"/>
      <c r="Q450" s="250"/>
    </row>
    <row r="451" spans="2:17" ht="13.5" thickBot="1">
      <c r="B451" s="251"/>
      <c r="C451" s="243"/>
      <c r="D451" s="243"/>
      <c r="E451" s="243"/>
      <c r="F451" s="243"/>
      <c r="G451" s="247"/>
      <c r="H451" s="252"/>
      <c r="I451" s="239"/>
      <c r="J451" s="255"/>
      <c r="K451" s="255"/>
      <c r="L451" s="239"/>
      <c r="M451" s="255"/>
      <c r="N451" s="255"/>
      <c r="O451" s="250"/>
      <c r="P451" s="250"/>
      <c r="Q451" s="250"/>
    </row>
    <row r="452" spans="2:17" ht="16.5" thickTop="1">
      <c r="B452" s="23">
        <v>1</v>
      </c>
      <c r="C452" s="256" t="s">
        <v>25</v>
      </c>
      <c r="D452" s="257"/>
      <c r="E452" s="257"/>
      <c r="F452" s="257"/>
      <c r="G452" s="257"/>
      <c r="H452" s="258"/>
      <c r="I452" s="89">
        <f>I491+I462+I453</f>
        <v>5635566</v>
      </c>
      <c r="J452" s="89">
        <f>J491+J462+J453</f>
        <v>0</v>
      </c>
      <c r="K452" s="89">
        <f aca="true" t="shared" si="69" ref="K452:K490">I452+J452</f>
        <v>5635566</v>
      </c>
      <c r="L452" s="89">
        <f>L491+L462+L453</f>
        <v>4838992</v>
      </c>
      <c r="M452" s="89">
        <f>M491+M462+M453</f>
        <v>105600</v>
      </c>
      <c r="N452" s="89">
        <f aca="true" t="shared" si="70" ref="N452:N483">M452+L452</f>
        <v>4944592</v>
      </c>
      <c r="O452" s="89">
        <f aca="true" t="shared" si="71" ref="O452:O483">I452+L452</f>
        <v>10474558</v>
      </c>
      <c r="P452" s="89">
        <f aca="true" t="shared" si="72" ref="P452:P483">J452+M452</f>
        <v>105600</v>
      </c>
      <c r="Q452" s="89">
        <f aca="true" t="shared" si="73" ref="Q452:Q483">O452+P452</f>
        <v>10580158</v>
      </c>
    </row>
    <row r="453" spans="2:17" ht="15">
      <c r="B453" s="21">
        <f aca="true" t="shared" si="74" ref="B453:B484">B452+1</f>
        <v>2</v>
      </c>
      <c r="C453" s="7">
        <v>1</v>
      </c>
      <c r="D453" s="232" t="s">
        <v>246</v>
      </c>
      <c r="E453" s="233"/>
      <c r="F453" s="233"/>
      <c r="G453" s="233"/>
      <c r="H453" s="234"/>
      <c r="I453" s="87">
        <f>I454</f>
        <v>3321036</v>
      </c>
      <c r="J453" s="87">
        <f>J454</f>
        <v>0</v>
      </c>
      <c r="K453" s="87">
        <f t="shared" si="69"/>
        <v>3321036</v>
      </c>
      <c r="L453" s="87">
        <f>L458</f>
        <v>14000</v>
      </c>
      <c r="M453" s="87">
        <f>M458</f>
        <v>0</v>
      </c>
      <c r="N453" s="87">
        <f t="shared" si="70"/>
        <v>14000</v>
      </c>
      <c r="O453" s="87">
        <f t="shared" si="71"/>
        <v>3335036</v>
      </c>
      <c r="P453" s="87">
        <f t="shared" si="72"/>
        <v>0</v>
      </c>
      <c r="Q453" s="87">
        <f t="shared" si="73"/>
        <v>3335036</v>
      </c>
    </row>
    <row r="454" spans="2:17" ht="12.75">
      <c r="B454" s="21">
        <f t="shared" si="74"/>
        <v>3</v>
      </c>
      <c r="C454" s="10"/>
      <c r="D454" s="10"/>
      <c r="E454" s="10"/>
      <c r="F454" s="30" t="s">
        <v>226</v>
      </c>
      <c r="G454" s="10">
        <v>640</v>
      </c>
      <c r="H454" s="10" t="s">
        <v>129</v>
      </c>
      <c r="I454" s="61">
        <f>I456+I455+I457</f>
        <v>3321036</v>
      </c>
      <c r="J454" s="61">
        <f>J456+J455+J457</f>
        <v>0</v>
      </c>
      <c r="K454" s="61">
        <f t="shared" si="69"/>
        <v>3321036</v>
      </c>
      <c r="L454" s="61"/>
      <c r="M454" s="61"/>
      <c r="N454" s="61">
        <f t="shared" si="70"/>
        <v>0</v>
      </c>
      <c r="O454" s="61">
        <f t="shared" si="71"/>
        <v>3321036</v>
      </c>
      <c r="P454" s="61">
        <f t="shared" si="72"/>
        <v>0</v>
      </c>
      <c r="Q454" s="61">
        <f t="shared" si="73"/>
        <v>3321036</v>
      </c>
    </row>
    <row r="455" spans="2:17" ht="12.75">
      <c r="B455" s="21">
        <f t="shared" si="74"/>
        <v>4</v>
      </c>
      <c r="C455" s="4"/>
      <c r="D455" s="4"/>
      <c r="E455" s="4"/>
      <c r="F455" s="31" t="s">
        <v>226</v>
      </c>
      <c r="G455" s="4">
        <v>644</v>
      </c>
      <c r="H455" s="4" t="s">
        <v>299</v>
      </c>
      <c r="I455" s="17">
        <f>2928600-64445</f>
        <v>2864155</v>
      </c>
      <c r="J455" s="17"/>
      <c r="K455" s="17">
        <f t="shared" si="69"/>
        <v>2864155</v>
      </c>
      <c r="L455" s="17"/>
      <c r="M455" s="17"/>
      <c r="N455" s="17">
        <f t="shared" si="70"/>
        <v>0</v>
      </c>
      <c r="O455" s="17">
        <f t="shared" si="71"/>
        <v>2864155</v>
      </c>
      <c r="P455" s="17">
        <f t="shared" si="72"/>
        <v>0</v>
      </c>
      <c r="Q455" s="17">
        <f t="shared" si="73"/>
        <v>2864155</v>
      </c>
    </row>
    <row r="456" spans="2:17" ht="12.75">
      <c r="B456" s="21">
        <f t="shared" si="74"/>
        <v>5</v>
      </c>
      <c r="C456" s="4"/>
      <c r="D456" s="4"/>
      <c r="E456" s="4"/>
      <c r="F456" s="31" t="s">
        <v>226</v>
      </c>
      <c r="G456" s="4">
        <v>644</v>
      </c>
      <c r="H456" s="4" t="s">
        <v>434</v>
      </c>
      <c r="I456" s="17">
        <f>368436+64445</f>
        <v>432881</v>
      </c>
      <c r="J456" s="17"/>
      <c r="K456" s="17">
        <f t="shared" si="69"/>
        <v>432881</v>
      </c>
      <c r="L456" s="17"/>
      <c r="M456" s="17"/>
      <c r="N456" s="17">
        <f t="shared" si="70"/>
        <v>0</v>
      </c>
      <c r="O456" s="17">
        <f t="shared" si="71"/>
        <v>432881</v>
      </c>
      <c r="P456" s="17">
        <f t="shared" si="72"/>
        <v>0</v>
      </c>
      <c r="Q456" s="17">
        <f t="shared" si="73"/>
        <v>432881</v>
      </c>
    </row>
    <row r="457" spans="2:17" ht="12.75">
      <c r="B457" s="21">
        <f t="shared" si="74"/>
        <v>6</v>
      </c>
      <c r="C457" s="4"/>
      <c r="D457" s="4"/>
      <c r="E457" s="4"/>
      <c r="F457" s="31" t="s">
        <v>226</v>
      </c>
      <c r="G457" s="4">
        <v>644</v>
      </c>
      <c r="H457" s="4" t="s">
        <v>469</v>
      </c>
      <c r="I457" s="17">
        <v>24000</v>
      </c>
      <c r="J457" s="17"/>
      <c r="K457" s="17">
        <f t="shared" si="69"/>
        <v>24000</v>
      </c>
      <c r="L457" s="17"/>
      <c r="M457" s="17"/>
      <c r="N457" s="17">
        <f t="shared" si="70"/>
        <v>0</v>
      </c>
      <c r="O457" s="17">
        <f t="shared" si="71"/>
        <v>24000</v>
      </c>
      <c r="P457" s="17">
        <f t="shared" si="72"/>
        <v>0</v>
      </c>
      <c r="Q457" s="17">
        <f t="shared" si="73"/>
        <v>24000</v>
      </c>
    </row>
    <row r="458" spans="2:17" ht="12.75">
      <c r="B458" s="21">
        <f t="shared" si="74"/>
        <v>7</v>
      </c>
      <c r="C458" s="4"/>
      <c r="D458" s="4"/>
      <c r="E458" s="4"/>
      <c r="F458" s="52" t="s">
        <v>226</v>
      </c>
      <c r="G458" s="3">
        <v>710</v>
      </c>
      <c r="H458" s="3" t="s">
        <v>176</v>
      </c>
      <c r="I458" s="16"/>
      <c r="J458" s="16"/>
      <c r="K458" s="16">
        <f t="shared" si="69"/>
        <v>0</v>
      </c>
      <c r="L458" s="16">
        <f>L459</f>
        <v>14000</v>
      </c>
      <c r="M458" s="16">
        <f>M459</f>
        <v>0</v>
      </c>
      <c r="N458" s="16">
        <f t="shared" si="70"/>
        <v>14000</v>
      </c>
      <c r="O458" s="16">
        <f t="shared" si="71"/>
        <v>14000</v>
      </c>
      <c r="P458" s="16">
        <f t="shared" si="72"/>
        <v>0</v>
      </c>
      <c r="Q458" s="16">
        <f t="shared" si="73"/>
        <v>14000</v>
      </c>
    </row>
    <row r="459" spans="2:17" ht="12.75">
      <c r="B459" s="21">
        <f t="shared" si="74"/>
        <v>8</v>
      </c>
      <c r="C459" s="4"/>
      <c r="D459" s="4"/>
      <c r="E459" s="4"/>
      <c r="F459" s="31" t="s">
        <v>226</v>
      </c>
      <c r="G459" s="4">
        <v>716</v>
      </c>
      <c r="H459" s="4" t="s">
        <v>222</v>
      </c>
      <c r="I459" s="17"/>
      <c r="J459" s="17"/>
      <c r="K459" s="17">
        <f t="shared" si="69"/>
        <v>0</v>
      </c>
      <c r="L459" s="17">
        <f>L460+L461</f>
        <v>14000</v>
      </c>
      <c r="M459" s="17">
        <f>M460+M461</f>
        <v>0</v>
      </c>
      <c r="N459" s="17">
        <f t="shared" si="70"/>
        <v>14000</v>
      </c>
      <c r="O459" s="17">
        <f t="shared" si="71"/>
        <v>14000</v>
      </c>
      <c r="P459" s="17">
        <f t="shared" si="72"/>
        <v>0</v>
      </c>
      <c r="Q459" s="17">
        <f t="shared" si="73"/>
        <v>14000</v>
      </c>
    </row>
    <row r="460" spans="2:17" ht="12.75">
      <c r="B460" s="21">
        <f t="shared" si="74"/>
        <v>9</v>
      </c>
      <c r="C460" s="4"/>
      <c r="D460" s="4"/>
      <c r="E460" s="4"/>
      <c r="F460" s="31"/>
      <c r="G460" s="4"/>
      <c r="H460" s="5" t="s">
        <v>633</v>
      </c>
      <c r="I460" s="18"/>
      <c r="J460" s="18"/>
      <c r="K460" s="18">
        <f t="shared" si="69"/>
        <v>0</v>
      </c>
      <c r="L460" s="18">
        <v>10000</v>
      </c>
      <c r="M460" s="18"/>
      <c r="N460" s="18">
        <f t="shared" si="70"/>
        <v>10000</v>
      </c>
      <c r="O460" s="18">
        <f t="shared" si="71"/>
        <v>10000</v>
      </c>
      <c r="P460" s="18">
        <f t="shared" si="72"/>
        <v>0</v>
      </c>
      <c r="Q460" s="18">
        <f t="shared" si="73"/>
        <v>10000</v>
      </c>
    </row>
    <row r="461" spans="2:17" ht="12.75">
      <c r="B461" s="21">
        <f t="shared" si="74"/>
        <v>10</v>
      </c>
      <c r="C461" s="4"/>
      <c r="D461" s="4"/>
      <c r="E461" s="4"/>
      <c r="F461" s="31"/>
      <c r="G461" s="4"/>
      <c r="H461" s="5" t="s">
        <v>632</v>
      </c>
      <c r="I461" s="18"/>
      <c r="J461" s="18"/>
      <c r="K461" s="18">
        <f t="shared" si="69"/>
        <v>0</v>
      </c>
      <c r="L461" s="18">
        <v>4000</v>
      </c>
      <c r="M461" s="18"/>
      <c r="N461" s="18">
        <f t="shared" si="70"/>
        <v>4000</v>
      </c>
      <c r="O461" s="18">
        <f t="shared" si="71"/>
        <v>4000</v>
      </c>
      <c r="P461" s="18">
        <f t="shared" si="72"/>
        <v>0</v>
      </c>
      <c r="Q461" s="18">
        <f t="shared" si="73"/>
        <v>4000</v>
      </c>
    </row>
    <row r="462" spans="2:17" ht="15">
      <c r="B462" s="21">
        <f t="shared" si="74"/>
        <v>11</v>
      </c>
      <c r="C462" s="7">
        <v>2</v>
      </c>
      <c r="D462" s="232" t="s">
        <v>281</v>
      </c>
      <c r="E462" s="233"/>
      <c r="F462" s="233"/>
      <c r="G462" s="233"/>
      <c r="H462" s="234"/>
      <c r="I462" s="87">
        <f>I484+I463</f>
        <v>2314530</v>
      </c>
      <c r="J462" s="87">
        <f>J484+J463</f>
        <v>0</v>
      </c>
      <c r="K462" s="87">
        <f t="shared" si="69"/>
        <v>2314530</v>
      </c>
      <c r="L462" s="87">
        <f>L484+L463</f>
        <v>15000</v>
      </c>
      <c r="M462" s="87">
        <f>M484+M463</f>
        <v>0</v>
      </c>
      <c r="N462" s="87">
        <f t="shared" si="70"/>
        <v>15000</v>
      </c>
      <c r="O462" s="87">
        <f t="shared" si="71"/>
        <v>2329530</v>
      </c>
      <c r="P462" s="87">
        <f t="shared" si="72"/>
        <v>0</v>
      </c>
      <c r="Q462" s="87">
        <f t="shared" si="73"/>
        <v>2329530</v>
      </c>
    </row>
    <row r="463" spans="2:17" ht="15">
      <c r="B463" s="21">
        <f t="shared" si="74"/>
        <v>12</v>
      </c>
      <c r="C463" s="2"/>
      <c r="D463" s="2">
        <v>1</v>
      </c>
      <c r="E463" s="238" t="s">
        <v>360</v>
      </c>
      <c r="F463" s="233"/>
      <c r="G463" s="233"/>
      <c r="H463" s="234"/>
      <c r="I463" s="88">
        <f>I464+I473</f>
        <v>1916330</v>
      </c>
      <c r="J463" s="88">
        <f>J464+J473</f>
        <v>0</v>
      </c>
      <c r="K463" s="88">
        <f t="shared" si="69"/>
        <v>1916330</v>
      </c>
      <c r="L463" s="88">
        <f>L468</f>
        <v>15000</v>
      </c>
      <c r="M463" s="88">
        <f>M468</f>
        <v>0</v>
      </c>
      <c r="N463" s="88">
        <f t="shared" si="70"/>
        <v>15000</v>
      </c>
      <c r="O463" s="88">
        <f t="shared" si="71"/>
        <v>1931330</v>
      </c>
      <c r="P463" s="88">
        <f t="shared" si="72"/>
        <v>0</v>
      </c>
      <c r="Q463" s="88">
        <f t="shared" si="73"/>
        <v>1931330</v>
      </c>
    </row>
    <row r="464" spans="2:17" ht="12.75">
      <c r="B464" s="21">
        <f t="shared" si="74"/>
        <v>13</v>
      </c>
      <c r="C464" s="10"/>
      <c r="D464" s="10"/>
      <c r="E464" s="10"/>
      <c r="F464" s="30" t="s">
        <v>226</v>
      </c>
      <c r="G464" s="10">
        <v>630</v>
      </c>
      <c r="H464" s="10" t="s">
        <v>121</v>
      </c>
      <c r="I464" s="61">
        <f>I467+I466+I465</f>
        <v>1278600</v>
      </c>
      <c r="J464" s="61">
        <f>J467+J466+J465</f>
        <v>0</v>
      </c>
      <c r="K464" s="61">
        <f t="shared" si="69"/>
        <v>1278600</v>
      </c>
      <c r="L464" s="61"/>
      <c r="M464" s="61"/>
      <c r="N464" s="61">
        <f t="shared" si="70"/>
        <v>0</v>
      </c>
      <c r="O464" s="61">
        <f t="shared" si="71"/>
        <v>1278600</v>
      </c>
      <c r="P464" s="61">
        <f t="shared" si="72"/>
        <v>0</v>
      </c>
      <c r="Q464" s="61">
        <f t="shared" si="73"/>
        <v>1278600</v>
      </c>
    </row>
    <row r="465" spans="2:17" ht="12.75">
      <c r="B465" s="21">
        <f t="shared" si="74"/>
        <v>14</v>
      </c>
      <c r="C465" s="4"/>
      <c r="D465" s="4"/>
      <c r="E465" s="4"/>
      <c r="F465" s="31" t="s">
        <v>226</v>
      </c>
      <c r="G465" s="4">
        <v>635</v>
      </c>
      <c r="H465" s="4" t="s">
        <v>133</v>
      </c>
      <c r="I465" s="17">
        <v>1256400</v>
      </c>
      <c r="J465" s="17"/>
      <c r="K465" s="17">
        <f t="shared" si="69"/>
        <v>1256400</v>
      </c>
      <c r="L465" s="17"/>
      <c r="M465" s="17"/>
      <c r="N465" s="17">
        <f t="shared" si="70"/>
        <v>0</v>
      </c>
      <c r="O465" s="17">
        <f t="shared" si="71"/>
        <v>1256400</v>
      </c>
      <c r="P465" s="17">
        <f t="shared" si="72"/>
        <v>0</v>
      </c>
      <c r="Q465" s="17">
        <f t="shared" si="73"/>
        <v>1256400</v>
      </c>
    </row>
    <row r="466" spans="2:17" ht="12.75">
      <c r="B466" s="21">
        <f t="shared" si="74"/>
        <v>15</v>
      </c>
      <c r="C466" s="4"/>
      <c r="D466" s="4"/>
      <c r="E466" s="4"/>
      <c r="F466" s="31" t="s">
        <v>226</v>
      </c>
      <c r="G466" s="4">
        <v>636</v>
      </c>
      <c r="H466" s="4" t="s">
        <v>126</v>
      </c>
      <c r="I466" s="17">
        <v>2000</v>
      </c>
      <c r="J466" s="17"/>
      <c r="K466" s="17">
        <f t="shared" si="69"/>
        <v>2000</v>
      </c>
      <c r="L466" s="17"/>
      <c r="M466" s="17"/>
      <c r="N466" s="17">
        <f t="shared" si="70"/>
        <v>0</v>
      </c>
      <c r="O466" s="17">
        <f t="shared" si="71"/>
        <v>2000</v>
      </c>
      <c r="P466" s="17">
        <f t="shared" si="72"/>
        <v>0</v>
      </c>
      <c r="Q466" s="17">
        <f t="shared" si="73"/>
        <v>2000</v>
      </c>
    </row>
    <row r="467" spans="2:17" ht="12.75">
      <c r="B467" s="21">
        <f t="shared" si="74"/>
        <v>16</v>
      </c>
      <c r="C467" s="4"/>
      <c r="D467" s="4"/>
      <c r="E467" s="4"/>
      <c r="F467" s="31" t="s">
        <v>226</v>
      </c>
      <c r="G467" s="4">
        <v>637</v>
      </c>
      <c r="H467" s="4" t="s">
        <v>122</v>
      </c>
      <c r="I467" s="17">
        <f>42000-5000-4350-12450</f>
        <v>20200</v>
      </c>
      <c r="J467" s="17"/>
      <c r="K467" s="17">
        <f t="shared" si="69"/>
        <v>20200</v>
      </c>
      <c r="L467" s="17"/>
      <c r="M467" s="17"/>
      <c r="N467" s="17">
        <f t="shared" si="70"/>
        <v>0</v>
      </c>
      <c r="O467" s="17">
        <f t="shared" si="71"/>
        <v>20200</v>
      </c>
      <c r="P467" s="17">
        <f t="shared" si="72"/>
        <v>0</v>
      </c>
      <c r="Q467" s="17">
        <f t="shared" si="73"/>
        <v>20200</v>
      </c>
    </row>
    <row r="468" spans="2:17" ht="12.75">
      <c r="B468" s="21">
        <f t="shared" si="74"/>
        <v>17</v>
      </c>
      <c r="C468" s="10"/>
      <c r="D468" s="10"/>
      <c r="E468" s="10"/>
      <c r="F468" s="30" t="s">
        <v>226</v>
      </c>
      <c r="G468" s="10">
        <v>710</v>
      </c>
      <c r="H468" s="10" t="s">
        <v>176</v>
      </c>
      <c r="I468" s="61"/>
      <c r="J468" s="61"/>
      <c r="K468" s="61">
        <f t="shared" si="69"/>
        <v>0</v>
      </c>
      <c r="L468" s="61">
        <f>L471+L469</f>
        <v>15000</v>
      </c>
      <c r="M468" s="61">
        <f>M471+M469</f>
        <v>0</v>
      </c>
      <c r="N468" s="61">
        <f t="shared" si="70"/>
        <v>15000</v>
      </c>
      <c r="O468" s="61">
        <f t="shared" si="71"/>
        <v>15000</v>
      </c>
      <c r="P468" s="61">
        <f t="shared" si="72"/>
        <v>0</v>
      </c>
      <c r="Q468" s="61">
        <f t="shared" si="73"/>
        <v>15000</v>
      </c>
    </row>
    <row r="469" spans="2:17" ht="12.75">
      <c r="B469" s="21">
        <f t="shared" si="74"/>
        <v>18</v>
      </c>
      <c r="C469" s="10"/>
      <c r="D469" s="10"/>
      <c r="E469" s="10"/>
      <c r="F469" s="31" t="s">
        <v>226</v>
      </c>
      <c r="G469" s="4">
        <v>713</v>
      </c>
      <c r="H469" s="4" t="s">
        <v>225</v>
      </c>
      <c r="I469" s="17"/>
      <c r="J469" s="17"/>
      <c r="K469" s="17">
        <f t="shared" si="69"/>
        <v>0</v>
      </c>
      <c r="L469" s="61">
        <f>L470</f>
        <v>5000</v>
      </c>
      <c r="M469" s="61">
        <f>M470</f>
        <v>0</v>
      </c>
      <c r="N469" s="61">
        <f t="shared" si="70"/>
        <v>5000</v>
      </c>
      <c r="O469" s="103">
        <f t="shared" si="71"/>
        <v>5000</v>
      </c>
      <c r="P469" s="103">
        <f t="shared" si="72"/>
        <v>0</v>
      </c>
      <c r="Q469" s="103">
        <f t="shared" si="73"/>
        <v>5000</v>
      </c>
    </row>
    <row r="470" spans="2:17" ht="12.75">
      <c r="B470" s="21">
        <f t="shared" si="74"/>
        <v>19</v>
      </c>
      <c r="C470" s="10"/>
      <c r="D470" s="10"/>
      <c r="E470" s="10"/>
      <c r="F470" s="32"/>
      <c r="G470" s="5"/>
      <c r="H470" s="5" t="s">
        <v>585</v>
      </c>
      <c r="I470" s="18"/>
      <c r="J470" s="18"/>
      <c r="K470" s="18">
        <f t="shared" si="69"/>
        <v>0</v>
      </c>
      <c r="L470" s="170">
        <v>5000</v>
      </c>
      <c r="M470" s="170"/>
      <c r="N470" s="170">
        <f t="shared" si="70"/>
        <v>5000</v>
      </c>
      <c r="O470" s="170">
        <f t="shared" si="71"/>
        <v>5000</v>
      </c>
      <c r="P470" s="170">
        <f t="shared" si="72"/>
        <v>0</v>
      </c>
      <c r="Q470" s="170">
        <f t="shared" si="73"/>
        <v>5000</v>
      </c>
    </row>
    <row r="471" spans="2:17" ht="12.75">
      <c r="B471" s="21">
        <f t="shared" si="74"/>
        <v>20</v>
      </c>
      <c r="C471" s="4"/>
      <c r="D471" s="4"/>
      <c r="E471" s="4"/>
      <c r="F471" s="31" t="s">
        <v>226</v>
      </c>
      <c r="G471" s="4">
        <v>717</v>
      </c>
      <c r="H471" s="4" t="s">
        <v>186</v>
      </c>
      <c r="I471" s="17"/>
      <c r="J471" s="17"/>
      <c r="K471" s="17">
        <f t="shared" si="69"/>
        <v>0</v>
      </c>
      <c r="L471" s="17">
        <f>L472</f>
        <v>10000</v>
      </c>
      <c r="M471" s="17">
        <f>M472</f>
        <v>0</v>
      </c>
      <c r="N471" s="17">
        <f t="shared" si="70"/>
        <v>10000</v>
      </c>
      <c r="O471" s="17">
        <f t="shared" si="71"/>
        <v>10000</v>
      </c>
      <c r="P471" s="17">
        <f t="shared" si="72"/>
        <v>0</v>
      </c>
      <c r="Q471" s="17">
        <f t="shared" si="73"/>
        <v>10000</v>
      </c>
    </row>
    <row r="472" spans="2:17" ht="12.75">
      <c r="B472" s="21">
        <f t="shared" si="74"/>
        <v>21</v>
      </c>
      <c r="C472" s="5"/>
      <c r="D472" s="5"/>
      <c r="E472" s="5"/>
      <c r="F472" s="32"/>
      <c r="G472" s="5"/>
      <c r="H472" s="5" t="s">
        <v>359</v>
      </c>
      <c r="I472" s="18"/>
      <c r="J472" s="18"/>
      <c r="K472" s="18">
        <f t="shared" si="69"/>
        <v>0</v>
      </c>
      <c r="L472" s="18">
        <v>10000</v>
      </c>
      <c r="M472" s="18"/>
      <c r="N472" s="18">
        <f t="shared" si="70"/>
        <v>10000</v>
      </c>
      <c r="O472" s="18">
        <f t="shared" si="71"/>
        <v>10000</v>
      </c>
      <c r="P472" s="18">
        <f t="shared" si="72"/>
        <v>0</v>
      </c>
      <c r="Q472" s="18">
        <f t="shared" si="73"/>
        <v>10000</v>
      </c>
    </row>
    <row r="473" spans="2:17" ht="15">
      <c r="B473" s="21">
        <f t="shared" si="74"/>
        <v>22</v>
      </c>
      <c r="C473" s="12"/>
      <c r="D473" s="12"/>
      <c r="E473" s="12">
        <v>2</v>
      </c>
      <c r="F473" s="34"/>
      <c r="G473" s="12"/>
      <c r="H473" s="12" t="s">
        <v>16</v>
      </c>
      <c r="I473" s="90">
        <f>I474+I475+I476+I483</f>
        <v>637730</v>
      </c>
      <c r="J473" s="90">
        <f>J474+J475+J476+J483</f>
        <v>0</v>
      </c>
      <c r="K473" s="90">
        <f t="shared" si="69"/>
        <v>637730</v>
      </c>
      <c r="L473" s="90"/>
      <c r="M473" s="90"/>
      <c r="N473" s="90">
        <f t="shared" si="70"/>
        <v>0</v>
      </c>
      <c r="O473" s="90">
        <f t="shared" si="71"/>
        <v>637730</v>
      </c>
      <c r="P473" s="90">
        <f t="shared" si="72"/>
        <v>0</v>
      </c>
      <c r="Q473" s="90">
        <f t="shared" si="73"/>
        <v>637730</v>
      </c>
    </row>
    <row r="474" spans="2:17" ht="12.75">
      <c r="B474" s="21">
        <f t="shared" si="74"/>
        <v>23</v>
      </c>
      <c r="C474" s="10"/>
      <c r="D474" s="10"/>
      <c r="E474" s="10"/>
      <c r="F474" s="30" t="s">
        <v>226</v>
      </c>
      <c r="G474" s="10">
        <v>610</v>
      </c>
      <c r="H474" s="10" t="s">
        <v>131</v>
      </c>
      <c r="I474" s="61">
        <v>90450</v>
      </c>
      <c r="J474" s="61"/>
      <c r="K474" s="61">
        <f t="shared" si="69"/>
        <v>90450</v>
      </c>
      <c r="L474" s="61"/>
      <c r="M474" s="61"/>
      <c r="N474" s="61">
        <f t="shared" si="70"/>
        <v>0</v>
      </c>
      <c r="O474" s="61">
        <f t="shared" si="71"/>
        <v>90450</v>
      </c>
      <c r="P474" s="61">
        <f t="shared" si="72"/>
        <v>0</v>
      </c>
      <c r="Q474" s="61">
        <f t="shared" si="73"/>
        <v>90450</v>
      </c>
    </row>
    <row r="475" spans="2:17" ht="12.75">
      <c r="B475" s="21">
        <f t="shared" si="74"/>
        <v>24</v>
      </c>
      <c r="C475" s="10"/>
      <c r="D475" s="10"/>
      <c r="E475" s="10"/>
      <c r="F475" s="30" t="s">
        <v>226</v>
      </c>
      <c r="G475" s="10">
        <v>620</v>
      </c>
      <c r="H475" s="10" t="s">
        <v>124</v>
      </c>
      <c r="I475" s="61">
        <v>33780</v>
      </c>
      <c r="J475" s="61"/>
      <c r="K475" s="61">
        <f t="shared" si="69"/>
        <v>33780</v>
      </c>
      <c r="L475" s="61"/>
      <c r="M475" s="61"/>
      <c r="N475" s="61">
        <f t="shared" si="70"/>
        <v>0</v>
      </c>
      <c r="O475" s="61">
        <f t="shared" si="71"/>
        <v>33780</v>
      </c>
      <c r="P475" s="61">
        <f t="shared" si="72"/>
        <v>0</v>
      </c>
      <c r="Q475" s="61">
        <f t="shared" si="73"/>
        <v>33780</v>
      </c>
    </row>
    <row r="476" spans="2:17" ht="12.75">
      <c r="B476" s="21">
        <f t="shared" si="74"/>
        <v>25</v>
      </c>
      <c r="C476" s="10"/>
      <c r="D476" s="10"/>
      <c r="E476" s="10"/>
      <c r="F476" s="30" t="s">
        <v>226</v>
      </c>
      <c r="G476" s="10">
        <v>630</v>
      </c>
      <c r="H476" s="10" t="s">
        <v>121</v>
      </c>
      <c r="I476" s="61">
        <f>SUM(I477:I482)</f>
        <v>513000</v>
      </c>
      <c r="J476" s="61">
        <f>SUM(J477:J482)</f>
        <v>-500</v>
      </c>
      <c r="K476" s="61">
        <f t="shared" si="69"/>
        <v>512500</v>
      </c>
      <c r="L476" s="61"/>
      <c r="M476" s="61"/>
      <c r="N476" s="61">
        <f t="shared" si="70"/>
        <v>0</v>
      </c>
      <c r="O476" s="61">
        <f t="shared" si="71"/>
        <v>513000</v>
      </c>
      <c r="P476" s="61">
        <f t="shared" si="72"/>
        <v>-500</v>
      </c>
      <c r="Q476" s="61">
        <f t="shared" si="73"/>
        <v>512500</v>
      </c>
    </row>
    <row r="477" spans="2:17" ht="12.75">
      <c r="B477" s="21">
        <f t="shared" si="74"/>
        <v>26</v>
      </c>
      <c r="C477" s="4"/>
      <c r="D477" s="4"/>
      <c r="E477" s="4"/>
      <c r="F477" s="31" t="s">
        <v>226</v>
      </c>
      <c r="G477" s="4">
        <v>633</v>
      </c>
      <c r="H477" s="4" t="s">
        <v>125</v>
      </c>
      <c r="I477" s="17">
        <v>23700</v>
      </c>
      <c r="J477" s="17"/>
      <c r="K477" s="17">
        <f t="shared" si="69"/>
        <v>23700</v>
      </c>
      <c r="L477" s="17"/>
      <c r="M477" s="17"/>
      <c r="N477" s="17">
        <f t="shared" si="70"/>
        <v>0</v>
      </c>
      <c r="O477" s="17">
        <f t="shared" si="71"/>
        <v>23700</v>
      </c>
      <c r="P477" s="17">
        <f t="shared" si="72"/>
        <v>0</v>
      </c>
      <c r="Q477" s="17">
        <f t="shared" si="73"/>
        <v>23700</v>
      </c>
    </row>
    <row r="478" spans="2:17" ht="12.75">
      <c r="B478" s="21">
        <f t="shared" si="74"/>
        <v>27</v>
      </c>
      <c r="C478" s="4"/>
      <c r="D478" s="4"/>
      <c r="E478" s="4"/>
      <c r="F478" s="31" t="s">
        <v>226</v>
      </c>
      <c r="G478" s="4">
        <v>634</v>
      </c>
      <c r="H478" s="4" t="s">
        <v>132</v>
      </c>
      <c r="I478" s="17">
        <v>17000</v>
      </c>
      <c r="J478" s="17"/>
      <c r="K478" s="17">
        <f t="shared" si="69"/>
        <v>17000</v>
      </c>
      <c r="L478" s="17"/>
      <c r="M478" s="17"/>
      <c r="N478" s="17">
        <f t="shared" si="70"/>
        <v>0</v>
      </c>
      <c r="O478" s="17">
        <f t="shared" si="71"/>
        <v>17000</v>
      </c>
      <c r="P478" s="17">
        <f t="shared" si="72"/>
        <v>0</v>
      </c>
      <c r="Q478" s="17">
        <f t="shared" si="73"/>
        <v>17000</v>
      </c>
    </row>
    <row r="479" spans="2:17" ht="12.75">
      <c r="B479" s="21">
        <f t="shared" si="74"/>
        <v>28</v>
      </c>
      <c r="C479" s="4"/>
      <c r="D479" s="4"/>
      <c r="E479" s="4"/>
      <c r="F479" s="31" t="s">
        <v>226</v>
      </c>
      <c r="G479" s="4">
        <v>635</v>
      </c>
      <c r="H479" s="4" t="s">
        <v>133</v>
      </c>
      <c r="I479" s="17">
        <v>450000</v>
      </c>
      <c r="J479" s="17"/>
      <c r="K479" s="17">
        <f t="shared" si="69"/>
        <v>450000</v>
      </c>
      <c r="L479" s="17"/>
      <c r="M479" s="17"/>
      <c r="N479" s="17">
        <f t="shared" si="70"/>
        <v>0</v>
      </c>
      <c r="O479" s="17">
        <f t="shared" si="71"/>
        <v>450000</v>
      </c>
      <c r="P479" s="17">
        <f t="shared" si="72"/>
        <v>0</v>
      </c>
      <c r="Q479" s="17">
        <f t="shared" si="73"/>
        <v>450000</v>
      </c>
    </row>
    <row r="480" spans="2:17" ht="12.75">
      <c r="B480" s="21">
        <f t="shared" si="74"/>
        <v>29</v>
      </c>
      <c r="C480" s="4"/>
      <c r="D480" s="4"/>
      <c r="E480" s="4"/>
      <c r="F480" s="31" t="s">
        <v>226</v>
      </c>
      <c r="G480" s="4">
        <v>636</v>
      </c>
      <c r="H480" s="4" t="s">
        <v>126</v>
      </c>
      <c r="I480" s="17">
        <v>500</v>
      </c>
      <c r="J480" s="17"/>
      <c r="K480" s="17">
        <f t="shared" si="69"/>
        <v>500</v>
      </c>
      <c r="L480" s="17"/>
      <c r="M480" s="17"/>
      <c r="N480" s="17">
        <f t="shared" si="70"/>
        <v>0</v>
      </c>
      <c r="O480" s="17">
        <f t="shared" si="71"/>
        <v>500</v>
      </c>
      <c r="P480" s="17">
        <f t="shared" si="72"/>
        <v>0</v>
      </c>
      <c r="Q480" s="17">
        <f t="shared" si="73"/>
        <v>500</v>
      </c>
    </row>
    <row r="481" spans="2:17" ht="12.75">
      <c r="B481" s="21">
        <f t="shared" si="74"/>
        <v>30</v>
      </c>
      <c r="C481" s="4"/>
      <c r="D481" s="4"/>
      <c r="E481" s="4"/>
      <c r="F481" s="31" t="s">
        <v>226</v>
      </c>
      <c r="G481" s="4">
        <v>637</v>
      </c>
      <c r="H481" s="4" t="s">
        <v>122</v>
      </c>
      <c r="I481" s="17">
        <f>25425-5000</f>
        <v>20425</v>
      </c>
      <c r="J481" s="17">
        <v>-500</v>
      </c>
      <c r="K481" s="17">
        <f t="shared" si="69"/>
        <v>19925</v>
      </c>
      <c r="L481" s="17"/>
      <c r="M481" s="17"/>
      <c r="N481" s="17">
        <f t="shared" si="70"/>
        <v>0</v>
      </c>
      <c r="O481" s="17">
        <f t="shared" si="71"/>
        <v>20425</v>
      </c>
      <c r="P481" s="17">
        <f t="shared" si="72"/>
        <v>-500</v>
      </c>
      <c r="Q481" s="17">
        <f t="shared" si="73"/>
        <v>19925</v>
      </c>
    </row>
    <row r="482" spans="2:17" ht="12.75">
      <c r="B482" s="21">
        <f t="shared" si="74"/>
        <v>31</v>
      </c>
      <c r="C482" s="4"/>
      <c r="D482" s="4"/>
      <c r="E482" s="4"/>
      <c r="F482" s="31" t="s">
        <v>226</v>
      </c>
      <c r="G482" s="4">
        <v>637</v>
      </c>
      <c r="H482" s="4" t="s">
        <v>290</v>
      </c>
      <c r="I482" s="17">
        <v>1375</v>
      </c>
      <c r="J482" s="17"/>
      <c r="K482" s="17">
        <f t="shared" si="69"/>
        <v>1375</v>
      </c>
      <c r="L482" s="17"/>
      <c r="M482" s="17"/>
      <c r="N482" s="17">
        <f t="shared" si="70"/>
        <v>0</v>
      </c>
      <c r="O482" s="17">
        <f t="shared" si="71"/>
        <v>1375</v>
      </c>
      <c r="P482" s="17">
        <f t="shared" si="72"/>
        <v>0</v>
      </c>
      <c r="Q482" s="17">
        <f t="shared" si="73"/>
        <v>1375</v>
      </c>
    </row>
    <row r="483" spans="2:17" ht="12.75">
      <c r="B483" s="21">
        <f t="shared" si="74"/>
        <v>32</v>
      </c>
      <c r="C483" s="10"/>
      <c r="D483" s="10"/>
      <c r="E483" s="10"/>
      <c r="F483" s="30" t="s">
        <v>226</v>
      </c>
      <c r="G483" s="10">
        <v>640</v>
      </c>
      <c r="H483" s="10" t="s">
        <v>129</v>
      </c>
      <c r="I483" s="61">
        <v>500</v>
      </c>
      <c r="J483" s="61">
        <v>500</v>
      </c>
      <c r="K483" s="61">
        <f t="shared" si="69"/>
        <v>1000</v>
      </c>
      <c r="L483" s="61"/>
      <c r="M483" s="61"/>
      <c r="N483" s="61">
        <f t="shared" si="70"/>
        <v>0</v>
      </c>
      <c r="O483" s="61">
        <f t="shared" si="71"/>
        <v>500</v>
      </c>
      <c r="P483" s="61">
        <f t="shared" si="72"/>
        <v>500</v>
      </c>
      <c r="Q483" s="61">
        <f t="shared" si="73"/>
        <v>1000</v>
      </c>
    </row>
    <row r="484" spans="2:17" ht="15">
      <c r="B484" s="21">
        <f t="shared" si="74"/>
        <v>33</v>
      </c>
      <c r="C484" s="2"/>
      <c r="D484" s="2">
        <v>2</v>
      </c>
      <c r="E484" s="238" t="s">
        <v>361</v>
      </c>
      <c r="F484" s="233"/>
      <c r="G484" s="233"/>
      <c r="H484" s="234"/>
      <c r="I484" s="88">
        <f>I485</f>
        <v>398200</v>
      </c>
      <c r="J484" s="88">
        <f>J485</f>
        <v>0</v>
      </c>
      <c r="K484" s="88">
        <f t="shared" si="69"/>
        <v>398200</v>
      </c>
      <c r="L484" s="88"/>
      <c r="M484" s="88"/>
      <c r="N484" s="88">
        <f aca="true" t="shared" si="75" ref="N484:N514">M484+L484</f>
        <v>0</v>
      </c>
      <c r="O484" s="88">
        <f aca="true" t="shared" si="76" ref="O484:O514">I484+L484</f>
        <v>398200</v>
      </c>
      <c r="P484" s="88">
        <f aca="true" t="shared" si="77" ref="P484:P514">J484+M484</f>
        <v>0</v>
      </c>
      <c r="Q484" s="88">
        <f aca="true" t="shared" si="78" ref="Q484:Q514">O484+P484</f>
        <v>398200</v>
      </c>
    </row>
    <row r="485" spans="2:17" ht="12.75">
      <c r="B485" s="21">
        <f aca="true" t="shared" si="79" ref="B485:B515">B484+1</f>
        <v>34</v>
      </c>
      <c r="C485" s="10"/>
      <c r="D485" s="10"/>
      <c r="E485" s="10"/>
      <c r="F485" s="30" t="s">
        <v>226</v>
      </c>
      <c r="G485" s="10">
        <v>630</v>
      </c>
      <c r="H485" s="10" t="s">
        <v>121</v>
      </c>
      <c r="I485" s="61">
        <f>I490+I489+I488+I487+I486</f>
        <v>398200</v>
      </c>
      <c r="J485" s="61">
        <f>J490+J489+J488+J487+J486</f>
        <v>0</v>
      </c>
      <c r="K485" s="61">
        <f t="shared" si="69"/>
        <v>398200</v>
      </c>
      <c r="L485" s="61"/>
      <c r="M485" s="61"/>
      <c r="N485" s="61">
        <f t="shared" si="75"/>
        <v>0</v>
      </c>
      <c r="O485" s="61">
        <f t="shared" si="76"/>
        <v>398200</v>
      </c>
      <c r="P485" s="61">
        <f t="shared" si="77"/>
        <v>0</v>
      </c>
      <c r="Q485" s="61">
        <f t="shared" si="78"/>
        <v>398200</v>
      </c>
    </row>
    <row r="486" spans="2:17" ht="12.75">
      <c r="B486" s="21">
        <f t="shared" si="79"/>
        <v>35</v>
      </c>
      <c r="C486" s="4"/>
      <c r="D486" s="4"/>
      <c r="E486" s="4"/>
      <c r="F486" s="31" t="s">
        <v>226</v>
      </c>
      <c r="G486" s="4">
        <v>632</v>
      </c>
      <c r="H486" s="4" t="s">
        <v>134</v>
      </c>
      <c r="I486" s="17">
        <v>170000</v>
      </c>
      <c r="J486" s="17"/>
      <c r="K486" s="17">
        <f t="shared" si="69"/>
        <v>170000</v>
      </c>
      <c r="L486" s="17"/>
      <c r="M486" s="17"/>
      <c r="N486" s="17">
        <f t="shared" si="75"/>
        <v>0</v>
      </c>
      <c r="O486" s="17">
        <f t="shared" si="76"/>
        <v>170000</v>
      </c>
      <c r="P486" s="17">
        <f t="shared" si="77"/>
        <v>0</v>
      </c>
      <c r="Q486" s="17">
        <f t="shared" si="78"/>
        <v>170000</v>
      </c>
    </row>
    <row r="487" spans="2:17" ht="12.75">
      <c r="B487" s="21">
        <f t="shared" si="79"/>
        <v>36</v>
      </c>
      <c r="C487" s="4"/>
      <c r="D487" s="4"/>
      <c r="E487" s="4"/>
      <c r="F487" s="31" t="s">
        <v>226</v>
      </c>
      <c r="G487" s="4">
        <v>633</v>
      </c>
      <c r="H487" s="4" t="s">
        <v>125</v>
      </c>
      <c r="I487" s="17">
        <v>8000</v>
      </c>
      <c r="J487" s="17"/>
      <c r="K487" s="17">
        <f t="shared" si="69"/>
        <v>8000</v>
      </c>
      <c r="L487" s="17"/>
      <c r="M487" s="17"/>
      <c r="N487" s="17">
        <f t="shared" si="75"/>
        <v>0</v>
      </c>
      <c r="O487" s="17">
        <f t="shared" si="76"/>
        <v>8000</v>
      </c>
      <c r="P487" s="17">
        <f t="shared" si="77"/>
        <v>0</v>
      </c>
      <c r="Q487" s="17">
        <f t="shared" si="78"/>
        <v>8000</v>
      </c>
    </row>
    <row r="488" spans="2:17" ht="12.75">
      <c r="B488" s="21">
        <f t="shared" si="79"/>
        <v>37</v>
      </c>
      <c r="C488" s="4"/>
      <c r="D488" s="4"/>
      <c r="E488" s="4"/>
      <c r="F488" s="31" t="s">
        <v>226</v>
      </c>
      <c r="G488" s="4">
        <v>635</v>
      </c>
      <c r="H488" s="4" t="s">
        <v>133</v>
      </c>
      <c r="I488" s="17">
        <v>150000</v>
      </c>
      <c r="J488" s="17"/>
      <c r="K488" s="17">
        <f t="shared" si="69"/>
        <v>150000</v>
      </c>
      <c r="L488" s="17"/>
      <c r="M488" s="17"/>
      <c r="N488" s="17">
        <f t="shared" si="75"/>
        <v>0</v>
      </c>
      <c r="O488" s="17">
        <f t="shared" si="76"/>
        <v>150000</v>
      </c>
      <c r="P488" s="17">
        <f t="shared" si="77"/>
        <v>0</v>
      </c>
      <c r="Q488" s="17">
        <f t="shared" si="78"/>
        <v>150000</v>
      </c>
    </row>
    <row r="489" spans="2:17" ht="12.75">
      <c r="B489" s="21">
        <f t="shared" si="79"/>
        <v>38</v>
      </c>
      <c r="C489" s="4"/>
      <c r="D489" s="4"/>
      <c r="E489" s="4"/>
      <c r="F489" s="31" t="s">
        <v>226</v>
      </c>
      <c r="G489" s="4">
        <v>636</v>
      </c>
      <c r="H489" s="4" t="s">
        <v>126</v>
      </c>
      <c r="I489" s="17">
        <v>32000</v>
      </c>
      <c r="J489" s="17"/>
      <c r="K489" s="17">
        <f t="shared" si="69"/>
        <v>32000</v>
      </c>
      <c r="L489" s="17"/>
      <c r="M489" s="17"/>
      <c r="N489" s="17">
        <f t="shared" si="75"/>
        <v>0</v>
      </c>
      <c r="O489" s="17">
        <f t="shared" si="76"/>
        <v>32000</v>
      </c>
      <c r="P489" s="17">
        <f t="shared" si="77"/>
        <v>0</v>
      </c>
      <c r="Q489" s="17">
        <f t="shared" si="78"/>
        <v>32000</v>
      </c>
    </row>
    <row r="490" spans="2:17" ht="12.75">
      <c r="B490" s="21">
        <f t="shared" si="79"/>
        <v>39</v>
      </c>
      <c r="C490" s="4"/>
      <c r="D490" s="4"/>
      <c r="E490" s="4"/>
      <c r="F490" s="31" t="s">
        <v>226</v>
      </c>
      <c r="G490" s="4">
        <v>637</v>
      </c>
      <c r="H490" s="4" t="s">
        <v>122</v>
      </c>
      <c r="I490" s="17">
        <v>38200</v>
      </c>
      <c r="J490" s="17"/>
      <c r="K490" s="17">
        <f t="shared" si="69"/>
        <v>38200</v>
      </c>
      <c r="L490" s="17"/>
      <c r="M490" s="17"/>
      <c r="N490" s="17">
        <f t="shared" si="75"/>
        <v>0</v>
      </c>
      <c r="O490" s="17">
        <f t="shared" si="76"/>
        <v>38200</v>
      </c>
      <c r="P490" s="17">
        <f t="shared" si="77"/>
        <v>0</v>
      </c>
      <c r="Q490" s="17">
        <f t="shared" si="78"/>
        <v>38200</v>
      </c>
    </row>
    <row r="491" spans="2:17" ht="15">
      <c r="B491" s="21">
        <f t="shared" si="79"/>
        <v>40</v>
      </c>
      <c r="C491" s="7">
        <v>3</v>
      </c>
      <c r="D491" s="232" t="s">
        <v>230</v>
      </c>
      <c r="E491" s="259"/>
      <c r="F491" s="259"/>
      <c r="G491" s="259"/>
      <c r="H491" s="260"/>
      <c r="I491" s="87">
        <v>0</v>
      </c>
      <c r="J491" s="87">
        <v>0</v>
      </c>
      <c r="K491" s="87">
        <v>0</v>
      </c>
      <c r="L491" s="87">
        <f>L492</f>
        <v>4809992</v>
      </c>
      <c r="M491" s="87">
        <f>M492</f>
        <v>105600</v>
      </c>
      <c r="N491" s="87">
        <f t="shared" si="75"/>
        <v>4915592</v>
      </c>
      <c r="O491" s="87">
        <f t="shared" si="76"/>
        <v>4809992</v>
      </c>
      <c r="P491" s="87">
        <f t="shared" si="77"/>
        <v>105600</v>
      </c>
      <c r="Q491" s="87">
        <f t="shared" si="78"/>
        <v>4915592</v>
      </c>
    </row>
    <row r="492" spans="2:17" ht="12.75">
      <c r="B492" s="21">
        <f t="shared" si="79"/>
        <v>41</v>
      </c>
      <c r="C492" s="10"/>
      <c r="D492" s="10"/>
      <c r="E492" s="10"/>
      <c r="F492" s="30" t="s">
        <v>226</v>
      </c>
      <c r="G492" s="10">
        <v>710</v>
      </c>
      <c r="H492" s="10" t="s">
        <v>176</v>
      </c>
      <c r="I492" s="61"/>
      <c r="J492" s="61"/>
      <c r="K492" s="61"/>
      <c r="L492" s="61">
        <f>L517+L495+L493</f>
        <v>4809992</v>
      </c>
      <c r="M492" s="61">
        <f>M517+M495+M493</f>
        <v>105600</v>
      </c>
      <c r="N492" s="61">
        <f t="shared" si="75"/>
        <v>4915592</v>
      </c>
      <c r="O492" s="61">
        <f t="shared" si="76"/>
        <v>4809992</v>
      </c>
      <c r="P492" s="61">
        <f t="shared" si="77"/>
        <v>105600</v>
      </c>
      <c r="Q492" s="61">
        <f t="shared" si="78"/>
        <v>4915592</v>
      </c>
    </row>
    <row r="493" spans="2:17" ht="12.75">
      <c r="B493" s="21">
        <f t="shared" si="79"/>
        <v>42</v>
      </c>
      <c r="C493" s="4"/>
      <c r="D493" s="4"/>
      <c r="E493" s="4"/>
      <c r="F493" s="38" t="s">
        <v>226</v>
      </c>
      <c r="G493" s="39">
        <v>711</v>
      </c>
      <c r="H493" s="39" t="s">
        <v>214</v>
      </c>
      <c r="I493" s="94"/>
      <c r="J493" s="94"/>
      <c r="K493" s="94"/>
      <c r="L493" s="94">
        <f>L494</f>
        <v>50905</v>
      </c>
      <c r="M493" s="94">
        <f>M494</f>
        <v>0</v>
      </c>
      <c r="N493" s="94">
        <f t="shared" si="75"/>
        <v>50905</v>
      </c>
      <c r="O493" s="94">
        <f t="shared" si="76"/>
        <v>50905</v>
      </c>
      <c r="P493" s="94">
        <f t="shared" si="77"/>
        <v>0</v>
      </c>
      <c r="Q493" s="94">
        <f t="shared" si="78"/>
        <v>50905</v>
      </c>
    </row>
    <row r="494" spans="2:17" ht="12.75">
      <c r="B494" s="21">
        <f t="shared" si="79"/>
        <v>43</v>
      </c>
      <c r="C494" s="5"/>
      <c r="D494" s="5"/>
      <c r="E494" s="5"/>
      <c r="F494" s="32"/>
      <c r="G494" s="5"/>
      <c r="H494" s="5" t="s">
        <v>362</v>
      </c>
      <c r="I494" s="18"/>
      <c r="J494" s="18"/>
      <c r="K494" s="18"/>
      <c r="L494" s="18">
        <f>40300+10605</f>
        <v>50905</v>
      </c>
      <c r="M494" s="18"/>
      <c r="N494" s="18">
        <f t="shared" si="75"/>
        <v>50905</v>
      </c>
      <c r="O494" s="18">
        <f t="shared" si="76"/>
        <v>50905</v>
      </c>
      <c r="P494" s="18">
        <f t="shared" si="77"/>
        <v>0</v>
      </c>
      <c r="Q494" s="18">
        <f t="shared" si="78"/>
        <v>50905</v>
      </c>
    </row>
    <row r="495" spans="2:17" ht="12.75">
      <c r="B495" s="21">
        <f t="shared" si="79"/>
        <v>44</v>
      </c>
      <c r="C495" s="4"/>
      <c r="D495" s="4"/>
      <c r="E495" s="4"/>
      <c r="F495" s="38" t="s">
        <v>226</v>
      </c>
      <c r="G495" s="39">
        <v>716</v>
      </c>
      <c r="H495" s="39" t="s">
        <v>222</v>
      </c>
      <c r="I495" s="94"/>
      <c r="J495" s="94"/>
      <c r="K495" s="94"/>
      <c r="L495" s="94">
        <f>SUM(L496:L516)</f>
        <v>291340</v>
      </c>
      <c r="M495" s="94">
        <f>SUM(M496:M516)</f>
        <v>0</v>
      </c>
      <c r="N495" s="94">
        <f t="shared" si="75"/>
        <v>291340</v>
      </c>
      <c r="O495" s="94">
        <f t="shared" si="76"/>
        <v>291340</v>
      </c>
      <c r="P495" s="94">
        <f t="shared" si="77"/>
        <v>0</v>
      </c>
      <c r="Q495" s="94">
        <f t="shared" si="78"/>
        <v>291340</v>
      </c>
    </row>
    <row r="496" spans="2:17" ht="12.75">
      <c r="B496" s="21">
        <f t="shared" si="79"/>
        <v>45</v>
      </c>
      <c r="C496" s="5"/>
      <c r="D496" s="5"/>
      <c r="E496" s="5"/>
      <c r="F496" s="32"/>
      <c r="G496" s="5"/>
      <c r="H496" s="5" t="s">
        <v>363</v>
      </c>
      <c r="I496" s="18"/>
      <c r="J496" s="18"/>
      <c r="K496" s="18"/>
      <c r="L496" s="18">
        <f>10000+10000</f>
        <v>20000</v>
      </c>
      <c r="M496" s="18"/>
      <c r="N496" s="18">
        <f t="shared" si="75"/>
        <v>20000</v>
      </c>
      <c r="O496" s="18">
        <f t="shared" si="76"/>
        <v>20000</v>
      </c>
      <c r="P496" s="18">
        <f t="shared" si="77"/>
        <v>0</v>
      </c>
      <c r="Q496" s="18">
        <f t="shared" si="78"/>
        <v>20000</v>
      </c>
    </row>
    <row r="497" spans="2:17" s="13" customFormat="1" ht="22.5">
      <c r="B497" s="21">
        <f t="shared" si="79"/>
        <v>46</v>
      </c>
      <c r="C497" s="28"/>
      <c r="D497" s="28"/>
      <c r="E497" s="28"/>
      <c r="F497" s="36"/>
      <c r="G497" s="28"/>
      <c r="H497" s="147" t="s">
        <v>516</v>
      </c>
      <c r="I497" s="91"/>
      <c r="J497" s="91"/>
      <c r="K497" s="91"/>
      <c r="L497" s="91">
        <v>10000</v>
      </c>
      <c r="M497" s="91"/>
      <c r="N497" s="91">
        <f t="shared" si="75"/>
        <v>10000</v>
      </c>
      <c r="O497" s="91">
        <f t="shared" si="76"/>
        <v>10000</v>
      </c>
      <c r="P497" s="91">
        <f t="shared" si="77"/>
        <v>0</v>
      </c>
      <c r="Q497" s="91">
        <f t="shared" si="78"/>
        <v>10000</v>
      </c>
    </row>
    <row r="498" spans="2:17" ht="12.75">
      <c r="B498" s="21">
        <f t="shared" si="79"/>
        <v>47</v>
      </c>
      <c r="C498" s="5"/>
      <c r="D498" s="5"/>
      <c r="E498" s="5"/>
      <c r="F498" s="32"/>
      <c r="G498" s="5"/>
      <c r="H498" s="144" t="s">
        <v>507</v>
      </c>
      <c r="I498" s="18"/>
      <c r="J498" s="18"/>
      <c r="K498" s="18"/>
      <c r="L498" s="18">
        <f>5000-1000</f>
        <v>4000</v>
      </c>
      <c r="M498" s="18"/>
      <c r="N498" s="18">
        <f t="shared" si="75"/>
        <v>4000</v>
      </c>
      <c r="O498" s="18">
        <f t="shared" si="76"/>
        <v>4000</v>
      </c>
      <c r="P498" s="18">
        <f t="shared" si="77"/>
        <v>0</v>
      </c>
      <c r="Q498" s="18">
        <f t="shared" si="78"/>
        <v>4000</v>
      </c>
    </row>
    <row r="499" spans="2:17" ht="12.75">
      <c r="B499" s="21">
        <f t="shared" si="79"/>
        <v>48</v>
      </c>
      <c r="C499" s="5"/>
      <c r="D499" s="5"/>
      <c r="E499" s="5"/>
      <c r="F499" s="32"/>
      <c r="G499" s="5"/>
      <c r="H499" s="144" t="s">
        <v>502</v>
      </c>
      <c r="I499" s="18"/>
      <c r="J499" s="18"/>
      <c r="K499" s="18"/>
      <c r="L499" s="18">
        <v>5000</v>
      </c>
      <c r="M499" s="18"/>
      <c r="N499" s="18">
        <f t="shared" si="75"/>
        <v>5000</v>
      </c>
      <c r="O499" s="18">
        <f t="shared" si="76"/>
        <v>5000</v>
      </c>
      <c r="P499" s="18">
        <f t="shared" si="77"/>
        <v>0</v>
      </c>
      <c r="Q499" s="18">
        <f t="shared" si="78"/>
        <v>5000</v>
      </c>
    </row>
    <row r="500" spans="2:17" ht="12.75">
      <c r="B500" s="21">
        <f t="shared" si="79"/>
        <v>49</v>
      </c>
      <c r="C500" s="5"/>
      <c r="D500" s="5"/>
      <c r="E500" s="5"/>
      <c r="F500" s="32"/>
      <c r="G500" s="5"/>
      <c r="H500" s="144" t="s">
        <v>503</v>
      </c>
      <c r="I500" s="18"/>
      <c r="J500" s="18"/>
      <c r="K500" s="18"/>
      <c r="L500" s="18">
        <v>5000</v>
      </c>
      <c r="M500" s="18"/>
      <c r="N500" s="18">
        <f t="shared" si="75"/>
        <v>5000</v>
      </c>
      <c r="O500" s="18">
        <f t="shared" si="76"/>
        <v>5000</v>
      </c>
      <c r="P500" s="18">
        <f t="shared" si="77"/>
        <v>0</v>
      </c>
      <c r="Q500" s="18">
        <f t="shared" si="78"/>
        <v>5000</v>
      </c>
    </row>
    <row r="501" spans="2:17" ht="12.75">
      <c r="B501" s="21">
        <f t="shared" si="79"/>
        <v>50</v>
      </c>
      <c r="C501" s="5"/>
      <c r="D501" s="5"/>
      <c r="E501" s="5"/>
      <c r="F501" s="32"/>
      <c r="G501" s="5"/>
      <c r="H501" s="144" t="s">
        <v>565</v>
      </c>
      <c r="I501" s="18"/>
      <c r="J501" s="18"/>
      <c r="K501" s="18"/>
      <c r="L501" s="18">
        <v>1000</v>
      </c>
      <c r="M501" s="18"/>
      <c r="N501" s="18">
        <f t="shared" si="75"/>
        <v>1000</v>
      </c>
      <c r="O501" s="18">
        <f t="shared" si="76"/>
        <v>1000</v>
      </c>
      <c r="P501" s="18">
        <f t="shared" si="77"/>
        <v>0</v>
      </c>
      <c r="Q501" s="18">
        <f t="shared" si="78"/>
        <v>1000</v>
      </c>
    </row>
    <row r="502" spans="2:17" ht="12.75">
      <c r="B502" s="21">
        <f t="shared" si="79"/>
        <v>51</v>
      </c>
      <c r="C502" s="5"/>
      <c r="D502" s="5"/>
      <c r="E502" s="5"/>
      <c r="F502" s="32"/>
      <c r="G502" s="5"/>
      <c r="H502" s="5" t="s">
        <v>364</v>
      </c>
      <c r="I502" s="18"/>
      <c r="J502" s="18"/>
      <c r="K502" s="18"/>
      <c r="L502" s="18">
        <v>5000</v>
      </c>
      <c r="M502" s="18"/>
      <c r="N502" s="18">
        <f t="shared" si="75"/>
        <v>5000</v>
      </c>
      <c r="O502" s="18">
        <f t="shared" si="76"/>
        <v>5000</v>
      </c>
      <c r="P502" s="18">
        <f t="shared" si="77"/>
        <v>0</v>
      </c>
      <c r="Q502" s="18">
        <f t="shared" si="78"/>
        <v>5000</v>
      </c>
    </row>
    <row r="503" spans="2:17" ht="12.75">
      <c r="B503" s="21">
        <f t="shared" si="79"/>
        <v>52</v>
      </c>
      <c r="C503" s="5"/>
      <c r="D503" s="5"/>
      <c r="E503" s="5"/>
      <c r="F503" s="32"/>
      <c r="G503" s="5"/>
      <c r="H503" s="144" t="s">
        <v>505</v>
      </c>
      <c r="I503" s="18"/>
      <c r="J503" s="18"/>
      <c r="K503" s="18"/>
      <c r="L503" s="18">
        <v>50000</v>
      </c>
      <c r="M503" s="18"/>
      <c r="N503" s="18">
        <f t="shared" si="75"/>
        <v>50000</v>
      </c>
      <c r="O503" s="18">
        <f t="shared" si="76"/>
        <v>50000</v>
      </c>
      <c r="P503" s="18">
        <f t="shared" si="77"/>
        <v>0</v>
      </c>
      <c r="Q503" s="18">
        <f t="shared" si="78"/>
        <v>50000</v>
      </c>
    </row>
    <row r="504" spans="2:17" ht="12.75">
      <c r="B504" s="21">
        <f t="shared" si="79"/>
        <v>53</v>
      </c>
      <c r="C504" s="5"/>
      <c r="D504" s="5"/>
      <c r="E504" s="5"/>
      <c r="F504" s="32"/>
      <c r="G504" s="5"/>
      <c r="H504" s="144" t="s">
        <v>614</v>
      </c>
      <c r="I504" s="18"/>
      <c r="J504" s="18"/>
      <c r="K504" s="18"/>
      <c r="L504" s="18">
        <v>52000</v>
      </c>
      <c r="M504" s="18"/>
      <c r="N504" s="18">
        <f t="shared" si="75"/>
        <v>52000</v>
      </c>
      <c r="O504" s="18">
        <f t="shared" si="76"/>
        <v>52000</v>
      </c>
      <c r="P504" s="18">
        <f t="shared" si="77"/>
        <v>0</v>
      </c>
      <c r="Q504" s="18">
        <f t="shared" si="78"/>
        <v>52000</v>
      </c>
    </row>
    <row r="505" spans="2:17" ht="12.75">
      <c r="B505" s="21">
        <f t="shared" si="79"/>
        <v>54</v>
      </c>
      <c r="C505" s="5"/>
      <c r="D505" s="5"/>
      <c r="E505" s="5"/>
      <c r="F505" s="32"/>
      <c r="G505" s="5"/>
      <c r="H505" s="5" t="s">
        <v>365</v>
      </c>
      <c r="I505" s="18"/>
      <c r="J505" s="18"/>
      <c r="K505" s="18"/>
      <c r="L505" s="18">
        <v>20000</v>
      </c>
      <c r="M505" s="18"/>
      <c r="N505" s="18">
        <f t="shared" si="75"/>
        <v>20000</v>
      </c>
      <c r="O505" s="18">
        <f t="shared" si="76"/>
        <v>20000</v>
      </c>
      <c r="P505" s="18">
        <f t="shared" si="77"/>
        <v>0</v>
      </c>
      <c r="Q505" s="18">
        <f t="shared" si="78"/>
        <v>20000</v>
      </c>
    </row>
    <row r="506" spans="2:17" ht="12.75">
      <c r="B506" s="21">
        <f t="shared" si="79"/>
        <v>55</v>
      </c>
      <c r="C506" s="5"/>
      <c r="D506" s="5"/>
      <c r="E506" s="5"/>
      <c r="F506" s="32"/>
      <c r="G506" s="5"/>
      <c r="H506" s="144" t="s">
        <v>506</v>
      </c>
      <c r="I506" s="18"/>
      <c r="J506" s="18"/>
      <c r="K506" s="18"/>
      <c r="L506" s="18">
        <f>5000-2000</f>
        <v>3000</v>
      </c>
      <c r="M506" s="18"/>
      <c r="N506" s="18">
        <f t="shared" si="75"/>
        <v>3000</v>
      </c>
      <c r="O506" s="18">
        <f t="shared" si="76"/>
        <v>3000</v>
      </c>
      <c r="P506" s="18">
        <f t="shared" si="77"/>
        <v>0</v>
      </c>
      <c r="Q506" s="18">
        <f t="shared" si="78"/>
        <v>3000</v>
      </c>
    </row>
    <row r="507" spans="2:17" ht="12.75">
      <c r="B507" s="21">
        <f t="shared" si="79"/>
        <v>56</v>
      </c>
      <c r="C507" s="5"/>
      <c r="D507" s="5"/>
      <c r="E507" s="5"/>
      <c r="F507" s="32"/>
      <c r="G507" s="5"/>
      <c r="H507" s="5" t="s">
        <v>480</v>
      </c>
      <c r="I507" s="18"/>
      <c r="J507" s="18"/>
      <c r="K507" s="18"/>
      <c r="L507" s="18">
        <v>4000</v>
      </c>
      <c r="M507" s="18"/>
      <c r="N507" s="18">
        <f t="shared" si="75"/>
        <v>4000</v>
      </c>
      <c r="O507" s="18">
        <f t="shared" si="76"/>
        <v>4000</v>
      </c>
      <c r="P507" s="18">
        <f t="shared" si="77"/>
        <v>0</v>
      </c>
      <c r="Q507" s="18">
        <f t="shared" si="78"/>
        <v>4000</v>
      </c>
    </row>
    <row r="508" spans="2:17" ht="12.75">
      <c r="B508" s="21">
        <f t="shared" si="79"/>
        <v>57</v>
      </c>
      <c r="C508" s="5"/>
      <c r="D508" s="5"/>
      <c r="E508" s="5"/>
      <c r="F508" s="32"/>
      <c r="G508" s="5"/>
      <c r="H508" s="144" t="s">
        <v>508</v>
      </c>
      <c r="I508" s="18"/>
      <c r="J508" s="18"/>
      <c r="K508" s="18"/>
      <c r="L508" s="18">
        <f>3000+1400</f>
        <v>4400</v>
      </c>
      <c r="M508" s="18"/>
      <c r="N508" s="18">
        <f t="shared" si="75"/>
        <v>4400</v>
      </c>
      <c r="O508" s="18">
        <f t="shared" si="76"/>
        <v>4400</v>
      </c>
      <c r="P508" s="18">
        <f t="shared" si="77"/>
        <v>0</v>
      </c>
      <c r="Q508" s="18">
        <f t="shared" si="78"/>
        <v>4400</v>
      </c>
    </row>
    <row r="509" spans="2:17" ht="12.75">
      <c r="B509" s="21">
        <f t="shared" si="79"/>
        <v>58</v>
      </c>
      <c r="C509" s="5"/>
      <c r="D509" s="5"/>
      <c r="E509" s="5"/>
      <c r="F509" s="32"/>
      <c r="G509" s="5"/>
      <c r="H509" s="144" t="s">
        <v>530</v>
      </c>
      <c r="I509" s="18"/>
      <c r="J509" s="18"/>
      <c r="K509" s="18"/>
      <c r="L509" s="145">
        <v>2700</v>
      </c>
      <c r="M509" s="145"/>
      <c r="N509" s="145">
        <f t="shared" si="75"/>
        <v>2700</v>
      </c>
      <c r="O509" s="18">
        <f t="shared" si="76"/>
        <v>2700</v>
      </c>
      <c r="P509" s="18">
        <f t="shared" si="77"/>
        <v>0</v>
      </c>
      <c r="Q509" s="18">
        <f t="shared" si="78"/>
        <v>2700</v>
      </c>
    </row>
    <row r="510" spans="2:17" ht="12.75">
      <c r="B510" s="21">
        <f t="shared" si="79"/>
        <v>59</v>
      </c>
      <c r="C510" s="5"/>
      <c r="D510" s="5"/>
      <c r="E510" s="5"/>
      <c r="F510" s="32"/>
      <c r="G510" s="5"/>
      <c r="H510" s="5" t="s">
        <v>316</v>
      </c>
      <c r="I510" s="18"/>
      <c r="J510" s="18"/>
      <c r="K510" s="18"/>
      <c r="L510" s="18">
        <f>15000-4910</f>
        <v>10090</v>
      </c>
      <c r="M510" s="18"/>
      <c r="N510" s="18">
        <f t="shared" si="75"/>
        <v>10090</v>
      </c>
      <c r="O510" s="18">
        <f t="shared" si="76"/>
        <v>10090</v>
      </c>
      <c r="P510" s="18">
        <f t="shared" si="77"/>
        <v>0</v>
      </c>
      <c r="Q510" s="18">
        <f t="shared" si="78"/>
        <v>10090</v>
      </c>
    </row>
    <row r="511" spans="2:17" ht="12.75">
      <c r="B511" s="21">
        <f t="shared" si="79"/>
        <v>60</v>
      </c>
      <c r="C511" s="5"/>
      <c r="D511" s="5"/>
      <c r="E511" s="5"/>
      <c r="F511" s="32"/>
      <c r="G511" s="5"/>
      <c r="H511" s="144" t="s">
        <v>626</v>
      </c>
      <c r="I511" s="18"/>
      <c r="J511" s="18"/>
      <c r="K511" s="18"/>
      <c r="L511" s="145">
        <v>2800</v>
      </c>
      <c r="M511" s="145"/>
      <c r="N511" s="145">
        <f t="shared" si="75"/>
        <v>2800</v>
      </c>
      <c r="O511" s="18">
        <f t="shared" si="76"/>
        <v>2800</v>
      </c>
      <c r="P511" s="18">
        <f t="shared" si="77"/>
        <v>0</v>
      </c>
      <c r="Q511" s="18">
        <f t="shared" si="78"/>
        <v>2800</v>
      </c>
    </row>
    <row r="512" spans="2:17" ht="12.75">
      <c r="B512" s="21">
        <f t="shared" si="79"/>
        <v>61</v>
      </c>
      <c r="C512" s="5"/>
      <c r="D512" s="5"/>
      <c r="E512" s="5"/>
      <c r="F512" s="32"/>
      <c r="G512" s="5"/>
      <c r="H512" s="144" t="s">
        <v>501</v>
      </c>
      <c r="I512" s="18"/>
      <c r="J512" s="18"/>
      <c r="K512" s="18"/>
      <c r="L512" s="18">
        <v>10000</v>
      </c>
      <c r="M512" s="18"/>
      <c r="N512" s="18">
        <f t="shared" si="75"/>
        <v>10000</v>
      </c>
      <c r="O512" s="18">
        <f t="shared" si="76"/>
        <v>10000</v>
      </c>
      <c r="P512" s="18">
        <f t="shared" si="77"/>
        <v>0</v>
      </c>
      <c r="Q512" s="18">
        <f t="shared" si="78"/>
        <v>10000</v>
      </c>
    </row>
    <row r="513" spans="2:17" ht="12.75">
      <c r="B513" s="21">
        <f t="shared" si="79"/>
        <v>62</v>
      </c>
      <c r="C513" s="5"/>
      <c r="D513" s="5"/>
      <c r="E513" s="5"/>
      <c r="F513" s="32"/>
      <c r="G513" s="5"/>
      <c r="H513" s="144" t="s">
        <v>504</v>
      </c>
      <c r="I513" s="18"/>
      <c r="J513" s="18"/>
      <c r="K513" s="18"/>
      <c r="L513" s="18">
        <f>10000+2000</f>
        <v>12000</v>
      </c>
      <c r="M513" s="18"/>
      <c r="N513" s="18">
        <f t="shared" si="75"/>
        <v>12000</v>
      </c>
      <c r="O513" s="18">
        <f t="shared" si="76"/>
        <v>12000</v>
      </c>
      <c r="P513" s="18">
        <f t="shared" si="77"/>
        <v>0</v>
      </c>
      <c r="Q513" s="18">
        <f t="shared" si="78"/>
        <v>12000</v>
      </c>
    </row>
    <row r="514" spans="2:17" ht="12.75">
      <c r="B514" s="21">
        <f t="shared" si="79"/>
        <v>63</v>
      </c>
      <c r="C514" s="5"/>
      <c r="D514" s="5"/>
      <c r="E514" s="5"/>
      <c r="F514" s="32"/>
      <c r="G514" s="5"/>
      <c r="H514" s="144" t="s">
        <v>623</v>
      </c>
      <c r="I514" s="18"/>
      <c r="J514" s="18"/>
      <c r="K514" s="18"/>
      <c r="L514" s="18">
        <v>4350</v>
      </c>
      <c r="M514" s="18"/>
      <c r="N514" s="18">
        <f t="shared" si="75"/>
        <v>4350</v>
      </c>
      <c r="O514" s="18">
        <f t="shared" si="76"/>
        <v>4350</v>
      </c>
      <c r="P514" s="18">
        <f t="shared" si="77"/>
        <v>0</v>
      </c>
      <c r="Q514" s="18">
        <f t="shared" si="78"/>
        <v>4350</v>
      </c>
    </row>
    <row r="515" spans="2:17" ht="12.75">
      <c r="B515" s="21">
        <f t="shared" si="79"/>
        <v>64</v>
      </c>
      <c r="C515" s="5"/>
      <c r="D515" s="5"/>
      <c r="E515" s="5"/>
      <c r="F515" s="32"/>
      <c r="G515" s="5"/>
      <c r="H515" s="5" t="s">
        <v>481</v>
      </c>
      <c r="I515" s="18"/>
      <c r="J515" s="18"/>
      <c r="K515" s="18"/>
      <c r="L515" s="18">
        <v>30000</v>
      </c>
      <c r="M515" s="18"/>
      <c r="N515" s="18">
        <f aca="true" t="shared" si="80" ref="N515:N524">M515+L515</f>
        <v>30000</v>
      </c>
      <c r="O515" s="18">
        <f aca="true" t="shared" si="81" ref="O515:O524">I515+L515</f>
        <v>30000</v>
      </c>
      <c r="P515" s="18">
        <f aca="true" t="shared" si="82" ref="P515:P524">J515+M515</f>
        <v>0</v>
      </c>
      <c r="Q515" s="18">
        <f aca="true" t="shared" si="83" ref="Q515:Q547">O515+P515</f>
        <v>30000</v>
      </c>
    </row>
    <row r="516" spans="2:17" ht="12.75">
      <c r="B516" s="21">
        <f aca="true" t="shared" si="84" ref="B516:B569">B515+1</f>
        <v>65</v>
      </c>
      <c r="C516" s="5"/>
      <c r="D516" s="5"/>
      <c r="E516" s="5"/>
      <c r="F516" s="32"/>
      <c r="G516" s="5"/>
      <c r="H516" s="5" t="s">
        <v>482</v>
      </c>
      <c r="I516" s="18"/>
      <c r="J516" s="18"/>
      <c r="K516" s="18"/>
      <c r="L516" s="18">
        <v>36000</v>
      </c>
      <c r="M516" s="18"/>
      <c r="N516" s="18">
        <f t="shared" si="80"/>
        <v>36000</v>
      </c>
      <c r="O516" s="18">
        <f t="shared" si="81"/>
        <v>36000</v>
      </c>
      <c r="P516" s="18">
        <f t="shared" si="82"/>
        <v>0</v>
      </c>
      <c r="Q516" s="18">
        <f t="shared" si="83"/>
        <v>36000</v>
      </c>
    </row>
    <row r="517" spans="2:17" ht="12.75">
      <c r="B517" s="21">
        <f t="shared" si="84"/>
        <v>66</v>
      </c>
      <c r="C517" s="4"/>
      <c r="D517" s="4"/>
      <c r="E517" s="4"/>
      <c r="F517" s="38" t="s">
        <v>226</v>
      </c>
      <c r="G517" s="39">
        <v>717</v>
      </c>
      <c r="H517" s="39" t="s">
        <v>186</v>
      </c>
      <c r="I517" s="94"/>
      <c r="J517" s="94"/>
      <c r="K517" s="94"/>
      <c r="L517" s="94">
        <f>SUM(L518:L569)</f>
        <v>4467747</v>
      </c>
      <c r="M517" s="94">
        <f>SUM(M518:M569)</f>
        <v>105600</v>
      </c>
      <c r="N517" s="94">
        <f t="shared" si="80"/>
        <v>4573347</v>
      </c>
      <c r="O517" s="94">
        <f t="shared" si="81"/>
        <v>4467747</v>
      </c>
      <c r="P517" s="94">
        <f t="shared" si="82"/>
        <v>105600</v>
      </c>
      <c r="Q517" s="94">
        <f t="shared" si="83"/>
        <v>4573347</v>
      </c>
    </row>
    <row r="518" spans="2:17" ht="22.5">
      <c r="B518" s="21">
        <f t="shared" si="84"/>
        <v>67</v>
      </c>
      <c r="C518" s="4"/>
      <c r="D518" s="4"/>
      <c r="E518" s="4"/>
      <c r="F518" s="32"/>
      <c r="G518" s="5"/>
      <c r="H518" s="27" t="s">
        <v>367</v>
      </c>
      <c r="I518" s="91"/>
      <c r="J518" s="91"/>
      <c r="K518" s="91"/>
      <c r="L518" s="91">
        <v>63841</v>
      </c>
      <c r="M518" s="91"/>
      <c r="N518" s="91">
        <f t="shared" si="80"/>
        <v>63841</v>
      </c>
      <c r="O518" s="102">
        <f t="shared" si="81"/>
        <v>63841</v>
      </c>
      <c r="P518" s="102">
        <f t="shared" si="82"/>
        <v>0</v>
      </c>
      <c r="Q518" s="102">
        <f t="shared" si="83"/>
        <v>63841</v>
      </c>
    </row>
    <row r="519" spans="2:17" ht="22.5">
      <c r="B519" s="21">
        <f t="shared" si="84"/>
        <v>68</v>
      </c>
      <c r="C519" s="4"/>
      <c r="D519" s="4"/>
      <c r="E519" s="4"/>
      <c r="F519" s="32"/>
      <c r="G519" s="5"/>
      <c r="H519" s="27" t="s">
        <v>310</v>
      </c>
      <c r="I519" s="91"/>
      <c r="J519" s="91"/>
      <c r="K519" s="91"/>
      <c r="L519" s="91">
        <v>520000</v>
      </c>
      <c r="M519" s="91"/>
      <c r="N519" s="91">
        <f t="shared" si="80"/>
        <v>520000</v>
      </c>
      <c r="O519" s="102">
        <f t="shared" si="81"/>
        <v>520000</v>
      </c>
      <c r="P519" s="102">
        <f t="shared" si="82"/>
        <v>0</v>
      </c>
      <c r="Q519" s="102">
        <f t="shared" si="83"/>
        <v>520000</v>
      </c>
    </row>
    <row r="520" spans="2:17" ht="22.5">
      <c r="B520" s="21">
        <f t="shared" si="84"/>
        <v>69</v>
      </c>
      <c r="C520" s="4"/>
      <c r="D520" s="4"/>
      <c r="E520" s="4"/>
      <c r="F520" s="32"/>
      <c r="G520" s="5"/>
      <c r="H520" s="27" t="s">
        <v>312</v>
      </c>
      <c r="I520" s="91"/>
      <c r="J520" s="91"/>
      <c r="K520" s="91"/>
      <c r="L520" s="91">
        <v>91900</v>
      </c>
      <c r="M520" s="91"/>
      <c r="N520" s="91">
        <f t="shared" si="80"/>
        <v>91900</v>
      </c>
      <c r="O520" s="102">
        <f t="shared" si="81"/>
        <v>91900</v>
      </c>
      <c r="P520" s="102">
        <f t="shared" si="82"/>
        <v>0</v>
      </c>
      <c r="Q520" s="102">
        <f t="shared" si="83"/>
        <v>91900</v>
      </c>
    </row>
    <row r="521" spans="2:17" ht="22.5">
      <c r="B521" s="21">
        <f t="shared" si="84"/>
        <v>70</v>
      </c>
      <c r="C521" s="4"/>
      <c r="D521" s="4"/>
      <c r="E521" s="4"/>
      <c r="F521" s="32"/>
      <c r="G521" s="5"/>
      <c r="H521" s="27" t="s">
        <v>608</v>
      </c>
      <c r="I521" s="91"/>
      <c r="J521" s="91"/>
      <c r="K521" s="91"/>
      <c r="L521" s="91">
        <f>820000+192000+30000</f>
        <v>1042000</v>
      </c>
      <c r="M521" s="91"/>
      <c r="N521" s="91">
        <f t="shared" si="80"/>
        <v>1042000</v>
      </c>
      <c r="O521" s="102">
        <f t="shared" si="81"/>
        <v>1042000</v>
      </c>
      <c r="P521" s="102">
        <f t="shared" si="82"/>
        <v>0</v>
      </c>
      <c r="Q521" s="102">
        <f t="shared" si="83"/>
        <v>1042000</v>
      </c>
    </row>
    <row r="522" spans="2:17" ht="22.5">
      <c r="B522" s="21">
        <f t="shared" si="84"/>
        <v>71</v>
      </c>
      <c r="C522" s="4"/>
      <c r="D522" s="4"/>
      <c r="E522" s="4"/>
      <c r="F522" s="32"/>
      <c r="G522" s="5"/>
      <c r="H522" s="27" t="s">
        <v>399</v>
      </c>
      <c r="I522" s="91"/>
      <c r="J522" s="91"/>
      <c r="K522" s="91"/>
      <c r="L522" s="91">
        <v>164988</v>
      </c>
      <c r="M522" s="91"/>
      <c r="N522" s="91">
        <f t="shared" si="80"/>
        <v>164988</v>
      </c>
      <c r="O522" s="102">
        <f t="shared" si="81"/>
        <v>164988</v>
      </c>
      <c r="P522" s="102">
        <f t="shared" si="82"/>
        <v>0</v>
      </c>
      <c r="Q522" s="102">
        <f t="shared" si="83"/>
        <v>164988</v>
      </c>
    </row>
    <row r="523" spans="2:17" ht="22.5">
      <c r="B523" s="21">
        <f t="shared" si="84"/>
        <v>72</v>
      </c>
      <c r="C523" s="4"/>
      <c r="D523" s="4"/>
      <c r="E523" s="4"/>
      <c r="F523" s="32"/>
      <c r="G523" s="5"/>
      <c r="H523" s="27" t="s">
        <v>438</v>
      </c>
      <c r="I523" s="91"/>
      <c r="J523" s="91"/>
      <c r="K523" s="91"/>
      <c r="L523" s="91">
        <v>442977</v>
      </c>
      <c r="M523" s="91"/>
      <c r="N523" s="91">
        <f t="shared" si="80"/>
        <v>442977</v>
      </c>
      <c r="O523" s="102">
        <f t="shared" si="81"/>
        <v>442977</v>
      </c>
      <c r="P523" s="102">
        <f t="shared" si="82"/>
        <v>0</v>
      </c>
      <c r="Q523" s="102">
        <f t="shared" si="83"/>
        <v>442977</v>
      </c>
    </row>
    <row r="524" spans="2:17" ht="22.5">
      <c r="B524" s="21">
        <f t="shared" si="84"/>
        <v>73</v>
      </c>
      <c r="C524" s="4"/>
      <c r="D524" s="4"/>
      <c r="E524" s="4"/>
      <c r="F524" s="32"/>
      <c r="G524" s="5"/>
      <c r="H524" s="27" t="s">
        <v>439</v>
      </c>
      <c r="I524" s="91"/>
      <c r="J524" s="91"/>
      <c r="K524" s="91"/>
      <c r="L524" s="91">
        <v>91670</v>
      </c>
      <c r="M524" s="91"/>
      <c r="N524" s="91">
        <f t="shared" si="80"/>
        <v>91670</v>
      </c>
      <c r="O524" s="102">
        <f t="shared" si="81"/>
        <v>91670</v>
      </c>
      <c r="P524" s="102">
        <f t="shared" si="82"/>
        <v>0</v>
      </c>
      <c r="Q524" s="102">
        <f t="shared" si="83"/>
        <v>91670</v>
      </c>
    </row>
    <row r="525" spans="2:17" ht="12.75">
      <c r="B525" s="21">
        <f t="shared" si="84"/>
        <v>74</v>
      </c>
      <c r="C525" s="4"/>
      <c r="D525" s="4"/>
      <c r="E525" s="4"/>
      <c r="F525" s="32"/>
      <c r="G525" s="5"/>
      <c r="H525" s="5"/>
      <c r="I525" s="18"/>
      <c r="J525" s="18"/>
      <c r="K525" s="18"/>
      <c r="L525" s="18"/>
      <c r="M525" s="18"/>
      <c r="N525" s="18"/>
      <c r="O525" s="95"/>
      <c r="P525" s="95"/>
      <c r="Q525" s="95">
        <f t="shared" si="83"/>
        <v>0</v>
      </c>
    </row>
    <row r="526" spans="2:17" s="13" customFormat="1" ht="22.5">
      <c r="B526" s="23">
        <f t="shared" si="84"/>
        <v>75</v>
      </c>
      <c r="C526" s="159"/>
      <c r="D526" s="159"/>
      <c r="E526" s="159"/>
      <c r="F526" s="36"/>
      <c r="G526" s="28"/>
      <c r="H526" s="147" t="s">
        <v>529</v>
      </c>
      <c r="I526" s="91"/>
      <c r="J526" s="91"/>
      <c r="K526" s="91"/>
      <c r="L526" s="148">
        <v>7000</v>
      </c>
      <c r="M526" s="148"/>
      <c r="N526" s="148">
        <f aca="true" t="shared" si="85" ref="N526:N569">M526+L526</f>
        <v>7000</v>
      </c>
      <c r="O526" s="91">
        <f aca="true" t="shared" si="86" ref="O526:O569">I526+L526</f>
        <v>7000</v>
      </c>
      <c r="P526" s="91">
        <f aca="true" t="shared" si="87" ref="P526:P569">J526+M526</f>
        <v>0</v>
      </c>
      <c r="Q526" s="91">
        <f t="shared" si="83"/>
        <v>7000</v>
      </c>
    </row>
    <row r="527" spans="2:17" ht="12.75">
      <c r="B527" s="21">
        <f t="shared" si="84"/>
        <v>76</v>
      </c>
      <c r="C527" s="4"/>
      <c r="D527" s="4"/>
      <c r="E527" s="4"/>
      <c r="F527" s="32"/>
      <c r="G527" s="5"/>
      <c r="H527" s="144" t="s">
        <v>534</v>
      </c>
      <c r="I527" s="18"/>
      <c r="J527" s="18"/>
      <c r="K527" s="18"/>
      <c r="L527" s="145">
        <f>209000-1200+9600+4000+6550</f>
        <v>227950</v>
      </c>
      <c r="M527" s="145"/>
      <c r="N527" s="145">
        <f t="shared" si="85"/>
        <v>227950</v>
      </c>
      <c r="O527" s="18">
        <f t="shared" si="86"/>
        <v>227950</v>
      </c>
      <c r="P527" s="18">
        <f t="shared" si="87"/>
        <v>0</v>
      </c>
      <c r="Q527" s="18">
        <f t="shared" si="83"/>
        <v>227950</v>
      </c>
    </row>
    <row r="528" spans="2:17" ht="12.75">
      <c r="B528" s="21">
        <f t="shared" si="84"/>
        <v>77</v>
      </c>
      <c r="C528" s="5"/>
      <c r="D528" s="5"/>
      <c r="E528" s="5"/>
      <c r="F528" s="32"/>
      <c r="G528" s="5"/>
      <c r="H528" s="5" t="s">
        <v>479</v>
      </c>
      <c r="I528" s="18"/>
      <c r="J528" s="18"/>
      <c r="K528" s="18"/>
      <c r="L528" s="18">
        <v>35000</v>
      </c>
      <c r="M528" s="18"/>
      <c r="N528" s="18">
        <f t="shared" si="85"/>
        <v>35000</v>
      </c>
      <c r="O528" s="95">
        <f t="shared" si="86"/>
        <v>35000</v>
      </c>
      <c r="P528" s="95">
        <f t="shared" si="87"/>
        <v>0</v>
      </c>
      <c r="Q528" s="95">
        <f t="shared" si="83"/>
        <v>35000</v>
      </c>
    </row>
    <row r="529" spans="2:17" ht="12.75">
      <c r="B529" s="21">
        <f t="shared" si="84"/>
        <v>78</v>
      </c>
      <c r="C529" s="5"/>
      <c r="D529" s="5"/>
      <c r="E529" s="5"/>
      <c r="F529" s="32"/>
      <c r="G529" s="5"/>
      <c r="H529" s="5" t="s">
        <v>286</v>
      </c>
      <c r="I529" s="18"/>
      <c r="J529" s="18"/>
      <c r="K529" s="18"/>
      <c r="L529" s="18">
        <v>90000</v>
      </c>
      <c r="M529" s="18"/>
      <c r="N529" s="18">
        <f t="shared" si="85"/>
        <v>90000</v>
      </c>
      <c r="O529" s="95">
        <f t="shared" si="86"/>
        <v>90000</v>
      </c>
      <c r="P529" s="95">
        <f t="shared" si="87"/>
        <v>0</v>
      </c>
      <c r="Q529" s="95">
        <f t="shared" si="83"/>
        <v>90000</v>
      </c>
    </row>
    <row r="530" spans="2:17" ht="12.75">
      <c r="B530" s="21">
        <f t="shared" si="84"/>
        <v>79</v>
      </c>
      <c r="C530" s="5"/>
      <c r="D530" s="5"/>
      <c r="E530" s="5"/>
      <c r="F530" s="32"/>
      <c r="G530" s="5"/>
      <c r="H530" s="144" t="s">
        <v>509</v>
      </c>
      <c r="I530" s="18"/>
      <c r="J530" s="18"/>
      <c r="K530" s="18"/>
      <c r="L530" s="145">
        <v>15000</v>
      </c>
      <c r="M530" s="145"/>
      <c r="N530" s="145">
        <f t="shared" si="85"/>
        <v>15000</v>
      </c>
      <c r="O530" s="18">
        <f t="shared" si="86"/>
        <v>15000</v>
      </c>
      <c r="P530" s="18">
        <f t="shared" si="87"/>
        <v>0</v>
      </c>
      <c r="Q530" s="18">
        <f t="shared" si="83"/>
        <v>15000</v>
      </c>
    </row>
    <row r="531" spans="2:17" ht="12.75">
      <c r="B531" s="21">
        <f t="shared" si="84"/>
        <v>80</v>
      </c>
      <c r="C531" s="5"/>
      <c r="D531" s="5"/>
      <c r="E531" s="5"/>
      <c r="F531" s="32"/>
      <c r="G531" s="5"/>
      <c r="H531" s="144" t="s">
        <v>514</v>
      </c>
      <c r="I531" s="18"/>
      <c r="J531" s="18"/>
      <c r="K531" s="18"/>
      <c r="L531" s="145">
        <f>60000-9700</f>
        <v>50300</v>
      </c>
      <c r="M531" s="145">
        <v>-46000</v>
      </c>
      <c r="N531" s="145">
        <f t="shared" si="85"/>
        <v>4300</v>
      </c>
      <c r="O531" s="18">
        <f t="shared" si="86"/>
        <v>50300</v>
      </c>
      <c r="P531" s="18">
        <f t="shared" si="87"/>
        <v>-46000</v>
      </c>
      <c r="Q531" s="18">
        <f t="shared" si="83"/>
        <v>4300</v>
      </c>
    </row>
    <row r="532" spans="2:17" ht="12.75">
      <c r="B532" s="21">
        <f t="shared" si="84"/>
        <v>81</v>
      </c>
      <c r="C532" s="5"/>
      <c r="D532" s="5"/>
      <c r="E532" s="5"/>
      <c r="F532" s="32"/>
      <c r="G532" s="5"/>
      <c r="H532" s="144" t="s">
        <v>518</v>
      </c>
      <c r="I532" s="18"/>
      <c r="J532" s="18"/>
      <c r="K532" s="18"/>
      <c r="L532" s="145">
        <f>21000+1000</f>
        <v>22000</v>
      </c>
      <c r="M532" s="145"/>
      <c r="N532" s="145">
        <f t="shared" si="85"/>
        <v>22000</v>
      </c>
      <c r="O532" s="18">
        <f t="shared" si="86"/>
        <v>22000</v>
      </c>
      <c r="P532" s="18">
        <f t="shared" si="87"/>
        <v>0</v>
      </c>
      <c r="Q532" s="18">
        <f t="shared" si="83"/>
        <v>22000</v>
      </c>
    </row>
    <row r="533" spans="2:17" ht="12.75">
      <c r="B533" s="21">
        <f t="shared" si="84"/>
        <v>82</v>
      </c>
      <c r="C533" s="5"/>
      <c r="D533" s="5"/>
      <c r="E533" s="5"/>
      <c r="F533" s="32"/>
      <c r="G533" s="5"/>
      <c r="H533" s="144" t="s">
        <v>519</v>
      </c>
      <c r="I533" s="18"/>
      <c r="J533" s="18"/>
      <c r="K533" s="18"/>
      <c r="L533" s="145">
        <f>32000+4000</f>
        <v>36000</v>
      </c>
      <c r="M533" s="145"/>
      <c r="N533" s="145">
        <f t="shared" si="85"/>
        <v>36000</v>
      </c>
      <c r="O533" s="18">
        <f t="shared" si="86"/>
        <v>36000</v>
      </c>
      <c r="P533" s="18">
        <f t="shared" si="87"/>
        <v>0</v>
      </c>
      <c r="Q533" s="18">
        <f t="shared" si="83"/>
        <v>36000</v>
      </c>
    </row>
    <row r="534" spans="2:17" ht="22.5">
      <c r="B534" s="21">
        <f t="shared" si="84"/>
        <v>83</v>
      </c>
      <c r="C534" s="5"/>
      <c r="D534" s="5"/>
      <c r="E534" s="5"/>
      <c r="F534" s="32"/>
      <c r="G534" s="5"/>
      <c r="H534" s="147" t="s">
        <v>523</v>
      </c>
      <c r="I534" s="18"/>
      <c r="J534" s="18"/>
      <c r="K534" s="18"/>
      <c r="L534" s="148">
        <f>40000+19540-2300-8000</f>
        <v>49240</v>
      </c>
      <c r="M534" s="148"/>
      <c r="N534" s="148">
        <f t="shared" si="85"/>
        <v>49240</v>
      </c>
      <c r="O534" s="91">
        <f t="shared" si="86"/>
        <v>49240</v>
      </c>
      <c r="P534" s="91">
        <f t="shared" si="87"/>
        <v>0</v>
      </c>
      <c r="Q534" s="91">
        <f t="shared" si="83"/>
        <v>49240</v>
      </c>
    </row>
    <row r="535" spans="2:17" ht="12.75">
      <c r="B535" s="21">
        <f t="shared" si="84"/>
        <v>84</v>
      </c>
      <c r="C535" s="5"/>
      <c r="D535" s="5"/>
      <c r="E535" s="5"/>
      <c r="F535" s="32"/>
      <c r="G535" s="5"/>
      <c r="H535" s="144" t="s">
        <v>524</v>
      </c>
      <c r="I535" s="18"/>
      <c r="J535" s="18"/>
      <c r="K535" s="18"/>
      <c r="L535" s="145">
        <f>25000+3800</f>
        <v>28800</v>
      </c>
      <c r="M535" s="145"/>
      <c r="N535" s="145">
        <f t="shared" si="85"/>
        <v>28800</v>
      </c>
      <c r="O535" s="18">
        <f t="shared" si="86"/>
        <v>28800</v>
      </c>
      <c r="P535" s="18">
        <f t="shared" si="87"/>
        <v>0</v>
      </c>
      <c r="Q535" s="18">
        <f t="shared" si="83"/>
        <v>28800</v>
      </c>
    </row>
    <row r="536" spans="2:17" ht="12.75">
      <c r="B536" s="21">
        <f t="shared" si="84"/>
        <v>85</v>
      </c>
      <c r="C536" s="5"/>
      <c r="D536" s="5"/>
      <c r="E536" s="5"/>
      <c r="F536" s="32"/>
      <c r="G536" s="5"/>
      <c r="H536" s="144" t="s">
        <v>531</v>
      </c>
      <c r="I536" s="18"/>
      <c r="J536" s="18"/>
      <c r="K536" s="18"/>
      <c r="L536" s="145">
        <v>95000</v>
      </c>
      <c r="M536" s="145"/>
      <c r="N536" s="145">
        <f t="shared" si="85"/>
        <v>95000</v>
      </c>
      <c r="O536" s="18">
        <f t="shared" si="86"/>
        <v>95000</v>
      </c>
      <c r="P536" s="18">
        <f t="shared" si="87"/>
        <v>0</v>
      </c>
      <c r="Q536" s="18">
        <f t="shared" si="83"/>
        <v>95000</v>
      </c>
    </row>
    <row r="537" spans="2:17" ht="12.75">
      <c r="B537" s="21">
        <f t="shared" si="84"/>
        <v>86</v>
      </c>
      <c r="C537" s="5"/>
      <c r="D537" s="5"/>
      <c r="E537" s="5"/>
      <c r="F537" s="32"/>
      <c r="G537" s="5"/>
      <c r="H537" s="144" t="s">
        <v>660</v>
      </c>
      <c r="I537" s="18"/>
      <c r="J537" s="18"/>
      <c r="K537" s="18"/>
      <c r="L537" s="145">
        <v>45000</v>
      </c>
      <c r="M537" s="145"/>
      <c r="N537" s="145">
        <f>M537+L537</f>
        <v>45000</v>
      </c>
      <c r="O537" s="18">
        <f t="shared" si="86"/>
        <v>45000</v>
      </c>
      <c r="P537" s="18">
        <f t="shared" si="87"/>
        <v>0</v>
      </c>
      <c r="Q537" s="18">
        <f>O537+P537</f>
        <v>45000</v>
      </c>
    </row>
    <row r="538" spans="2:17" ht="12.75">
      <c r="B538" s="21">
        <f t="shared" si="84"/>
        <v>87</v>
      </c>
      <c r="C538" s="5"/>
      <c r="D538" s="5"/>
      <c r="E538" s="5"/>
      <c r="F538" s="32"/>
      <c r="G538" s="5"/>
      <c r="H538" s="144" t="s">
        <v>521</v>
      </c>
      <c r="I538" s="18"/>
      <c r="J538" s="18"/>
      <c r="K538" s="18"/>
      <c r="L538" s="145">
        <f>15000+3160</f>
        <v>18160</v>
      </c>
      <c r="M538" s="145"/>
      <c r="N538" s="145">
        <f t="shared" si="85"/>
        <v>18160</v>
      </c>
      <c r="O538" s="18">
        <f t="shared" si="86"/>
        <v>18160</v>
      </c>
      <c r="P538" s="18">
        <f t="shared" si="87"/>
        <v>0</v>
      </c>
      <c r="Q538" s="18">
        <f t="shared" si="83"/>
        <v>18160</v>
      </c>
    </row>
    <row r="539" spans="2:17" ht="12.75">
      <c r="B539" s="21">
        <f t="shared" si="84"/>
        <v>88</v>
      </c>
      <c r="C539" s="5"/>
      <c r="D539" s="5"/>
      <c r="E539" s="5"/>
      <c r="F539" s="32"/>
      <c r="G539" s="5"/>
      <c r="H539" s="144" t="s">
        <v>512</v>
      </c>
      <c r="I539" s="18"/>
      <c r="J539" s="18"/>
      <c r="K539" s="18"/>
      <c r="L539" s="145">
        <f>58500-2000-10500</f>
        <v>46000</v>
      </c>
      <c r="M539" s="145"/>
      <c r="N539" s="145">
        <f t="shared" si="85"/>
        <v>46000</v>
      </c>
      <c r="O539" s="18">
        <f t="shared" si="86"/>
        <v>46000</v>
      </c>
      <c r="P539" s="18">
        <f t="shared" si="87"/>
        <v>0</v>
      </c>
      <c r="Q539" s="18">
        <f t="shared" si="83"/>
        <v>46000</v>
      </c>
    </row>
    <row r="540" spans="2:17" ht="12.75">
      <c r="B540" s="21">
        <f t="shared" si="84"/>
        <v>89</v>
      </c>
      <c r="C540" s="5"/>
      <c r="D540" s="5"/>
      <c r="E540" s="5"/>
      <c r="F540" s="32"/>
      <c r="G540" s="5"/>
      <c r="H540" s="144" t="s">
        <v>513</v>
      </c>
      <c r="I540" s="18"/>
      <c r="J540" s="18"/>
      <c r="K540" s="18"/>
      <c r="L540" s="145">
        <f>71000-5500</f>
        <v>65500</v>
      </c>
      <c r="M540" s="145">
        <f>-4400-60400</f>
        <v>-64800</v>
      </c>
      <c r="N540" s="145">
        <f t="shared" si="85"/>
        <v>700</v>
      </c>
      <c r="O540" s="18">
        <f t="shared" si="86"/>
        <v>65500</v>
      </c>
      <c r="P540" s="18">
        <f t="shared" si="87"/>
        <v>-64800</v>
      </c>
      <c r="Q540" s="18">
        <f t="shared" si="83"/>
        <v>700</v>
      </c>
    </row>
    <row r="541" spans="2:17" ht="12.75">
      <c r="B541" s="21">
        <f t="shared" si="84"/>
        <v>90</v>
      </c>
      <c r="C541" s="5"/>
      <c r="D541" s="5"/>
      <c r="E541" s="5"/>
      <c r="F541" s="32"/>
      <c r="G541" s="5"/>
      <c r="H541" s="144" t="s">
        <v>517</v>
      </c>
      <c r="I541" s="18"/>
      <c r="J541" s="18"/>
      <c r="K541" s="18"/>
      <c r="L541" s="145">
        <v>20000</v>
      </c>
      <c r="M541" s="145">
        <v>-20000</v>
      </c>
      <c r="N541" s="145">
        <f t="shared" si="85"/>
        <v>0</v>
      </c>
      <c r="O541" s="18">
        <f t="shared" si="86"/>
        <v>20000</v>
      </c>
      <c r="P541" s="18">
        <f t="shared" si="87"/>
        <v>-20000</v>
      </c>
      <c r="Q541" s="18">
        <f t="shared" si="83"/>
        <v>0</v>
      </c>
    </row>
    <row r="542" spans="2:17" ht="12.75">
      <c r="B542" s="21">
        <f t="shared" si="84"/>
        <v>91</v>
      </c>
      <c r="C542" s="5"/>
      <c r="D542" s="5"/>
      <c r="E542" s="5"/>
      <c r="F542" s="32"/>
      <c r="G542" s="5"/>
      <c r="H542" s="144" t="s">
        <v>577</v>
      </c>
      <c r="I542" s="18"/>
      <c r="J542" s="18"/>
      <c r="K542" s="18"/>
      <c r="L542" s="145">
        <f>50000+8000</f>
        <v>58000</v>
      </c>
      <c r="M542" s="145"/>
      <c r="N542" s="145">
        <f t="shared" si="85"/>
        <v>58000</v>
      </c>
      <c r="O542" s="18">
        <f t="shared" si="86"/>
        <v>58000</v>
      </c>
      <c r="P542" s="18">
        <f t="shared" si="87"/>
        <v>0</v>
      </c>
      <c r="Q542" s="18">
        <f t="shared" si="83"/>
        <v>58000</v>
      </c>
    </row>
    <row r="543" spans="2:17" ht="12.75">
      <c r="B543" s="21">
        <f t="shared" si="84"/>
        <v>92</v>
      </c>
      <c r="C543" s="5"/>
      <c r="D543" s="5"/>
      <c r="E543" s="5"/>
      <c r="F543" s="32"/>
      <c r="G543" s="5"/>
      <c r="H543" s="144" t="s">
        <v>578</v>
      </c>
      <c r="I543" s="18"/>
      <c r="J543" s="18"/>
      <c r="K543" s="18"/>
      <c r="L543" s="145">
        <f>92000-4100</f>
        <v>87900</v>
      </c>
      <c r="M543" s="145">
        <v>-12577</v>
      </c>
      <c r="N543" s="145">
        <f t="shared" si="85"/>
        <v>75323</v>
      </c>
      <c r="O543" s="18">
        <f t="shared" si="86"/>
        <v>87900</v>
      </c>
      <c r="P543" s="18">
        <f t="shared" si="87"/>
        <v>-12577</v>
      </c>
      <c r="Q543" s="18">
        <f t="shared" si="83"/>
        <v>75323</v>
      </c>
    </row>
    <row r="544" spans="2:17" ht="12.75">
      <c r="B544" s="21">
        <f t="shared" si="84"/>
        <v>93</v>
      </c>
      <c r="C544" s="5"/>
      <c r="D544" s="5"/>
      <c r="E544" s="5"/>
      <c r="F544" s="32"/>
      <c r="G544" s="5"/>
      <c r="H544" s="5" t="s">
        <v>430</v>
      </c>
      <c r="I544" s="18"/>
      <c r="J544" s="18"/>
      <c r="K544" s="18"/>
      <c r="L544" s="95">
        <f>65000-9400</f>
        <v>55600</v>
      </c>
      <c r="M544" s="95"/>
      <c r="N544" s="95">
        <f t="shared" si="85"/>
        <v>55600</v>
      </c>
      <c r="O544" s="95">
        <f t="shared" si="86"/>
        <v>55600</v>
      </c>
      <c r="P544" s="95">
        <f t="shared" si="87"/>
        <v>0</v>
      </c>
      <c r="Q544" s="95">
        <f t="shared" si="83"/>
        <v>55600</v>
      </c>
    </row>
    <row r="545" spans="2:17" ht="12.75">
      <c r="B545" s="21">
        <f t="shared" si="84"/>
        <v>94</v>
      </c>
      <c r="C545" s="5"/>
      <c r="D545" s="5"/>
      <c r="E545" s="5"/>
      <c r="F545" s="32"/>
      <c r="G545" s="5"/>
      <c r="H545" s="5" t="s">
        <v>580</v>
      </c>
      <c r="I545" s="18"/>
      <c r="J545" s="18"/>
      <c r="K545" s="18"/>
      <c r="L545" s="95">
        <v>20000</v>
      </c>
      <c r="M545" s="95"/>
      <c r="N545" s="95">
        <f t="shared" si="85"/>
        <v>20000</v>
      </c>
      <c r="O545" s="95">
        <f t="shared" si="86"/>
        <v>20000</v>
      </c>
      <c r="P545" s="95">
        <f t="shared" si="87"/>
        <v>0</v>
      </c>
      <c r="Q545" s="95">
        <f t="shared" si="83"/>
        <v>20000</v>
      </c>
    </row>
    <row r="546" spans="2:17" ht="12.75">
      <c r="B546" s="21">
        <f t="shared" si="84"/>
        <v>95</v>
      </c>
      <c r="C546" s="5"/>
      <c r="D546" s="5"/>
      <c r="E546" s="5"/>
      <c r="F546" s="32"/>
      <c r="G546" s="5"/>
      <c r="H546" s="5" t="s">
        <v>428</v>
      </c>
      <c r="I546" s="18"/>
      <c r="J546" s="18"/>
      <c r="K546" s="18"/>
      <c r="L546" s="18">
        <v>27000</v>
      </c>
      <c r="M546" s="18"/>
      <c r="N546" s="18">
        <f t="shared" si="85"/>
        <v>27000</v>
      </c>
      <c r="O546" s="95">
        <f t="shared" si="86"/>
        <v>27000</v>
      </c>
      <c r="P546" s="95">
        <f t="shared" si="87"/>
        <v>0</v>
      </c>
      <c r="Q546" s="95">
        <f t="shared" si="83"/>
        <v>27000</v>
      </c>
    </row>
    <row r="547" spans="2:17" ht="12.75">
      <c r="B547" s="21">
        <f t="shared" si="84"/>
        <v>96</v>
      </c>
      <c r="C547" s="5"/>
      <c r="D547" s="5"/>
      <c r="E547" s="5"/>
      <c r="F547" s="32"/>
      <c r="G547" s="5"/>
      <c r="H547" s="5" t="s">
        <v>317</v>
      </c>
      <c r="I547" s="18"/>
      <c r="J547" s="18"/>
      <c r="K547" s="18"/>
      <c r="L547" s="18">
        <f>175000+7000</f>
        <v>182000</v>
      </c>
      <c r="M547" s="18"/>
      <c r="N547" s="18">
        <f t="shared" si="85"/>
        <v>182000</v>
      </c>
      <c r="O547" s="95">
        <f t="shared" si="86"/>
        <v>182000</v>
      </c>
      <c r="P547" s="95">
        <f t="shared" si="87"/>
        <v>0</v>
      </c>
      <c r="Q547" s="95">
        <f t="shared" si="83"/>
        <v>182000</v>
      </c>
    </row>
    <row r="548" spans="2:17" ht="12.75">
      <c r="B548" s="21">
        <f t="shared" si="84"/>
        <v>97</v>
      </c>
      <c r="C548" s="5"/>
      <c r="D548" s="5"/>
      <c r="E548" s="5"/>
      <c r="F548" s="32"/>
      <c r="G548" s="5"/>
      <c r="H548" s="144" t="s">
        <v>527</v>
      </c>
      <c r="I548" s="18"/>
      <c r="J548" s="18"/>
      <c r="K548" s="18"/>
      <c r="L548" s="145">
        <v>25000</v>
      </c>
      <c r="M548" s="145"/>
      <c r="N548" s="145">
        <f t="shared" si="85"/>
        <v>25000</v>
      </c>
      <c r="O548" s="18">
        <f t="shared" si="86"/>
        <v>25000</v>
      </c>
      <c r="P548" s="18">
        <f t="shared" si="87"/>
        <v>0</v>
      </c>
      <c r="Q548" s="18">
        <f aca="true" t="shared" si="88" ref="Q548:Q569">O548+P548</f>
        <v>25000</v>
      </c>
    </row>
    <row r="549" spans="2:17" ht="12.75">
      <c r="B549" s="21">
        <f t="shared" si="84"/>
        <v>98</v>
      </c>
      <c r="C549" s="5"/>
      <c r="D549" s="5"/>
      <c r="E549" s="5"/>
      <c r="F549" s="32"/>
      <c r="G549" s="5"/>
      <c r="H549" s="144" t="s">
        <v>522</v>
      </c>
      <c r="I549" s="18"/>
      <c r="J549" s="18"/>
      <c r="K549" s="18"/>
      <c r="L549" s="145">
        <v>30000</v>
      </c>
      <c r="M549" s="145"/>
      <c r="N549" s="145">
        <f t="shared" si="85"/>
        <v>30000</v>
      </c>
      <c r="O549" s="18">
        <f t="shared" si="86"/>
        <v>30000</v>
      </c>
      <c r="P549" s="18">
        <f t="shared" si="87"/>
        <v>0</v>
      </c>
      <c r="Q549" s="18">
        <f t="shared" si="88"/>
        <v>30000</v>
      </c>
    </row>
    <row r="550" spans="2:17" ht="12.75">
      <c r="B550" s="21">
        <f t="shared" si="84"/>
        <v>99</v>
      </c>
      <c r="C550" s="5"/>
      <c r="D550" s="5"/>
      <c r="E550" s="5"/>
      <c r="F550" s="32"/>
      <c r="G550" s="5"/>
      <c r="H550" s="5" t="s">
        <v>432</v>
      </c>
      <c r="I550" s="18"/>
      <c r="J550" s="18"/>
      <c r="K550" s="18"/>
      <c r="L550" s="18">
        <v>57000</v>
      </c>
      <c r="M550" s="18"/>
      <c r="N550" s="18">
        <f t="shared" si="85"/>
        <v>57000</v>
      </c>
      <c r="O550" s="95">
        <f t="shared" si="86"/>
        <v>57000</v>
      </c>
      <c r="P550" s="95">
        <f t="shared" si="87"/>
        <v>0</v>
      </c>
      <c r="Q550" s="95">
        <f t="shared" si="88"/>
        <v>57000</v>
      </c>
    </row>
    <row r="551" spans="2:17" ht="12.75">
      <c r="B551" s="21">
        <f t="shared" si="84"/>
        <v>100</v>
      </c>
      <c r="C551" s="5"/>
      <c r="D551" s="5"/>
      <c r="E551" s="5"/>
      <c r="F551" s="32"/>
      <c r="G551" s="5"/>
      <c r="H551" s="144" t="s">
        <v>532</v>
      </c>
      <c r="I551" s="18"/>
      <c r="J551" s="18"/>
      <c r="K551" s="18"/>
      <c r="L551" s="145">
        <v>45000</v>
      </c>
      <c r="M551" s="145"/>
      <c r="N551" s="145">
        <f t="shared" si="85"/>
        <v>45000</v>
      </c>
      <c r="O551" s="18">
        <f t="shared" si="86"/>
        <v>45000</v>
      </c>
      <c r="P551" s="18">
        <f t="shared" si="87"/>
        <v>0</v>
      </c>
      <c r="Q551" s="18">
        <f t="shared" si="88"/>
        <v>45000</v>
      </c>
    </row>
    <row r="552" spans="2:17" ht="12.75">
      <c r="B552" s="21">
        <f t="shared" si="84"/>
        <v>101</v>
      </c>
      <c r="C552" s="5"/>
      <c r="D552" s="5"/>
      <c r="E552" s="5"/>
      <c r="F552" s="32"/>
      <c r="G552" s="5"/>
      <c r="H552" s="5" t="s">
        <v>483</v>
      </c>
      <c r="I552" s="18"/>
      <c r="J552" s="18"/>
      <c r="K552" s="18"/>
      <c r="L552" s="18">
        <v>3000</v>
      </c>
      <c r="M552" s="18"/>
      <c r="N552" s="18">
        <f t="shared" si="85"/>
        <v>3000</v>
      </c>
      <c r="O552" s="95">
        <f t="shared" si="86"/>
        <v>3000</v>
      </c>
      <c r="P552" s="95">
        <f t="shared" si="87"/>
        <v>0</v>
      </c>
      <c r="Q552" s="95">
        <f t="shared" si="88"/>
        <v>3000</v>
      </c>
    </row>
    <row r="553" spans="2:17" ht="12.75">
      <c r="B553" s="21">
        <f t="shared" si="84"/>
        <v>102</v>
      </c>
      <c r="C553" s="5"/>
      <c r="D553" s="5"/>
      <c r="E553" s="5"/>
      <c r="F553" s="32"/>
      <c r="G553" s="5"/>
      <c r="H553" s="5" t="s">
        <v>315</v>
      </c>
      <c r="I553" s="18"/>
      <c r="J553" s="18"/>
      <c r="K553" s="18"/>
      <c r="L553" s="18">
        <f>13800-1700</f>
        <v>12100</v>
      </c>
      <c r="M553" s="18"/>
      <c r="N553" s="18">
        <f t="shared" si="85"/>
        <v>12100</v>
      </c>
      <c r="O553" s="95">
        <f t="shared" si="86"/>
        <v>12100</v>
      </c>
      <c r="P553" s="95">
        <f t="shared" si="87"/>
        <v>0</v>
      </c>
      <c r="Q553" s="95">
        <f t="shared" si="88"/>
        <v>12100</v>
      </c>
    </row>
    <row r="554" spans="2:17" ht="12.75">
      <c r="B554" s="21">
        <f t="shared" si="84"/>
        <v>103</v>
      </c>
      <c r="C554" s="5"/>
      <c r="D554" s="5"/>
      <c r="E554" s="5"/>
      <c r="F554" s="32"/>
      <c r="G554" s="5"/>
      <c r="H554" s="146" t="s">
        <v>515</v>
      </c>
      <c r="I554" s="18"/>
      <c r="J554" s="18"/>
      <c r="K554" s="18"/>
      <c r="L554" s="145">
        <v>10000</v>
      </c>
      <c r="M554" s="145"/>
      <c r="N554" s="145">
        <f t="shared" si="85"/>
        <v>10000</v>
      </c>
      <c r="O554" s="18">
        <f t="shared" si="86"/>
        <v>10000</v>
      </c>
      <c r="P554" s="18">
        <f t="shared" si="87"/>
        <v>0</v>
      </c>
      <c r="Q554" s="18">
        <f t="shared" si="88"/>
        <v>10000</v>
      </c>
    </row>
    <row r="555" spans="2:17" ht="12.75">
      <c r="B555" s="21">
        <f t="shared" si="84"/>
        <v>104</v>
      </c>
      <c r="C555" s="5"/>
      <c r="D555" s="5"/>
      <c r="E555" s="5"/>
      <c r="F555" s="32"/>
      <c r="G555" s="5"/>
      <c r="H555" s="144" t="s">
        <v>530</v>
      </c>
      <c r="I555" s="18"/>
      <c r="J555" s="18"/>
      <c r="K555" s="18"/>
      <c r="L555" s="145">
        <f>7000-2700</f>
        <v>4300</v>
      </c>
      <c r="M555" s="145"/>
      <c r="N555" s="145">
        <f t="shared" si="85"/>
        <v>4300</v>
      </c>
      <c r="O555" s="18">
        <f t="shared" si="86"/>
        <v>4300</v>
      </c>
      <c r="P555" s="18">
        <f t="shared" si="87"/>
        <v>0</v>
      </c>
      <c r="Q555" s="18">
        <f t="shared" si="88"/>
        <v>4300</v>
      </c>
    </row>
    <row r="556" spans="2:17" ht="12.75">
      <c r="B556" s="21">
        <f t="shared" si="84"/>
        <v>105</v>
      </c>
      <c r="C556" s="5"/>
      <c r="D556" s="5"/>
      <c r="E556" s="5"/>
      <c r="F556" s="32"/>
      <c r="G556" s="5"/>
      <c r="H556" s="144" t="s">
        <v>533</v>
      </c>
      <c r="I556" s="18"/>
      <c r="J556" s="18"/>
      <c r="K556" s="18"/>
      <c r="L556" s="145">
        <f>20000-1400</f>
        <v>18600</v>
      </c>
      <c r="M556" s="145"/>
      <c r="N556" s="145">
        <f t="shared" si="85"/>
        <v>18600</v>
      </c>
      <c r="O556" s="18">
        <f t="shared" si="86"/>
        <v>18600</v>
      </c>
      <c r="P556" s="18">
        <f t="shared" si="87"/>
        <v>0</v>
      </c>
      <c r="Q556" s="18">
        <f t="shared" si="88"/>
        <v>18600</v>
      </c>
    </row>
    <row r="557" spans="2:17" ht="12.75">
      <c r="B557" s="21">
        <f t="shared" si="84"/>
        <v>106</v>
      </c>
      <c r="C557" s="5"/>
      <c r="D557" s="5"/>
      <c r="E557" s="5"/>
      <c r="F557" s="32"/>
      <c r="G557" s="5"/>
      <c r="H557" s="5" t="s">
        <v>366</v>
      </c>
      <c r="I557" s="18"/>
      <c r="J557" s="18"/>
      <c r="K557" s="18"/>
      <c r="L557" s="18">
        <v>5000</v>
      </c>
      <c r="M557" s="18"/>
      <c r="N557" s="18">
        <f t="shared" si="85"/>
        <v>5000</v>
      </c>
      <c r="O557" s="95">
        <f t="shared" si="86"/>
        <v>5000</v>
      </c>
      <c r="P557" s="95">
        <f t="shared" si="87"/>
        <v>0</v>
      </c>
      <c r="Q557" s="95">
        <f t="shared" si="88"/>
        <v>5000</v>
      </c>
    </row>
    <row r="558" spans="2:17" ht="12.75">
      <c r="B558" s="21">
        <f t="shared" si="84"/>
        <v>107</v>
      </c>
      <c r="C558" s="5"/>
      <c r="D558" s="5"/>
      <c r="E558" s="5"/>
      <c r="F558" s="32"/>
      <c r="G558" s="5"/>
      <c r="H558" s="144" t="s">
        <v>528</v>
      </c>
      <c r="I558" s="18"/>
      <c r="J558" s="18"/>
      <c r="K558" s="18"/>
      <c r="L558" s="145">
        <v>20000</v>
      </c>
      <c r="M558" s="145"/>
      <c r="N558" s="145">
        <f t="shared" si="85"/>
        <v>20000</v>
      </c>
      <c r="O558" s="18">
        <f t="shared" si="86"/>
        <v>20000</v>
      </c>
      <c r="P558" s="18">
        <f t="shared" si="87"/>
        <v>0</v>
      </c>
      <c r="Q558" s="18">
        <f t="shared" si="88"/>
        <v>20000</v>
      </c>
    </row>
    <row r="559" spans="2:17" ht="12.75">
      <c r="B559" s="21">
        <f t="shared" si="84"/>
        <v>108</v>
      </c>
      <c r="C559" s="5"/>
      <c r="D559" s="5"/>
      <c r="E559" s="5"/>
      <c r="F559" s="32"/>
      <c r="G559" s="5"/>
      <c r="H559" s="144" t="s">
        <v>674</v>
      </c>
      <c r="I559" s="18"/>
      <c r="J559" s="18"/>
      <c r="K559" s="18"/>
      <c r="L559" s="145">
        <v>0</v>
      </c>
      <c r="M559" s="145">
        <v>146000</v>
      </c>
      <c r="N559" s="145">
        <f t="shared" si="85"/>
        <v>146000</v>
      </c>
      <c r="O559" s="18">
        <f t="shared" si="86"/>
        <v>0</v>
      </c>
      <c r="P559" s="18">
        <f>J559+M559</f>
        <v>146000</v>
      </c>
      <c r="Q559" s="18">
        <f>O559+P559</f>
        <v>146000</v>
      </c>
    </row>
    <row r="560" spans="2:17" ht="12.75">
      <c r="B560" s="21">
        <f t="shared" si="84"/>
        <v>109</v>
      </c>
      <c r="C560" s="5"/>
      <c r="D560" s="5"/>
      <c r="E560" s="5"/>
      <c r="F560" s="32"/>
      <c r="G560" s="5"/>
      <c r="H560" s="144" t="s">
        <v>675</v>
      </c>
      <c r="I560" s="18"/>
      <c r="J560" s="18"/>
      <c r="K560" s="18"/>
      <c r="L560" s="145">
        <v>0</v>
      </c>
      <c r="M560" s="145">
        <v>60400</v>
      </c>
      <c r="N560" s="145">
        <f>M560+L560</f>
        <v>60400</v>
      </c>
      <c r="O560" s="18">
        <f>I560+L560</f>
        <v>0</v>
      </c>
      <c r="P560" s="18">
        <f>J560+M560</f>
        <v>60400</v>
      </c>
      <c r="Q560" s="18">
        <f>O560+P560</f>
        <v>60400</v>
      </c>
    </row>
    <row r="561" spans="2:17" ht="12.75">
      <c r="B561" s="21">
        <f t="shared" si="84"/>
        <v>110</v>
      </c>
      <c r="C561" s="5"/>
      <c r="D561" s="5"/>
      <c r="E561" s="5"/>
      <c r="F561" s="32"/>
      <c r="G561" s="5"/>
      <c r="H561" s="5" t="s">
        <v>318</v>
      </c>
      <c r="I561" s="18"/>
      <c r="J561" s="18"/>
      <c r="K561" s="18"/>
      <c r="L561" s="18">
        <v>57500</v>
      </c>
      <c r="M561" s="18"/>
      <c r="N561" s="18">
        <f t="shared" si="85"/>
        <v>57500</v>
      </c>
      <c r="O561" s="95">
        <f t="shared" si="86"/>
        <v>57500</v>
      </c>
      <c r="P561" s="95">
        <f t="shared" si="87"/>
        <v>0</v>
      </c>
      <c r="Q561" s="95">
        <f t="shared" si="88"/>
        <v>57500</v>
      </c>
    </row>
    <row r="562" spans="2:17" ht="12.75">
      <c r="B562" s="21">
        <f t="shared" si="84"/>
        <v>111</v>
      </c>
      <c r="C562" s="5"/>
      <c r="D562" s="5"/>
      <c r="E562" s="5"/>
      <c r="F562" s="32"/>
      <c r="G562" s="5"/>
      <c r="H562" s="5" t="s">
        <v>579</v>
      </c>
      <c r="I562" s="18"/>
      <c r="J562" s="18"/>
      <c r="K562" s="18"/>
      <c r="L562" s="18">
        <f>93000-22700+108000-1000</f>
        <v>177300</v>
      </c>
      <c r="M562" s="18">
        <v>42577</v>
      </c>
      <c r="N562" s="18">
        <f t="shared" si="85"/>
        <v>219877</v>
      </c>
      <c r="O562" s="95">
        <f t="shared" si="86"/>
        <v>177300</v>
      </c>
      <c r="P562" s="95">
        <f t="shared" si="87"/>
        <v>42577</v>
      </c>
      <c r="Q562" s="95">
        <f t="shared" si="88"/>
        <v>219877</v>
      </c>
    </row>
    <row r="563" spans="2:17" ht="12.75">
      <c r="B563" s="21">
        <f t="shared" si="84"/>
        <v>112</v>
      </c>
      <c r="C563" s="5"/>
      <c r="D563" s="5"/>
      <c r="E563" s="5"/>
      <c r="F563" s="32"/>
      <c r="G563" s="5"/>
      <c r="H563" s="5" t="s">
        <v>429</v>
      </c>
      <c r="I563" s="18"/>
      <c r="J563" s="18"/>
      <c r="K563" s="18"/>
      <c r="L563" s="18">
        <v>150000</v>
      </c>
      <c r="M563" s="18"/>
      <c r="N563" s="18">
        <f t="shared" si="85"/>
        <v>150000</v>
      </c>
      <c r="O563" s="95">
        <f t="shared" si="86"/>
        <v>150000</v>
      </c>
      <c r="P563" s="95">
        <f t="shared" si="87"/>
        <v>0</v>
      </c>
      <c r="Q563" s="95">
        <f t="shared" si="88"/>
        <v>150000</v>
      </c>
    </row>
    <row r="564" spans="2:17" ht="12.75">
      <c r="B564" s="21">
        <f t="shared" si="84"/>
        <v>113</v>
      </c>
      <c r="C564" s="5"/>
      <c r="D564" s="5"/>
      <c r="E564" s="5"/>
      <c r="F564" s="32"/>
      <c r="G564" s="5"/>
      <c r="H564" s="144" t="s">
        <v>510</v>
      </c>
      <c r="I564" s="18"/>
      <c r="J564" s="18"/>
      <c r="K564" s="18"/>
      <c r="L564" s="145">
        <v>6321</v>
      </c>
      <c r="M564" s="145"/>
      <c r="N564" s="145">
        <f t="shared" si="85"/>
        <v>6321</v>
      </c>
      <c r="O564" s="18">
        <f t="shared" si="86"/>
        <v>6321</v>
      </c>
      <c r="P564" s="18">
        <f t="shared" si="87"/>
        <v>0</v>
      </c>
      <c r="Q564" s="18">
        <f t="shared" si="88"/>
        <v>6321</v>
      </c>
    </row>
    <row r="565" spans="2:17" ht="12.75">
      <c r="B565" s="21">
        <f t="shared" si="84"/>
        <v>114</v>
      </c>
      <c r="C565" s="5"/>
      <c r="D565" s="5"/>
      <c r="E565" s="5"/>
      <c r="F565" s="32"/>
      <c r="G565" s="5"/>
      <c r="H565" s="144" t="s">
        <v>511</v>
      </c>
      <c r="I565" s="18"/>
      <c r="J565" s="18"/>
      <c r="K565" s="18"/>
      <c r="L565" s="145">
        <f>127000-47000-21800-2400</f>
        <v>55800</v>
      </c>
      <c r="M565" s="145"/>
      <c r="N565" s="145">
        <f t="shared" si="85"/>
        <v>55800</v>
      </c>
      <c r="O565" s="18">
        <f t="shared" si="86"/>
        <v>55800</v>
      </c>
      <c r="P565" s="18">
        <f t="shared" si="87"/>
        <v>0</v>
      </c>
      <c r="Q565" s="18">
        <f t="shared" si="88"/>
        <v>55800</v>
      </c>
    </row>
    <row r="566" spans="2:17" ht="12.75">
      <c r="B566" s="21">
        <f t="shared" si="84"/>
        <v>115</v>
      </c>
      <c r="C566" s="5"/>
      <c r="D566" s="5"/>
      <c r="E566" s="5"/>
      <c r="F566" s="32"/>
      <c r="G566" s="5"/>
      <c r="H566" s="144" t="s">
        <v>520</v>
      </c>
      <c r="I566" s="18"/>
      <c r="J566" s="18"/>
      <c r="K566" s="18"/>
      <c r="L566" s="145">
        <v>74000</v>
      </c>
      <c r="M566" s="145"/>
      <c r="N566" s="145">
        <f t="shared" si="85"/>
        <v>74000</v>
      </c>
      <c r="O566" s="18">
        <f t="shared" si="86"/>
        <v>74000</v>
      </c>
      <c r="P566" s="18">
        <f t="shared" si="87"/>
        <v>0</v>
      </c>
      <c r="Q566" s="18">
        <f t="shared" si="88"/>
        <v>74000</v>
      </c>
    </row>
    <row r="567" spans="2:17" ht="12.75">
      <c r="B567" s="21">
        <f t="shared" si="84"/>
        <v>116</v>
      </c>
      <c r="C567" s="5"/>
      <c r="D567" s="5"/>
      <c r="E567" s="5"/>
      <c r="F567" s="32"/>
      <c r="G567" s="5"/>
      <c r="H567" s="144" t="s">
        <v>525</v>
      </c>
      <c r="I567" s="18"/>
      <c r="J567" s="18"/>
      <c r="K567" s="18"/>
      <c r="L567" s="145">
        <f>5000+3000</f>
        <v>8000</v>
      </c>
      <c r="M567" s="145"/>
      <c r="N567" s="145">
        <f t="shared" si="85"/>
        <v>8000</v>
      </c>
      <c r="O567" s="18">
        <f t="shared" si="86"/>
        <v>8000</v>
      </c>
      <c r="P567" s="18">
        <f t="shared" si="87"/>
        <v>0</v>
      </c>
      <c r="Q567" s="18">
        <f t="shared" si="88"/>
        <v>8000</v>
      </c>
    </row>
    <row r="568" spans="2:17" ht="12.75">
      <c r="B568" s="21">
        <f t="shared" si="84"/>
        <v>117</v>
      </c>
      <c r="C568" s="5"/>
      <c r="D568" s="5"/>
      <c r="E568" s="5"/>
      <c r="F568" s="32"/>
      <c r="G568" s="5"/>
      <c r="H568" s="144" t="s">
        <v>558</v>
      </c>
      <c r="I568" s="18"/>
      <c r="J568" s="18"/>
      <c r="K568" s="18"/>
      <c r="L568" s="145">
        <v>5000</v>
      </c>
      <c r="M568" s="145"/>
      <c r="N568" s="145">
        <f t="shared" si="85"/>
        <v>5000</v>
      </c>
      <c r="O568" s="18">
        <f t="shared" si="86"/>
        <v>5000</v>
      </c>
      <c r="P568" s="18">
        <f t="shared" si="87"/>
        <v>0</v>
      </c>
      <c r="Q568" s="18">
        <f t="shared" si="88"/>
        <v>5000</v>
      </c>
    </row>
    <row r="569" spans="2:17" ht="12.75">
      <c r="B569" s="21">
        <f t="shared" si="84"/>
        <v>118</v>
      </c>
      <c r="C569" s="5"/>
      <c r="D569" s="5"/>
      <c r="E569" s="5"/>
      <c r="F569" s="32"/>
      <c r="G569" s="5"/>
      <c r="H569" s="144" t="s">
        <v>526</v>
      </c>
      <c r="I569" s="18"/>
      <c r="J569" s="18"/>
      <c r="K569" s="18"/>
      <c r="L569" s="145">
        <v>5000</v>
      </c>
      <c r="M569" s="145"/>
      <c r="N569" s="145">
        <f t="shared" si="85"/>
        <v>5000</v>
      </c>
      <c r="O569" s="18">
        <f t="shared" si="86"/>
        <v>5000</v>
      </c>
      <c r="P569" s="18">
        <f t="shared" si="87"/>
        <v>0</v>
      </c>
      <c r="Q569" s="18">
        <f t="shared" si="88"/>
        <v>5000</v>
      </c>
    </row>
    <row r="610" spans="2:16" ht="27">
      <c r="B610" s="248" t="s">
        <v>26</v>
      </c>
      <c r="C610" s="249"/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/>
    </row>
    <row r="611" spans="2:17" ht="12.75">
      <c r="B611" s="244" t="s">
        <v>327</v>
      </c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6"/>
      <c r="O611" s="250" t="s">
        <v>612</v>
      </c>
      <c r="P611" s="250" t="s">
        <v>642</v>
      </c>
      <c r="Q611" s="250" t="s">
        <v>644</v>
      </c>
    </row>
    <row r="612" spans="2:17" ht="12.75">
      <c r="B612" s="251"/>
      <c r="C612" s="243" t="s">
        <v>114</v>
      </c>
      <c r="D612" s="243" t="s">
        <v>115</v>
      </c>
      <c r="E612" s="243"/>
      <c r="F612" s="243" t="s">
        <v>116</v>
      </c>
      <c r="G612" s="247" t="s">
        <v>117</v>
      </c>
      <c r="H612" s="252" t="s">
        <v>118</v>
      </c>
      <c r="I612" s="239" t="s">
        <v>609</v>
      </c>
      <c r="J612" s="209" t="s">
        <v>642</v>
      </c>
      <c r="K612" s="209" t="s">
        <v>644</v>
      </c>
      <c r="L612" s="239" t="s">
        <v>610</v>
      </c>
      <c r="M612" s="209" t="s">
        <v>642</v>
      </c>
      <c r="N612" s="209" t="s">
        <v>644</v>
      </c>
      <c r="O612" s="250"/>
      <c r="P612" s="250"/>
      <c r="Q612" s="250"/>
    </row>
    <row r="613" spans="2:17" ht="12.75">
      <c r="B613" s="251"/>
      <c r="C613" s="243"/>
      <c r="D613" s="243"/>
      <c r="E613" s="243"/>
      <c r="F613" s="243"/>
      <c r="G613" s="247"/>
      <c r="H613" s="252"/>
      <c r="I613" s="239"/>
      <c r="J613" s="210"/>
      <c r="K613" s="210"/>
      <c r="L613" s="239"/>
      <c r="M613" s="210"/>
      <c r="N613" s="210"/>
      <c r="O613" s="250"/>
      <c r="P613" s="250"/>
      <c r="Q613" s="250"/>
    </row>
    <row r="614" spans="2:17" ht="12.75">
      <c r="B614" s="251"/>
      <c r="C614" s="243"/>
      <c r="D614" s="243"/>
      <c r="E614" s="243"/>
      <c r="F614" s="243"/>
      <c r="G614" s="247"/>
      <c r="H614" s="252"/>
      <c r="I614" s="239"/>
      <c r="J614" s="210"/>
      <c r="K614" s="210"/>
      <c r="L614" s="239"/>
      <c r="M614" s="210"/>
      <c r="N614" s="210"/>
      <c r="O614" s="250"/>
      <c r="P614" s="250"/>
      <c r="Q614" s="250"/>
    </row>
    <row r="615" spans="2:17" ht="13.5" thickBot="1">
      <c r="B615" s="251"/>
      <c r="C615" s="243"/>
      <c r="D615" s="243"/>
      <c r="E615" s="243"/>
      <c r="F615" s="243"/>
      <c r="G615" s="247"/>
      <c r="H615" s="252"/>
      <c r="I615" s="239"/>
      <c r="J615" s="255"/>
      <c r="K615" s="255"/>
      <c r="L615" s="239"/>
      <c r="M615" s="255"/>
      <c r="N615" s="255"/>
      <c r="O615" s="250"/>
      <c r="P615" s="250"/>
      <c r="Q615" s="250"/>
    </row>
    <row r="616" spans="2:17" ht="16.5" thickTop="1">
      <c r="B616" s="23">
        <v>1</v>
      </c>
      <c r="C616" s="256" t="s">
        <v>26</v>
      </c>
      <c r="D616" s="257"/>
      <c r="E616" s="257"/>
      <c r="F616" s="257"/>
      <c r="G616" s="257"/>
      <c r="H616" s="258"/>
      <c r="I616" s="89">
        <f>I1438+I1163+I1045+I806+I617</f>
        <v>23616654</v>
      </c>
      <c r="J616" s="89">
        <f>J1438+J1163+J1045+J806+J617</f>
        <v>15388</v>
      </c>
      <c r="K616" s="89">
        <f aca="true" t="shared" si="89" ref="K616:K679">J616+I616</f>
        <v>23632042</v>
      </c>
      <c r="L616" s="89">
        <f>L1438+L1163+L1045+L806+L617</f>
        <v>1159039</v>
      </c>
      <c r="M616" s="89">
        <f>M1438+M1163+M1045+M806+M617</f>
        <v>14153</v>
      </c>
      <c r="N616" s="89">
        <f aca="true" t="shared" si="90" ref="N616:N679">M616+L616</f>
        <v>1173192</v>
      </c>
      <c r="O616" s="89">
        <f aca="true" t="shared" si="91" ref="O616:O642">I616+L616</f>
        <v>24775693</v>
      </c>
      <c r="P616" s="89">
        <f aca="true" t="shared" si="92" ref="P616:P642">J616+M616</f>
        <v>29541</v>
      </c>
      <c r="Q616" s="89">
        <f aca="true" t="shared" si="93" ref="Q616:Q679">O616+P616</f>
        <v>24805234</v>
      </c>
    </row>
    <row r="617" spans="2:17" ht="15">
      <c r="B617" s="21">
        <f aca="true" t="shared" si="94" ref="B617:B648">B616+1</f>
        <v>2</v>
      </c>
      <c r="C617" s="7">
        <v>1</v>
      </c>
      <c r="D617" s="232" t="s">
        <v>192</v>
      </c>
      <c r="E617" s="233"/>
      <c r="F617" s="233"/>
      <c r="G617" s="233"/>
      <c r="H617" s="234"/>
      <c r="I617" s="87">
        <f>I618+I628+I639</f>
        <v>5250794</v>
      </c>
      <c r="J617" s="87">
        <f>J618+J628+J639</f>
        <v>0</v>
      </c>
      <c r="K617" s="87">
        <f t="shared" si="89"/>
        <v>5250794</v>
      </c>
      <c r="L617" s="87">
        <f>L618+L628+L639</f>
        <v>216320</v>
      </c>
      <c r="M617" s="87">
        <f>M618+M628+M639</f>
        <v>0</v>
      </c>
      <c r="N617" s="87">
        <f t="shared" si="90"/>
        <v>216320</v>
      </c>
      <c r="O617" s="87">
        <f t="shared" si="91"/>
        <v>5467114</v>
      </c>
      <c r="P617" s="87">
        <f t="shared" si="92"/>
        <v>0</v>
      </c>
      <c r="Q617" s="87">
        <f t="shared" si="93"/>
        <v>5467114</v>
      </c>
    </row>
    <row r="618" spans="2:17" ht="12.75">
      <c r="B618" s="20">
        <f t="shared" si="94"/>
        <v>3</v>
      </c>
      <c r="C618" s="10"/>
      <c r="D618" s="10"/>
      <c r="E618" s="10"/>
      <c r="F618" s="30" t="s">
        <v>191</v>
      </c>
      <c r="G618" s="10">
        <v>640</v>
      </c>
      <c r="H618" s="10" t="s">
        <v>129</v>
      </c>
      <c r="I618" s="61">
        <f>I619</f>
        <v>659904</v>
      </c>
      <c r="J618" s="61">
        <f>J619</f>
        <v>0</v>
      </c>
      <c r="K618" s="61">
        <f t="shared" si="89"/>
        <v>659904</v>
      </c>
      <c r="L618" s="61"/>
      <c r="M618" s="61"/>
      <c r="N618" s="61">
        <f t="shared" si="90"/>
        <v>0</v>
      </c>
      <c r="O618" s="61">
        <f t="shared" si="91"/>
        <v>659904</v>
      </c>
      <c r="P618" s="61">
        <f t="shared" si="92"/>
        <v>0</v>
      </c>
      <c r="Q618" s="61">
        <f t="shared" si="93"/>
        <v>659904</v>
      </c>
    </row>
    <row r="619" spans="2:17" ht="12.75">
      <c r="B619" s="20">
        <f t="shared" si="94"/>
        <v>4</v>
      </c>
      <c r="C619" s="4"/>
      <c r="D619" s="4"/>
      <c r="E619" s="4"/>
      <c r="F619" s="31" t="s">
        <v>191</v>
      </c>
      <c r="G619" s="4">
        <v>642</v>
      </c>
      <c r="H619" s="4" t="s">
        <v>130</v>
      </c>
      <c r="I619" s="17">
        <f>I627+I626+I625+I624+I623+I622+I621+I620</f>
        <v>659904</v>
      </c>
      <c r="J619" s="17">
        <f>J627+J626+J625+J624+J623+J622+J621+J620</f>
        <v>0</v>
      </c>
      <c r="K619" s="17">
        <f t="shared" si="89"/>
        <v>659904</v>
      </c>
      <c r="L619" s="17"/>
      <c r="M619" s="17"/>
      <c r="N619" s="17">
        <f t="shared" si="90"/>
        <v>0</v>
      </c>
      <c r="O619" s="17">
        <f t="shared" si="91"/>
        <v>659904</v>
      </c>
      <c r="P619" s="17">
        <f t="shared" si="92"/>
        <v>0</v>
      </c>
      <c r="Q619" s="17">
        <f t="shared" si="93"/>
        <v>659904</v>
      </c>
    </row>
    <row r="620" spans="2:17" ht="12.75">
      <c r="B620" s="20">
        <f t="shared" si="94"/>
        <v>5</v>
      </c>
      <c r="C620" s="5"/>
      <c r="D620" s="5"/>
      <c r="E620" s="5"/>
      <c r="F620" s="32"/>
      <c r="G620" s="5"/>
      <c r="H620" s="5" t="s">
        <v>455</v>
      </c>
      <c r="I620" s="18">
        <f>149426+2860</f>
        <v>152286</v>
      </c>
      <c r="J620" s="18"/>
      <c r="K620" s="18">
        <f t="shared" si="89"/>
        <v>152286</v>
      </c>
      <c r="L620" s="18"/>
      <c r="M620" s="18"/>
      <c r="N620" s="18">
        <f t="shared" si="90"/>
        <v>0</v>
      </c>
      <c r="O620" s="18">
        <f t="shared" si="91"/>
        <v>152286</v>
      </c>
      <c r="P620" s="18">
        <f t="shared" si="92"/>
        <v>0</v>
      </c>
      <c r="Q620" s="18">
        <f t="shared" si="93"/>
        <v>152286</v>
      </c>
    </row>
    <row r="621" spans="2:17" ht="12.75">
      <c r="B621" s="20">
        <f t="shared" si="94"/>
        <v>6</v>
      </c>
      <c r="C621" s="5"/>
      <c r="D621" s="5"/>
      <c r="E621" s="5"/>
      <c r="F621" s="32"/>
      <c r="G621" s="5"/>
      <c r="H621" s="5" t="s">
        <v>368</v>
      </c>
      <c r="I621" s="18">
        <f>50541+968</f>
        <v>51509</v>
      </c>
      <c r="J621" s="18"/>
      <c r="K621" s="18">
        <f t="shared" si="89"/>
        <v>51509</v>
      </c>
      <c r="L621" s="18"/>
      <c r="M621" s="18"/>
      <c r="N621" s="18">
        <f t="shared" si="90"/>
        <v>0</v>
      </c>
      <c r="O621" s="18">
        <f t="shared" si="91"/>
        <v>51509</v>
      </c>
      <c r="P621" s="18">
        <f t="shared" si="92"/>
        <v>0</v>
      </c>
      <c r="Q621" s="18">
        <f t="shared" si="93"/>
        <v>51509</v>
      </c>
    </row>
    <row r="622" spans="2:17" ht="12.75">
      <c r="B622" s="20">
        <f t="shared" si="94"/>
        <v>7</v>
      </c>
      <c r="C622" s="5"/>
      <c r="D622" s="5"/>
      <c r="E622" s="5"/>
      <c r="F622" s="32"/>
      <c r="G622" s="5"/>
      <c r="H622" s="5" t="s">
        <v>369</v>
      </c>
      <c r="I622" s="18">
        <f>50541+968</f>
        <v>51509</v>
      </c>
      <c r="J622" s="18"/>
      <c r="K622" s="18">
        <f t="shared" si="89"/>
        <v>51509</v>
      </c>
      <c r="L622" s="18"/>
      <c r="M622" s="18"/>
      <c r="N622" s="18">
        <f t="shared" si="90"/>
        <v>0</v>
      </c>
      <c r="O622" s="18">
        <f t="shared" si="91"/>
        <v>51509</v>
      </c>
      <c r="P622" s="18">
        <f t="shared" si="92"/>
        <v>0</v>
      </c>
      <c r="Q622" s="18">
        <f t="shared" si="93"/>
        <v>51509</v>
      </c>
    </row>
    <row r="623" spans="2:17" ht="12.75">
      <c r="B623" s="20">
        <f t="shared" si="94"/>
        <v>8</v>
      </c>
      <c r="C623" s="5"/>
      <c r="D623" s="5"/>
      <c r="E623" s="5"/>
      <c r="F623" s="32"/>
      <c r="G623" s="5"/>
      <c r="H623" s="5" t="s">
        <v>370</v>
      </c>
      <c r="I623" s="18">
        <f>30765+589</f>
        <v>31354</v>
      </c>
      <c r="J623" s="18"/>
      <c r="K623" s="18">
        <f t="shared" si="89"/>
        <v>31354</v>
      </c>
      <c r="L623" s="18"/>
      <c r="M623" s="18"/>
      <c r="N623" s="18">
        <f t="shared" si="90"/>
        <v>0</v>
      </c>
      <c r="O623" s="18">
        <f t="shared" si="91"/>
        <v>31354</v>
      </c>
      <c r="P623" s="18">
        <f t="shared" si="92"/>
        <v>0</v>
      </c>
      <c r="Q623" s="18">
        <f t="shared" si="93"/>
        <v>31354</v>
      </c>
    </row>
    <row r="624" spans="2:17" ht="12.75">
      <c r="B624" s="20">
        <f t="shared" si="94"/>
        <v>9</v>
      </c>
      <c r="C624" s="5"/>
      <c r="D624" s="5"/>
      <c r="E624" s="5"/>
      <c r="F624" s="32"/>
      <c r="G624" s="5"/>
      <c r="H624" s="5" t="s">
        <v>371</v>
      </c>
      <c r="I624" s="18">
        <f>83503+1598</f>
        <v>85101</v>
      </c>
      <c r="J624" s="18"/>
      <c r="K624" s="18">
        <f t="shared" si="89"/>
        <v>85101</v>
      </c>
      <c r="L624" s="18"/>
      <c r="M624" s="18"/>
      <c r="N624" s="18">
        <f t="shared" si="90"/>
        <v>0</v>
      </c>
      <c r="O624" s="18">
        <f t="shared" si="91"/>
        <v>85101</v>
      </c>
      <c r="P624" s="18">
        <f t="shared" si="92"/>
        <v>0</v>
      </c>
      <c r="Q624" s="18">
        <f t="shared" si="93"/>
        <v>85101</v>
      </c>
    </row>
    <row r="625" spans="2:17" ht="12.75">
      <c r="B625" s="20">
        <f t="shared" si="94"/>
        <v>10</v>
      </c>
      <c r="C625" s="5"/>
      <c r="D625" s="5"/>
      <c r="E625" s="5"/>
      <c r="F625" s="32"/>
      <c r="G625" s="5"/>
      <c r="H625" s="5" t="s">
        <v>372</v>
      </c>
      <c r="I625" s="18">
        <f>98885+3381</f>
        <v>102266</v>
      </c>
      <c r="J625" s="18"/>
      <c r="K625" s="18">
        <f t="shared" si="89"/>
        <v>102266</v>
      </c>
      <c r="L625" s="18"/>
      <c r="M625" s="18"/>
      <c r="N625" s="18">
        <f t="shared" si="90"/>
        <v>0</v>
      </c>
      <c r="O625" s="18">
        <f t="shared" si="91"/>
        <v>102266</v>
      </c>
      <c r="P625" s="18">
        <f t="shared" si="92"/>
        <v>0</v>
      </c>
      <c r="Q625" s="18">
        <f t="shared" si="93"/>
        <v>102266</v>
      </c>
    </row>
    <row r="626" spans="2:17" ht="12.75">
      <c r="B626" s="20">
        <f t="shared" si="94"/>
        <v>11</v>
      </c>
      <c r="C626" s="5"/>
      <c r="D626" s="5"/>
      <c r="E626" s="5"/>
      <c r="F626" s="32"/>
      <c r="G626" s="5"/>
      <c r="H626" s="5" t="s">
        <v>373</v>
      </c>
      <c r="I626" s="18">
        <f>131846+2524</f>
        <v>134370</v>
      </c>
      <c r="J626" s="18"/>
      <c r="K626" s="18">
        <f t="shared" si="89"/>
        <v>134370</v>
      </c>
      <c r="L626" s="18"/>
      <c r="M626" s="18"/>
      <c r="N626" s="18">
        <f t="shared" si="90"/>
        <v>0</v>
      </c>
      <c r="O626" s="18">
        <f t="shared" si="91"/>
        <v>134370</v>
      </c>
      <c r="P626" s="18">
        <f t="shared" si="92"/>
        <v>0</v>
      </c>
      <c r="Q626" s="18">
        <f t="shared" si="93"/>
        <v>134370</v>
      </c>
    </row>
    <row r="627" spans="2:17" ht="12.75">
      <c r="B627" s="20">
        <f t="shared" si="94"/>
        <v>12</v>
      </c>
      <c r="C627" s="5"/>
      <c r="D627" s="5"/>
      <c r="E627" s="5"/>
      <c r="F627" s="32"/>
      <c r="G627" s="5"/>
      <c r="H627" s="5" t="s">
        <v>374</v>
      </c>
      <c r="I627" s="18">
        <f>50541+968</f>
        <v>51509</v>
      </c>
      <c r="J627" s="18"/>
      <c r="K627" s="18">
        <f t="shared" si="89"/>
        <v>51509</v>
      </c>
      <c r="L627" s="18"/>
      <c r="M627" s="18"/>
      <c r="N627" s="18">
        <f t="shared" si="90"/>
        <v>0</v>
      </c>
      <c r="O627" s="18">
        <f t="shared" si="91"/>
        <v>51509</v>
      </c>
      <c r="P627" s="18">
        <f t="shared" si="92"/>
        <v>0</v>
      </c>
      <c r="Q627" s="18">
        <f t="shared" si="93"/>
        <v>51509</v>
      </c>
    </row>
    <row r="628" spans="2:17" ht="15">
      <c r="B628" s="20">
        <f t="shared" si="94"/>
        <v>13</v>
      </c>
      <c r="C628" s="12"/>
      <c r="D628" s="12"/>
      <c r="E628" s="12">
        <v>3</v>
      </c>
      <c r="F628" s="34"/>
      <c r="G628" s="12"/>
      <c r="H628" s="12" t="s">
        <v>13</v>
      </c>
      <c r="I628" s="90">
        <f>I629+I630+I631+I638</f>
        <v>619495</v>
      </c>
      <c r="J628" s="90">
        <f>J629+J630+J631+J638</f>
        <v>0</v>
      </c>
      <c r="K628" s="90">
        <f t="shared" si="89"/>
        <v>619495</v>
      </c>
      <c r="L628" s="90"/>
      <c r="M628" s="90"/>
      <c r="N628" s="90">
        <f t="shared" si="90"/>
        <v>0</v>
      </c>
      <c r="O628" s="90">
        <f t="shared" si="91"/>
        <v>619495</v>
      </c>
      <c r="P628" s="90">
        <f t="shared" si="92"/>
        <v>0</v>
      </c>
      <c r="Q628" s="90">
        <f t="shared" si="93"/>
        <v>619495</v>
      </c>
    </row>
    <row r="629" spans="2:17" ht="12.75">
      <c r="B629" s="20">
        <f t="shared" si="94"/>
        <v>14</v>
      </c>
      <c r="C629" s="10"/>
      <c r="D629" s="10"/>
      <c r="E629" s="10"/>
      <c r="F629" s="30" t="s">
        <v>191</v>
      </c>
      <c r="G629" s="10">
        <v>610</v>
      </c>
      <c r="H629" s="10" t="s">
        <v>131</v>
      </c>
      <c r="I629" s="61">
        <v>354454</v>
      </c>
      <c r="J629" s="61"/>
      <c r="K629" s="61">
        <f t="shared" si="89"/>
        <v>354454</v>
      </c>
      <c r="L629" s="61"/>
      <c r="M629" s="61"/>
      <c r="N629" s="61">
        <f t="shared" si="90"/>
        <v>0</v>
      </c>
      <c r="O629" s="61">
        <f t="shared" si="91"/>
        <v>354454</v>
      </c>
      <c r="P629" s="61">
        <f t="shared" si="92"/>
        <v>0</v>
      </c>
      <c r="Q629" s="61">
        <f t="shared" si="93"/>
        <v>354454</v>
      </c>
    </row>
    <row r="630" spans="2:17" ht="12.75">
      <c r="B630" s="20">
        <f t="shared" si="94"/>
        <v>15</v>
      </c>
      <c r="C630" s="10"/>
      <c r="D630" s="10"/>
      <c r="E630" s="10"/>
      <c r="F630" s="30" t="s">
        <v>191</v>
      </c>
      <c r="G630" s="10">
        <v>620</v>
      </c>
      <c r="H630" s="10" t="s">
        <v>124</v>
      </c>
      <c r="I630" s="61">
        <v>123567</v>
      </c>
      <c r="J630" s="61"/>
      <c r="K630" s="61">
        <f t="shared" si="89"/>
        <v>123567</v>
      </c>
      <c r="L630" s="61"/>
      <c r="M630" s="61"/>
      <c r="N630" s="61">
        <f t="shared" si="90"/>
        <v>0</v>
      </c>
      <c r="O630" s="61">
        <f t="shared" si="91"/>
        <v>123567</v>
      </c>
      <c r="P630" s="61">
        <f t="shared" si="92"/>
        <v>0</v>
      </c>
      <c r="Q630" s="61">
        <f t="shared" si="93"/>
        <v>123567</v>
      </c>
    </row>
    <row r="631" spans="2:17" ht="12.75">
      <c r="B631" s="20">
        <f t="shared" si="94"/>
        <v>16</v>
      </c>
      <c r="C631" s="10"/>
      <c r="D631" s="10"/>
      <c r="E631" s="10"/>
      <c r="F631" s="30" t="s">
        <v>191</v>
      </c>
      <c r="G631" s="10">
        <v>630</v>
      </c>
      <c r="H631" s="10" t="s">
        <v>121</v>
      </c>
      <c r="I631" s="61">
        <f>SUM(I632:I637)</f>
        <v>139651</v>
      </c>
      <c r="J631" s="61">
        <f>SUM(J632:J637)</f>
        <v>0</v>
      </c>
      <c r="K631" s="61">
        <f t="shared" si="89"/>
        <v>139651</v>
      </c>
      <c r="L631" s="61"/>
      <c r="M631" s="61"/>
      <c r="N631" s="61">
        <f t="shared" si="90"/>
        <v>0</v>
      </c>
      <c r="O631" s="61">
        <f t="shared" si="91"/>
        <v>139651</v>
      </c>
      <c r="P631" s="61">
        <f t="shared" si="92"/>
        <v>0</v>
      </c>
      <c r="Q631" s="61">
        <f t="shared" si="93"/>
        <v>139651</v>
      </c>
    </row>
    <row r="632" spans="2:17" ht="12.75">
      <c r="B632" s="20">
        <f t="shared" si="94"/>
        <v>17</v>
      </c>
      <c r="C632" s="4"/>
      <c r="D632" s="4"/>
      <c r="E632" s="4"/>
      <c r="F632" s="31" t="s">
        <v>191</v>
      </c>
      <c r="G632" s="4">
        <v>632</v>
      </c>
      <c r="H632" s="4" t="s">
        <v>134</v>
      </c>
      <c r="I632" s="17">
        <v>46070</v>
      </c>
      <c r="J632" s="17"/>
      <c r="K632" s="17">
        <f t="shared" si="89"/>
        <v>46070</v>
      </c>
      <c r="L632" s="17"/>
      <c r="M632" s="17"/>
      <c r="N632" s="17">
        <f t="shared" si="90"/>
        <v>0</v>
      </c>
      <c r="O632" s="17">
        <f t="shared" si="91"/>
        <v>46070</v>
      </c>
      <c r="P632" s="17">
        <f t="shared" si="92"/>
        <v>0</v>
      </c>
      <c r="Q632" s="17">
        <f t="shared" si="93"/>
        <v>46070</v>
      </c>
    </row>
    <row r="633" spans="2:17" ht="12.75">
      <c r="B633" s="20">
        <f t="shared" si="94"/>
        <v>18</v>
      </c>
      <c r="C633" s="4"/>
      <c r="D633" s="4"/>
      <c r="E633" s="4"/>
      <c r="F633" s="31" t="s">
        <v>191</v>
      </c>
      <c r="G633" s="4">
        <v>633</v>
      </c>
      <c r="H633" s="4" t="s">
        <v>125</v>
      </c>
      <c r="I633" s="17">
        <f>22118+3-7000</f>
        <v>15121</v>
      </c>
      <c r="J633" s="17"/>
      <c r="K633" s="17">
        <f t="shared" si="89"/>
        <v>15121</v>
      </c>
      <c r="L633" s="17"/>
      <c r="M633" s="17"/>
      <c r="N633" s="17">
        <f t="shared" si="90"/>
        <v>0</v>
      </c>
      <c r="O633" s="17">
        <f t="shared" si="91"/>
        <v>15121</v>
      </c>
      <c r="P633" s="17">
        <f t="shared" si="92"/>
        <v>0</v>
      </c>
      <c r="Q633" s="17">
        <f t="shared" si="93"/>
        <v>15121</v>
      </c>
    </row>
    <row r="634" spans="2:17" ht="12.75">
      <c r="B634" s="20">
        <f t="shared" si="94"/>
        <v>19</v>
      </c>
      <c r="C634" s="4"/>
      <c r="D634" s="4"/>
      <c r="E634" s="4"/>
      <c r="F634" s="31" t="s">
        <v>191</v>
      </c>
      <c r="G634" s="4">
        <v>635</v>
      </c>
      <c r="H634" s="4" t="s">
        <v>133</v>
      </c>
      <c r="I634" s="17">
        <f>23000+29000</f>
        <v>52000</v>
      </c>
      <c r="J634" s="17"/>
      <c r="K634" s="17">
        <f t="shared" si="89"/>
        <v>52000</v>
      </c>
      <c r="L634" s="17"/>
      <c r="M634" s="17"/>
      <c r="N634" s="17">
        <f t="shared" si="90"/>
        <v>0</v>
      </c>
      <c r="O634" s="17">
        <f t="shared" si="91"/>
        <v>52000</v>
      </c>
      <c r="P634" s="17">
        <f t="shared" si="92"/>
        <v>0</v>
      </c>
      <c r="Q634" s="17">
        <f t="shared" si="93"/>
        <v>52000</v>
      </c>
    </row>
    <row r="635" spans="2:17" ht="12.75">
      <c r="B635" s="20">
        <f t="shared" si="94"/>
        <v>20</v>
      </c>
      <c r="C635" s="4"/>
      <c r="D635" s="4"/>
      <c r="E635" s="4"/>
      <c r="F635" s="31" t="s">
        <v>191</v>
      </c>
      <c r="G635" s="4">
        <v>636</v>
      </c>
      <c r="H635" s="4" t="s">
        <v>126</v>
      </c>
      <c r="I635" s="17">
        <v>8400</v>
      </c>
      <c r="J635" s="17"/>
      <c r="K635" s="17">
        <f t="shared" si="89"/>
        <v>8400</v>
      </c>
      <c r="L635" s="17"/>
      <c r="M635" s="17"/>
      <c r="N635" s="17">
        <f t="shared" si="90"/>
        <v>0</v>
      </c>
      <c r="O635" s="17">
        <f t="shared" si="91"/>
        <v>8400</v>
      </c>
      <c r="P635" s="17">
        <f t="shared" si="92"/>
        <v>0</v>
      </c>
      <c r="Q635" s="17">
        <f t="shared" si="93"/>
        <v>8400</v>
      </c>
    </row>
    <row r="636" spans="2:17" ht="12.75">
      <c r="B636" s="20">
        <f t="shared" si="94"/>
        <v>21</v>
      </c>
      <c r="C636" s="4"/>
      <c r="D636" s="4"/>
      <c r="E636" s="4"/>
      <c r="F636" s="31" t="s">
        <v>191</v>
      </c>
      <c r="G636" s="4">
        <v>637</v>
      </c>
      <c r="H636" s="4" t="s">
        <v>122</v>
      </c>
      <c r="I636" s="17">
        <v>12010</v>
      </c>
      <c r="J636" s="17"/>
      <c r="K636" s="17">
        <f t="shared" si="89"/>
        <v>12010</v>
      </c>
      <c r="L636" s="17"/>
      <c r="M636" s="17"/>
      <c r="N636" s="17">
        <f t="shared" si="90"/>
        <v>0</v>
      </c>
      <c r="O636" s="17">
        <f t="shared" si="91"/>
        <v>12010</v>
      </c>
      <c r="P636" s="17">
        <f t="shared" si="92"/>
        <v>0</v>
      </c>
      <c r="Q636" s="17">
        <f t="shared" si="93"/>
        <v>12010</v>
      </c>
    </row>
    <row r="637" spans="2:17" ht="12.75">
      <c r="B637" s="20">
        <f t="shared" si="94"/>
        <v>22</v>
      </c>
      <c r="C637" s="4"/>
      <c r="D637" s="4"/>
      <c r="E637" s="4"/>
      <c r="F637" s="31" t="s">
        <v>191</v>
      </c>
      <c r="G637" s="4">
        <v>637</v>
      </c>
      <c r="H637" s="4" t="s">
        <v>290</v>
      </c>
      <c r="I637" s="17">
        <v>6050</v>
      </c>
      <c r="J637" s="17"/>
      <c r="K637" s="17">
        <f t="shared" si="89"/>
        <v>6050</v>
      </c>
      <c r="L637" s="17"/>
      <c r="M637" s="17"/>
      <c r="N637" s="17">
        <f t="shared" si="90"/>
        <v>0</v>
      </c>
      <c r="O637" s="17">
        <f t="shared" si="91"/>
        <v>6050</v>
      </c>
      <c r="P637" s="17">
        <f t="shared" si="92"/>
        <v>0</v>
      </c>
      <c r="Q637" s="17">
        <f t="shared" si="93"/>
        <v>6050</v>
      </c>
    </row>
    <row r="638" spans="2:17" ht="12.75">
      <c r="B638" s="20">
        <f t="shared" si="94"/>
        <v>23</v>
      </c>
      <c r="C638" s="10"/>
      <c r="D638" s="10"/>
      <c r="E638" s="10"/>
      <c r="F638" s="30" t="s">
        <v>191</v>
      </c>
      <c r="G638" s="10">
        <v>640</v>
      </c>
      <c r="H638" s="10" t="s">
        <v>129</v>
      </c>
      <c r="I638" s="61">
        <v>1823</v>
      </c>
      <c r="J638" s="61"/>
      <c r="K638" s="61">
        <f t="shared" si="89"/>
        <v>1823</v>
      </c>
      <c r="L638" s="61"/>
      <c r="M638" s="61"/>
      <c r="N638" s="61">
        <f t="shared" si="90"/>
        <v>0</v>
      </c>
      <c r="O638" s="61">
        <f t="shared" si="91"/>
        <v>1823</v>
      </c>
      <c r="P638" s="61">
        <f t="shared" si="92"/>
        <v>0</v>
      </c>
      <c r="Q638" s="61">
        <f t="shared" si="93"/>
        <v>1823</v>
      </c>
    </row>
    <row r="639" spans="2:17" ht="15">
      <c r="B639" s="20">
        <f t="shared" si="94"/>
        <v>24</v>
      </c>
      <c r="C639" s="12"/>
      <c r="D639" s="12"/>
      <c r="E639" s="12">
        <v>4</v>
      </c>
      <c r="F639" s="34"/>
      <c r="G639" s="12"/>
      <c r="H639" s="12" t="s">
        <v>94</v>
      </c>
      <c r="I639" s="90">
        <f>I640+I644+I653+I662+I674+I684+I696+I706+I719+I732+I741+I750+I760+I769+I782+I792+I643</f>
        <v>3971395</v>
      </c>
      <c r="J639" s="90">
        <f>J640+J644+J653+J662+J674+J684+J696+J706+J719+J732+J741+J750+J760+J769+J782+J792+J643</f>
        <v>0</v>
      </c>
      <c r="K639" s="90">
        <f t="shared" si="89"/>
        <v>3971395</v>
      </c>
      <c r="L639" s="90">
        <f>L640+L644+L653+L662+L674+L684+L696+L706+L719+L732+L741+L750+L760+L769+L782+L792</f>
        <v>216320</v>
      </c>
      <c r="M639" s="90">
        <f>M640+M644+M653+M662+M674+M684+M696+M706+M719+M732+M741+M750+M760+M769+M782+M792</f>
        <v>0</v>
      </c>
      <c r="N639" s="90">
        <f t="shared" si="90"/>
        <v>216320</v>
      </c>
      <c r="O639" s="90">
        <f t="shared" si="91"/>
        <v>4187715</v>
      </c>
      <c r="P639" s="90">
        <f t="shared" si="92"/>
        <v>0</v>
      </c>
      <c r="Q639" s="90">
        <f t="shared" si="93"/>
        <v>4187715</v>
      </c>
    </row>
    <row r="640" spans="2:17" ht="12.75">
      <c r="B640" s="20">
        <f t="shared" si="94"/>
        <v>25</v>
      </c>
      <c r="C640" s="10"/>
      <c r="D640" s="10"/>
      <c r="E640" s="10"/>
      <c r="F640" s="30" t="s">
        <v>191</v>
      </c>
      <c r="G640" s="10">
        <v>630</v>
      </c>
      <c r="H640" s="10" t="s">
        <v>121</v>
      </c>
      <c r="I640" s="61">
        <f>I642+I641</f>
        <v>12225</v>
      </c>
      <c r="J640" s="61">
        <f>J642+J641</f>
        <v>-7000</v>
      </c>
      <c r="K640" s="61">
        <f t="shared" si="89"/>
        <v>5225</v>
      </c>
      <c r="L640" s="61"/>
      <c r="M640" s="61"/>
      <c r="N640" s="61">
        <f t="shared" si="90"/>
        <v>0</v>
      </c>
      <c r="O640" s="61">
        <f t="shared" si="91"/>
        <v>12225</v>
      </c>
      <c r="P640" s="61">
        <f t="shared" si="92"/>
        <v>-7000</v>
      </c>
      <c r="Q640" s="61">
        <f t="shared" si="93"/>
        <v>5225</v>
      </c>
    </row>
    <row r="641" spans="2:17" ht="12.75">
      <c r="B641" s="20">
        <f t="shared" si="94"/>
        <v>26</v>
      </c>
      <c r="C641" s="4"/>
      <c r="D641" s="4"/>
      <c r="E641" s="4"/>
      <c r="F641" s="31" t="s">
        <v>191</v>
      </c>
      <c r="G641" s="4">
        <v>635</v>
      </c>
      <c r="H641" s="4" t="s">
        <v>133</v>
      </c>
      <c r="I641" s="17">
        <f>30000-20000</f>
        <v>10000</v>
      </c>
      <c r="J641" s="17">
        <v>-7000</v>
      </c>
      <c r="K641" s="17">
        <f t="shared" si="89"/>
        <v>3000</v>
      </c>
      <c r="L641" s="17"/>
      <c r="M641" s="17"/>
      <c r="N641" s="17">
        <f t="shared" si="90"/>
        <v>0</v>
      </c>
      <c r="O641" s="17">
        <f t="shared" si="91"/>
        <v>10000</v>
      </c>
      <c r="P641" s="17">
        <f t="shared" si="92"/>
        <v>-7000</v>
      </c>
      <c r="Q641" s="17">
        <f t="shared" si="93"/>
        <v>3000</v>
      </c>
    </row>
    <row r="642" spans="2:17" ht="12.75">
      <c r="B642" s="20">
        <f t="shared" si="94"/>
        <v>27</v>
      </c>
      <c r="C642" s="4"/>
      <c r="D642" s="4"/>
      <c r="E642" s="4"/>
      <c r="F642" s="31" t="s">
        <v>191</v>
      </c>
      <c r="G642" s="4">
        <v>637</v>
      </c>
      <c r="H642" s="4" t="s">
        <v>122</v>
      </c>
      <c r="I642" s="17">
        <v>2225</v>
      </c>
      <c r="J642" s="17"/>
      <c r="K642" s="17">
        <f t="shared" si="89"/>
        <v>2225</v>
      </c>
      <c r="L642" s="17"/>
      <c r="M642" s="17"/>
      <c r="N642" s="17">
        <f t="shared" si="90"/>
        <v>0</v>
      </c>
      <c r="O642" s="17">
        <f t="shared" si="91"/>
        <v>2225</v>
      </c>
      <c r="P642" s="17">
        <f t="shared" si="92"/>
        <v>0</v>
      </c>
      <c r="Q642" s="17">
        <f t="shared" si="93"/>
        <v>2225</v>
      </c>
    </row>
    <row r="643" spans="2:17" ht="12.75">
      <c r="B643" s="20">
        <f t="shared" si="94"/>
        <v>28</v>
      </c>
      <c r="C643" s="4"/>
      <c r="D643" s="4"/>
      <c r="E643" s="4"/>
      <c r="F643" s="52" t="s">
        <v>191</v>
      </c>
      <c r="G643" s="3">
        <v>630</v>
      </c>
      <c r="H643" s="3" t="s">
        <v>597</v>
      </c>
      <c r="I643" s="16">
        <v>2793</v>
      </c>
      <c r="J643" s="16"/>
      <c r="K643" s="16">
        <f t="shared" si="89"/>
        <v>2793</v>
      </c>
      <c r="L643" s="17"/>
      <c r="M643" s="17"/>
      <c r="N643" s="17">
        <f t="shared" si="90"/>
        <v>0</v>
      </c>
      <c r="O643" s="16">
        <f>I643</f>
        <v>2793</v>
      </c>
      <c r="P643" s="16">
        <f>J643</f>
        <v>0</v>
      </c>
      <c r="Q643" s="16">
        <f t="shared" si="93"/>
        <v>2793</v>
      </c>
    </row>
    <row r="644" spans="2:17" ht="12.75">
      <c r="B644" s="20">
        <f t="shared" si="94"/>
        <v>29</v>
      </c>
      <c r="C644" s="9"/>
      <c r="D644" s="9"/>
      <c r="E644" s="9"/>
      <c r="F644" s="35"/>
      <c r="G644" s="9"/>
      <c r="H644" s="9" t="s">
        <v>77</v>
      </c>
      <c r="I644" s="96">
        <f>I652+I647+I646+I645</f>
        <v>215802</v>
      </c>
      <c r="J644" s="96">
        <f>J652+J647+J646+J645</f>
        <v>0</v>
      </c>
      <c r="K644" s="96">
        <f t="shared" si="89"/>
        <v>215802</v>
      </c>
      <c r="L644" s="96"/>
      <c r="M644" s="96"/>
      <c r="N644" s="96">
        <f t="shared" si="90"/>
        <v>0</v>
      </c>
      <c r="O644" s="96">
        <f aca="true" t="shared" si="95" ref="O644:O707">I644+L644</f>
        <v>215802</v>
      </c>
      <c r="P644" s="96">
        <f aca="true" t="shared" si="96" ref="P644:P707">J644+M644</f>
        <v>0</v>
      </c>
      <c r="Q644" s="96">
        <f t="shared" si="93"/>
        <v>215802</v>
      </c>
    </row>
    <row r="645" spans="2:17" ht="12.75">
      <c r="B645" s="20">
        <f t="shared" si="94"/>
        <v>30</v>
      </c>
      <c r="C645" s="10"/>
      <c r="D645" s="10"/>
      <c r="E645" s="10"/>
      <c r="F645" s="30" t="s">
        <v>191</v>
      </c>
      <c r="G645" s="10">
        <v>610</v>
      </c>
      <c r="H645" s="10" t="s">
        <v>131</v>
      </c>
      <c r="I645" s="61">
        <v>116486</v>
      </c>
      <c r="J645" s="61"/>
      <c r="K645" s="61">
        <f t="shared" si="89"/>
        <v>116486</v>
      </c>
      <c r="L645" s="61"/>
      <c r="M645" s="61"/>
      <c r="N645" s="61">
        <f t="shared" si="90"/>
        <v>0</v>
      </c>
      <c r="O645" s="61">
        <f t="shared" si="95"/>
        <v>116486</v>
      </c>
      <c r="P645" s="61">
        <f t="shared" si="96"/>
        <v>0</v>
      </c>
      <c r="Q645" s="61">
        <f t="shared" si="93"/>
        <v>116486</v>
      </c>
    </row>
    <row r="646" spans="2:17" ht="12.75">
      <c r="B646" s="20">
        <f t="shared" si="94"/>
        <v>31</v>
      </c>
      <c r="C646" s="10"/>
      <c r="D646" s="10"/>
      <c r="E646" s="10"/>
      <c r="F646" s="30" t="s">
        <v>191</v>
      </c>
      <c r="G646" s="10">
        <v>620</v>
      </c>
      <c r="H646" s="10" t="s">
        <v>124</v>
      </c>
      <c r="I646" s="61">
        <v>42533</v>
      </c>
      <c r="J646" s="61"/>
      <c r="K646" s="61">
        <f t="shared" si="89"/>
        <v>42533</v>
      </c>
      <c r="L646" s="61"/>
      <c r="M646" s="61"/>
      <c r="N646" s="61">
        <f t="shared" si="90"/>
        <v>0</v>
      </c>
      <c r="O646" s="61">
        <f t="shared" si="95"/>
        <v>42533</v>
      </c>
      <c r="P646" s="61">
        <f t="shared" si="96"/>
        <v>0</v>
      </c>
      <c r="Q646" s="61">
        <f t="shared" si="93"/>
        <v>42533</v>
      </c>
    </row>
    <row r="647" spans="2:17" ht="12.75">
      <c r="B647" s="20">
        <f t="shared" si="94"/>
        <v>32</v>
      </c>
      <c r="C647" s="10"/>
      <c r="D647" s="10"/>
      <c r="E647" s="10"/>
      <c r="F647" s="30" t="s">
        <v>191</v>
      </c>
      <c r="G647" s="10">
        <v>630</v>
      </c>
      <c r="H647" s="10" t="s">
        <v>121</v>
      </c>
      <c r="I647" s="61">
        <f>I651+I650+I649+I648</f>
        <v>51855</v>
      </c>
      <c r="J647" s="61">
        <f>J651+J650+J649+J648</f>
        <v>0</v>
      </c>
      <c r="K647" s="61">
        <f t="shared" si="89"/>
        <v>51855</v>
      </c>
      <c r="L647" s="61"/>
      <c r="M647" s="61"/>
      <c r="N647" s="61">
        <f t="shared" si="90"/>
        <v>0</v>
      </c>
      <c r="O647" s="61">
        <f t="shared" si="95"/>
        <v>51855</v>
      </c>
      <c r="P647" s="61">
        <f t="shared" si="96"/>
        <v>0</v>
      </c>
      <c r="Q647" s="61">
        <f t="shared" si="93"/>
        <v>51855</v>
      </c>
    </row>
    <row r="648" spans="2:17" ht="12.75">
      <c r="B648" s="20">
        <f t="shared" si="94"/>
        <v>33</v>
      </c>
      <c r="C648" s="4"/>
      <c r="D648" s="4"/>
      <c r="E648" s="4"/>
      <c r="F648" s="31" t="s">
        <v>191</v>
      </c>
      <c r="G648" s="4">
        <v>632</v>
      </c>
      <c r="H648" s="4" t="s">
        <v>134</v>
      </c>
      <c r="I648" s="17">
        <v>18500</v>
      </c>
      <c r="J648" s="17"/>
      <c r="K648" s="17">
        <f t="shared" si="89"/>
        <v>18500</v>
      </c>
      <c r="L648" s="17"/>
      <c r="M648" s="17"/>
      <c r="N648" s="17">
        <f t="shared" si="90"/>
        <v>0</v>
      </c>
      <c r="O648" s="17">
        <f t="shared" si="95"/>
        <v>18500</v>
      </c>
      <c r="P648" s="17">
        <f t="shared" si="96"/>
        <v>0</v>
      </c>
      <c r="Q648" s="17">
        <f t="shared" si="93"/>
        <v>18500</v>
      </c>
    </row>
    <row r="649" spans="2:17" ht="12.75">
      <c r="B649" s="20">
        <f aca="true" t="shared" si="97" ref="B649:B680">B648+1</f>
        <v>34</v>
      </c>
      <c r="C649" s="4"/>
      <c r="D649" s="4"/>
      <c r="E649" s="4"/>
      <c r="F649" s="31" t="s">
        <v>191</v>
      </c>
      <c r="G649" s="4">
        <v>633</v>
      </c>
      <c r="H649" s="4" t="s">
        <v>125</v>
      </c>
      <c r="I649" s="17">
        <f>10627+80</f>
        <v>10707</v>
      </c>
      <c r="J649" s="17">
        <v>-3000</v>
      </c>
      <c r="K649" s="17">
        <f t="shared" si="89"/>
        <v>7707</v>
      </c>
      <c r="L649" s="17"/>
      <c r="M649" s="17"/>
      <c r="N649" s="17">
        <f t="shared" si="90"/>
        <v>0</v>
      </c>
      <c r="O649" s="17">
        <f t="shared" si="95"/>
        <v>10707</v>
      </c>
      <c r="P649" s="17">
        <f t="shared" si="96"/>
        <v>-3000</v>
      </c>
      <c r="Q649" s="17">
        <f t="shared" si="93"/>
        <v>7707</v>
      </c>
    </row>
    <row r="650" spans="2:17" ht="12.75">
      <c r="B650" s="20">
        <f t="shared" si="97"/>
        <v>35</v>
      </c>
      <c r="C650" s="4"/>
      <c r="D650" s="4"/>
      <c r="E650" s="4"/>
      <c r="F650" s="31" t="s">
        <v>191</v>
      </c>
      <c r="G650" s="4">
        <v>635</v>
      </c>
      <c r="H650" s="4" t="s">
        <v>133</v>
      </c>
      <c r="I650" s="17">
        <f>3000+16000</f>
        <v>19000</v>
      </c>
      <c r="J650" s="17">
        <v>3000</v>
      </c>
      <c r="K650" s="17">
        <f t="shared" si="89"/>
        <v>22000</v>
      </c>
      <c r="L650" s="17"/>
      <c r="M650" s="17"/>
      <c r="N650" s="17">
        <f t="shared" si="90"/>
        <v>0</v>
      </c>
      <c r="O650" s="17">
        <f t="shared" si="95"/>
        <v>19000</v>
      </c>
      <c r="P650" s="17">
        <f t="shared" si="96"/>
        <v>3000</v>
      </c>
      <c r="Q650" s="17">
        <f t="shared" si="93"/>
        <v>22000</v>
      </c>
    </row>
    <row r="651" spans="2:17" ht="12.75">
      <c r="B651" s="20">
        <f t="shared" si="97"/>
        <v>36</v>
      </c>
      <c r="C651" s="4"/>
      <c r="D651" s="4"/>
      <c r="E651" s="4"/>
      <c r="F651" s="31" t="s">
        <v>191</v>
      </c>
      <c r="G651" s="4">
        <v>637</v>
      </c>
      <c r="H651" s="4" t="s">
        <v>122</v>
      </c>
      <c r="I651" s="17">
        <v>3648</v>
      </c>
      <c r="J651" s="17"/>
      <c r="K651" s="17">
        <f t="shared" si="89"/>
        <v>3648</v>
      </c>
      <c r="L651" s="17"/>
      <c r="M651" s="17"/>
      <c r="N651" s="17">
        <f t="shared" si="90"/>
        <v>0</v>
      </c>
      <c r="O651" s="17">
        <f t="shared" si="95"/>
        <v>3648</v>
      </c>
      <c r="P651" s="17">
        <f t="shared" si="96"/>
        <v>0</v>
      </c>
      <c r="Q651" s="17">
        <f t="shared" si="93"/>
        <v>3648</v>
      </c>
    </row>
    <row r="652" spans="2:17" ht="12.75">
      <c r="B652" s="20">
        <f t="shared" si="97"/>
        <v>37</v>
      </c>
      <c r="C652" s="10"/>
      <c r="D652" s="10"/>
      <c r="E652" s="10"/>
      <c r="F652" s="30" t="s">
        <v>191</v>
      </c>
      <c r="G652" s="10">
        <v>640</v>
      </c>
      <c r="H652" s="10" t="s">
        <v>129</v>
      </c>
      <c r="I652" s="61">
        <v>4928</v>
      </c>
      <c r="J652" s="61"/>
      <c r="K652" s="61">
        <f t="shared" si="89"/>
        <v>4928</v>
      </c>
      <c r="L652" s="61"/>
      <c r="M652" s="61"/>
      <c r="N652" s="61">
        <f t="shared" si="90"/>
        <v>0</v>
      </c>
      <c r="O652" s="61">
        <f t="shared" si="95"/>
        <v>4928</v>
      </c>
      <c r="P652" s="61">
        <f t="shared" si="96"/>
        <v>0</v>
      </c>
      <c r="Q652" s="61">
        <f t="shared" si="93"/>
        <v>4928</v>
      </c>
    </row>
    <row r="653" spans="2:17" ht="12.75">
      <c r="B653" s="20">
        <f t="shared" si="97"/>
        <v>38</v>
      </c>
      <c r="C653" s="9"/>
      <c r="D653" s="9"/>
      <c r="E653" s="9"/>
      <c r="F653" s="35"/>
      <c r="G653" s="9"/>
      <c r="H653" s="9" t="s">
        <v>231</v>
      </c>
      <c r="I653" s="96">
        <f>I661+I656+I655+I654</f>
        <v>356135</v>
      </c>
      <c r="J653" s="96">
        <f>J661+J656+J655+J654</f>
        <v>0</v>
      </c>
      <c r="K653" s="96">
        <f t="shared" si="89"/>
        <v>356135</v>
      </c>
      <c r="L653" s="96"/>
      <c r="M653" s="96"/>
      <c r="N653" s="96">
        <f t="shared" si="90"/>
        <v>0</v>
      </c>
      <c r="O653" s="96">
        <f t="shared" si="95"/>
        <v>356135</v>
      </c>
      <c r="P653" s="96">
        <f t="shared" si="96"/>
        <v>0</v>
      </c>
      <c r="Q653" s="96">
        <f t="shared" si="93"/>
        <v>356135</v>
      </c>
    </row>
    <row r="654" spans="2:17" ht="12.75">
      <c r="B654" s="20">
        <f t="shared" si="97"/>
        <v>39</v>
      </c>
      <c r="C654" s="10"/>
      <c r="D654" s="10"/>
      <c r="E654" s="10"/>
      <c r="F654" s="30" t="s">
        <v>191</v>
      </c>
      <c r="G654" s="10">
        <v>610</v>
      </c>
      <c r="H654" s="10" t="s">
        <v>131</v>
      </c>
      <c r="I654" s="61">
        <v>215434</v>
      </c>
      <c r="J654" s="61"/>
      <c r="K654" s="61">
        <f t="shared" si="89"/>
        <v>215434</v>
      </c>
      <c r="L654" s="61"/>
      <c r="M654" s="61"/>
      <c r="N654" s="61">
        <f t="shared" si="90"/>
        <v>0</v>
      </c>
      <c r="O654" s="61">
        <f t="shared" si="95"/>
        <v>215434</v>
      </c>
      <c r="P654" s="61">
        <f t="shared" si="96"/>
        <v>0</v>
      </c>
      <c r="Q654" s="61">
        <f t="shared" si="93"/>
        <v>215434</v>
      </c>
    </row>
    <row r="655" spans="2:17" ht="12.75">
      <c r="B655" s="20">
        <f t="shared" si="97"/>
        <v>40</v>
      </c>
      <c r="C655" s="10"/>
      <c r="D655" s="10"/>
      <c r="E655" s="10"/>
      <c r="F655" s="30" t="s">
        <v>191</v>
      </c>
      <c r="G655" s="10">
        <v>620</v>
      </c>
      <c r="H655" s="10" t="s">
        <v>124</v>
      </c>
      <c r="I655" s="61">
        <v>77836</v>
      </c>
      <c r="J655" s="61"/>
      <c r="K655" s="61">
        <f t="shared" si="89"/>
        <v>77836</v>
      </c>
      <c r="L655" s="61"/>
      <c r="M655" s="61"/>
      <c r="N655" s="61">
        <f t="shared" si="90"/>
        <v>0</v>
      </c>
      <c r="O655" s="61">
        <f t="shared" si="95"/>
        <v>77836</v>
      </c>
      <c r="P655" s="61">
        <f t="shared" si="96"/>
        <v>0</v>
      </c>
      <c r="Q655" s="61">
        <f t="shared" si="93"/>
        <v>77836</v>
      </c>
    </row>
    <row r="656" spans="2:17" ht="12.75">
      <c r="B656" s="20">
        <f t="shared" si="97"/>
        <v>41</v>
      </c>
      <c r="C656" s="10"/>
      <c r="D656" s="10"/>
      <c r="E656" s="10"/>
      <c r="F656" s="30" t="s">
        <v>191</v>
      </c>
      <c r="G656" s="10">
        <v>630</v>
      </c>
      <c r="H656" s="10" t="s">
        <v>121</v>
      </c>
      <c r="I656" s="61">
        <f>I660+I659+I658+I657</f>
        <v>56205</v>
      </c>
      <c r="J656" s="61">
        <f>J660+J659+J658+J657</f>
        <v>0</v>
      </c>
      <c r="K656" s="61">
        <f t="shared" si="89"/>
        <v>56205</v>
      </c>
      <c r="L656" s="61"/>
      <c r="M656" s="61"/>
      <c r="N656" s="61">
        <f t="shared" si="90"/>
        <v>0</v>
      </c>
      <c r="O656" s="61">
        <f t="shared" si="95"/>
        <v>56205</v>
      </c>
      <c r="P656" s="61">
        <f t="shared" si="96"/>
        <v>0</v>
      </c>
      <c r="Q656" s="61">
        <f t="shared" si="93"/>
        <v>56205</v>
      </c>
    </row>
    <row r="657" spans="2:17" ht="12.75">
      <c r="B657" s="20">
        <f t="shared" si="97"/>
        <v>42</v>
      </c>
      <c r="C657" s="4"/>
      <c r="D657" s="4"/>
      <c r="E657" s="4"/>
      <c r="F657" s="31" t="s">
        <v>191</v>
      </c>
      <c r="G657" s="4">
        <v>632</v>
      </c>
      <c r="H657" s="4" t="s">
        <v>134</v>
      </c>
      <c r="I657" s="17">
        <v>30960</v>
      </c>
      <c r="J657" s="17"/>
      <c r="K657" s="17">
        <f t="shared" si="89"/>
        <v>30960</v>
      </c>
      <c r="L657" s="17"/>
      <c r="M657" s="17"/>
      <c r="N657" s="17">
        <f t="shared" si="90"/>
        <v>0</v>
      </c>
      <c r="O657" s="17">
        <f t="shared" si="95"/>
        <v>30960</v>
      </c>
      <c r="P657" s="17">
        <f t="shared" si="96"/>
        <v>0</v>
      </c>
      <c r="Q657" s="17">
        <f t="shared" si="93"/>
        <v>30960</v>
      </c>
    </row>
    <row r="658" spans="2:17" ht="12.75">
      <c r="B658" s="20">
        <f t="shared" si="97"/>
        <v>43</v>
      </c>
      <c r="C658" s="4"/>
      <c r="D658" s="4"/>
      <c r="E658" s="4"/>
      <c r="F658" s="31" t="s">
        <v>191</v>
      </c>
      <c r="G658" s="4">
        <v>633</v>
      </c>
      <c r="H658" s="4" t="s">
        <v>125</v>
      </c>
      <c r="I658" s="17">
        <f>16941+141</f>
        <v>17082</v>
      </c>
      <c r="J658" s="17">
        <v>-3500</v>
      </c>
      <c r="K658" s="17">
        <f t="shared" si="89"/>
        <v>13582</v>
      </c>
      <c r="L658" s="17"/>
      <c r="M658" s="17"/>
      <c r="N658" s="17">
        <f t="shared" si="90"/>
        <v>0</v>
      </c>
      <c r="O658" s="17">
        <f t="shared" si="95"/>
        <v>17082</v>
      </c>
      <c r="P658" s="17">
        <f t="shared" si="96"/>
        <v>-3500</v>
      </c>
      <c r="Q658" s="17">
        <f t="shared" si="93"/>
        <v>13582</v>
      </c>
    </row>
    <row r="659" spans="2:17" ht="12.75">
      <c r="B659" s="20">
        <f t="shared" si="97"/>
        <v>44</v>
      </c>
      <c r="C659" s="4"/>
      <c r="D659" s="4"/>
      <c r="E659" s="4"/>
      <c r="F659" s="31" t="s">
        <v>191</v>
      </c>
      <c r="G659" s="4">
        <v>635</v>
      </c>
      <c r="H659" s="4" t="s">
        <v>133</v>
      </c>
      <c r="I659" s="17">
        <v>2500</v>
      </c>
      <c r="J659" s="17">
        <v>3500</v>
      </c>
      <c r="K659" s="17">
        <f t="shared" si="89"/>
        <v>6000</v>
      </c>
      <c r="L659" s="17"/>
      <c r="M659" s="17"/>
      <c r="N659" s="17">
        <f t="shared" si="90"/>
        <v>0</v>
      </c>
      <c r="O659" s="17">
        <f t="shared" si="95"/>
        <v>2500</v>
      </c>
      <c r="P659" s="17">
        <f t="shared" si="96"/>
        <v>3500</v>
      </c>
      <c r="Q659" s="17">
        <f t="shared" si="93"/>
        <v>6000</v>
      </c>
    </row>
    <row r="660" spans="2:17" ht="12.75">
      <c r="B660" s="20">
        <f t="shared" si="97"/>
        <v>45</v>
      </c>
      <c r="C660" s="4"/>
      <c r="D660" s="4"/>
      <c r="E660" s="4"/>
      <c r="F660" s="31" t="s">
        <v>191</v>
      </c>
      <c r="G660" s="4">
        <v>637</v>
      </c>
      <c r="H660" s="4" t="s">
        <v>122</v>
      </c>
      <c r="I660" s="17">
        <v>5663</v>
      </c>
      <c r="J660" s="17"/>
      <c r="K660" s="17">
        <f t="shared" si="89"/>
        <v>5663</v>
      </c>
      <c r="L660" s="17"/>
      <c r="M660" s="17"/>
      <c r="N660" s="17">
        <f t="shared" si="90"/>
        <v>0</v>
      </c>
      <c r="O660" s="17">
        <f t="shared" si="95"/>
        <v>5663</v>
      </c>
      <c r="P660" s="17">
        <f t="shared" si="96"/>
        <v>0</v>
      </c>
      <c r="Q660" s="17">
        <f t="shared" si="93"/>
        <v>5663</v>
      </c>
    </row>
    <row r="661" spans="2:17" ht="12.75">
      <c r="B661" s="20">
        <f t="shared" si="97"/>
        <v>46</v>
      </c>
      <c r="C661" s="10"/>
      <c r="D661" s="10"/>
      <c r="E661" s="10"/>
      <c r="F661" s="30" t="s">
        <v>191</v>
      </c>
      <c r="G661" s="10">
        <v>640</v>
      </c>
      <c r="H661" s="10" t="s">
        <v>129</v>
      </c>
      <c r="I661" s="61">
        <f>8713-2053</f>
        <v>6660</v>
      </c>
      <c r="J661" s="61"/>
      <c r="K661" s="61">
        <f t="shared" si="89"/>
        <v>6660</v>
      </c>
      <c r="L661" s="61"/>
      <c r="M661" s="61"/>
      <c r="N661" s="61">
        <f t="shared" si="90"/>
        <v>0</v>
      </c>
      <c r="O661" s="61">
        <f t="shared" si="95"/>
        <v>6660</v>
      </c>
      <c r="P661" s="61">
        <f t="shared" si="96"/>
        <v>0</v>
      </c>
      <c r="Q661" s="61">
        <f t="shared" si="93"/>
        <v>6660</v>
      </c>
    </row>
    <row r="662" spans="2:17" ht="12.75">
      <c r="B662" s="20">
        <f t="shared" si="97"/>
        <v>47</v>
      </c>
      <c r="C662" s="9"/>
      <c r="D662" s="9"/>
      <c r="E662" s="9"/>
      <c r="F662" s="35"/>
      <c r="G662" s="9"/>
      <c r="H662" s="9" t="s">
        <v>76</v>
      </c>
      <c r="I662" s="96">
        <f>I671+I670+I665+I664+I663</f>
        <v>215203</v>
      </c>
      <c r="J662" s="96">
        <f>J671+J670+J665+J664+J663</f>
        <v>0</v>
      </c>
      <c r="K662" s="96">
        <f t="shared" si="89"/>
        <v>215203</v>
      </c>
      <c r="L662" s="96">
        <f>L671</f>
        <v>25000</v>
      </c>
      <c r="M662" s="96">
        <f>M671</f>
        <v>0</v>
      </c>
      <c r="N662" s="96">
        <f t="shared" si="90"/>
        <v>25000</v>
      </c>
      <c r="O662" s="96">
        <f t="shared" si="95"/>
        <v>240203</v>
      </c>
      <c r="P662" s="96">
        <f t="shared" si="96"/>
        <v>0</v>
      </c>
      <c r="Q662" s="96">
        <f t="shared" si="93"/>
        <v>240203</v>
      </c>
    </row>
    <row r="663" spans="2:17" ht="12.75">
      <c r="B663" s="20">
        <f t="shared" si="97"/>
        <v>48</v>
      </c>
      <c r="C663" s="10"/>
      <c r="D663" s="10"/>
      <c r="E663" s="10"/>
      <c r="F663" s="30" t="s">
        <v>191</v>
      </c>
      <c r="G663" s="10">
        <v>610</v>
      </c>
      <c r="H663" s="10" t="s">
        <v>131</v>
      </c>
      <c r="I663" s="61">
        <v>115854</v>
      </c>
      <c r="J663" s="61"/>
      <c r="K663" s="61">
        <f t="shared" si="89"/>
        <v>115854</v>
      </c>
      <c r="L663" s="61"/>
      <c r="M663" s="61"/>
      <c r="N663" s="61">
        <f t="shared" si="90"/>
        <v>0</v>
      </c>
      <c r="O663" s="61">
        <f t="shared" si="95"/>
        <v>115854</v>
      </c>
      <c r="P663" s="61">
        <f t="shared" si="96"/>
        <v>0</v>
      </c>
      <c r="Q663" s="61">
        <f t="shared" si="93"/>
        <v>115854</v>
      </c>
    </row>
    <row r="664" spans="2:17" ht="12.75">
      <c r="B664" s="20">
        <f t="shared" si="97"/>
        <v>49</v>
      </c>
      <c r="C664" s="10"/>
      <c r="D664" s="10"/>
      <c r="E664" s="10"/>
      <c r="F664" s="30" t="s">
        <v>191</v>
      </c>
      <c r="G664" s="10">
        <v>620</v>
      </c>
      <c r="H664" s="10" t="s">
        <v>124</v>
      </c>
      <c r="I664" s="61">
        <v>42699</v>
      </c>
      <c r="J664" s="61"/>
      <c r="K664" s="61">
        <f t="shared" si="89"/>
        <v>42699</v>
      </c>
      <c r="L664" s="61"/>
      <c r="M664" s="61"/>
      <c r="N664" s="61">
        <f t="shared" si="90"/>
        <v>0</v>
      </c>
      <c r="O664" s="61">
        <f t="shared" si="95"/>
        <v>42699</v>
      </c>
      <c r="P664" s="61">
        <f t="shared" si="96"/>
        <v>0</v>
      </c>
      <c r="Q664" s="61">
        <f t="shared" si="93"/>
        <v>42699</v>
      </c>
    </row>
    <row r="665" spans="2:17" ht="12.75">
      <c r="B665" s="20">
        <f t="shared" si="97"/>
        <v>50</v>
      </c>
      <c r="C665" s="10"/>
      <c r="D665" s="10"/>
      <c r="E665" s="10"/>
      <c r="F665" s="30" t="s">
        <v>191</v>
      </c>
      <c r="G665" s="10">
        <v>630</v>
      </c>
      <c r="H665" s="10" t="s">
        <v>121</v>
      </c>
      <c r="I665" s="61">
        <f>I669+I668+I667+I666</f>
        <v>56200</v>
      </c>
      <c r="J665" s="61">
        <f>J669+J668+J667+J666</f>
        <v>0</v>
      </c>
      <c r="K665" s="61">
        <f t="shared" si="89"/>
        <v>56200</v>
      </c>
      <c r="L665" s="61"/>
      <c r="M665" s="61"/>
      <c r="N665" s="61">
        <f t="shared" si="90"/>
        <v>0</v>
      </c>
      <c r="O665" s="61">
        <f t="shared" si="95"/>
        <v>56200</v>
      </c>
      <c r="P665" s="61">
        <f t="shared" si="96"/>
        <v>0</v>
      </c>
      <c r="Q665" s="61">
        <f t="shared" si="93"/>
        <v>56200</v>
      </c>
    </row>
    <row r="666" spans="2:17" ht="12.75">
      <c r="B666" s="20">
        <f t="shared" si="97"/>
        <v>51</v>
      </c>
      <c r="C666" s="4"/>
      <c r="D666" s="4"/>
      <c r="E666" s="4"/>
      <c r="F666" s="31" t="s">
        <v>191</v>
      </c>
      <c r="G666" s="4">
        <v>632</v>
      </c>
      <c r="H666" s="4" t="s">
        <v>134</v>
      </c>
      <c r="I666" s="17">
        <v>18320</v>
      </c>
      <c r="J666" s="17"/>
      <c r="K666" s="17">
        <f t="shared" si="89"/>
        <v>18320</v>
      </c>
      <c r="L666" s="17"/>
      <c r="M666" s="17"/>
      <c r="N666" s="17">
        <f t="shared" si="90"/>
        <v>0</v>
      </c>
      <c r="O666" s="17">
        <f t="shared" si="95"/>
        <v>18320</v>
      </c>
      <c r="P666" s="17">
        <f t="shared" si="96"/>
        <v>0</v>
      </c>
      <c r="Q666" s="17">
        <f t="shared" si="93"/>
        <v>18320</v>
      </c>
    </row>
    <row r="667" spans="2:17" ht="12.75">
      <c r="B667" s="20">
        <f t="shared" si="97"/>
        <v>52</v>
      </c>
      <c r="C667" s="4"/>
      <c r="D667" s="4"/>
      <c r="E667" s="4"/>
      <c r="F667" s="31" t="s">
        <v>191</v>
      </c>
      <c r="G667" s="4">
        <v>633</v>
      </c>
      <c r="H667" s="4" t="s">
        <v>125</v>
      </c>
      <c r="I667" s="17">
        <f>13318-81+1000</f>
        <v>14237</v>
      </c>
      <c r="J667" s="17">
        <v>-5200</v>
      </c>
      <c r="K667" s="17">
        <f t="shared" si="89"/>
        <v>9037</v>
      </c>
      <c r="L667" s="17"/>
      <c r="M667" s="17"/>
      <c r="N667" s="17">
        <f t="shared" si="90"/>
        <v>0</v>
      </c>
      <c r="O667" s="17">
        <f t="shared" si="95"/>
        <v>14237</v>
      </c>
      <c r="P667" s="17">
        <f t="shared" si="96"/>
        <v>-5200</v>
      </c>
      <c r="Q667" s="17">
        <f t="shared" si="93"/>
        <v>9037</v>
      </c>
    </row>
    <row r="668" spans="2:17" ht="12.75">
      <c r="B668" s="20">
        <f t="shared" si="97"/>
        <v>53</v>
      </c>
      <c r="C668" s="4"/>
      <c r="D668" s="4"/>
      <c r="E668" s="4"/>
      <c r="F668" s="31" t="s">
        <v>191</v>
      </c>
      <c r="G668" s="4">
        <v>635</v>
      </c>
      <c r="H668" s="4" t="s">
        <v>133</v>
      </c>
      <c r="I668" s="17">
        <v>20000</v>
      </c>
      <c r="J668" s="17">
        <v>5200</v>
      </c>
      <c r="K668" s="17">
        <f t="shared" si="89"/>
        <v>25200</v>
      </c>
      <c r="L668" s="17"/>
      <c r="M668" s="17"/>
      <c r="N668" s="17">
        <f t="shared" si="90"/>
        <v>0</v>
      </c>
      <c r="O668" s="17">
        <f t="shared" si="95"/>
        <v>20000</v>
      </c>
      <c r="P668" s="17">
        <f t="shared" si="96"/>
        <v>5200</v>
      </c>
      <c r="Q668" s="17">
        <f t="shared" si="93"/>
        <v>25200</v>
      </c>
    </row>
    <row r="669" spans="2:17" ht="12.75">
      <c r="B669" s="20">
        <f t="shared" si="97"/>
        <v>54</v>
      </c>
      <c r="C669" s="4"/>
      <c r="D669" s="4"/>
      <c r="E669" s="4"/>
      <c r="F669" s="31" t="s">
        <v>191</v>
      </c>
      <c r="G669" s="4">
        <v>637</v>
      </c>
      <c r="H669" s="4" t="s">
        <v>122</v>
      </c>
      <c r="I669" s="17">
        <v>3643</v>
      </c>
      <c r="J669" s="17"/>
      <c r="K669" s="17">
        <f t="shared" si="89"/>
        <v>3643</v>
      </c>
      <c r="L669" s="17"/>
      <c r="M669" s="17"/>
      <c r="N669" s="17">
        <f t="shared" si="90"/>
        <v>0</v>
      </c>
      <c r="O669" s="17">
        <f t="shared" si="95"/>
        <v>3643</v>
      </c>
      <c r="P669" s="17">
        <f t="shared" si="96"/>
        <v>0</v>
      </c>
      <c r="Q669" s="17">
        <f t="shared" si="93"/>
        <v>3643</v>
      </c>
    </row>
    <row r="670" spans="2:17" ht="12.75">
      <c r="B670" s="20">
        <f t="shared" si="97"/>
        <v>55</v>
      </c>
      <c r="C670" s="10"/>
      <c r="D670" s="10"/>
      <c r="E670" s="10"/>
      <c r="F670" s="30" t="s">
        <v>191</v>
      </c>
      <c r="G670" s="10">
        <v>640</v>
      </c>
      <c r="H670" s="10" t="s">
        <v>129</v>
      </c>
      <c r="I670" s="61">
        <v>450</v>
      </c>
      <c r="J670" s="61"/>
      <c r="K670" s="61">
        <f t="shared" si="89"/>
        <v>450</v>
      </c>
      <c r="L670" s="61"/>
      <c r="M670" s="61"/>
      <c r="N670" s="61">
        <f t="shared" si="90"/>
        <v>0</v>
      </c>
      <c r="O670" s="61">
        <f t="shared" si="95"/>
        <v>450</v>
      </c>
      <c r="P670" s="61">
        <f t="shared" si="96"/>
        <v>0</v>
      </c>
      <c r="Q670" s="61">
        <f t="shared" si="93"/>
        <v>450</v>
      </c>
    </row>
    <row r="671" spans="2:17" ht="12.75">
      <c r="B671" s="20">
        <f t="shared" si="97"/>
        <v>56</v>
      </c>
      <c r="C671" s="10"/>
      <c r="D671" s="10"/>
      <c r="E671" s="10"/>
      <c r="F671" s="30" t="s">
        <v>191</v>
      </c>
      <c r="G671" s="10">
        <v>710</v>
      </c>
      <c r="H671" s="10" t="s">
        <v>176</v>
      </c>
      <c r="I671" s="61"/>
      <c r="J671" s="61"/>
      <c r="K671" s="61">
        <f t="shared" si="89"/>
        <v>0</v>
      </c>
      <c r="L671" s="61">
        <f>L672</f>
        <v>25000</v>
      </c>
      <c r="M671" s="61">
        <f>M672</f>
        <v>0</v>
      </c>
      <c r="N671" s="61">
        <f t="shared" si="90"/>
        <v>25000</v>
      </c>
      <c r="O671" s="61">
        <f t="shared" si="95"/>
        <v>25000</v>
      </c>
      <c r="P671" s="61">
        <f t="shared" si="96"/>
        <v>0</v>
      </c>
      <c r="Q671" s="61">
        <f t="shared" si="93"/>
        <v>25000</v>
      </c>
    </row>
    <row r="672" spans="2:17" ht="12.75">
      <c r="B672" s="20">
        <f t="shared" si="97"/>
        <v>57</v>
      </c>
      <c r="C672" s="4"/>
      <c r="D672" s="4"/>
      <c r="E672" s="4"/>
      <c r="F672" s="31" t="s">
        <v>191</v>
      </c>
      <c r="G672" s="4">
        <v>717</v>
      </c>
      <c r="H672" s="4" t="s">
        <v>186</v>
      </c>
      <c r="I672" s="17"/>
      <c r="J672" s="17"/>
      <c r="K672" s="17">
        <f t="shared" si="89"/>
        <v>0</v>
      </c>
      <c r="L672" s="17">
        <f>SUM(L673:L673)</f>
        <v>25000</v>
      </c>
      <c r="M672" s="17">
        <f>SUM(M673:M673)</f>
        <v>0</v>
      </c>
      <c r="N672" s="17">
        <f t="shared" si="90"/>
        <v>25000</v>
      </c>
      <c r="O672" s="17">
        <f t="shared" si="95"/>
        <v>25000</v>
      </c>
      <c r="P672" s="17">
        <f t="shared" si="96"/>
        <v>0</v>
      </c>
      <c r="Q672" s="17">
        <f t="shared" si="93"/>
        <v>25000</v>
      </c>
    </row>
    <row r="673" spans="2:17" ht="12.75">
      <c r="B673" s="20">
        <f t="shared" si="97"/>
        <v>58</v>
      </c>
      <c r="C673" s="4"/>
      <c r="D673" s="4"/>
      <c r="E673" s="4"/>
      <c r="F673" s="31"/>
      <c r="G673" s="4"/>
      <c r="H673" s="5" t="s">
        <v>536</v>
      </c>
      <c r="I673" s="18"/>
      <c r="J673" s="18"/>
      <c r="K673" s="18">
        <f t="shared" si="89"/>
        <v>0</v>
      </c>
      <c r="L673" s="18">
        <v>25000</v>
      </c>
      <c r="M673" s="18"/>
      <c r="N673" s="18">
        <f t="shared" si="90"/>
        <v>25000</v>
      </c>
      <c r="O673" s="18">
        <f t="shared" si="95"/>
        <v>25000</v>
      </c>
      <c r="P673" s="18">
        <f t="shared" si="96"/>
        <v>0</v>
      </c>
      <c r="Q673" s="18">
        <f t="shared" si="93"/>
        <v>25000</v>
      </c>
    </row>
    <row r="674" spans="2:17" ht="12.75">
      <c r="B674" s="20">
        <f t="shared" si="97"/>
        <v>59</v>
      </c>
      <c r="C674" s="9"/>
      <c r="D674" s="9"/>
      <c r="E674" s="9"/>
      <c r="F674" s="35"/>
      <c r="G674" s="9"/>
      <c r="H674" s="9" t="s">
        <v>100</v>
      </c>
      <c r="I674" s="96">
        <f>I675+I676+I677+I683</f>
        <v>242191</v>
      </c>
      <c r="J674" s="96">
        <f>J675+J676+J677+J683</f>
        <v>0</v>
      </c>
      <c r="K674" s="96">
        <f t="shared" si="89"/>
        <v>242191</v>
      </c>
      <c r="L674" s="96"/>
      <c r="M674" s="96"/>
      <c r="N674" s="96">
        <f t="shared" si="90"/>
        <v>0</v>
      </c>
      <c r="O674" s="96">
        <f t="shared" si="95"/>
        <v>242191</v>
      </c>
      <c r="P674" s="96">
        <f t="shared" si="96"/>
        <v>0</v>
      </c>
      <c r="Q674" s="96">
        <f t="shared" si="93"/>
        <v>242191</v>
      </c>
    </row>
    <row r="675" spans="2:17" ht="12.75">
      <c r="B675" s="20">
        <f t="shared" si="97"/>
        <v>60</v>
      </c>
      <c r="C675" s="10"/>
      <c r="D675" s="10"/>
      <c r="E675" s="10"/>
      <c r="F675" s="30" t="s">
        <v>191</v>
      </c>
      <c r="G675" s="10">
        <v>610</v>
      </c>
      <c r="H675" s="10" t="s">
        <v>131</v>
      </c>
      <c r="I675" s="61">
        <v>129536</v>
      </c>
      <c r="J675" s="61"/>
      <c r="K675" s="61">
        <f t="shared" si="89"/>
        <v>129536</v>
      </c>
      <c r="L675" s="61"/>
      <c r="M675" s="61"/>
      <c r="N675" s="61">
        <f t="shared" si="90"/>
        <v>0</v>
      </c>
      <c r="O675" s="61">
        <f t="shared" si="95"/>
        <v>129536</v>
      </c>
      <c r="P675" s="61">
        <f t="shared" si="96"/>
        <v>0</v>
      </c>
      <c r="Q675" s="61">
        <f t="shared" si="93"/>
        <v>129536</v>
      </c>
    </row>
    <row r="676" spans="2:17" ht="12.75">
      <c r="B676" s="20">
        <f t="shared" si="97"/>
        <v>61</v>
      </c>
      <c r="C676" s="10"/>
      <c r="D676" s="10"/>
      <c r="E676" s="10"/>
      <c r="F676" s="30" t="s">
        <v>191</v>
      </c>
      <c r="G676" s="10">
        <v>620</v>
      </c>
      <c r="H676" s="10" t="s">
        <v>124</v>
      </c>
      <c r="I676" s="61">
        <v>47905</v>
      </c>
      <c r="J676" s="61"/>
      <c r="K676" s="61">
        <f t="shared" si="89"/>
        <v>47905</v>
      </c>
      <c r="L676" s="61"/>
      <c r="M676" s="61"/>
      <c r="N676" s="61">
        <f t="shared" si="90"/>
        <v>0</v>
      </c>
      <c r="O676" s="61">
        <f t="shared" si="95"/>
        <v>47905</v>
      </c>
      <c r="P676" s="61">
        <f t="shared" si="96"/>
        <v>0</v>
      </c>
      <c r="Q676" s="61">
        <f t="shared" si="93"/>
        <v>47905</v>
      </c>
    </row>
    <row r="677" spans="2:17" ht="12.75">
      <c r="B677" s="20">
        <f t="shared" si="97"/>
        <v>62</v>
      </c>
      <c r="C677" s="10"/>
      <c r="D677" s="10"/>
      <c r="E677" s="10"/>
      <c r="F677" s="30" t="s">
        <v>191</v>
      </c>
      <c r="G677" s="10">
        <v>630</v>
      </c>
      <c r="H677" s="10" t="s">
        <v>121</v>
      </c>
      <c r="I677" s="61">
        <f>I682+I681+I680+I679+I678</f>
        <v>64300</v>
      </c>
      <c r="J677" s="61">
        <f>J682+J681+J680+J679+J678</f>
        <v>0</v>
      </c>
      <c r="K677" s="61">
        <f t="shared" si="89"/>
        <v>64300</v>
      </c>
      <c r="L677" s="61"/>
      <c r="M677" s="61"/>
      <c r="N677" s="61">
        <f t="shared" si="90"/>
        <v>0</v>
      </c>
      <c r="O677" s="61">
        <f t="shared" si="95"/>
        <v>64300</v>
      </c>
      <c r="P677" s="61">
        <f t="shared" si="96"/>
        <v>0</v>
      </c>
      <c r="Q677" s="61">
        <f t="shared" si="93"/>
        <v>64300</v>
      </c>
    </row>
    <row r="678" spans="2:17" ht="12.75">
      <c r="B678" s="20">
        <f t="shared" si="97"/>
        <v>63</v>
      </c>
      <c r="C678" s="4"/>
      <c r="D678" s="4"/>
      <c r="E678" s="4"/>
      <c r="F678" s="31" t="s">
        <v>191</v>
      </c>
      <c r="G678" s="4">
        <v>631</v>
      </c>
      <c r="H678" s="4" t="s">
        <v>127</v>
      </c>
      <c r="I678" s="17">
        <v>50</v>
      </c>
      <c r="J678" s="17"/>
      <c r="K678" s="17">
        <f t="shared" si="89"/>
        <v>50</v>
      </c>
      <c r="L678" s="17"/>
      <c r="M678" s="17"/>
      <c r="N678" s="17">
        <f t="shared" si="90"/>
        <v>0</v>
      </c>
      <c r="O678" s="17">
        <f t="shared" si="95"/>
        <v>50</v>
      </c>
      <c r="P678" s="17">
        <f t="shared" si="96"/>
        <v>0</v>
      </c>
      <c r="Q678" s="17">
        <f t="shared" si="93"/>
        <v>50</v>
      </c>
    </row>
    <row r="679" spans="2:17" ht="12.75">
      <c r="B679" s="20">
        <f t="shared" si="97"/>
        <v>64</v>
      </c>
      <c r="C679" s="4"/>
      <c r="D679" s="4"/>
      <c r="E679" s="4"/>
      <c r="F679" s="31" t="s">
        <v>191</v>
      </c>
      <c r="G679" s="4">
        <v>632</v>
      </c>
      <c r="H679" s="4" t="s">
        <v>134</v>
      </c>
      <c r="I679" s="17">
        <v>29840</v>
      </c>
      <c r="J679" s="17"/>
      <c r="K679" s="17">
        <f t="shared" si="89"/>
        <v>29840</v>
      </c>
      <c r="L679" s="17"/>
      <c r="M679" s="17"/>
      <c r="N679" s="17">
        <f t="shared" si="90"/>
        <v>0</v>
      </c>
      <c r="O679" s="17">
        <f t="shared" si="95"/>
        <v>29840</v>
      </c>
      <c r="P679" s="17">
        <f t="shared" si="96"/>
        <v>0</v>
      </c>
      <c r="Q679" s="17">
        <f t="shared" si="93"/>
        <v>29840</v>
      </c>
    </row>
    <row r="680" spans="2:17" ht="12.75">
      <c r="B680" s="20">
        <f t="shared" si="97"/>
        <v>65</v>
      </c>
      <c r="C680" s="4"/>
      <c r="D680" s="4"/>
      <c r="E680" s="4"/>
      <c r="F680" s="31" t="s">
        <v>191</v>
      </c>
      <c r="G680" s="4">
        <v>633</v>
      </c>
      <c r="H680" s="4" t="s">
        <v>125</v>
      </c>
      <c r="I680" s="17">
        <f>12364+103</f>
        <v>12467</v>
      </c>
      <c r="J680" s="17"/>
      <c r="K680" s="17">
        <f aca="true" t="shared" si="98" ref="K680:K743">J680+I680</f>
        <v>12467</v>
      </c>
      <c r="L680" s="17"/>
      <c r="M680" s="17"/>
      <c r="N680" s="17">
        <f aca="true" t="shared" si="99" ref="N680:N743">M680+L680</f>
        <v>0</v>
      </c>
      <c r="O680" s="17">
        <f t="shared" si="95"/>
        <v>12467</v>
      </c>
      <c r="P680" s="17">
        <f t="shared" si="96"/>
        <v>0</v>
      </c>
      <c r="Q680" s="17">
        <f aca="true" t="shared" si="100" ref="Q680:Q743">O680+P680</f>
        <v>12467</v>
      </c>
    </row>
    <row r="681" spans="2:17" ht="12.75">
      <c r="B681" s="20">
        <f aca="true" t="shared" si="101" ref="B681:B712">B680+1</f>
        <v>66</v>
      </c>
      <c r="C681" s="4"/>
      <c r="D681" s="4"/>
      <c r="E681" s="4"/>
      <c r="F681" s="31" t="s">
        <v>191</v>
      </c>
      <c r="G681" s="4">
        <v>635</v>
      </c>
      <c r="H681" s="4" t="s">
        <v>133</v>
      </c>
      <c r="I681" s="17">
        <f>12200+5500</f>
        <v>17700</v>
      </c>
      <c r="J681" s="17"/>
      <c r="K681" s="17">
        <f t="shared" si="98"/>
        <v>17700</v>
      </c>
      <c r="L681" s="17"/>
      <c r="M681" s="17"/>
      <c r="N681" s="17">
        <f t="shared" si="99"/>
        <v>0</v>
      </c>
      <c r="O681" s="17">
        <f t="shared" si="95"/>
        <v>17700</v>
      </c>
      <c r="P681" s="17">
        <f t="shared" si="96"/>
        <v>0</v>
      </c>
      <c r="Q681" s="17">
        <f t="shared" si="100"/>
        <v>17700</v>
      </c>
    </row>
    <row r="682" spans="2:17" ht="12.75">
      <c r="B682" s="20">
        <f t="shared" si="101"/>
        <v>67</v>
      </c>
      <c r="C682" s="4"/>
      <c r="D682" s="4"/>
      <c r="E682" s="4"/>
      <c r="F682" s="31" t="s">
        <v>191</v>
      </c>
      <c r="G682" s="4">
        <v>637</v>
      </c>
      <c r="H682" s="4" t="s">
        <v>122</v>
      </c>
      <c r="I682" s="17">
        <v>4243</v>
      </c>
      <c r="J682" s="17"/>
      <c r="K682" s="17">
        <f t="shared" si="98"/>
        <v>4243</v>
      </c>
      <c r="L682" s="17"/>
      <c r="M682" s="17"/>
      <c r="N682" s="17">
        <f t="shared" si="99"/>
        <v>0</v>
      </c>
      <c r="O682" s="17">
        <f t="shared" si="95"/>
        <v>4243</v>
      </c>
      <c r="P682" s="17">
        <f t="shared" si="96"/>
        <v>0</v>
      </c>
      <c r="Q682" s="17">
        <f t="shared" si="100"/>
        <v>4243</v>
      </c>
    </row>
    <row r="683" spans="2:17" ht="12.75">
      <c r="B683" s="20">
        <f t="shared" si="101"/>
        <v>68</v>
      </c>
      <c r="C683" s="10"/>
      <c r="D683" s="10"/>
      <c r="E683" s="10"/>
      <c r="F683" s="30" t="s">
        <v>191</v>
      </c>
      <c r="G683" s="10">
        <v>640</v>
      </c>
      <c r="H683" s="10" t="s">
        <v>129</v>
      </c>
      <c r="I683" s="61">
        <v>450</v>
      </c>
      <c r="J683" s="61"/>
      <c r="K683" s="61">
        <f t="shared" si="98"/>
        <v>450</v>
      </c>
      <c r="L683" s="61"/>
      <c r="M683" s="61"/>
      <c r="N683" s="61">
        <f t="shared" si="99"/>
        <v>0</v>
      </c>
      <c r="O683" s="61">
        <f t="shared" si="95"/>
        <v>450</v>
      </c>
      <c r="P683" s="61">
        <f t="shared" si="96"/>
        <v>0</v>
      </c>
      <c r="Q683" s="61">
        <f t="shared" si="100"/>
        <v>450</v>
      </c>
    </row>
    <row r="684" spans="2:17" ht="12.75">
      <c r="B684" s="20">
        <f t="shared" si="101"/>
        <v>69</v>
      </c>
      <c r="C684" s="9"/>
      <c r="D684" s="9"/>
      <c r="E684" s="9"/>
      <c r="F684" s="35"/>
      <c r="G684" s="9"/>
      <c r="H684" s="9" t="s">
        <v>101</v>
      </c>
      <c r="I684" s="96">
        <f>I693+I692+I687+I686+I685</f>
        <v>249741</v>
      </c>
      <c r="J684" s="96">
        <f>J693+J692+J687+J686+J685</f>
        <v>0</v>
      </c>
      <c r="K684" s="96">
        <f t="shared" si="98"/>
        <v>249741</v>
      </c>
      <c r="L684" s="96">
        <f>L693</f>
        <v>53400</v>
      </c>
      <c r="M684" s="96">
        <f>M693</f>
        <v>0</v>
      </c>
      <c r="N684" s="96">
        <f t="shared" si="99"/>
        <v>53400</v>
      </c>
      <c r="O684" s="96">
        <f t="shared" si="95"/>
        <v>303141</v>
      </c>
      <c r="P684" s="96">
        <f t="shared" si="96"/>
        <v>0</v>
      </c>
      <c r="Q684" s="96">
        <f t="shared" si="100"/>
        <v>303141</v>
      </c>
    </row>
    <row r="685" spans="2:17" ht="12.75">
      <c r="B685" s="20">
        <f t="shared" si="101"/>
        <v>70</v>
      </c>
      <c r="C685" s="10"/>
      <c r="D685" s="10"/>
      <c r="E685" s="10"/>
      <c r="F685" s="30" t="s">
        <v>191</v>
      </c>
      <c r="G685" s="10">
        <v>610</v>
      </c>
      <c r="H685" s="10" t="s">
        <v>131</v>
      </c>
      <c r="I685" s="61">
        <v>139192</v>
      </c>
      <c r="J685" s="61"/>
      <c r="K685" s="61">
        <f t="shared" si="98"/>
        <v>139192</v>
      </c>
      <c r="L685" s="61"/>
      <c r="M685" s="61"/>
      <c r="N685" s="61">
        <f t="shared" si="99"/>
        <v>0</v>
      </c>
      <c r="O685" s="61">
        <f t="shared" si="95"/>
        <v>139192</v>
      </c>
      <c r="P685" s="61">
        <f t="shared" si="96"/>
        <v>0</v>
      </c>
      <c r="Q685" s="61">
        <f t="shared" si="100"/>
        <v>139192</v>
      </c>
    </row>
    <row r="686" spans="2:17" ht="12.75">
      <c r="B686" s="20">
        <f t="shared" si="101"/>
        <v>71</v>
      </c>
      <c r="C686" s="10"/>
      <c r="D686" s="10"/>
      <c r="E686" s="10"/>
      <c r="F686" s="30" t="s">
        <v>191</v>
      </c>
      <c r="G686" s="10">
        <v>620</v>
      </c>
      <c r="H686" s="10" t="s">
        <v>124</v>
      </c>
      <c r="I686" s="61">
        <v>50994</v>
      </c>
      <c r="J686" s="61"/>
      <c r="K686" s="61">
        <f t="shared" si="98"/>
        <v>50994</v>
      </c>
      <c r="L686" s="61"/>
      <c r="M686" s="61"/>
      <c r="N686" s="61">
        <f t="shared" si="99"/>
        <v>0</v>
      </c>
      <c r="O686" s="61">
        <f t="shared" si="95"/>
        <v>50994</v>
      </c>
      <c r="P686" s="61">
        <f t="shared" si="96"/>
        <v>0</v>
      </c>
      <c r="Q686" s="61">
        <f t="shared" si="100"/>
        <v>50994</v>
      </c>
    </row>
    <row r="687" spans="2:17" ht="12.75">
      <c r="B687" s="20">
        <f t="shared" si="101"/>
        <v>72</v>
      </c>
      <c r="C687" s="10"/>
      <c r="D687" s="10"/>
      <c r="E687" s="10"/>
      <c r="F687" s="30" t="s">
        <v>191</v>
      </c>
      <c r="G687" s="10">
        <v>630</v>
      </c>
      <c r="H687" s="10" t="s">
        <v>121</v>
      </c>
      <c r="I687" s="61">
        <f>I691+I690+I689+I688</f>
        <v>59105</v>
      </c>
      <c r="J687" s="61">
        <f>J691+J690+J689+J688</f>
        <v>0</v>
      </c>
      <c r="K687" s="61">
        <f t="shared" si="98"/>
        <v>59105</v>
      </c>
      <c r="L687" s="61"/>
      <c r="M687" s="61"/>
      <c r="N687" s="61">
        <f t="shared" si="99"/>
        <v>0</v>
      </c>
      <c r="O687" s="61">
        <f t="shared" si="95"/>
        <v>59105</v>
      </c>
      <c r="P687" s="61">
        <f t="shared" si="96"/>
        <v>0</v>
      </c>
      <c r="Q687" s="61">
        <f t="shared" si="100"/>
        <v>59105</v>
      </c>
    </row>
    <row r="688" spans="2:17" ht="12.75">
      <c r="B688" s="20">
        <f t="shared" si="101"/>
        <v>73</v>
      </c>
      <c r="C688" s="4"/>
      <c r="D688" s="4"/>
      <c r="E688" s="4"/>
      <c r="F688" s="31" t="s">
        <v>191</v>
      </c>
      <c r="G688" s="4">
        <v>632</v>
      </c>
      <c r="H688" s="4" t="s">
        <v>134</v>
      </c>
      <c r="I688" s="17">
        <v>29080</v>
      </c>
      <c r="J688" s="17"/>
      <c r="K688" s="17">
        <f t="shared" si="98"/>
        <v>29080</v>
      </c>
      <c r="L688" s="17"/>
      <c r="M688" s="17"/>
      <c r="N688" s="17">
        <f t="shared" si="99"/>
        <v>0</v>
      </c>
      <c r="O688" s="17">
        <f t="shared" si="95"/>
        <v>29080</v>
      </c>
      <c r="P688" s="17">
        <f t="shared" si="96"/>
        <v>0</v>
      </c>
      <c r="Q688" s="17">
        <f t="shared" si="100"/>
        <v>29080</v>
      </c>
    </row>
    <row r="689" spans="2:17" ht="12.75">
      <c r="B689" s="20">
        <f t="shared" si="101"/>
        <v>74</v>
      </c>
      <c r="C689" s="4"/>
      <c r="D689" s="4"/>
      <c r="E689" s="4"/>
      <c r="F689" s="31" t="s">
        <v>191</v>
      </c>
      <c r="G689" s="4">
        <v>633</v>
      </c>
      <c r="H689" s="4" t="s">
        <v>125</v>
      </c>
      <c r="I689" s="17">
        <f>15699-66-6400</f>
        <v>9233</v>
      </c>
      <c r="J689" s="17"/>
      <c r="K689" s="17">
        <f t="shared" si="98"/>
        <v>9233</v>
      </c>
      <c r="L689" s="17"/>
      <c r="M689" s="17"/>
      <c r="N689" s="17">
        <f t="shared" si="99"/>
        <v>0</v>
      </c>
      <c r="O689" s="17">
        <f t="shared" si="95"/>
        <v>9233</v>
      </c>
      <c r="P689" s="17">
        <f t="shared" si="96"/>
        <v>0</v>
      </c>
      <c r="Q689" s="17">
        <f t="shared" si="100"/>
        <v>9233</v>
      </c>
    </row>
    <row r="690" spans="2:17" ht="12.75">
      <c r="B690" s="20">
        <f t="shared" si="101"/>
        <v>75</v>
      </c>
      <c r="C690" s="4"/>
      <c r="D690" s="4"/>
      <c r="E690" s="4"/>
      <c r="F690" s="31" t="s">
        <v>191</v>
      </c>
      <c r="G690" s="4">
        <v>635</v>
      </c>
      <c r="H690" s="4" t="s">
        <v>133</v>
      </c>
      <c r="I690" s="17">
        <f>9700+6400</f>
        <v>16100</v>
      </c>
      <c r="J690" s="17"/>
      <c r="K690" s="17">
        <f t="shared" si="98"/>
        <v>16100</v>
      </c>
      <c r="L690" s="17"/>
      <c r="M690" s="17"/>
      <c r="N690" s="17">
        <f t="shared" si="99"/>
        <v>0</v>
      </c>
      <c r="O690" s="17">
        <f t="shared" si="95"/>
        <v>16100</v>
      </c>
      <c r="P690" s="17">
        <f t="shared" si="96"/>
        <v>0</v>
      </c>
      <c r="Q690" s="17">
        <f t="shared" si="100"/>
        <v>16100</v>
      </c>
    </row>
    <row r="691" spans="2:17" ht="12.75">
      <c r="B691" s="20">
        <f t="shared" si="101"/>
        <v>76</v>
      </c>
      <c r="C691" s="4"/>
      <c r="D691" s="4"/>
      <c r="E691" s="4"/>
      <c r="F691" s="31" t="s">
        <v>191</v>
      </c>
      <c r="G691" s="4">
        <v>637</v>
      </c>
      <c r="H691" s="4" t="s">
        <v>122</v>
      </c>
      <c r="I691" s="17">
        <v>4692</v>
      </c>
      <c r="J691" s="17"/>
      <c r="K691" s="17">
        <f t="shared" si="98"/>
        <v>4692</v>
      </c>
      <c r="L691" s="17"/>
      <c r="M691" s="17"/>
      <c r="N691" s="17">
        <f t="shared" si="99"/>
        <v>0</v>
      </c>
      <c r="O691" s="17">
        <f t="shared" si="95"/>
        <v>4692</v>
      </c>
      <c r="P691" s="17">
        <f t="shared" si="96"/>
        <v>0</v>
      </c>
      <c r="Q691" s="17">
        <f t="shared" si="100"/>
        <v>4692</v>
      </c>
    </row>
    <row r="692" spans="2:17" ht="12.75">
      <c r="B692" s="20">
        <f t="shared" si="101"/>
        <v>77</v>
      </c>
      <c r="C692" s="10"/>
      <c r="D692" s="10"/>
      <c r="E692" s="10"/>
      <c r="F692" s="30" t="s">
        <v>191</v>
      </c>
      <c r="G692" s="10">
        <v>640</v>
      </c>
      <c r="H692" s="10" t="s">
        <v>129</v>
      </c>
      <c r="I692" s="61">
        <v>450</v>
      </c>
      <c r="J692" s="61"/>
      <c r="K692" s="61">
        <f t="shared" si="98"/>
        <v>450</v>
      </c>
      <c r="L692" s="61"/>
      <c r="M692" s="61"/>
      <c r="N692" s="61">
        <f t="shared" si="99"/>
        <v>0</v>
      </c>
      <c r="O692" s="61">
        <f t="shared" si="95"/>
        <v>450</v>
      </c>
      <c r="P692" s="61">
        <f t="shared" si="96"/>
        <v>0</v>
      </c>
      <c r="Q692" s="61">
        <f t="shared" si="100"/>
        <v>450</v>
      </c>
    </row>
    <row r="693" spans="2:17" ht="12.75">
      <c r="B693" s="20">
        <f t="shared" si="101"/>
        <v>78</v>
      </c>
      <c r="C693" s="10"/>
      <c r="D693" s="10"/>
      <c r="E693" s="10"/>
      <c r="F693" s="30" t="s">
        <v>191</v>
      </c>
      <c r="G693" s="10">
        <v>710</v>
      </c>
      <c r="H693" s="10" t="s">
        <v>176</v>
      </c>
      <c r="I693" s="61"/>
      <c r="J693" s="61"/>
      <c r="K693" s="61">
        <f t="shared" si="98"/>
        <v>0</v>
      </c>
      <c r="L693" s="61">
        <f>L694</f>
        <v>53400</v>
      </c>
      <c r="M693" s="61">
        <f>M694</f>
        <v>0</v>
      </c>
      <c r="N693" s="61">
        <f t="shared" si="99"/>
        <v>53400</v>
      </c>
      <c r="O693" s="61">
        <f t="shared" si="95"/>
        <v>53400</v>
      </c>
      <c r="P693" s="61">
        <f t="shared" si="96"/>
        <v>0</v>
      </c>
      <c r="Q693" s="61">
        <f t="shared" si="100"/>
        <v>53400</v>
      </c>
    </row>
    <row r="694" spans="2:17" ht="12.75">
      <c r="B694" s="20">
        <f t="shared" si="101"/>
        <v>79</v>
      </c>
      <c r="C694" s="4"/>
      <c r="D694" s="4"/>
      <c r="E694" s="4"/>
      <c r="F694" s="31" t="s">
        <v>191</v>
      </c>
      <c r="G694" s="4">
        <v>717</v>
      </c>
      <c r="H694" s="4" t="s">
        <v>186</v>
      </c>
      <c r="I694" s="17"/>
      <c r="J694" s="17"/>
      <c r="K694" s="17">
        <f t="shared" si="98"/>
        <v>0</v>
      </c>
      <c r="L694" s="17">
        <f>L695</f>
        <v>53400</v>
      </c>
      <c r="M694" s="17">
        <f>M695</f>
        <v>0</v>
      </c>
      <c r="N694" s="17">
        <f t="shared" si="99"/>
        <v>53400</v>
      </c>
      <c r="O694" s="17">
        <f t="shared" si="95"/>
        <v>53400</v>
      </c>
      <c r="P694" s="17">
        <f t="shared" si="96"/>
        <v>0</v>
      </c>
      <c r="Q694" s="17">
        <f t="shared" si="100"/>
        <v>53400</v>
      </c>
    </row>
    <row r="695" spans="2:17" ht="12.75">
      <c r="B695" s="20">
        <f t="shared" si="101"/>
        <v>80</v>
      </c>
      <c r="C695" s="4"/>
      <c r="D695" s="4"/>
      <c r="E695" s="4"/>
      <c r="F695" s="31"/>
      <c r="G695" s="4"/>
      <c r="H695" s="5" t="s">
        <v>484</v>
      </c>
      <c r="I695" s="18"/>
      <c r="J695" s="18"/>
      <c r="K695" s="18">
        <f t="shared" si="98"/>
        <v>0</v>
      </c>
      <c r="L695" s="18">
        <f>30000+21000+2400</f>
        <v>53400</v>
      </c>
      <c r="M695" s="18"/>
      <c r="N695" s="18">
        <f t="shared" si="99"/>
        <v>53400</v>
      </c>
      <c r="O695" s="18">
        <f t="shared" si="95"/>
        <v>53400</v>
      </c>
      <c r="P695" s="18">
        <f t="shared" si="96"/>
        <v>0</v>
      </c>
      <c r="Q695" s="18">
        <f t="shared" si="100"/>
        <v>53400</v>
      </c>
    </row>
    <row r="696" spans="2:17" ht="12.75">
      <c r="B696" s="20">
        <f t="shared" si="101"/>
        <v>81</v>
      </c>
      <c r="C696" s="9"/>
      <c r="D696" s="9"/>
      <c r="E696" s="9"/>
      <c r="F696" s="35"/>
      <c r="G696" s="9"/>
      <c r="H696" s="9" t="s">
        <v>95</v>
      </c>
      <c r="I696" s="96">
        <f>I705+I699+I698+I697</f>
        <v>363581</v>
      </c>
      <c r="J696" s="96">
        <f>J705+J699+J698+J697</f>
        <v>0</v>
      </c>
      <c r="K696" s="96">
        <f t="shared" si="98"/>
        <v>363581</v>
      </c>
      <c r="L696" s="96"/>
      <c r="M696" s="96"/>
      <c r="N696" s="96">
        <f t="shared" si="99"/>
        <v>0</v>
      </c>
      <c r="O696" s="96">
        <f t="shared" si="95"/>
        <v>363581</v>
      </c>
      <c r="P696" s="96">
        <f t="shared" si="96"/>
        <v>0</v>
      </c>
      <c r="Q696" s="96">
        <f t="shared" si="100"/>
        <v>363581</v>
      </c>
    </row>
    <row r="697" spans="2:17" ht="12.75">
      <c r="B697" s="20">
        <f t="shared" si="101"/>
        <v>82</v>
      </c>
      <c r="C697" s="10"/>
      <c r="D697" s="10"/>
      <c r="E697" s="10"/>
      <c r="F697" s="30" t="s">
        <v>191</v>
      </c>
      <c r="G697" s="10">
        <v>610</v>
      </c>
      <c r="H697" s="10" t="s">
        <v>131</v>
      </c>
      <c r="I697" s="61">
        <v>207208</v>
      </c>
      <c r="J697" s="61"/>
      <c r="K697" s="61">
        <f t="shared" si="98"/>
        <v>207208</v>
      </c>
      <c r="L697" s="61"/>
      <c r="M697" s="61"/>
      <c r="N697" s="61">
        <f t="shared" si="99"/>
        <v>0</v>
      </c>
      <c r="O697" s="61">
        <f t="shared" si="95"/>
        <v>207208</v>
      </c>
      <c r="P697" s="61">
        <f t="shared" si="96"/>
        <v>0</v>
      </c>
      <c r="Q697" s="61">
        <f t="shared" si="100"/>
        <v>207208</v>
      </c>
    </row>
    <row r="698" spans="2:17" ht="12.75">
      <c r="B698" s="20">
        <f t="shared" si="101"/>
        <v>83</v>
      </c>
      <c r="C698" s="10"/>
      <c r="D698" s="10"/>
      <c r="E698" s="10"/>
      <c r="F698" s="30" t="s">
        <v>191</v>
      </c>
      <c r="G698" s="10">
        <v>620</v>
      </c>
      <c r="H698" s="10" t="s">
        <v>124</v>
      </c>
      <c r="I698" s="61">
        <v>75197</v>
      </c>
      <c r="J698" s="61"/>
      <c r="K698" s="61">
        <f t="shared" si="98"/>
        <v>75197</v>
      </c>
      <c r="L698" s="61"/>
      <c r="M698" s="61"/>
      <c r="N698" s="61">
        <f t="shared" si="99"/>
        <v>0</v>
      </c>
      <c r="O698" s="61">
        <f t="shared" si="95"/>
        <v>75197</v>
      </c>
      <c r="P698" s="61">
        <f t="shared" si="96"/>
        <v>0</v>
      </c>
      <c r="Q698" s="61">
        <f t="shared" si="100"/>
        <v>75197</v>
      </c>
    </row>
    <row r="699" spans="2:17" ht="12.75">
      <c r="B699" s="20">
        <f t="shared" si="101"/>
        <v>84</v>
      </c>
      <c r="C699" s="10"/>
      <c r="D699" s="10"/>
      <c r="E699" s="10"/>
      <c r="F699" s="30" t="s">
        <v>191</v>
      </c>
      <c r="G699" s="10">
        <v>630</v>
      </c>
      <c r="H699" s="10" t="s">
        <v>121</v>
      </c>
      <c r="I699" s="61">
        <f>I704+I703+I702+I701+I700</f>
        <v>77300</v>
      </c>
      <c r="J699" s="61">
        <f>J704+J703+J702+J701+J700</f>
        <v>0</v>
      </c>
      <c r="K699" s="61">
        <f t="shared" si="98"/>
        <v>77300</v>
      </c>
      <c r="L699" s="61"/>
      <c r="M699" s="61"/>
      <c r="N699" s="61">
        <f t="shared" si="99"/>
        <v>0</v>
      </c>
      <c r="O699" s="61">
        <f t="shared" si="95"/>
        <v>77300</v>
      </c>
      <c r="P699" s="61">
        <f t="shared" si="96"/>
        <v>0</v>
      </c>
      <c r="Q699" s="61">
        <f t="shared" si="100"/>
        <v>77300</v>
      </c>
    </row>
    <row r="700" spans="2:17" ht="12.75">
      <c r="B700" s="20">
        <f t="shared" si="101"/>
        <v>85</v>
      </c>
      <c r="C700" s="4"/>
      <c r="D700" s="4"/>
      <c r="E700" s="4"/>
      <c r="F700" s="31" t="s">
        <v>191</v>
      </c>
      <c r="G700" s="4">
        <v>632</v>
      </c>
      <c r="H700" s="4" t="s">
        <v>134</v>
      </c>
      <c r="I700" s="17">
        <v>35790</v>
      </c>
      <c r="J700" s="17"/>
      <c r="K700" s="17">
        <f t="shared" si="98"/>
        <v>35790</v>
      </c>
      <c r="L700" s="17"/>
      <c r="M700" s="17"/>
      <c r="N700" s="17">
        <f t="shared" si="99"/>
        <v>0</v>
      </c>
      <c r="O700" s="17">
        <f t="shared" si="95"/>
        <v>35790</v>
      </c>
      <c r="P700" s="17">
        <f t="shared" si="96"/>
        <v>0</v>
      </c>
      <c r="Q700" s="17">
        <f t="shared" si="100"/>
        <v>35790</v>
      </c>
    </row>
    <row r="701" spans="2:17" ht="12.75">
      <c r="B701" s="20">
        <f t="shared" si="101"/>
        <v>86</v>
      </c>
      <c r="C701" s="4"/>
      <c r="D701" s="4"/>
      <c r="E701" s="4"/>
      <c r="F701" s="31" t="s">
        <v>191</v>
      </c>
      <c r="G701" s="4">
        <v>633</v>
      </c>
      <c r="H701" s="4" t="s">
        <v>125</v>
      </c>
      <c r="I701" s="17">
        <f>17397+164+1000</f>
        <v>18561</v>
      </c>
      <c r="J701" s="17">
        <v>-2000</v>
      </c>
      <c r="K701" s="17">
        <f t="shared" si="98"/>
        <v>16561</v>
      </c>
      <c r="L701" s="17"/>
      <c r="M701" s="17"/>
      <c r="N701" s="17">
        <f t="shared" si="99"/>
        <v>0</v>
      </c>
      <c r="O701" s="17">
        <f t="shared" si="95"/>
        <v>18561</v>
      </c>
      <c r="P701" s="17">
        <f t="shared" si="96"/>
        <v>-2000</v>
      </c>
      <c r="Q701" s="17">
        <f t="shared" si="100"/>
        <v>16561</v>
      </c>
    </row>
    <row r="702" spans="2:17" ht="12.75">
      <c r="B702" s="20">
        <f t="shared" si="101"/>
        <v>87</v>
      </c>
      <c r="C702" s="4"/>
      <c r="D702" s="4"/>
      <c r="E702" s="4"/>
      <c r="F702" s="31" t="s">
        <v>191</v>
      </c>
      <c r="G702" s="4">
        <v>635</v>
      </c>
      <c r="H702" s="4" t="s">
        <v>133</v>
      </c>
      <c r="I702" s="17">
        <v>15000</v>
      </c>
      <c r="J702" s="17">
        <v>2000</v>
      </c>
      <c r="K702" s="17">
        <f t="shared" si="98"/>
        <v>17000</v>
      </c>
      <c r="L702" s="17"/>
      <c r="M702" s="17"/>
      <c r="N702" s="17">
        <f t="shared" si="99"/>
        <v>0</v>
      </c>
      <c r="O702" s="17">
        <f t="shared" si="95"/>
        <v>15000</v>
      </c>
      <c r="P702" s="17">
        <f t="shared" si="96"/>
        <v>2000</v>
      </c>
      <c r="Q702" s="17">
        <f t="shared" si="100"/>
        <v>17000</v>
      </c>
    </row>
    <row r="703" spans="2:17" ht="12.75">
      <c r="B703" s="20">
        <f t="shared" si="101"/>
        <v>88</v>
      </c>
      <c r="C703" s="4"/>
      <c r="D703" s="4"/>
      <c r="E703" s="4"/>
      <c r="F703" s="31" t="s">
        <v>191</v>
      </c>
      <c r="G703" s="4">
        <v>636</v>
      </c>
      <c r="H703" s="4" t="s">
        <v>126</v>
      </c>
      <c r="I703" s="17">
        <v>500</v>
      </c>
      <c r="J703" s="17"/>
      <c r="K703" s="17">
        <f t="shared" si="98"/>
        <v>500</v>
      </c>
      <c r="L703" s="17"/>
      <c r="M703" s="17"/>
      <c r="N703" s="17">
        <f t="shared" si="99"/>
        <v>0</v>
      </c>
      <c r="O703" s="17">
        <f t="shared" si="95"/>
        <v>500</v>
      </c>
      <c r="P703" s="17">
        <f t="shared" si="96"/>
        <v>0</v>
      </c>
      <c r="Q703" s="17">
        <f t="shared" si="100"/>
        <v>500</v>
      </c>
    </row>
    <row r="704" spans="2:17" ht="12.75">
      <c r="B704" s="20">
        <f t="shared" si="101"/>
        <v>89</v>
      </c>
      <c r="C704" s="4"/>
      <c r="D704" s="4"/>
      <c r="E704" s="4"/>
      <c r="F704" s="31" t="s">
        <v>191</v>
      </c>
      <c r="G704" s="4">
        <v>637</v>
      </c>
      <c r="H704" s="4" t="s">
        <v>122</v>
      </c>
      <c r="I704" s="17">
        <v>7449</v>
      </c>
      <c r="J704" s="17"/>
      <c r="K704" s="17">
        <f t="shared" si="98"/>
        <v>7449</v>
      </c>
      <c r="L704" s="17"/>
      <c r="M704" s="17"/>
      <c r="N704" s="17">
        <f t="shared" si="99"/>
        <v>0</v>
      </c>
      <c r="O704" s="17">
        <f t="shared" si="95"/>
        <v>7449</v>
      </c>
      <c r="P704" s="17">
        <f t="shared" si="96"/>
        <v>0</v>
      </c>
      <c r="Q704" s="17">
        <f t="shared" si="100"/>
        <v>7449</v>
      </c>
    </row>
    <row r="705" spans="2:17" ht="12.75">
      <c r="B705" s="20">
        <f t="shared" si="101"/>
        <v>90</v>
      </c>
      <c r="C705" s="10"/>
      <c r="D705" s="10"/>
      <c r="E705" s="10"/>
      <c r="F705" s="30" t="s">
        <v>191</v>
      </c>
      <c r="G705" s="10">
        <v>640</v>
      </c>
      <c r="H705" s="10" t="s">
        <v>129</v>
      </c>
      <c r="I705" s="61">
        <v>3876</v>
      </c>
      <c r="J705" s="61"/>
      <c r="K705" s="61">
        <f t="shared" si="98"/>
        <v>3876</v>
      </c>
      <c r="L705" s="61"/>
      <c r="M705" s="61"/>
      <c r="N705" s="61">
        <f t="shared" si="99"/>
        <v>0</v>
      </c>
      <c r="O705" s="61">
        <f t="shared" si="95"/>
        <v>3876</v>
      </c>
      <c r="P705" s="61">
        <f t="shared" si="96"/>
        <v>0</v>
      </c>
      <c r="Q705" s="61">
        <f t="shared" si="100"/>
        <v>3876</v>
      </c>
    </row>
    <row r="706" spans="2:17" ht="12.75">
      <c r="B706" s="20">
        <f t="shared" si="101"/>
        <v>91</v>
      </c>
      <c r="C706" s="9"/>
      <c r="D706" s="9"/>
      <c r="E706" s="9"/>
      <c r="F706" s="35"/>
      <c r="G706" s="9"/>
      <c r="H706" s="9" t="s">
        <v>93</v>
      </c>
      <c r="I706" s="96">
        <f>I715+I709+I708+I707</f>
        <v>372711</v>
      </c>
      <c r="J706" s="96">
        <f>J715+J709+J708+J707</f>
        <v>0</v>
      </c>
      <c r="K706" s="96">
        <f t="shared" si="98"/>
        <v>372711</v>
      </c>
      <c r="L706" s="96">
        <f>L716</f>
        <v>13920</v>
      </c>
      <c r="M706" s="96">
        <f>M716</f>
        <v>0</v>
      </c>
      <c r="N706" s="96">
        <f t="shared" si="99"/>
        <v>13920</v>
      </c>
      <c r="O706" s="96">
        <f t="shared" si="95"/>
        <v>386631</v>
      </c>
      <c r="P706" s="96">
        <f t="shared" si="96"/>
        <v>0</v>
      </c>
      <c r="Q706" s="96">
        <f t="shared" si="100"/>
        <v>386631</v>
      </c>
    </row>
    <row r="707" spans="2:17" ht="12.75">
      <c r="B707" s="20">
        <f t="shared" si="101"/>
        <v>92</v>
      </c>
      <c r="C707" s="10"/>
      <c r="D707" s="10"/>
      <c r="E707" s="10"/>
      <c r="F707" s="30" t="s">
        <v>191</v>
      </c>
      <c r="G707" s="10">
        <v>610</v>
      </c>
      <c r="H707" s="10" t="s">
        <v>131</v>
      </c>
      <c r="I707" s="61">
        <v>201974</v>
      </c>
      <c r="J707" s="61"/>
      <c r="K707" s="61">
        <f t="shared" si="98"/>
        <v>201974</v>
      </c>
      <c r="L707" s="61"/>
      <c r="M707" s="61"/>
      <c r="N707" s="61">
        <f t="shared" si="99"/>
        <v>0</v>
      </c>
      <c r="O707" s="61">
        <f t="shared" si="95"/>
        <v>201974</v>
      </c>
      <c r="P707" s="61">
        <f t="shared" si="96"/>
        <v>0</v>
      </c>
      <c r="Q707" s="61">
        <f t="shared" si="100"/>
        <v>201974</v>
      </c>
    </row>
    <row r="708" spans="2:17" ht="12.75">
      <c r="B708" s="20">
        <f t="shared" si="101"/>
        <v>93</v>
      </c>
      <c r="C708" s="10"/>
      <c r="D708" s="10"/>
      <c r="E708" s="10"/>
      <c r="F708" s="30" t="s">
        <v>191</v>
      </c>
      <c r="G708" s="10">
        <v>620</v>
      </c>
      <c r="H708" s="10" t="s">
        <v>124</v>
      </c>
      <c r="I708" s="61">
        <v>73863</v>
      </c>
      <c r="J708" s="61"/>
      <c r="K708" s="61">
        <f t="shared" si="98"/>
        <v>73863</v>
      </c>
      <c r="L708" s="61"/>
      <c r="M708" s="61"/>
      <c r="N708" s="61">
        <f t="shared" si="99"/>
        <v>0</v>
      </c>
      <c r="O708" s="61">
        <f aca="true" t="shared" si="102" ref="O708:O771">I708+L708</f>
        <v>73863</v>
      </c>
      <c r="P708" s="61">
        <f aca="true" t="shared" si="103" ref="P708:P771">J708+M708</f>
        <v>0</v>
      </c>
      <c r="Q708" s="61">
        <f t="shared" si="100"/>
        <v>73863</v>
      </c>
    </row>
    <row r="709" spans="2:17" ht="12.75">
      <c r="B709" s="20">
        <f t="shared" si="101"/>
        <v>94</v>
      </c>
      <c r="C709" s="10"/>
      <c r="D709" s="10"/>
      <c r="E709" s="10"/>
      <c r="F709" s="30" t="s">
        <v>191</v>
      </c>
      <c r="G709" s="10">
        <v>630</v>
      </c>
      <c r="H709" s="10" t="s">
        <v>121</v>
      </c>
      <c r="I709" s="61">
        <f>I714+I713+I712+I711+I710</f>
        <v>92998</v>
      </c>
      <c r="J709" s="61">
        <f>J714+J713+J712+J711+J710</f>
        <v>0</v>
      </c>
      <c r="K709" s="61">
        <f t="shared" si="98"/>
        <v>92998</v>
      </c>
      <c r="L709" s="61"/>
      <c r="M709" s="61"/>
      <c r="N709" s="61">
        <f t="shared" si="99"/>
        <v>0</v>
      </c>
      <c r="O709" s="61">
        <f t="shared" si="102"/>
        <v>92998</v>
      </c>
      <c r="P709" s="61">
        <f t="shared" si="103"/>
        <v>0</v>
      </c>
      <c r="Q709" s="61">
        <f t="shared" si="100"/>
        <v>92998</v>
      </c>
    </row>
    <row r="710" spans="2:17" ht="12.75">
      <c r="B710" s="20">
        <f t="shared" si="101"/>
        <v>95</v>
      </c>
      <c r="C710" s="4"/>
      <c r="D710" s="4"/>
      <c r="E710" s="4"/>
      <c r="F710" s="31" t="s">
        <v>191</v>
      </c>
      <c r="G710" s="4">
        <v>631</v>
      </c>
      <c r="H710" s="4" t="s">
        <v>127</v>
      </c>
      <c r="I710" s="17">
        <v>200</v>
      </c>
      <c r="J710" s="17"/>
      <c r="K710" s="17">
        <f t="shared" si="98"/>
        <v>200</v>
      </c>
      <c r="L710" s="17"/>
      <c r="M710" s="17"/>
      <c r="N710" s="17">
        <f t="shared" si="99"/>
        <v>0</v>
      </c>
      <c r="O710" s="17">
        <f t="shared" si="102"/>
        <v>200</v>
      </c>
      <c r="P710" s="17">
        <f t="shared" si="103"/>
        <v>0</v>
      </c>
      <c r="Q710" s="17">
        <f t="shared" si="100"/>
        <v>200</v>
      </c>
    </row>
    <row r="711" spans="2:17" ht="12.75">
      <c r="B711" s="20">
        <f t="shared" si="101"/>
        <v>96</v>
      </c>
      <c r="C711" s="4"/>
      <c r="D711" s="4"/>
      <c r="E711" s="4"/>
      <c r="F711" s="31" t="s">
        <v>191</v>
      </c>
      <c r="G711" s="4">
        <v>632</v>
      </c>
      <c r="H711" s="4" t="s">
        <v>134</v>
      </c>
      <c r="I711" s="17">
        <v>48585</v>
      </c>
      <c r="J711" s="17"/>
      <c r="K711" s="17">
        <f t="shared" si="98"/>
        <v>48585</v>
      </c>
      <c r="L711" s="17"/>
      <c r="M711" s="17"/>
      <c r="N711" s="17">
        <f t="shared" si="99"/>
        <v>0</v>
      </c>
      <c r="O711" s="17">
        <f t="shared" si="102"/>
        <v>48585</v>
      </c>
      <c r="P711" s="17">
        <f t="shared" si="103"/>
        <v>0</v>
      </c>
      <c r="Q711" s="17">
        <f t="shared" si="100"/>
        <v>48585</v>
      </c>
    </row>
    <row r="712" spans="2:17" ht="12.75">
      <c r="B712" s="20">
        <f t="shared" si="101"/>
        <v>97</v>
      </c>
      <c r="C712" s="4"/>
      <c r="D712" s="4"/>
      <c r="E712" s="4"/>
      <c r="F712" s="31" t="s">
        <v>191</v>
      </c>
      <c r="G712" s="4">
        <v>633</v>
      </c>
      <c r="H712" s="4" t="s">
        <v>125</v>
      </c>
      <c r="I712" s="17">
        <f>23373+213+1000</f>
        <v>24586</v>
      </c>
      <c r="J712" s="17"/>
      <c r="K712" s="17">
        <f t="shared" si="98"/>
        <v>24586</v>
      </c>
      <c r="L712" s="17"/>
      <c r="M712" s="17"/>
      <c r="N712" s="17">
        <f t="shared" si="99"/>
        <v>0</v>
      </c>
      <c r="O712" s="17">
        <f t="shared" si="102"/>
        <v>24586</v>
      </c>
      <c r="P712" s="17">
        <f t="shared" si="103"/>
        <v>0</v>
      </c>
      <c r="Q712" s="17">
        <f t="shared" si="100"/>
        <v>24586</v>
      </c>
    </row>
    <row r="713" spans="2:17" ht="12.75">
      <c r="B713" s="20">
        <f aca="true" t="shared" si="104" ref="B713:B744">B712+1</f>
        <v>98</v>
      </c>
      <c r="C713" s="4"/>
      <c r="D713" s="4"/>
      <c r="E713" s="4"/>
      <c r="F713" s="31" t="s">
        <v>191</v>
      </c>
      <c r="G713" s="4">
        <v>635</v>
      </c>
      <c r="H713" s="4" t="s">
        <v>133</v>
      </c>
      <c r="I713" s="17">
        <f>8100+4000</f>
        <v>12100</v>
      </c>
      <c r="J713" s="17"/>
      <c r="K713" s="17">
        <f t="shared" si="98"/>
        <v>12100</v>
      </c>
      <c r="L713" s="17"/>
      <c r="M713" s="17"/>
      <c r="N713" s="17">
        <f t="shared" si="99"/>
        <v>0</v>
      </c>
      <c r="O713" s="17">
        <f t="shared" si="102"/>
        <v>12100</v>
      </c>
      <c r="P713" s="17">
        <f t="shared" si="103"/>
        <v>0</v>
      </c>
      <c r="Q713" s="17">
        <f t="shared" si="100"/>
        <v>12100</v>
      </c>
    </row>
    <row r="714" spans="2:17" ht="12.75">
      <c r="B714" s="20">
        <f t="shared" si="104"/>
        <v>99</v>
      </c>
      <c r="C714" s="4"/>
      <c r="D714" s="4"/>
      <c r="E714" s="4"/>
      <c r="F714" s="31" t="s">
        <v>191</v>
      </c>
      <c r="G714" s="4">
        <v>637</v>
      </c>
      <c r="H714" s="4" t="s">
        <v>122</v>
      </c>
      <c r="I714" s="17">
        <v>7527</v>
      </c>
      <c r="J714" s="17"/>
      <c r="K714" s="17">
        <f t="shared" si="98"/>
        <v>7527</v>
      </c>
      <c r="L714" s="17"/>
      <c r="M714" s="17"/>
      <c r="N714" s="17">
        <f t="shared" si="99"/>
        <v>0</v>
      </c>
      <c r="O714" s="17">
        <f t="shared" si="102"/>
        <v>7527</v>
      </c>
      <c r="P714" s="17">
        <f t="shared" si="103"/>
        <v>0</v>
      </c>
      <c r="Q714" s="17">
        <f t="shared" si="100"/>
        <v>7527</v>
      </c>
    </row>
    <row r="715" spans="2:17" ht="12.75">
      <c r="B715" s="20">
        <f t="shared" si="104"/>
        <v>100</v>
      </c>
      <c r="C715" s="10"/>
      <c r="D715" s="10"/>
      <c r="E715" s="10"/>
      <c r="F715" s="30" t="s">
        <v>191</v>
      </c>
      <c r="G715" s="10">
        <v>640</v>
      </c>
      <c r="H715" s="10" t="s">
        <v>129</v>
      </c>
      <c r="I715" s="61">
        <f>1823+2053</f>
        <v>3876</v>
      </c>
      <c r="J715" s="61"/>
      <c r="K715" s="61">
        <f t="shared" si="98"/>
        <v>3876</v>
      </c>
      <c r="L715" s="61"/>
      <c r="M715" s="61"/>
      <c r="N715" s="61">
        <f t="shared" si="99"/>
        <v>0</v>
      </c>
      <c r="O715" s="61">
        <f t="shared" si="102"/>
        <v>3876</v>
      </c>
      <c r="P715" s="61">
        <f t="shared" si="103"/>
        <v>0</v>
      </c>
      <c r="Q715" s="61">
        <f t="shared" si="100"/>
        <v>3876</v>
      </c>
    </row>
    <row r="716" spans="2:17" ht="12.75">
      <c r="B716" s="20">
        <f t="shared" si="104"/>
        <v>101</v>
      </c>
      <c r="C716" s="10"/>
      <c r="D716" s="10"/>
      <c r="E716" s="10"/>
      <c r="F716" s="30" t="s">
        <v>191</v>
      </c>
      <c r="G716" s="10">
        <v>710</v>
      </c>
      <c r="H716" s="10" t="s">
        <v>176</v>
      </c>
      <c r="I716" s="61"/>
      <c r="J716" s="61"/>
      <c r="K716" s="61">
        <f t="shared" si="98"/>
        <v>0</v>
      </c>
      <c r="L716" s="61">
        <f>L717</f>
        <v>13920</v>
      </c>
      <c r="M716" s="61">
        <f>M717</f>
        <v>0</v>
      </c>
      <c r="N716" s="61">
        <f t="shared" si="99"/>
        <v>13920</v>
      </c>
      <c r="O716" s="61">
        <f t="shared" si="102"/>
        <v>13920</v>
      </c>
      <c r="P716" s="61">
        <f t="shared" si="103"/>
        <v>0</v>
      </c>
      <c r="Q716" s="61">
        <f t="shared" si="100"/>
        <v>13920</v>
      </c>
    </row>
    <row r="717" spans="2:17" ht="12.75">
      <c r="B717" s="20">
        <f t="shared" si="104"/>
        <v>102</v>
      </c>
      <c r="C717" s="4"/>
      <c r="D717" s="4"/>
      <c r="E717" s="4"/>
      <c r="F717" s="31" t="s">
        <v>191</v>
      </c>
      <c r="G717" s="4">
        <v>716</v>
      </c>
      <c r="H717" s="4" t="s">
        <v>222</v>
      </c>
      <c r="I717" s="17"/>
      <c r="J717" s="17"/>
      <c r="K717" s="17">
        <f t="shared" si="98"/>
        <v>0</v>
      </c>
      <c r="L717" s="17">
        <f>L718</f>
        <v>13920</v>
      </c>
      <c r="M717" s="17">
        <f>M718</f>
        <v>0</v>
      </c>
      <c r="N717" s="17">
        <f t="shared" si="99"/>
        <v>13920</v>
      </c>
      <c r="O717" s="17">
        <f t="shared" si="102"/>
        <v>13920</v>
      </c>
      <c r="P717" s="17">
        <f t="shared" si="103"/>
        <v>0</v>
      </c>
      <c r="Q717" s="17">
        <f t="shared" si="100"/>
        <v>13920</v>
      </c>
    </row>
    <row r="718" spans="2:17" ht="12.75">
      <c r="B718" s="20">
        <f t="shared" si="104"/>
        <v>103</v>
      </c>
      <c r="C718" s="4"/>
      <c r="D718" s="4"/>
      <c r="E718" s="4"/>
      <c r="F718" s="31"/>
      <c r="G718" s="4"/>
      <c r="H718" s="5" t="s">
        <v>641</v>
      </c>
      <c r="I718" s="18"/>
      <c r="J718" s="18"/>
      <c r="K718" s="18">
        <f t="shared" si="98"/>
        <v>0</v>
      </c>
      <c r="L718" s="18">
        <v>13920</v>
      </c>
      <c r="M718" s="18"/>
      <c r="N718" s="18">
        <f t="shared" si="99"/>
        <v>13920</v>
      </c>
      <c r="O718" s="18">
        <f t="shared" si="102"/>
        <v>13920</v>
      </c>
      <c r="P718" s="18">
        <f t="shared" si="103"/>
        <v>0</v>
      </c>
      <c r="Q718" s="18">
        <f t="shared" si="100"/>
        <v>13920</v>
      </c>
    </row>
    <row r="719" spans="2:17" ht="12.75">
      <c r="B719" s="20">
        <f t="shared" si="104"/>
        <v>104</v>
      </c>
      <c r="C719" s="9"/>
      <c r="D719" s="9"/>
      <c r="E719" s="9"/>
      <c r="F719" s="35"/>
      <c r="G719" s="9"/>
      <c r="H719" s="9" t="s">
        <v>102</v>
      </c>
      <c r="I719" s="96">
        <f>I729+I728+I722+I721+I720</f>
        <v>236321</v>
      </c>
      <c r="J719" s="96">
        <f>J729+J728+J722+J721+J720</f>
        <v>0</v>
      </c>
      <c r="K719" s="96">
        <f t="shared" si="98"/>
        <v>236321</v>
      </c>
      <c r="L719" s="96">
        <f>L729</f>
        <v>46000</v>
      </c>
      <c r="M719" s="96">
        <f>M729</f>
        <v>0</v>
      </c>
      <c r="N719" s="96">
        <f t="shared" si="99"/>
        <v>46000</v>
      </c>
      <c r="O719" s="96">
        <f t="shared" si="102"/>
        <v>282321</v>
      </c>
      <c r="P719" s="96">
        <f t="shared" si="103"/>
        <v>0</v>
      </c>
      <c r="Q719" s="96">
        <f t="shared" si="100"/>
        <v>282321</v>
      </c>
    </row>
    <row r="720" spans="2:17" ht="12.75">
      <c r="B720" s="20">
        <f t="shared" si="104"/>
        <v>105</v>
      </c>
      <c r="C720" s="10"/>
      <c r="D720" s="10"/>
      <c r="E720" s="10"/>
      <c r="F720" s="30" t="s">
        <v>191</v>
      </c>
      <c r="G720" s="10">
        <v>610</v>
      </c>
      <c r="H720" s="10" t="s">
        <v>131</v>
      </c>
      <c r="I720" s="61">
        <v>142937</v>
      </c>
      <c r="J720" s="61"/>
      <c r="K720" s="61">
        <f t="shared" si="98"/>
        <v>142937</v>
      </c>
      <c r="L720" s="61"/>
      <c r="M720" s="61"/>
      <c r="N720" s="61">
        <f t="shared" si="99"/>
        <v>0</v>
      </c>
      <c r="O720" s="61">
        <f t="shared" si="102"/>
        <v>142937</v>
      </c>
      <c r="P720" s="61">
        <f t="shared" si="103"/>
        <v>0</v>
      </c>
      <c r="Q720" s="61">
        <f t="shared" si="100"/>
        <v>142937</v>
      </c>
    </row>
    <row r="721" spans="2:17" ht="12.75">
      <c r="B721" s="20">
        <f t="shared" si="104"/>
        <v>106</v>
      </c>
      <c r="C721" s="10"/>
      <c r="D721" s="10"/>
      <c r="E721" s="10"/>
      <c r="F721" s="30" t="s">
        <v>191</v>
      </c>
      <c r="G721" s="10">
        <v>620</v>
      </c>
      <c r="H721" s="10" t="s">
        <v>124</v>
      </c>
      <c r="I721" s="61">
        <v>52269</v>
      </c>
      <c r="J721" s="61"/>
      <c r="K721" s="61">
        <f t="shared" si="98"/>
        <v>52269</v>
      </c>
      <c r="L721" s="61"/>
      <c r="M721" s="61"/>
      <c r="N721" s="61">
        <f t="shared" si="99"/>
        <v>0</v>
      </c>
      <c r="O721" s="61">
        <f t="shared" si="102"/>
        <v>52269</v>
      </c>
      <c r="P721" s="61">
        <f t="shared" si="103"/>
        <v>0</v>
      </c>
      <c r="Q721" s="61">
        <f t="shared" si="100"/>
        <v>52269</v>
      </c>
    </row>
    <row r="722" spans="2:17" ht="12.75">
      <c r="B722" s="20">
        <f t="shared" si="104"/>
        <v>107</v>
      </c>
      <c r="C722" s="10"/>
      <c r="D722" s="10"/>
      <c r="E722" s="10"/>
      <c r="F722" s="30" t="s">
        <v>191</v>
      </c>
      <c r="G722" s="10">
        <v>630</v>
      </c>
      <c r="H722" s="10" t="s">
        <v>121</v>
      </c>
      <c r="I722" s="61">
        <f>I727+I726+I725+I724+I723</f>
        <v>38711</v>
      </c>
      <c r="J722" s="61">
        <f>J727+J726+J725+J724+J723</f>
        <v>0</v>
      </c>
      <c r="K722" s="61">
        <f t="shared" si="98"/>
        <v>38711</v>
      </c>
      <c r="L722" s="61"/>
      <c r="M722" s="61"/>
      <c r="N722" s="61">
        <f t="shared" si="99"/>
        <v>0</v>
      </c>
      <c r="O722" s="61">
        <f t="shared" si="102"/>
        <v>38711</v>
      </c>
      <c r="P722" s="61">
        <f t="shared" si="103"/>
        <v>0</v>
      </c>
      <c r="Q722" s="61">
        <f t="shared" si="100"/>
        <v>38711</v>
      </c>
    </row>
    <row r="723" spans="2:17" ht="12.75">
      <c r="B723" s="20">
        <f t="shared" si="104"/>
        <v>108</v>
      </c>
      <c r="C723" s="4"/>
      <c r="D723" s="4"/>
      <c r="E723" s="4"/>
      <c r="F723" s="31" t="s">
        <v>191</v>
      </c>
      <c r="G723" s="4">
        <v>631</v>
      </c>
      <c r="H723" s="4" t="s">
        <v>127</v>
      </c>
      <c r="I723" s="17">
        <v>200</v>
      </c>
      <c r="J723" s="17"/>
      <c r="K723" s="17">
        <f t="shared" si="98"/>
        <v>200</v>
      </c>
      <c r="L723" s="17"/>
      <c r="M723" s="17"/>
      <c r="N723" s="17">
        <f t="shared" si="99"/>
        <v>0</v>
      </c>
      <c r="O723" s="17">
        <f t="shared" si="102"/>
        <v>200</v>
      </c>
      <c r="P723" s="17">
        <f t="shared" si="103"/>
        <v>0</v>
      </c>
      <c r="Q723" s="17">
        <f t="shared" si="100"/>
        <v>200</v>
      </c>
    </row>
    <row r="724" spans="2:17" ht="12.75">
      <c r="B724" s="20">
        <f t="shared" si="104"/>
        <v>109</v>
      </c>
      <c r="C724" s="4"/>
      <c r="D724" s="4"/>
      <c r="E724" s="4"/>
      <c r="F724" s="31" t="s">
        <v>191</v>
      </c>
      <c r="G724" s="4">
        <v>632</v>
      </c>
      <c r="H724" s="4" t="s">
        <v>134</v>
      </c>
      <c r="I724" s="17">
        <v>17045</v>
      </c>
      <c r="J724" s="17"/>
      <c r="K724" s="17">
        <f t="shared" si="98"/>
        <v>17045</v>
      </c>
      <c r="L724" s="17"/>
      <c r="M724" s="17"/>
      <c r="N724" s="17">
        <f t="shared" si="99"/>
        <v>0</v>
      </c>
      <c r="O724" s="17">
        <f t="shared" si="102"/>
        <v>17045</v>
      </c>
      <c r="P724" s="17">
        <f t="shared" si="103"/>
        <v>0</v>
      </c>
      <c r="Q724" s="17">
        <f t="shared" si="100"/>
        <v>17045</v>
      </c>
    </row>
    <row r="725" spans="2:17" ht="12.75">
      <c r="B725" s="20">
        <f t="shared" si="104"/>
        <v>110</v>
      </c>
      <c r="C725" s="4"/>
      <c r="D725" s="4"/>
      <c r="E725" s="4"/>
      <c r="F725" s="31" t="s">
        <v>191</v>
      </c>
      <c r="G725" s="4">
        <v>633</v>
      </c>
      <c r="H725" s="4" t="s">
        <v>125</v>
      </c>
      <c r="I725" s="17">
        <f>9973-266+1000</f>
        <v>10707</v>
      </c>
      <c r="J725" s="17"/>
      <c r="K725" s="17">
        <f t="shared" si="98"/>
        <v>10707</v>
      </c>
      <c r="L725" s="17"/>
      <c r="M725" s="17"/>
      <c r="N725" s="17">
        <f t="shared" si="99"/>
        <v>0</v>
      </c>
      <c r="O725" s="17">
        <f t="shared" si="102"/>
        <v>10707</v>
      </c>
      <c r="P725" s="17">
        <f t="shared" si="103"/>
        <v>0</v>
      </c>
      <c r="Q725" s="17">
        <f t="shared" si="100"/>
        <v>10707</v>
      </c>
    </row>
    <row r="726" spans="2:17" ht="12.75">
      <c r="B726" s="20">
        <f t="shared" si="104"/>
        <v>111</v>
      </c>
      <c r="C726" s="4"/>
      <c r="D726" s="4"/>
      <c r="E726" s="4"/>
      <c r="F726" s="31" t="s">
        <v>191</v>
      </c>
      <c r="G726" s="4">
        <v>635</v>
      </c>
      <c r="H726" s="4" t="s">
        <v>133</v>
      </c>
      <c r="I726" s="17">
        <v>5200</v>
      </c>
      <c r="J726" s="17"/>
      <c r="K726" s="17">
        <f t="shared" si="98"/>
        <v>5200</v>
      </c>
      <c r="L726" s="17"/>
      <c r="M726" s="17"/>
      <c r="N726" s="17">
        <f t="shared" si="99"/>
        <v>0</v>
      </c>
      <c r="O726" s="17">
        <f t="shared" si="102"/>
        <v>5200</v>
      </c>
      <c r="P726" s="17">
        <f t="shared" si="103"/>
        <v>0</v>
      </c>
      <c r="Q726" s="17">
        <f t="shared" si="100"/>
        <v>5200</v>
      </c>
    </row>
    <row r="727" spans="2:17" ht="12.75">
      <c r="B727" s="20">
        <f t="shared" si="104"/>
        <v>112</v>
      </c>
      <c r="C727" s="4"/>
      <c r="D727" s="4"/>
      <c r="E727" s="4"/>
      <c r="F727" s="31" t="s">
        <v>191</v>
      </c>
      <c r="G727" s="4">
        <v>637</v>
      </c>
      <c r="H727" s="4" t="s">
        <v>122</v>
      </c>
      <c r="I727" s="17">
        <v>5559</v>
      </c>
      <c r="J727" s="17"/>
      <c r="K727" s="17">
        <f t="shared" si="98"/>
        <v>5559</v>
      </c>
      <c r="L727" s="17"/>
      <c r="M727" s="17"/>
      <c r="N727" s="17">
        <f t="shared" si="99"/>
        <v>0</v>
      </c>
      <c r="O727" s="17">
        <f t="shared" si="102"/>
        <v>5559</v>
      </c>
      <c r="P727" s="17">
        <f t="shared" si="103"/>
        <v>0</v>
      </c>
      <c r="Q727" s="17">
        <f t="shared" si="100"/>
        <v>5559</v>
      </c>
    </row>
    <row r="728" spans="2:17" ht="12.75">
      <c r="B728" s="20">
        <f t="shared" si="104"/>
        <v>113</v>
      </c>
      <c r="C728" s="10"/>
      <c r="D728" s="10"/>
      <c r="E728" s="10"/>
      <c r="F728" s="30" t="s">
        <v>191</v>
      </c>
      <c r="G728" s="10">
        <v>640</v>
      </c>
      <c r="H728" s="10" t="s">
        <v>129</v>
      </c>
      <c r="I728" s="61">
        <v>2404</v>
      </c>
      <c r="J728" s="61"/>
      <c r="K728" s="61">
        <f t="shared" si="98"/>
        <v>2404</v>
      </c>
      <c r="L728" s="61"/>
      <c r="M728" s="61"/>
      <c r="N728" s="61">
        <f t="shared" si="99"/>
        <v>0</v>
      </c>
      <c r="O728" s="61">
        <f t="shared" si="102"/>
        <v>2404</v>
      </c>
      <c r="P728" s="61">
        <f t="shared" si="103"/>
        <v>0</v>
      </c>
      <c r="Q728" s="61">
        <f t="shared" si="100"/>
        <v>2404</v>
      </c>
    </row>
    <row r="729" spans="2:17" ht="12.75">
      <c r="B729" s="20">
        <f t="shared" si="104"/>
        <v>114</v>
      </c>
      <c r="C729" s="10"/>
      <c r="D729" s="10"/>
      <c r="E729" s="10"/>
      <c r="F729" s="30" t="s">
        <v>191</v>
      </c>
      <c r="G729" s="10">
        <v>710</v>
      </c>
      <c r="H729" s="10" t="s">
        <v>176</v>
      </c>
      <c r="I729" s="61"/>
      <c r="J729" s="61"/>
      <c r="K729" s="61">
        <f t="shared" si="98"/>
        <v>0</v>
      </c>
      <c r="L729" s="61">
        <f>L730</f>
        <v>46000</v>
      </c>
      <c r="M729" s="61">
        <f>M730</f>
        <v>0</v>
      </c>
      <c r="N729" s="61">
        <f t="shared" si="99"/>
        <v>46000</v>
      </c>
      <c r="O729" s="61">
        <f t="shared" si="102"/>
        <v>46000</v>
      </c>
      <c r="P729" s="61">
        <f t="shared" si="103"/>
        <v>0</v>
      </c>
      <c r="Q729" s="61">
        <f t="shared" si="100"/>
        <v>46000</v>
      </c>
    </row>
    <row r="730" spans="2:17" ht="12.75">
      <c r="B730" s="20">
        <f t="shared" si="104"/>
        <v>115</v>
      </c>
      <c r="C730" s="4"/>
      <c r="D730" s="4"/>
      <c r="E730" s="4"/>
      <c r="F730" s="31" t="s">
        <v>191</v>
      </c>
      <c r="G730" s="4">
        <v>717</v>
      </c>
      <c r="H730" s="4" t="s">
        <v>186</v>
      </c>
      <c r="I730" s="17"/>
      <c r="J730" s="17"/>
      <c r="K730" s="17">
        <f t="shared" si="98"/>
        <v>0</v>
      </c>
      <c r="L730" s="17">
        <f>L731</f>
        <v>46000</v>
      </c>
      <c r="M730" s="17">
        <f>M731</f>
        <v>0</v>
      </c>
      <c r="N730" s="17">
        <f t="shared" si="99"/>
        <v>46000</v>
      </c>
      <c r="O730" s="17">
        <f t="shared" si="102"/>
        <v>46000</v>
      </c>
      <c r="P730" s="17">
        <f t="shared" si="103"/>
        <v>0</v>
      </c>
      <c r="Q730" s="17">
        <f t="shared" si="100"/>
        <v>46000</v>
      </c>
    </row>
    <row r="731" spans="2:17" ht="12.75">
      <c r="B731" s="20">
        <f t="shared" si="104"/>
        <v>116</v>
      </c>
      <c r="C731" s="4"/>
      <c r="D731" s="4"/>
      <c r="E731" s="4"/>
      <c r="F731" s="31"/>
      <c r="G731" s="4"/>
      <c r="H731" s="5" t="s">
        <v>484</v>
      </c>
      <c r="I731" s="18"/>
      <c r="J731" s="18"/>
      <c r="K731" s="18">
        <f t="shared" si="98"/>
        <v>0</v>
      </c>
      <c r="L731" s="18">
        <f>20000+26000</f>
        <v>46000</v>
      </c>
      <c r="M731" s="18"/>
      <c r="N731" s="18">
        <f t="shared" si="99"/>
        <v>46000</v>
      </c>
      <c r="O731" s="18">
        <f t="shared" si="102"/>
        <v>46000</v>
      </c>
      <c r="P731" s="18">
        <f t="shared" si="103"/>
        <v>0</v>
      </c>
      <c r="Q731" s="18">
        <f t="shared" si="100"/>
        <v>46000</v>
      </c>
    </row>
    <row r="732" spans="2:17" ht="12.75">
      <c r="B732" s="20">
        <f t="shared" si="104"/>
        <v>117</v>
      </c>
      <c r="C732" s="9"/>
      <c r="D732" s="9"/>
      <c r="E732" s="9"/>
      <c r="F732" s="35"/>
      <c r="G732" s="9"/>
      <c r="H732" s="9" t="s">
        <v>72</v>
      </c>
      <c r="I732" s="96">
        <f>I740+I735+I734+I733</f>
        <v>342848</v>
      </c>
      <c r="J732" s="96">
        <f>J740+J735+J734+J733</f>
        <v>0</v>
      </c>
      <c r="K732" s="96">
        <f t="shared" si="98"/>
        <v>342848</v>
      </c>
      <c r="L732" s="96">
        <v>0</v>
      </c>
      <c r="M732" s="96">
        <v>0</v>
      </c>
      <c r="N732" s="96">
        <f t="shared" si="99"/>
        <v>0</v>
      </c>
      <c r="O732" s="96">
        <f t="shared" si="102"/>
        <v>342848</v>
      </c>
      <c r="P732" s="96">
        <f t="shared" si="103"/>
        <v>0</v>
      </c>
      <c r="Q732" s="96">
        <f t="shared" si="100"/>
        <v>342848</v>
      </c>
    </row>
    <row r="733" spans="2:17" ht="12.75">
      <c r="B733" s="20">
        <f t="shared" si="104"/>
        <v>118</v>
      </c>
      <c r="C733" s="10"/>
      <c r="D733" s="10"/>
      <c r="E733" s="10"/>
      <c r="F733" s="30" t="s">
        <v>191</v>
      </c>
      <c r="G733" s="10">
        <v>610</v>
      </c>
      <c r="H733" s="10" t="s">
        <v>131</v>
      </c>
      <c r="I733" s="61">
        <v>192171</v>
      </c>
      <c r="J733" s="61"/>
      <c r="K733" s="61">
        <f t="shared" si="98"/>
        <v>192171</v>
      </c>
      <c r="L733" s="61"/>
      <c r="M733" s="61"/>
      <c r="N733" s="61">
        <f t="shared" si="99"/>
        <v>0</v>
      </c>
      <c r="O733" s="61">
        <f t="shared" si="102"/>
        <v>192171</v>
      </c>
      <c r="P733" s="61">
        <f t="shared" si="103"/>
        <v>0</v>
      </c>
      <c r="Q733" s="61">
        <f t="shared" si="100"/>
        <v>192171</v>
      </c>
    </row>
    <row r="734" spans="2:17" ht="12.75">
      <c r="B734" s="20">
        <f t="shared" si="104"/>
        <v>119</v>
      </c>
      <c r="C734" s="10"/>
      <c r="D734" s="10"/>
      <c r="E734" s="10"/>
      <c r="F734" s="30" t="s">
        <v>191</v>
      </c>
      <c r="G734" s="10">
        <v>620</v>
      </c>
      <c r="H734" s="10" t="s">
        <v>124</v>
      </c>
      <c r="I734" s="61">
        <v>69995</v>
      </c>
      <c r="J734" s="61"/>
      <c r="K734" s="61">
        <f t="shared" si="98"/>
        <v>69995</v>
      </c>
      <c r="L734" s="61"/>
      <c r="M734" s="61"/>
      <c r="N734" s="61">
        <f t="shared" si="99"/>
        <v>0</v>
      </c>
      <c r="O734" s="61">
        <f t="shared" si="102"/>
        <v>69995</v>
      </c>
      <c r="P734" s="61">
        <f t="shared" si="103"/>
        <v>0</v>
      </c>
      <c r="Q734" s="61">
        <f t="shared" si="100"/>
        <v>69995</v>
      </c>
    </row>
    <row r="735" spans="2:17" ht="12.75">
      <c r="B735" s="20">
        <f t="shared" si="104"/>
        <v>120</v>
      </c>
      <c r="C735" s="10"/>
      <c r="D735" s="10"/>
      <c r="E735" s="10"/>
      <c r="F735" s="30" t="s">
        <v>191</v>
      </c>
      <c r="G735" s="10">
        <v>630</v>
      </c>
      <c r="H735" s="10" t="s">
        <v>121</v>
      </c>
      <c r="I735" s="61">
        <f>I739+I738+I737+I736</f>
        <v>78859</v>
      </c>
      <c r="J735" s="61">
        <f>J739+J738+J737+J736</f>
        <v>0</v>
      </c>
      <c r="K735" s="61">
        <f t="shared" si="98"/>
        <v>78859</v>
      </c>
      <c r="L735" s="61"/>
      <c r="M735" s="61"/>
      <c r="N735" s="61">
        <f t="shared" si="99"/>
        <v>0</v>
      </c>
      <c r="O735" s="61">
        <f t="shared" si="102"/>
        <v>78859</v>
      </c>
      <c r="P735" s="61">
        <f t="shared" si="103"/>
        <v>0</v>
      </c>
      <c r="Q735" s="61">
        <f t="shared" si="100"/>
        <v>78859</v>
      </c>
    </row>
    <row r="736" spans="2:17" ht="12.75">
      <c r="B736" s="20">
        <f t="shared" si="104"/>
        <v>121</v>
      </c>
      <c r="C736" s="4"/>
      <c r="D736" s="4"/>
      <c r="E736" s="4"/>
      <c r="F736" s="31" t="s">
        <v>191</v>
      </c>
      <c r="G736" s="4">
        <v>632</v>
      </c>
      <c r="H736" s="4" t="s">
        <v>134</v>
      </c>
      <c r="I736" s="17">
        <v>33165</v>
      </c>
      <c r="J736" s="17"/>
      <c r="K736" s="17">
        <f t="shared" si="98"/>
        <v>33165</v>
      </c>
      <c r="L736" s="17"/>
      <c r="M736" s="17"/>
      <c r="N736" s="17">
        <f t="shared" si="99"/>
        <v>0</v>
      </c>
      <c r="O736" s="17">
        <f t="shared" si="102"/>
        <v>33165</v>
      </c>
      <c r="P736" s="17">
        <f t="shared" si="103"/>
        <v>0</v>
      </c>
      <c r="Q736" s="17">
        <f t="shared" si="100"/>
        <v>33165</v>
      </c>
    </row>
    <row r="737" spans="2:17" ht="12.75">
      <c r="B737" s="20">
        <f t="shared" si="104"/>
        <v>122</v>
      </c>
      <c r="C737" s="4"/>
      <c r="D737" s="4"/>
      <c r="E737" s="4"/>
      <c r="F737" s="31" t="s">
        <v>191</v>
      </c>
      <c r="G737" s="4">
        <v>633</v>
      </c>
      <c r="H737" s="4" t="s">
        <v>125</v>
      </c>
      <c r="I737" s="17">
        <f>22901-254+1000</f>
        <v>23647</v>
      </c>
      <c r="J737" s="17">
        <v>-15000</v>
      </c>
      <c r="K737" s="17">
        <f t="shared" si="98"/>
        <v>8647</v>
      </c>
      <c r="L737" s="17"/>
      <c r="M737" s="17"/>
      <c r="N737" s="17">
        <f t="shared" si="99"/>
        <v>0</v>
      </c>
      <c r="O737" s="17">
        <f t="shared" si="102"/>
        <v>23647</v>
      </c>
      <c r="P737" s="17">
        <f t="shared" si="103"/>
        <v>-15000</v>
      </c>
      <c r="Q737" s="17">
        <f t="shared" si="100"/>
        <v>8647</v>
      </c>
    </row>
    <row r="738" spans="2:17" ht="12.75">
      <c r="B738" s="20">
        <f t="shared" si="104"/>
        <v>123</v>
      </c>
      <c r="C738" s="4"/>
      <c r="D738" s="4"/>
      <c r="E738" s="4"/>
      <c r="F738" s="31" t="s">
        <v>191</v>
      </c>
      <c r="G738" s="4">
        <v>635</v>
      </c>
      <c r="H738" s="4" t="s">
        <v>133</v>
      </c>
      <c r="I738" s="17">
        <v>15500</v>
      </c>
      <c r="J738" s="17">
        <v>15000</v>
      </c>
      <c r="K738" s="17">
        <f t="shared" si="98"/>
        <v>30500</v>
      </c>
      <c r="L738" s="17"/>
      <c r="M738" s="17"/>
      <c r="N738" s="17">
        <f t="shared" si="99"/>
        <v>0</v>
      </c>
      <c r="O738" s="17">
        <f t="shared" si="102"/>
        <v>15500</v>
      </c>
      <c r="P738" s="17">
        <f t="shared" si="103"/>
        <v>15000</v>
      </c>
      <c r="Q738" s="17">
        <f t="shared" si="100"/>
        <v>30500</v>
      </c>
    </row>
    <row r="739" spans="2:17" ht="12.75">
      <c r="B739" s="20">
        <f t="shared" si="104"/>
        <v>124</v>
      </c>
      <c r="C739" s="4"/>
      <c r="D739" s="4"/>
      <c r="E739" s="4"/>
      <c r="F739" s="31" t="s">
        <v>191</v>
      </c>
      <c r="G739" s="4">
        <v>637</v>
      </c>
      <c r="H739" s="4" t="s">
        <v>122</v>
      </c>
      <c r="I739" s="17">
        <v>6547</v>
      </c>
      <c r="J739" s="17"/>
      <c r="K739" s="17">
        <f t="shared" si="98"/>
        <v>6547</v>
      </c>
      <c r="L739" s="17"/>
      <c r="M739" s="17"/>
      <c r="N739" s="17">
        <f t="shared" si="99"/>
        <v>0</v>
      </c>
      <c r="O739" s="17">
        <f t="shared" si="102"/>
        <v>6547</v>
      </c>
      <c r="P739" s="17">
        <f t="shared" si="103"/>
        <v>0</v>
      </c>
      <c r="Q739" s="17">
        <f t="shared" si="100"/>
        <v>6547</v>
      </c>
    </row>
    <row r="740" spans="2:17" ht="12.75">
      <c r="B740" s="20">
        <f t="shared" si="104"/>
        <v>125</v>
      </c>
      <c r="C740" s="10"/>
      <c r="D740" s="10"/>
      <c r="E740" s="10"/>
      <c r="F740" s="30" t="s">
        <v>191</v>
      </c>
      <c r="G740" s="10">
        <v>640</v>
      </c>
      <c r="H740" s="10" t="s">
        <v>129</v>
      </c>
      <c r="I740" s="61">
        <v>1823</v>
      </c>
      <c r="J740" s="61"/>
      <c r="K740" s="61">
        <f t="shared" si="98"/>
        <v>1823</v>
      </c>
      <c r="L740" s="61"/>
      <c r="M740" s="61"/>
      <c r="N740" s="61">
        <f t="shared" si="99"/>
        <v>0</v>
      </c>
      <c r="O740" s="61">
        <f t="shared" si="102"/>
        <v>1823</v>
      </c>
      <c r="P740" s="61">
        <f t="shared" si="103"/>
        <v>0</v>
      </c>
      <c r="Q740" s="61">
        <f t="shared" si="100"/>
        <v>1823</v>
      </c>
    </row>
    <row r="741" spans="2:17" ht="12.75">
      <c r="B741" s="20">
        <f t="shared" si="104"/>
        <v>126</v>
      </c>
      <c r="C741" s="9"/>
      <c r="D741" s="9"/>
      <c r="E741" s="9"/>
      <c r="F741" s="35"/>
      <c r="G741" s="9"/>
      <c r="H741" s="9" t="s">
        <v>78</v>
      </c>
      <c r="I741" s="96">
        <f>I749+I744+I743+I742</f>
        <v>370554</v>
      </c>
      <c r="J741" s="96">
        <f>J749+J744+J743+J742</f>
        <v>0</v>
      </c>
      <c r="K741" s="96">
        <f t="shared" si="98"/>
        <v>370554</v>
      </c>
      <c r="L741" s="96"/>
      <c r="M741" s="96"/>
      <c r="N741" s="96">
        <f t="shared" si="99"/>
        <v>0</v>
      </c>
      <c r="O741" s="96">
        <f t="shared" si="102"/>
        <v>370554</v>
      </c>
      <c r="P741" s="96">
        <f t="shared" si="103"/>
        <v>0</v>
      </c>
      <c r="Q741" s="96">
        <f t="shared" si="100"/>
        <v>370554</v>
      </c>
    </row>
    <row r="742" spans="2:17" ht="12.75">
      <c r="B742" s="20">
        <f t="shared" si="104"/>
        <v>127</v>
      </c>
      <c r="C742" s="10"/>
      <c r="D742" s="10"/>
      <c r="E742" s="10"/>
      <c r="F742" s="30" t="s">
        <v>191</v>
      </c>
      <c r="G742" s="10">
        <v>610</v>
      </c>
      <c r="H742" s="10" t="s">
        <v>131</v>
      </c>
      <c r="I742" s="61">
        <v>212589</v>
      </c>
      <c r="J742" s="61"/>
      <c r="K742" s="61">
        <f t="shared" si="98"/>
        <v>212589</v>
      </c>
      <c r="L742" s="61"/>
      <c r="M742" s="61"/>
      <c r="N742" s="61">
        <f t="shared" si="99"/>
        <v>0</v>
      </c>
      <c r="O742" s="61">
        <f t="shared" si="102"/>
        <v>212589</v>
      </c>
      <c r="P742" s="61">
        <f t="shared" si="103"/>
        <v>0</v>
      </c>
      <c r="Q742" s="61">
        <f t="shared" si="100"/>
        <v>212589</v>
      </c>
    </row>
    <row r="743" spans="2:17" ht="12.75">
      <c r="B743" s="20">
        <f t="shared" si="104"/>
        <v>128</v>
      </c>
      <c r="C743" s="10"/>
      <c r="D743" s="10"/>
      <c r="E743" s="10"/>
      <c r="F743" s="30" t="s">
        <v>191</v>
      </c>
      <c r="G743" s="10">
        <v>620</v>
      </c>
      <c r="H743" s="10" t="s">
        <v>124</v>
      </c>
      <c r="I743" s="61">
        <v>78275</v>
      </c>
      <c r="J743" s="61"/>
      <c r="K743" s="61">
        <f t="shared" si="98"/>
        <v>78275</v>
      </c>
      <c r="L743" s="61"/>
      <c r="M743" s="61"/>
      <c r="N743" s="61">
        <f t="shared" si="99"/>
        <v>0</v>
      </c>
      <c r="O743" s="61">
        <f t="shared" si="102"/>
        <v>78275</v>
      </c>
      <c r="P743" s="61">
        <f t="shared" si="103"/>
        <v>0</v>
      </c>
      <c r="Q743" s="61">
        <f t="shared" si="100"/>
        <v>78275</v>
      </c>
    </row>
    <row r="744" spans="2:17" ht="12.75">
      <c r="B744" s="20">
        <f t="shared" si="104"/>
        <v>129</v>
      </c>
      <c r="C744" s="10"/>
      <c r="D744" s="10"/>
      <c r="E744" s="10"/>
      <c r="F744" s="30" t="s">
        <v>191</v>
      </c>
      <c r="G744" s="10">
        <v>630</v>
      </c>
      <c r="H744" s="10" t="s">
        <v>121</v>
      </c>
      <c r="I744" s="61">
        <f>I748+I747+I746+I745</f>
        <v>79240</v>
      </c>
      <c r="J744" s="61">
        <f>J748+J747+J746+J745</f>
        <v>0</v>
      </c>
      <c r="K744" s="61">
        <f aca="true" t="shared" si="105" ref="K744:K807">J744+I744</f>
        <v>79240</v>
      </c>
      <c r="L744" s="61"/>
      <c r="M744" s="61"/>
      <c r="N744" s="61">
        <f aca="true" t="shared" si="106" ref="N744:N807">M744+L744</f>
        <v>0</v>
      </c>
      <c r="O744" s="61">
        <f t="shared" si="102"/>
        <v>79240</v>
      </c>
      <c r="P744" s="61">
        <f t="shared" si="103"/>
        <v>0</v>
      </c>
      <c r="Q744" s="61">
        <f aca="true" t="shared" si="107" ref="Q744:Q807">O744+P744</f>
        <v>79240</v>
      </c>
    </row>
    <row r="745" spans="2:17" ht="12.75">
      <c r="B745" s="20">
        <f aca="true" t="shared" si="108" ref="B745:B779">B744+1</f>
        <v>130</v>
      </c>
      <c r="C745" s="4"/>
      <c r="D745" s="4"/>
      <c r="E745" s="4"/>
      <c r="F745" s="31" t="s">
        <v>191</v>
      </c>
      <c r="G745" s="4">
        <v>632</v>
      </c>
      <c r="H745" s="4" t="s">
        <v>134</v>
      </c>
      <c r="I745" s="17">
        <v>31490</v>
      </c>
      <c r="J745" s="17"/>
      <c r="K745" s="17">
        <f t="shared" si="105"/>
        <v>31490</v>
      </c>
      <c r="L745" s="17"/>
      <c r="M745" s="17"/>
      <c r="N745" s="17">
        <f t="shared" si="106"/>
        <v>0</v>
      </c>
      <c r="O745" s="17">
        <f t="shared" si="102"/>
        <v>31490</v>
      </c>
      <c r="P745" s="17">
        <f t="shared" si="103"/>
        <v>0</v>
      </c>
      <c r="Q745" s="17">
        <f t="shared" si="107"/>
        <v>31490</v>
      </c>
    </row>
    <row r="746" spans="2:17" ht="12.75">
      <c r="B746" s="20">
        <f t="shared" si="108"/>
        <v>131</v>
      </c>
      <c r="C746" s="4"/>
      <c r="D746" s="4"/>
      <c r="E746" s="4"/>
      <c r="F746" s="31" t="s">
        <v>191</v>
      </c>
      <c r="G746" s="4">
        <v>633</v>
      </c>
      <c r="H746" s="4" t="s">
        <v>125</v>
      </c>
      <c r="I746" s="17">
        <f>15768+491+1000</f>
        <v>17259</v>
      </c>
      <c r="J746" s="17"/>
      <c r="K746" s="17">
        <f t="shared" si="105"/>
        <v>17259</v>
      </c>
      <c r="L746" s="17"/>
      <c r="M746" s="17"/>
      <c r="N746" s="17">
        <f t="shared" si="106"/>
        <v>0</v>
      </c>
      <c r="O746" s="17">
        <f t="shared" si="102"/>
        <v>17259</v>
      </c>
      <c r="P746" s="17">
        <f t="shared" si="103"/>
        <v>0</v>
      </c>
      <c r="Q746" s="17">
        <f t="shared" si="107"/>
        <v>17259</v>
      </c>
    </row>
    <row r="747" spans="2:17" ht="12.75">
      <c r="B747" s="20">
        <f t="shared" si="108"/>
        <v>132</v>
      </c>
      <c r="C747" s="4"/>
      <c r="D747" s="4"/>
      <c r="E747" s="4"/>
      <c r="F747" s="31" t="s">
        <v>191</v>
      </c>
      <c r="G747" s="4">
        <v>635</v>
      </c>
      <c r="H747" s="4" t="s">
        <v>133</v>
      </c>
      <c r="I747" s="17">
        <v>22000</v>
      </c>
      <c r="J747" s="17"/>
      <c r="K747" s="17">
        <f t="shared" si="105"/>
        <v>22000</v>
      </c>
      <c r="L747" s="17"/>
      <c r="M747" s="17"/>
      <c r="N747" s="17">
        <f t="shared" si="106"/>
        <v>0</v>
      </c>
      <c r="O747" s="17">
        <f t="shared" si="102"/>
        <v>22000</v>
      </c>
      <c r="P747" s="17">
        <f t="shared" si="103"/>
        <v>0</v>
      </c>
      <c r="Q747" s="17">
        <f t="shared" si="107"/>
        <v>22000</v>
      </c>
    </row>
    <row r="748" spans="2:17" ht="12.75">
      <c r="B748" s="20">
        <f t="shared" si="108"/>
        <v>133</v>
      </c>
      <c r="C748" s="4"/>
      <c r="D748" s="4"/>
      <c r="E748" s="4"/>
      <c r="F748" s="31" t="s">
        <v>191</v>
      </c>
      <c r="G748" s="4">
        <v>637</v>
      </c>
      <c r="H748" s="4" t="s">
        <v>122</v>
      </c>
      <c r="I748" s="17">
        <v>8491</v>
      </c>
      <c r="J748" s="17"/>
      <c r="K748" s="17">
        <f t="shared" si="105"/>
        <v>8491</v>
      </c>
      <c r="L748" s="17"/>
      <c r="M748" s="17"/>
      <c r="N748" s="17">
        <f t="shared" si="106"/>
        <v>0</v>
      </c>
      <c r="O748" s="17">
        <f t="shared" si="102"/>
        <v>8491</v>
      </c>
      <c r="P748" s="17">
        <f t="shared" si="103"/>
        <v>0</v>
      </c>
      <c r="Q748" s="17">
        <f t="shared" si="107"/>
        <v>8491</v>
      </c>
    </row>
    <row r="749" spans="2:17" ht="12.75">
      <c r="B749" s="20">
        <f t="shared" si="108"/>
        <v>134</v>
      </c>
      <c r="C749" s="10"/>
      <c r="D749" s="10"/>
      <c r="E749" s="10"/>
      <c r="F749" s="30" t="s">
        <v>191</v>
      </c>
      <c r="G749" s="10">
        <v>640</v>
      </c>
      <c r="H749" s="10" t="s">
        <v>129</v>
      </c>
      <c r="I749" s="61">
        <v>450</v>
      </c>
      <c r="J749" s="61"/>
      <c r="K749" s="61">
        <f t="shared" si="105"/>
        <v>450</v>
      </c>
      <c r="L749" s="61"/>
      <c r="M749" s="61"/>
      <c r="N749" s="61">
        <f t="shared" si="106"/>
        <v>0</v>
      </c>
      <c r="O749" s="61">
        <f t="shared" si="102"/>
        <v>450</v>
      </c>
      <c r="P749" s="61">
        <f t="shared" si="103"/>
        <v>0</v>
      </c>
      <c r="Q749" s="61">
        <f t="shared" si="107"/>
        <v>450</v>
      </c>
    </row>
    <row r="750" spans="2:17" ht="12.75">
      <c r="B750" s="20">
        <f t="shared" si="108"/>
        <v>135</v>
      </c>
      <c r="C750" s="9"/>
      <c r="D750" s="9"/>
      <c r="E750" s="9"/>
      <c r="F750" s="35"/>
      <c r="G750" s="9"/>
      <c r="H750" s="9" t="s">
        <v>79</v>
      </c>
      <c r="I750" s="96">
        <f>I759+I753+I752+I751</f>
        <v>215718</v>
      </c>
      <c r="J750" s="96">
        <f>J759+J753+J752+J751</f>
        <v>0</v>
      </c>
      <c r="K750" s="96">
        <f t="shared" si="105"/>
        <v>215718</v>
      </c>
      <c r="L750" s="96"/>
      <c r="M750" s="96"/>
      <c r="N750" s="96">
        <f t="shared" si="106"/>
        <v>0</v>
      </c>
      <c r="O750" s="96">
        <f t="shared" si="102"/>
        <v>215718</v>
      </c>
      <c r="P750" s="96">
        <f t="shared" si="103"/>
        <v>0</v>
      </c>
      <c r="Q750" s="96">
        <f t="shared" si="107"/>
        <v>215718</v>
      </c>
    </row>
    <row r="751" spans="2:17" ht="12.75">
      <c r="B751" s="20">
        <f t="shared" si="108"/>
        <v>136</v>
      </c>
      <c r="C751" s="10"/>
      <c r="D751" s="10"/>
      <c r="E751" s="10"/>
      <c r="F751" s="30" t="s">
        <v>191</v>
      </c>
      <c r="G751" s="10">
        <v>610</v>
      </c>
      <c r="H751" s="10" t="s">
        <v>131</v>
      </c>
      <c r="I751" s="61">
        <v>125992</v>
      </c>
      <c r="J751" s="61"/>
      <c r="K751" s="61">
        <f t="shared" si="105"/>
        <v>125992</v>
      </c>
      <c r="L751" s="61"/>
      <c r="M751" s="61"/>
      <c r="N751" s="61">
        <f t="shared" si="106"/>
        <v>0</v>
      </c>
      <c r="O751" s="61">
        <f t="shared" si="102"/>
        <v>125992</v>
      </c>
      <c r="P751" s="61">
        <f t="shared" si="103"/>
        <v>0</v>
      </c>
      <c r="Q751" s="61">
        <f t="shared" si="107"/>
        <v>125992</v>
      </c>
    </row>
    <row r="752" spans="2:17" ht="12.75">
      <c r="B752" s="20">
        <f t="shared" si="108"/>
        <v>137</v>
      </c>
      <c r="C752" s="10"/>
      <c r="D752" s="10"/>
      <c r="E752" s="10"/>
      <c r="F752" s="30" t="s">
        <v>191</v>
      </c>
      <c r="G752" s="10">
        <v>620</v>
      </c>
      <c r="H752" s="10" t="s">
        <v>124</v>
      </c>
      <c r="I752" s="61">
        <v>46413</v>
      </c>
      <c r="J752" s="61"/>
      <c r="K752" s="61">
        <f t="shared" si="105"/>
        <v>46413</v>
      </c>
      <c r="L752" s="61"/>
      <c r="M752" s="61"/>
      <c r="N752" s="61">
        <f t="shared" si="106"/>
        <v>0</v>
      </c>
      <c r="O752" s="61">
        <f t="shared" si="102"/>
        <v>46413</v>
      </c>
      <c r="P752" s="61">
        <f t="shared" si="103"/>
        <v>0</v>
      </c>
      <c r="Q752" s="61">
        <f t="shared" si="107"/>
        <v>46413</v>
      </c>
    </row>
    <row r="753" spans="2:17" ht="12.75">
      <c r="B753" s="20">
        <f t="shared" si="108"/>
        <v>138</v>
      </c>
      <c r="C753" s="10"/>
      <c r="D753" s="10"/>
      <c r="E753" s="10"/>
      <c r="F753" s="30" t="s">
        <v>191</v>
      </c>
      <c r="G753" s="10">
        <v>630</v>
      </c>
      <c r="H753" s="10" t="s">
        <v>121</v>
      </c>
      <c r="I753" s="61">
        <f>I758+I757+I756+I755+I754</f>
        <v>42863</v>
      </c>
      <c r="J753" s="61">
        <f>J758+J757+J756+J755+J754</f>
        <v>0</v>
      </c>
      <c r="K753" s="61">
        <f t="shared" si="105"/>
        <v>42863</v>
      </c>
      <c r="L753" s="61"/>
      <c r="M753" s="61"/>
      <c r="N753" s="61">
        <f t="shared" si="106"/>
        <v>0</v>
      </c>
      <c r="O753" s="61">
        <f t="shared" si="102"/>
        <v>42863</v>
      </c>
      <c r="P753" s="61">
        <f t="shared" si="103"/>
        <v>0</v>
      </c>
      <c r="Q753" s="61">
        <f t="shared" si="107"/>
        <v>42863</v>
      </c>
    </row>
    <row r="754" spans="2:17" ht="12.75">
      <c r="B754" s="20">
        <f t="shared" si="108"/>
        <v>139</v>
      </c>
      <c r="C754" s="4"/>
      <c r="D754" s="4"/>
      <c r="E754" s="4"/>
      <c r="F754" s="31" t="s">
        <v>191</v>
      </c>
      <c r="G754" s="4">
        <v>631</v>
      </c>
      <c r="H754" s="4" t="s">
        <v>127</v>
      </c>
      <c r="I754" s="17">
        <v>150</v>
      </c>
      <c r="J754" s="17"/>
      <c r="K754" s="17">
        <f t="shared" si="105"/>
        <v>150</v>
      </c>
      <c r="L754" s="17"/>
      <c r="M754" s="17"/>
      <c r="N754" s="17">
        <f t="shared" si="106"/>
        <v>0</v>
      </c>
      <c r="O754" s="17">
        <f t="shared" si="102"/>
        <v>150</v>
      </c>
      <c r="P754" s="17">
        <f t="shared" si="103"/>
        <v>0</v>
      </c>
      <c r="Q754" s="17">
        <f t="shared" si="107"/>
        <v>150</v>
      </c>
    </row>
    <row r="755" spans="2:17" ht="12.75">
      <c r="B755" s="20">
        <f t="shared" si="108"/>
        <v>140</v>
      </c>
      <c r="C755" s="4"/>
      <c r="D755" s="4"/>
      <c r="E755" s="4"/>
      <c r="F755" s="31" t="s">
        <v>191</v>
      </c>
      <c r="G755" s="4">
        <v>632</v>
      </c>
      <c r="H755" s="4" t="s">
        <v>134</v>
      </c>
      <c r="I755" s="17">
        <v>16990</v>
      </c>
      <c r="J755" s="17"/>
      <c r="K755" s="17">
        <f t="shared" si="105"/>
        <v>16990</v>
      </c>
      <c r="L755" s="17"/>
      <c r="M755" s="17"/>
      <c r="N755" s="17">
        <f t="shared" si="106"/>
        <v>0</v>
      </c>
      <c r="O755" s="17">
        <f t="shared" si="102"/>
        <v>16990</v>
      </c>
      <c r="P755" s="17">
        <f t="shared" si="103"/>
        <v>0</v>
      </c>
      <c r="Q755" s="17">
        <f t="shared" si="107"/>
        <v>16990</v>
      </c>
    </row>
    <row r="756" spans="2:17" ht="12.75">
      <c r="B756" s="20">
        <f t="shared" si="108"/>
        <v>141</v>
      </c>
      <c r="C756" s="4"/>
      <c r="D756" s="4"/>
      <c r="E756" s="4"/>
      <c r="F756" s="31" t="s">
        <v>191</v>
      </c>
      <c r="G756" s="4">
        <v>633</v>
      </c>
      <c r="H756" s="4" t="s">
        <v>125</v>
      </c>
      <c r="I756" s="17">
        <f>15682+114</f>
        <v>15796</v>
      </c>
      <c r="J756" s="17"/>
      <c r="K756" s="17">
        <f t="shared" si="105"/>
        <v>15796</v>
      </c>
      <c r="L756" s="17"/>
      <c r="M756" s="17"/>
      <c r="N756" s="17">
        <f t="shared" si="106"/>
        <v>0</v>
      </c>
      <c r="O756" s="17">
        <f t="shared" si="102"/>
        <v>15796</v>
      </c>
      <c r="P756" s="17">
        <f t="shared" si="103"/>
        <v>0</v>
      </c>
      <c r="Q756" s="17">
        <f t="shared" si="107"/>
        <v>15796</v>
      </c>
    </row>
    <row r="757" spans="2:17" ht="12.75">
      <c r="B757" s="20">
        <f t="shared" si="108"/>
        <v>142</v>
      </c>
      <c r="C757" s="4"/>
      <c r="D757" s="4"/>
      <c r="E757" s="4"/>
      <c r="F757" s="31" t="s">
        <v>191</v>
      </c>
      <c r="G757" s="4">
        <v>635</v>
      </c>
      <c r="H757" s="4" t="s">
        <v>133</v>
      </c>
      <c r="I757" s="17">
        <v>5200</v>
      </c>
      <c r="J757" s="17"/>
      <c r="K757" s="17">
        <f t="shared" si="105"/>
        <v>5200</v>
      </c>
      <c r="L757" s="17"/>
      <c r="M757" s="17"/>
      <c r="N757" s="17">
        <f t="shared" si="106"/>
        <v>0</v>
      </c>
      <c r="O757" s="17">
        <f t="shared" si="102"/>
        <v>5200</v>
      </c>
      <c r="P757" s="17">
        <f t="shared" si="103"/>
        <v>0</v>
      </c>
      <c r="Q757" s="17">
        <f t="shared" si="107"/>
        <v>5200</v>
      </c>
    </row>
    <row r="758" spans="2:17" ht="12.75">
      <c r="B758" s="20">
        <f t="shared" si="108"/>
        <v>143</v>
      </c>
      <c r="C758" s="4"/>
      <c r="D758" s="4"/>
      <c r="E758" s="4"/>
      <c r="F758" s="31" t="s">
        <v>191</v>
      </c>
      <c r="G758" s="4">
        <v>637</v>
      </c>
      <c r="H758" s="4" t="s">
        <v>122</v>
      </c>
      <c r="I758" s="17">
        <v>4727</v>
      </c>
      <c r="J758" s="17"/>
      <c r="K758" s="17">
        <f t="shared" si="105"/>
        <v>4727</v>
      </c>
      <c r="L758" s="17"/>
      <c r="M758" s="17"/>
      <c r="N758" s="17">
        <f t="shared" si="106"/>
        <v>0</v>
      </c>
      <c r="O758" s="17">
        <f t="shared" si="102"/>
        <v>4727</v>
      </c>
      <c r="P758" s="17">
        <f t="shared" si="103"/>
        <v>0</v>
      </c>
      <c r="Q758" s="17">
        <f t="shared" si="107"/>
        <v>4727</v>
      </c>
    </row>
    <row r="759" spans="2:17" ht="12.75">
      <c r="B759" s="20">
        <f t="shared" si="108"/>
        <v>144</v>
      </c>
      <c r="C759" s="10"/>
      <c r="D759" s="10"/>
      <c r="E759" s="10"/>
      <c r="F759" s="30" t="s">
        <v>191</v>
      </c>
      <c r="G759" s="10">
        <v>640</v>
      </c>
      <c r="H759" s="10" t="s">
        <v>129</v>
      </c>
      <c r="I759" s="61">
        <v>450</v>
      </c>
      <c r="J759" s="61"/>
      <c r="K759" s="61">
        <f t="shared" si="105"/>
        <v>450</v>
      </c>
      <c r="L759" s="61"/>
      <c r="M759" s="61"/>
      <c r="N759" s="61">
        <f t="shared" si="106"/>
        <v>0</v>
      </c>
      <c r="O759" s="61">
        <f t="shared" si="102"/>
        <v>450</v>
      </c>
      <c r="P759" s="61">
        <f t="shared" si="103"/>
        <v>0</v>
      </c>
      <c r="Q759" s="61">
        <f t="shared" si="107"/>
        <v>450</v>
      </c>
    </row>
    <row r="760" spans="2:17" ht="12.75">
      <c r="B760" s="20">
        <f t="shared" si="108"/>
        <v>145</v>
      </c>
      <c r="C760" s="9"/>
      <c r="D760" s="9"/>
      <c r="E760" s="9"/>
      <c r="F760" s="35"/>
      <c r="G760" s="9"/>
      <c r="H760" s="9" t="s">
        <v>99</v>
      </c>
      <c r="I760" s="96">
        <f>I768+I763+I762+I761</f>
        <v>119996</v>
      </c>
      <c r="J760" s="96">
        <f>J768+J763+J762+J761</f>
        <v>0</v>
      </c>
      <c r="K760" s="96">
        <f t="shared" si="105"/>
        <v>119996</v>
      </c>
      <c r="L760" s="96"/>
      <c r="M760" s="96"/>
      <c r="N760" s="96">
        <f t="shared" si="106"/>
        <v>0</v>
      </c>
      <c r="O760" s="96">
        <f t="shared" si="102"/>
        <v>119996</v>
      </c>
      <c r="P760" s="96">
        <f t="shared" si="103"/>
        <v>0</v>
      </c>
      <c r="Q760" s="96">
        <f t="shared" si="107"/>
        <v>119996</v>
      </c>
    </row>
    <row r="761" spans="2:17" ht="12.75">
      <c r="B761" s="20">
        <f t="shared" si="108"/>
        <v>146</v>
      </c>
      <c r="C761" s="10"/>
      <c r="D761" s="10"/>
      <c r="E761" s="10"/>
      <c r="F761" s="30" t="s">
        <v>191</v>
      </c>
      <c r="G761" s="10">
        <v>610</v>
      </c>
      <c r="H761" s="10" t="s">
        <v>131</v>
      </c>
      <c r="I761" s="61">
        <v>70907</v>
      </c>
      <c r="J761" s="61"/>
      <c r="K761" s="61">
        <f t="shared" si="105"/>
        <v>70907</v>
      </c>
      <c r="L761" s="61"/>
      <c r="M761" s="61"/>
      <c r="N761" s="61">
        <f t="shared" si="106"/>
        <v>0</v>
      </c>
      <c r="O761" s="61">
        <f t="shared" si="102"/>
        <v>70907</v>
      </c>
      <c r="P761" s="61">
        <f t="shared" si="103"/>
        <v>0</v>
      </c>
      <c r="Q761" s="61">
        <f t="shared" si="107"/>
        <v>70907</v>
      </c>
    </row>
    <row r="762" spans="2:17" ht="12.75">
      <c r="B762" s="20">
        <f t="shared" si="108"/>
        <v>147</v>
      </c>
      <c r="C762" s="10"/>
      <c r="D762" s="10"/>
      <c r="E762" s="10"/>
      <c r="F762" s="30" t="s">
        <v>191</v>
      </c>
      <c r="G762" s="10">
        <v>620</v>
      </c>
      <c r="H762" s="10" t="s">
        <v>124</v>
      </c>
      <c r="I762" s="61">
        <v>25194</v>
      </c>
      <c r="J762" s="61"/>
      <c r="K762" s="61">
        <f t="shared" si="105"/>
        <v>25194</v>
      </c>
      <c r="L762" s="61"/>
      <c r="M762" s="61"/>
      <c r="N762" s="61">
        <f t="shared" si="106"/>
        <v>0</v>
      </c>
      <c r="O762" s="61">
        <f t="shared" si="102"/>
        <v>25194</v>
      </c>
      <c r="P762" s="61">
        <f t="shared" si="103"/>
        <v>0</v>
      </c>
      <c r="Q762" s="61">
        <f t="shared" si="107"/>
        <v>25194</v>
      </c>
    </row>
    <row r="763" spans="2:17" ht="12.75">
      <c r="B763" s="20">
        <f t="shared" si="108"/>
        <v>148</v>
      </c>
      <c r="C763" s="10"/>
      <c r="D763" s="10"/>
      <c r="E763" s="10"/>
      <c r="F763" s="30" t="s">
        <v>191</v>
      </c>
      <c r="G763" s="10">
        <v>630</v>
      </c>
      <c r="H763" s="10" t="s">
        <v>121</v>
      </c>
      <c r="I763" s="61">
        <f>I767+I766+I765+I764</f>
        <v>21397</v>
      </c>
      <c r="J763" s="61">
        <f>J767+J766+J765+J764</f>
        <v>0</v>
      </c>
      <c r="K763" s="61">
        <f t="shared" si="105"/>
        <v>21397</v>
      </c>
      <c r="L763" s="61"/>
      <c r="M763" s="61"/>
      <c r="N763" s="61">
        <f t="shared" si="106"/>
        <v>0</v>
      </c>
      <c r="O763" s="61">
        <f t="shared" si="102"/>
        <v>21397</v>
      </c>
      <c r="P763" s="61">
        <f t="shared" si="103"/>
        <v>0</v>
      </c>
      <c r="Q763" s="61">
        <f t="shared" si="107"/>
        <v>21397</v>
      </c>
    </row>
    <row r="764" spans="2:17" ht="12.75">
      <c r="B764" s="20">
        <f t="shared" si="108"/>
        <v>149</v>
      </c>
      <c r="C764" s="4"/>
      <c r="D764" s="4"/>
      <c r="E764" s="4"/>
      <c r="F764" s="31" t="s">
        <v>191</v>
      </c>
      <c r="G764" s="4">
        <v>632</v>
      </c>
      <c r="H764" s="4" t="s">
        <v>134</v>
      </c>
      <c r="I764" s="17">
        <v>7970</v>
      </c>
      <c r="J764" s="17"/>
      <c r="K764" s="17">
        <f t="shared" si="105"/>
        <v>7970</v>
      </c>
      <c r="L764" s="17"/>
      <c r="M764" s="17"/>
      <c r="N764" s="17">
        <f t="shared" si="106"/>
        <v>0</v>
      </c>
      <c r="O764" s="17">
        <f t="shared" si="102"/>
        <v>7970</v>
      </c>
      <c r="P764" s="17">
        <f t="shared" si="103"/>
        <v>0</v>
      </c>
      <c r="Q764" s="17">
        <f t="shared" si="107"/>
        <v>7970</v>
      </c>
    </row>
    <row r="765" spans="2:17" ht="12.75">
      <c r="B765" s="20">
        <f t="shared" si="108"/>
        <v>150</v>
      </c>
      <c r="C765" s="4"/>
      <c r="D765" s="4"/>
      <c r="E765" s="4"/>
      <c r="F765" s="31" t="s">
        <v>191</v>
      </c>
      <c r="G765" s="4">
        <v>633</v>
      </c>
      <c r="H765" s="4" t="s">
        <v>125</v>
      </c>
      <c r="I765" s="17">
        <f>8381+57</f>
        <v>8438</v>
      </c>
      <c r="J765" s="17">
        <v>-1000</v>
      </c>
      <c r="K765" s="17">
        <f t="shared" si="105"/>
        <v>7438</v>
      </c>
      <c r="L765" s="17"/>
      <c r="M765" s="17"/>
      <c r="N765" s="17">
        <f t="shared" si="106"/>
        <v>0</v>
      </c>
      <c r="O765" s="17">
        <f t="shared" si="102"/>
        <v>8438</v>
      </c>
      <c r="P765" s="17">
        <f t="shared" si="103"/>
        <v>-1000</v>
      </c>
      <c r="Q765" s="17">
        <f t="shared" si="107"/>
        <v>7438</v>
      </c>
    </row>
    <row r="766" spans="2:17" ht="12.75">
      <c r="B766" s="20">
        <f t="shared" si="108"/>
        <v>151</v>
      </c>
      <c r="C766" s="4"/>
      <c r="D766" s="4"/>
      <c r="E766" s="4"/>
      <c r="F766" s="31" t="s">
        <v>191</v>
      </c>
      <c r="G766" s="4">
        <v>635</v>
      </c>
      <c r="H766" s="4" t="s">
        <v>133</v>
      </c>
      <c r="I766" s="17">
        <v>2000</v>
      </c>
      <c r="J766" s="17">
        <v>1000</v>
      </c>
      <c r="K766" s="17">
        <f t="shared" si="105"/>
        <v>3000</v>
      </c>
      <c r="L766" s="17"/>
      <c r="M766" s="17"/>
      <c r="N766" s="17">
        <f t="shared" si="106"/>
        <v>0</v>
      </c>
      <c r="O766" s="17">
        <f t="shared" si="102"/>
        <v>2000</v>
      </c>
      <c r="P766" s="17">
        <f t="shared" si="103"/>
        <v>1000</v>
      </c>
      <c r="Q766" s="17">
        <f t="shared" si="107"/>
        <v>3000</v>
      </c>
    </row>
    <row r="767" spans="2:17" ht="12.75">
      <c r="B767" s="20">
        <f t="shared" si="108"/>
        <v>152</v>
      </c>
      <c r="C767" s="4"/>
      <c r="D767" s="4"/>
      <c r="E767" s="4"/>
      <c r="F767" s="31" t="s">
        <v>191</v>
      </c>
      <c r="G767" s="4">
        <v>637</v>
      </c>
      <c r="H767" s="4" t="s">
        <v>122</v>
      </c>
      <c r="I767" s="17">
        <v>2989</v>
      </c>
      <c r="J767" s="17"/>
      <c r="K767" s="17">
        <f t="shared" si="105"/>
        <v>2989</v>
      </c>
      <c r="L767" s="17"/>
      <c r="M767" s="17"/>
      <c r="N767" s="17">
        <f t="shared" si="106"/>
        <v>0</v>
      </c>
      <c r="O767" s="17">
        <f t="shared" si="102"/>
        <v>2989</v>
      </c>
      <c r="P767" s="17">
        <f t="shared" si="103"/>
        <v>0</v>
      </c>
      <c r="Q767" s="17">
        <f t="shared" si="107"/>
        <v>2989</v>
      </c>
    </row>
    <row r="768" spans="2:17" ht="12.75">
      <c r="B768" s="20">
        <f t="shared" si="108"/>
        <v>153</v>
      </c>
      <c r="C768" s="10"/>
      <c r="D768" s="10"/>
      <c r="E768" s="10"/>
      <c r="F768" s="30" t="s">
        <v>191</v>
      </c>
      <c r="G768" s="10">
        <v>640</v>
      </c>
      <c r="H768" s="10" t="s">
        <v>129</v>
      </c>
      <c r="I768" s="61">
        <v>2498</v>
      </c>
      <c r="J768" s="61"/>
      <c r="K768" s="61">
        <f t="shared" si="105"/>
        <v>2498</v>
      </c>
      <c r="L768" s="61"/>
      <c r="M768" s="61"/>
      <c r="N768" s="61">
        <f t="shared" si="106"/>
        <v>0</v>
      </c>
      <c r="O768" s="61">
        <f t="shared" si="102"/>
        <v>2498</v>
      </c>
      <c r="P768" s="61">
        <f t="shared" si="103"/>
        <v>0</v>
      </c>
      <c r="Q768" s="61">
        <f t="shared" si="107"/>
        <v>2498</v>
      </c>
    </row>
    <row r="769" spans="2:17" ht="12.75">
      <c r="B769" s="20">
        <f t="shared" si="108"/>
        <v>154</v>
      </c>
      <c r="C769" s="9"/>
      <c r="D769" s="9"/>
      <c r="E769" s="9"/>
      <c r="F769" s="35"/>
      <c r="G769" s="9"/>
      <c r="H769" s="9" t="s">
        <v>200</v>
      </c>
      <c r="I769" s="96">
        <f>I777+I772+I771+I770</f>
        <v>148791</v>
      </c>
      <c r="J769" s="96">
        <f>J777+J772+J771+J770</f>
        <v>0</v>
      </c>
      <c r="K769" s="96">
        <f t="shared" si="105"/>
        <v>148791</v>
      </c>
      <c r="L769" s="96">
        <f>L778</f>
        <v>26000</v>
      </c>
      <c r="M769" s="96">
        <f>M778</f>
        <v>0</v>
      </c>
      <c r="N769" s="96">
        <f t="shared" si="106"/>
        <v>26000</v>
      </c>
      <c r="O769" s="96">
        <f t="shared" si="102"/>
        <v>174791</v>
      </c>
      <c r="P769" s="96">
        <f t="shared" si="103"/>
        <v>0</v>
      </c>
      <c r="Q769" s="96">
        <f t="shared" si="107"/>
        <v>174791</v>
      </c>
    </row>
    <row r="770" spans="2:17" ht="12.75">
      <c r="B770" s="20">
        <f t="shared" si="108"/>
        <v>155</v>
      </c>
      <c r="C770" s="10"/>
      <c r="D770" s="10"/>
      <c r="E770" s="10"/>
      <c r="F770" s="30" t="s">
        <v>191</v>
      </c>
      <c r="G770" s="10">
        <v>610</v>
      </c>
      <c r="H770" s="10" t="s">
        <v>131</v>
      </c>
      <c r="I770" s="61">
        <v>90588</v>
      </c>
      <c r="J770" s="61"/>
      <c r="K770" s="61">
        <f t="shared" si="105"/>
        <v>90588</v>
      </c>
      <c r="L770" s="61"/>
      <c r="M770" s="61"/>
      <c r="N770" s="61">
        <f t="shared" si="106"/>
        <v>0</v>
      </c>
      <c r="O770" s="61">
        <f t="shared" si="102"/>
        <v>90588</v>
      </c>
      <c r="P770" s="61">
        <f t="shared" si="103"/>
        <v>0</v>
      </c>
      <c r="Q770" s="61">
        <f t="shared" si="107"/>
        <v>90588</v>
      </c>
    </row>
    <row r="771" spans="2:17" ht="12.75">
      <c r="B771" s="20">
        <f t="shared" si="108"/>
        <v>156</v>
      </c>
      <c r="C771" s="10"/>
      <c r="D771" s="10"/>
      <c r="E771" s="10"/>
      <c r="F771" s="30" t="s">
        <v>191</v>
      </c>
      <c r="G771" s="10">
        <v>620</v>
      </c>
      <c r="H771" s="10" t="s">
        <v>124</v>
      </c>
      <c r="I771" s="61">
        <v>33473</v>
      </c>
      <c r="J771" s="61"/>
      <c r="K771" s="61">
        <f t="shared" si="105"/>
        <v>33473</v>
      </c>
      <c r="L771" s="61"/>
      <c r="M771" s="61"/>
      <c r="N771" s="61">
        <f t="shared" si="106"/>
        <v>0</v>
      </c>
      <c r="O771" s="61">
        <f t="shared" si="102"/>
        <v>33473</v>
      </c>
      <c r="P771" s="61">
        <f t="shared" si="103"/>
        <v>0</v>
      </c>
      <c r="Q771" s="61">
        <f t="shared" si="107"/>
        <v>33473</v>
      </c>
    </row>
    <row r="772" spans="2:17" ht="12.75">
      <c r="B772" s="20">
        <f t="shared" si="108"/>
        <v>157</v>
      </c>
      <c r="C772" s="10"/>
      <c r="D772" s="10"/>
      <c r="E772" s="10"/>
      <c r="F772" s="30" t="s">
        <v>191</v>
      </c>
      <c r="G772" s="10">
        <v>630</v>
      </c>
      <c r="H772" s="10" t="s">
        <v>121</v>
      </c>
      <c r="I772" s="61">
        <f>I776+I775+I774+I773</f>
        <v>22128</v>
      </c>
      <c r="J772" s="61">
        <f>J776+J775+J774+J773</f>
        <v>0</v>
      </c>
      <c r="K772" s="61">
        <f t="shared" si="105"/>
        <v>22128</v>
      </c>
      <c r="L772" s="61"/>
      <c r="M772" s="61"/>
      <c r="N772" s="61">
        <f t="shared" si="106"/>
        <v>0</v>
      </c>
      <c r="O772" s="61">
        <f aca="true" t="shared" si="109" ref="O772:O835">I772+L772</f>
        <v>22128</v>
      </c>
      <c r="P772" s="61">
        <f aca="true" t="shared" si="110" ref="P772:P835">J772+M772</f>
        <v>0</v>
      </c>
      <c r="Q772" s="61">
        <f t="shared" si="107"/>
        <v>22128</v>
      </c>
    </row>
    <row r="773" spans="2:17" ht="12.75">
      <c r="B773" s="20">
        <f t="shared" si="108"/>
        <v>158</v>
      </c>
      <c r="C773" s="4"/>
      <c r="D773" s="4"/>
      <c r="E773" s="4"/>
      <c r="F773" s="31" t="s">
        <v>191</v>
      </c>
      <c r="G773" s="4">
        <v>632</v>
      </c>
      <c r="H773" s="4" t="s">
        <v>134</v>
      </c>
      <c r="I773" s="17">
        <v>10340</v>
      </c>
      <c r="J773" s="17"/>
      <c r="K773" s="17">
        <f t="shared" si="105"/>
        <v>10340</v>
      </c>
      <c r="L773" s="17"/>
      <c r="M773" s="17"/>
      <c r="N773" s="17">
        <f t="shared" si="106"/>
        <v>0</v>
      </c>
      <c r="O773" s="17">
        <f t="shared" si="109"/>
        <v>10340</v>
      </c>
      <c r="P773" s="17">
        <f t="shared" si="110"/>
        <v>0</v>
      </c>
      <c r="Q773" s="17">
        <f t="shared" si="107"/>
        <v>10340</v>
      </c>
    </row>
    <row r="774" spans="2:17" ht="12.75">
      <c r="B774" s="20">
        <f t="shared" si="108"/>
        <v>159</v>
      </c>
      <c r="C774" s="4"/>
      <c r="D774" s="4"/>
      <c r="E774" s="4"/>
      <c r="F774" s="31" t="s">
        <v>191</v>
      </c>
      <c r="G774" s="4">
        <v>633</v>
      </c>
      <c r="H774" s="4" t="s">
        <v>125</v>
      </c>
      <c r="I774" s="17">
        <f>6036+65</f>
        <v>6101</v>
      </c>
      <c r="J774" s="17"/>
      <c r="K774" s="17">
        <f t="shared" si="105"/>
        <v>6101</v>
      </c>
      <c r="L774" s="17"/>
      <c r="M774" s="17"/>
      <c r="N774" s="17">
        <f t="shared" si="106"/>
        <v>0</v>
      </c>
      <c r="O774" s="17">
        <f t="shared" si="109"/>
        <v>6101</v>
      </c>
      <c r="P774" s="17">
        <f t="shared" si="110"/>
        <v>0</v>
      </c>
      <c r="Q774" s="17">
        <f t="shared" si="107"/>
        <v>6101</v>
      </c>
    </row>
    <row r="775" spans="2:17" ht="12.75">
      <c r="B775" s="20">
        <f t="shared" si="108"/>
        <v>160</v>
      </c>
      <c r="C775" s="4"/>
      <c r="D775" s="4"/>
      <c r="E775" s="4"/>
      <c r="F775" s="31" t="s">
        <v>191</v>
      </c>
      <c r="G775" s="4">
        <v>635</v>
      </c>
      <c r="H775" s="4" t="s">
        <v>133</v>
      </c>
      <c r="I775" s="17">
        <v>2000</v>
      </c>
      <c r="J775" s="17"/>
      <c r="K775" s="17">
        <f t="shared" si="105"/>
        <v>2000</v>
      </c>
      <c r="L775" s="17"/>
      <c r="M775" s="17"/>
      <c r="N775" s="17">
        <f t="shared" si="106"/>
        <v>0</v>
      </c>
      <c r="O775" s="17">
        <f t="shared" si="109"/>
        <v>2000</v>
      </c>
      <c r="P775" s="17">
        <f t="shared" si="110"/>
        <v>0</v>
      </c>
      <c r="Q775" s="17">
        <f t="shared" si="107"/>
        <v>2000</v>
      </c>
    </row>
    <row r="776" spans="2:17" ht="12.75">
      <c r="B776" s="20">
        <f t="shared" si="108"/>
        <v>161</v>
      </c>
      <c r="C776" s="4"/>
      <c r="D776" s="4"/>
      <c r="E776" s="4"/>
      <c r="F776" s="31" t="s">
        <v>191</v>
      </c>
      <c r="G776" s="4">
        <v>637</v>
      </c>
      <c r="H776" s="4" t="s">
        <v>122</v>
      </c>
      <c r="I776" s="17">
        <v>3687</v>
      </c>
      <c r="J776" s="17"/>
      <c r="K776" s="17">
        <f t="shared" si="105"/>
        <v>3687</v>
      </c>
      <c r="L776" s="17"/>
      <c r="M776" s="17"/>
      <c r="N776" s="17">
        <f t="shared" si="106"/>
        <v>0</v>
      </c>
      <c r="O776" s="17">
        <f t="shared" si="109"/>
        <v>3687</v>
      </c>
      <c r="P776" s="17">
        <f t="shared" si="110"/>
        <v>0</v>
      </c>
      <c r="Q776" s="17">
        <f t="shared" si="107"/>
        <v>3687</v>
      </c>
    </row>
    <row r="777" spans="2:17" ht="12.75">
      <c r="B777" s="20">
        <f t="shared" si="108"/>
        <v>162</v>
      </c>
      <c r="C777" s="10"/>
      <c r="D777" s="10"/>
      <c r="E777" s="10"/>
      <c r="F777" s="30" t="s">
        <v>191</v>
      </c>
      <c r="G777" s="10">
        <v>640</v>
      </c>
      <c r="H777" s="10" t="s">
        <v>129</v>
      </c>
      <c r="I777" s="61">
        <v>2602</v>
      </c>
      <c r="J777" s="61"/>
      <c r="K777" s="61">
        <f t="shared" si="105"/>
        <v>2602</v>
      </c>
      <c r="L777" s="61"/>
      <c r="M777" s="61"/>
      <c r="N777" s="61">
        <f t="shared" si="106"/>
        <v>0</v>
      </c>
      <c r="O777" s="61">
        <f t="shared" si="109"/>
        <v>2602</v>
      </c>
      <c r="P777" s="61">
        <f t="shared" si="110"/>
        <v>0</v>
      </c>
      <c r="Q777" s="61">
        <f t="shared" si="107"/>
        <v>2602</v>
      </c>
    </row>
    <row r="778" spans="2:17" ht="12.75">
      <c r="B778" s="20">
        <f t="shared" si="108"/>
        <v>163</v>
      </c>
      <c r="C778" s="10"/>
      <c r="D778" s="10"/>
      <c r="E778" s="10"/>
      <c r="F778" s="30" t="s">
        <v>191</v>
      </c>
      <c r="G778" s="10">
        <v>710</v>
      </c>
      <c r="H778" s="10" t="s">
        <v>176</v>
      </c>
      <c r="I778" s="61"/>
      <c r="J778" s="61"/>
      <c r="K778" s="61">
        <f t="shared" si="105"/>
        <v>0</v>
      </c>
      <c r="L778" s="61">
        <f>L779</f>
        <v>26000</v>
      </c>
      <c r="M778" s="61">
        <f>M779</f>
        <v>0</v>
      </c>
      <c r="N778" s="61">
        <f t="shared" si="106"/>
        <v>26000</v>
      </c>
      <c r="O778" s="61">
        <f t="shared" si="109"/>
        <v>26000</v>
      </c>
      <c r="P778" s="61">
        <f t="shared" si="110"/>
        <v>0</v>
      </c>
      <c r="Q778" s="61">
        <f t="shared" si="107"/>
        <v>26000</v>
      </c>
    </row>
    <row r="779" spans="2:17" ht="12.75">
      <c r="B779" s="20">
        <f t="shared" si="108"/>
        <v>164</v>
      </c>
      <c r="C779" s="10"/>
      <c r="D779" s="10"/>
      <c r="E779" s="10"/>
      <c r="F779" s="30"/>
      <c r="G779" s="57">
        <v>717</v>
      </c>
      <c r="H779" s="57" t="s">
        <v>186</v>
      </c>
      <c r="I779" s="103"/>
      <c r="J779" s="103"/>
      <c r="K779" s="103">
        <f t="shared" si="105"/>
        <v>0</v>
      </c>
      <c r="L779" s="103">
        <f>L781+L780</f>
        <v>26000</v>
      </c>
      <c r="M779" s="103">
        <f>M781</f>
        <v>0</v>
      </c>
      <c r="N779" s="103">
        <f t="shared" si="106"/>
        <v>26000</v>
      </c>
      <c r="O779" s="103">
        <f t="shared" si="109"/>
        <v>26000</v>
      </c>
      <c r="P779" s="103">
        <f t="shared" si="110"/>
        <v>0</v>
      </c>
      <c r="Q779" s="103">
        <f t="shared" si="107"/>
        <v>26000</v>
      </c>
    </row>
    <row r="780" spans="2:17" ht="12.75">
      <c r="B780" s="20">
        <f aca="true" t="shared" si="111" ref="B780:B786">B779+1</f>
        <v>165</v>
      </c>
      <c r="C780" s="10"/>
      <c r="D780" s="10"/>
      <c r="E780" s="10"/>
      <c r="F780" s="30"/>
      <c r="G780" s="57"/>
      <c r="H780" s="59" t="s">
        <v>652</v>
      </c>
      <c r="I780" s="95"/>
      <c r="J780" s="95"/>
      <c r="K780" s="95">
        <f t="shared" si="105"/>
        <v>0</v>
      </c>
      <c r="L780" s="95">
        <v>16000</v>
      </c>
      <c r="M780" s="95"/>
      <c r="N780" s="95">
        <f t="shared" si="106"/>
        <v>16000</v>
      </c>
      <c r="O780" s="95">
        <f t="shared" si="109"/>
        <v>16000</v>
      </c>
      <c r="P780" s="95">
        <f t="shared" si="110"/>
        <v>0</v>
      </c>
      <c r="Q780" s="95">
        <f t="shared" si="107"/>
        <v>16000</v>
      </c>
    </row>
    <row r="781" spans="2:17" ht="12.75">
      <c r="B781" s="20">
        <f t="shared" si="111"/>
        <v>166</v>
      </c>
      <c r="C781" s="10"/>
      <c r="D781" s="10"/>
      <c r="E781" s="10"/>
      <c r="F781" s="30"/>
      <c r="G781" s="10"/>
      <c r="H781" s="59" t="s">
        <v>535</v>
      </c>
      <c r="I781" s="95"/>
      <c r="J781" s="95"/>
      <c r="K781" s="95">
        <f t="shared" si="105"/>
        <v>0</v>
      </c>
      <c r="L781" s="95">
        <v>10000</v>
      </c>
      <c r="M781" s="95"/>
      <c r="N781" s="95">
        <f t="shared" si="106"/>
        <v>10000</v>
      </c>
      <c r="O781" s="95">
        <f t="shared" si="109"/>
        <v>10000</v>
      </c>
      <c r="P781" s="95">
        <f t="shared" si="110"/>
        <v>0</v>
      </c>
      <c r="Q781" s="95">
        <f t="shared" si="107"/>
        <v>10000</v>
      </c>
    </row>
    <row r="782" spans="2:17" ht="12.75">
      <c r="B782" s="20">
        <f t="shared" si="111"/>
        <v>167</v>
      </c>
      <c r="C782" s="9"/>
      <c r="D782" s="9"/>
      <c r="E782" s="9"/>
      <c r="F782" s="35"/>
      <c r="G782" s="9"/>
      <c r="H782" s="9" t="s">
        <v>80</v>
      </c>
      <c r="I782" s="96">
        <f>I791+I785+I784+I783</f>
        <v>137269</v>
      </c>
      <c r="J782" s="96">
        <f>J791+J785+J784+J783</f>
        <v>0</v>
      </c>
      <c r="K782" s="96">
        <f t="shared" si="105"/>
        <v>137269</v>
      </c>
      <c r="L782" s="96"/>
      <c r="M782" s="96"/>
      <c r="N782" s="96">
        <f t="shared" si="106"/>
        <v>0</v>
      </c>
      <c r="O782" s="96">
        <f t="shared" si="109"/>
        <v>137269</v>
      </c>
      <c r="P782" s="96">
        <f t="shared" si="110"/>
        <v>0</v>
      </c>
      <c r="Q782" s="96">
        <f t="shared" si="107"/>
        <v>137269</v>
      </c>
    </row>
    <row r="783" spans="2:17" ht="12.75">
      <c r="B783" s="20">
        <f t="shared" si="111"/>
        <v>168</v>
      </c>
      <c r="C783" s="10"/>
      <c r="D783" s="10"/>
      <c r="E783" s="10"/>
      <c r="F783" s="30" t="s">
        <v>191</v>
      </c>
      <c r="G783" s="10">
        <v>610</v>
      </c>
      <c r="H783" s="10" t="s">
        <v>131</v>
      </c>
      <c r="I783" s="61">
        <v>76870</v>
      </c>
      <c r="J783" s="61"/>
      <c r="K783" s="61">
        <f t="shared" si="105"/>
        <v>76870</v>
      </c>
      <c r="L783" s="61"/>
      <c r="M783" s="61"/>
      <c r="N783" s="61">
        <f t="shared" si="106"/>
        <v>0</v>
      </c>
      <c r="O783" s="61">
        <f t="shared" si="109"/>
        <v>76870</v>
      </c>
      <c r="P783" s="61">
        <f t="shared" si="110"/>
        <v>0</v>
      </c>
      <c r="Q783" s="61">
        <f t="shared" si="107"/>
        <v>76870</v>
      </c>
    </row>
    <row r="784" spans="2:17" ht="12.75">
      <c r="B784" s="20">
        <f t="shared" si="111"/>
        <v>169</v>
      </c>
      <c r="C784" s="10"/>
      <c r="D784" s="10"/>
      <c r="E784" s="10"/>
      <c r="F784" s="30" t="s">
        <v>191</v>
      </c>
      <c r="G784" s="10">
        <v>620</v>
      </c>
      <c r="H784" s="10" t="s">
        <v>124</v>
      </c>
      <c r="I784" s="61">
        <v>28003</v>
      </c>
      <c r="J784" s="61"/>
      <c r="K784" s="61">
        <f t="shared" si="105"/>
        <v>28003</v>
      </c>
      <c r="L784" s="61"/>
      <c r="M784" s="61"/>
      <c r="N784" s="61">
        <f t="shared" si="106"/>
        <v>0</v>
      </c>
      <c r="O784" s="61">
        <f t="shared" si="109"/>
        <v>28003</v>
      </c>
      <c r="P784" s="61">
        <f t="shared" si="110"/>
        <v>0</v>
      </c>
      <c r="Q784" s="61">
        <f t="shared" si="107"/>
        <v>28003</v>
      </c>
    </row>
    <row r="785" spans="2:17" ht="12.75">
      <c r="B785" s="20">
        <f t="shared" si="111"/>
        <v>170</v>
      </c>
      <c r="C785" s="10"/>
      <c r="D785" s="10"/>
      <c r="E785" s="10"/>
      <c r="F785" s="30" t="s">
        <v>191</v>
      </c>
      <c r="G785" s="10">
        <v>630</v>
      </c>
      <c r="H785" s="10" t="s">
        <v>121</v>
      </c>
      <c r="I785" s="61">
        <f>I790+I789+I788+I787+I786</f>
        <v>29547</v>
      </c>
      <c r="J785" s="61">
        <f>J790+J789+J788+J787+J786</f>
        <v>0</v>
      </c>
      <c r="K785" s="61">
        <f t="shared" si="105"/>
        <v>29547</v>
      </c>
      <c r="L785" s="61"/>
      <c r="M785" s="61"/>
      <c r="N785" s="61">
        <f t="shared" si="106"/>
        <v>0</v>
      </c>
      <c r="O785" s="61">
        <f t="shared" si="109"/>
        <v>29547</v>
      </c>
      <c r="P785" s="61">
        <f t="shared" si="110"/>
        <v>0</v>
      </c>
      <c r="Q785" s="61">
        <f t="shared" si="107"/>
        <v>29547</v>
      </c>
    </row>
    <row r="786" spans="2:17" ht="12.75">
      <c r="B786" s="20">
        <f t="shared" si="111"/>
        <v>171</v>
      </c>
      <c r="C786" s="4"/>
      <c r="D786" s="4"/>
      <c r="E786" s="4"/>
      <c r="F786" s="31" t="s">
        <v>191</v>
      </c>
      <c r="G786" s="4">
        <v>632</v>
      </c>
      <c r="H786" s="4" t="s">
        <v>134</v>
      </c>
      <c r="I786" s="17">
        <v>450</v>
      </c>
      <c r="J786" s="17"/>
      <c r="K786" s="17">
        <f t="shared" si="105"/>
        <v>450</v>
      </c>
      <c r="L786" s="17"/>
      <c r="M786" s="17"/>
      <c r="N786" s="17">
        <f t="shared" si="106"/>
        <v>0</v>
      </c>
      <c r="O786" s="17">
        <f t="shared" si="109"/>
        <v>450</v>
      </c>
      <c r="P786" s="17">
        <f t="shared" si="110"/>
        <v>0</v>
      </c>
      <c r="Q786" s="17">
        <f t="shared" si="107"/>
        <v>450</v>
      </c>
    </row>
    <row r="787" spans="2:17" ht="12.75">
      <c r="B787" s="20">
        <f aca="true" t="shared" si="112" ref="B787:B850">B786+1</f>
        <v>172</v>
      </c>
      <c r="C787" s="4"/>
      <c r="D787" s="4"/>
      <c r="E787" s="4"/>
      <c r="F787" s="31" t="s">
        <v>191</v>
      </c>
      <c r="G787" s="4">
        <v>633</v>
      </c>
      <c r="H787" s="4" t="s">
        <v>125</v>
      </c>
      <c r="I787" s="17">
        <f>6825+50+500</f>
        <v>7375</v>
      </c>
      <c r="J787" s="17"/>
      <c r="K787" s="17">
        <f t="shared" si="105"/>
        <v>7375</v>
      </c>
      <c r="L787" s="17"/>
      <c r="M787" s="17"/>
      <c r="N787" s="17">
        <f t="shared" si="106"/>
        <v>0</v>
      </c>
      <c r="O787" s="17">
        <f t="shared" si="109"/>
        <v>7375</v>
      </c>
      <c r="P787" s="17">
        <f t="shared" si="110"/>
        <v>0</v>
      </c>
      <c r="Q787" s="17">
        <f t="shared" si="107"/>
        <v>7375</v>
      </c>
    </row>
    <row r="788" spans="2:17" ht="12.75">
      <c r="B788" s="20">
        <f t="shared" si="112"/>
        <v>173</v>
      </c>
      <c r="C788" s="4"/>
      <c r="D788" s="4"/>
      <c r="E788" s="4"/>
      <c r="F788" s="31" t="s">
        <v>191</v>
      </c>
      <c r="G788" s="4">
        <v>635</v>
      </c>
      <c r="H788" s="4" t="s">
        <v>133</v>
      </c>
      <c r="I788" s="17">
        <v>3200</v>
      </c>
      <c r="J788" s="17"/>
      <c r="K788" s="17">
        <f t="shared" si="105"/>
        <v>3200</v>
      </c>
      <c r="L788" s="17"/>
      <c r="M788" s="17"/>
      <c r="N788" s="17">
        <f t="shared" si="106"/>
        <v>0</v>
      </c>
      <c r="O788" s="17">
        <f t="shared" si="109"/>
        <v>3200</v>
      </c>
      <c r="P788" s="17">
        <f t="shared" si="110"/>
        <v>0</v>
      </c>
      <c r="Q788" s="17">
        <f t="shared" si="107"/>
        <v>3200</v>
      </c>
    </row>
    <row r="789" spans="2:17" ht="12.75">
      <c r="B789" s="20">
        <f t="shared" si="112"/>
        <v>174</v>
      </c>
      <c r="C789" s="4"/>
      <c r="D789" s="4"/>
      <c r="E789" s="4"/>
      <c r="F789" s="31" t="s">
        <v>191</v>
      </c>
      <c r="G789" s="4">
        <v>636</v>
      </c>
      <c r="H789" s="4" t="s">
        <v>126</v>
      </c>
      <c r="I789" s="17">
        <v>15000</v>
      </c>
      <c r="J789" s="17"/>
      <c r="K789" s="17">
        <f t="shared" si="105"/>
        <v>15000</v>
      </c>
      <c r="L789" s="17"/>
      <c r="M789" s="17"/>
      <c r="N789" s="17">
        <f t="shared" si="106"/>
        <v>0</v>
      </c>
      <c r="O789" s="17">
        <f t="shared" si="109"/>
        <v>15000</v>
      </c>
      <c r="P789" s="17">
        <f t="shared" si="110"/>
        <v>0</v>
      </c>
      <c r="Q789" s="17">
        <f t="shared" si="107"/>
        <v>15000</v>
      </c>
    </row>
    <row r="790" spans="2:17" ht="12.75">
      <c r="B790" s="20">
        <f t="shared" si="112"/>
        <v>175</v>
      </c>
      <c r="C790" s="4"/>
      <c r="D790" s="4"/>
      <c r="E790" s="4"/>
      <c r="F790" s="31" t="s">
        <v>191</v>
      </c>
      <c r="G790" s="4">
        <v>637</v>
      </c>
      <c r="H790" s="4" t="s">
        <v>122</v>
      </c>
      <c r="I790" s="17">
        <v>3522</v>
      </c>
      <c r="J790" s="17"/>
      <c r="K790" s="17">
        <f t="shared" si="105"/>
        <v>3522</v>
      </c>
      <c r="L790" s="17"/>
      <c r="M790" s="17"/>
      <c r="N790" s="17">
        <f t="shared" si="106"/>
        <v>0</v>
      </c>
      <c r="O790" s="17">
        <f t="shared" si="109"/>
        <v>3522</v>
      </c>
      <c r="P790" s="17">
        <f t="shared" si="110"/>
        <v>0</v>
      </c>
      <c r="Q790" s="17">
        <f t="shared" si="107"/>
        <v>3522</v>
      </c>
    </row>
    <row r="791" spans="2:17" ht="12.75">
      <c r="B791" s="20">
        <f t="shared" si="112"/>
        <v>176</v>
      </c>
      <c r="C791" s="10"/>
      <c r="D791" s="10"/>
      <c r="E791" s="10"/>
      <c r="F791" s="30" t="s">
        <v>191</v>
      </c>
      <c r="G791" s="10">
        <v>640</v>
      </c>
      <c r="H791" s="10" t="s">
        <v>129</v>
      </c>
      <c r="I791" s="61">
        <v>2849</v>
      </c>
      <c r="J791" s="61"/>
      <c r="K791" s="61">
        <f t="shared" si="105"/>
        <v>2849</v>
      </c>
      <c r="L791" s="61"/>
      <c r="M791" s="61"/>
      <c r="N791" s="61">
        <f t="shared" si="106"/>
        <v>0</v>
      </c>
      <c r="O791" s="61">
        <f t="shared" si="109"/>
        <v>2849</v>
      </c>
      <c r="P791" s="61">
        <f t="shared" si="110"/>
        <v>0</v>
      </c>
      <c r="Q791" s="61">
        <f t="shared" si="107"/>
        <v>2849</v>
      </c>
    </row>
    <row r="792" spans="2:17" ht="12.75">
      <c r="B792" s="20">
        <f t="shared" si="112"/>
        <v>177</v>
      </c>
      <c r="C792" s="9"/>
      <c r="D792" s="9"/>
      <c r="E792" s="9"/>
      <c r="F792" s="35"/>
      <c r="G792" s="9"/>
      <c r="H792" s="9" t="s">
        <v>103</v>
      </c>
      <c r="I792" s="96">
        <f>I803+I802+I795+I794+I793</f>
        <v>369516</v>
      </c>
      <c r="J792" s="96">
        <f>J803+J802+J795+J794+J793</f>
        <v>7000</v>
      </c>
      <c r="K792" s="96">
        <f t="shared" si="105"/>
        <v>376516</v>
      </c>
      <c r="L792" s="96">
        <f>L803</f>
        <v>52000</v>
      </c>
      <c r="M792" s="96">
        <f>M803</f>
        <v>0</v>
      </c>
      <c r="N792" s="96">
        <f t="shared" si="106"/>
        <v>52000</v>
      </c>
      <c r="O792" s="96">
        <f t="shared" si="109"/>
        <v>421516</v>
      </c>
      <c r="P792" s="96">
        <f t="shared" si="110"/>
        <v>7000</v>
      </c>
      <c r="Q792" s="96">
        <f t="shared" si="107"/>
        <v>428516</v>
      </c>
    </row>
    <row r="793" spans="2:17" ht="12.75">
      <c r="B793" s="20">
        <f t="shared" si="112"/>
        <v>178</v>
      </c>
      <c r="C793" s="10"/>
      <c r="D793" s="10"/>
      <c r="E793" s="10"/>
      <c r="F793" s="30" t="s">
        <v>191</v>
      </c>
      <c r="G793" s="10">
        <v>610</v>
      </c>
      <c r="H793" s="10" t="s">
        <v>131</v>
      </c>
      <c r="I793" s="61">
        <v>221470</v>
      </c>
      <c r="J793" s="61"/>
      <c r="K793" s="61">
        <f t="shared" si="105"/>
        <v>221470</v>
      </c>
      <c r="L793" s="61"/>
      <c r="M793" s="61"/>
      <c r="N793" s="61">
        <f t="shared" si="106"/>
        <v>0</v>
      </c>
      <c r="O793" s="61">
        <f t="shared" si="109"/>
        <v>221470</v>
      </c>
      <c r="P793" s="61">
        <f t="shared" si="110"/>
        <v>0</v>
      </c>
      <c r="Q793" s="61">
        <f t="shared" si="107"/>
        <v>221470</v>
      </c>
    </row>
    <row r="794" spans="2:17" ht="12.75">
      <c r="B794" s="20">
        <f t="shared" si="112"/>
        <v>179</v>
      </c>
      <c r="C794" s="10"/>
      <c r="D794" s="10"/>
      <c r="E794" s="10"/>
      <c r="F794" s="30" t="s">
        <v>191</v>
      </c>
      <c r="G794" s="10">
        <v>620</v>
      </c>
      <c r="H794" s="10" t="s">
        <v>124</v>
      </c>
      <c r="I794" s="61">
        <v>81708</v>
      </c>
      <c r="J794" s="61"/>
      <c r="K794" s="61">
        <f t="shared" si="105"/>
        <v>81708</v>
      </c>
      <c r="L794" s="61"/>
      <c r="M794" s="61"/>
      <c r="N794" s="61">
        <f t="shared" si="106"/>
        <v>0</v>
      </c>
      <c r="O794" s="61">
        <f t="shared" si="109"/>
        <v>81708</v>
      </c>
      <c r="P794" s="61">
        <f t="shared" si="110"/>
        <v>0</v>
      </c>
      <c r="Q794" s="61">
        <f t="shared" si="107"/>
        <v>81708</v>
      </c>
    </row>
    <row r="795" spans="2:17" ht="12.75">
      <c r="B795" s="20">
        <f t="shared" si="112"/>
        <v>180</v>
      </c>
      <c r="C795" s="10"/>
      <c r="D795" s="10"/>
      <c r="E795" s="10"/>
      <c r="F795" s="30" t="s">
        <v>191</v>
      </c>
      <c r="G795" s="10">
        <v>630</v>
      </c>
      <c r="H795" s="10" t="s">
        <v>121</v>
      </c>
      <c r="I795" s="61">
        <f>I801+I800+I799+I798+I797+I796</f>
        <v>63840</v>
      </c>
      <c r="J795" s="61">
        <f>J801+J800+J799+J798+J797+J796</f>
        <v>7000</v>
      </c>
      <c r="K795" s="61">
        <f t="shared" si="105"/>
        <v>70840</v>
      </c>
      <c r="L795" s="61"/>
      <c r="M795" s="61"/>
      <c r="N795" s="61">
        <f t="shared" si="106"/>
        <v>0</v>
      </c>
      <c r="O795" s="61">
        <f t="shared" si="109"/>
        <v>63840</v>
      </c>
      <c r="P795" s="61">
        <f t="shared" si="110"/>
        <v>7000</v>
      </c>
      <c r="Q795" s="61">
        <f t="shared" si="107"/>
        <v>70840</v>
      </c>
    </row>
    <row r="796" spans="2:17" ht="12.75">
      <c r="B796" s="20">
        <f t="shared" si="112"/>
        <v>181</v>
      </c>
      <c r="C796" s="4"/>
      <c r="D796" s="4"/>
      <c r="E796" s="4"/>
      <c r="F796" s="31" t="s">
        <v>191</v>
      </c>
      <c r="G796" s="4">
        <v>631</v>
      </c>
      <c r="H796" s="4" t="s">
        <v>127</v>
      </c>
      <c r="I796" s="17">
        <v>100</v>
      </c>
      <c r="J796" s="17"/>
      <c r="K796" s="17">
        <f t="shared" si="105"/>
        <v>100</v>
      </c>
      <c r="L796" s="17"/>
      <c r="M796" s="17"/>
      <c r="N796" s="17">
        <f t="shared" si="106"/>
        <v>0</v>
      </c>
      <c r="O796" s="17">
        <f t="shared" si="109"/>
        <v>100</v>
      </c>
      <c r="P796" s="17">
        <f t="shared" si="110"/>
        <v>0</v>
      </c>
      <c r="Q796" s="17">
        <f t="shared" si="107"/>
        <v>100</v>
      </c>
    </row>
    <row r="797" spans="2:17" ht="12.75">
      <c r="B797" s="20">
        <f t="shared" si="112"/>
        <v>182</v>
      </c>
      <c r="C797" s="4"/>
      <c r="D797" s="4"/>
      <c r="E797" s="4"/>
      <c r="F797" s="31" t="s">
        <v>191</v>
      </c>
      <c r="G797" s="4">
        <v>632</v>
      </c>
      <c r="H797" s="4" t="s">
        <v>134</v>
      </c>
      <c r="I797" s="17">
        <v>11640</v>
      </c>
      <c r="J797" s="17"/>
      <c r="K797" s="17">
        <f t="shared" si="105"/>
        <v>11640</v>
      </c>
      <c r="L797" s="17"/>
      <c r="M797" s="17"/>
      <c r="N797" s="17">
        <f t="shared" si="106"/>
        <v>0</v>
      </c>
      <c r="O797" s="17">
        <f t="shared" si="109"/>
        <v>11640</v>
      </c>
      <c r="P797" s="17">
        <f t="shared" si="110"/>
        <v>0</v>
      </c>
      <c r="Q797" s="17">
        <f t="shared" si="107"/>
        <v>11640</v>
      </c>
    </row>
    <row r="798" spans="2:17" ht="12.75">
      <c r="B798" s="20">
        <f t="shared" si="112"/>
        <v>183</v>
      </c>
      <c r="C798" s="4"/>
      <c r="D798" s="4"/>
      <c r="E798" s="4"/>
      <c r="F798" s="31" t="s">
        <v>191</v>
      </c>
      <c r="G798" s="4">
        <v>633</v>
      </c>
      <c r="H798" s="4" t="s">
        <v>125</v>
      </c>
      <c r="I798" s="17">
        <f>25118+356</f>
        <v>25474</v>
      </c>
      <c r="J798" s="17"/>
      <c r="K798" s="17">
        <f t="shared" si="105"/>
        <v>25474</v>
      </c>
      <c r="L798" s="17"/>
      <c r="M798" s="17"/>
      <c r="N798" s="17">
        <f t="shared" si="106"/>
        <v>0</v>
      </c>
      <c r="O798" s="17">
        <f t="shared" si="109"/>
        <v>25474</v>
      </c>
      <c r="P798" s="17">
        <f t="shared" si="110"/>
        <v>0</v>
      </c>
      <c r="Q798" s="17">
        <f t="shared" si="107"/>
        <v>25474</v>
      </c>
    </row>
    <row r="799" spans="2:17" ht="12.75">
      <c r="B799" s="20">
        <f t="shared" si="112"/>
        <v>184</v>
      </c>
      <c r="C799" s="4"/>
      <c r="D799" s="4"/>
      <c r="E799" s="4"/>
      <c r="F799" s="31" t="s">
        <v>191</v>
      </c>
      <c r="G799" s="4">
        <v>635</v>
      </c>
      <c r="H799" s="4" t="s">
        <v>133</v>
      </c>
      <c r="I799" s="17">
        <v>9000</v>
      </c>
      <c r="J799" s="17">
        <v>7000</v>
      </c>
      <c r="K799" s="17">
        <f t="shared" si="105"/>
        <v>16000</v>
      </c>
      <c r="L799" s="17"/>
      <c r="M799" s="17"/>
      <c r="N799" s="17">
        <f t="shared" si="106"/>
        <v>0</v>
      </c>
      <c r="O799" s="17">
        <f t="shared" si="109"/>
        <v>9000</v>
      </c>
      <c r="P799" s="17">
        <f t="shared" si="110"/>
        <v>7000</v>
      </c>
      <c r="Q799" s="17">
        <f t="shared" si="107"/>
        <v>16000</v>
      </c>
    </row>
    <row r="800" spans="2:17" ht="12.75">
      <c r="B800" s="20">
        <f t="shared" si="112"/>
        <v>185</v>
      </c>
      <c r="C800" s="4"/>
      <c r="D800" s="4"/>
      <c r="E800" s="4"/>
      <c r="F800" s="31" t="s">
        <v>191</v>
      </c>
      <c r="G800" s="4">
        <v>636</v>
      </c>
      <c r="H800" s="4" t="s">
        <v>126</v>
      </c>
      <c r="I800" s="17">
        <v>5000</v>
      </c>
      <c r="J800" s="17"/>
      <c r="K800" s="17">
        <f t="shared" si="105"/>
        <v>5000</v>
      </c>
      <c r="L800" s="17"/>
      <c r="M800" s="17"/>
      <c r="N800" s="17">
        <f t="shared" si="106"/>
        <v>0</v>
      </c>
      <c r="O800" s="17">
        <f t="shared" si="109"/>
        <v>5000</v>
      </c>
      <c r="P800" s="17">
        <f t="shared" si="110"/>
        <v>0</v>
      </c>
      <c r="Q800" s="17">
        <f t="shared" si="107"/>
        <v>5000</v>
      </c>
    </row>
    <row r="801" spans="2:17" ht="12.75">
      <c r="B801" s="20">
        <f t="shared" si="112"/>
        <v>186</v>
      </c>
      <c r="C801" s="4"/>
      <c r="D801" s="4"/>
      <c r="E801" s="4"/>
      <c r="F801" s="31" t="s">
        <v>191</v>
      </c>
      <c r="G801" s="4">
        <v>637</v>
      </c>
      <c r="H801" s="4" t="s">
        <v>122</v>
      </c>
      <c r="I801" s="17">
        <v>12626</v>
      </c>
      <c r="J801" s="17"/>
      <c r="K801" s="17">
        <f t="shared" si="105"/>
        <v>12626</v>
      </c>
      <c r="L801" s="17"/>
      <c r="M801" s="17"/>
      <c r="N801" s="17">
        <f t="shared" si="106"/>
        <v>0</v>
      </c>
      <c r="O801" s="17">
        <f t="shared" si="109"/>
        <v>12626</v>
      </c>
      <c r="P801" s="17">
        <f t="shared" si="110"/>
        <v>0</v>
      </c>
      <c r="Q801" s="17">
        <f t="shared" si="107"/>
        <v>12626</v>
      </c>
    </row>
    <row r="802" spans="2:17" ht="12.75">
      <c r="B802" s="20">
        <f t="shared" si="112"/>
        <v>187</v>
      </c>
      <c r="C802" s="10"/>
      <c r="D802" s="10"/>
      <c r="E802" s="10"/>
      <c r="F802" s="30" t="s">
        <v>191</v>
      </c>
      <c r="G802" s="10">
        <v>640</v>
      </c>
      <c r="H802" s="10" t="s">
        <v>129</v>
      </c>
      <c r="I802" s="61">
        <v>2498</v>
      </c>
      <c r="J802" s="61"/>
      <c r="K802" s="61">
        <f t="shared" si="105"/>
        <v>2498</v>
      </c>
      <c r="L802" s="61"/>
      <c r="M802" s="61"/>
      <c r="N802" s="61">
        <f t="shared" si="106"/>
        <v>0</v>
      </c>
      <c r="O802" s="61">
        <f t="shared" si="109"/>
        <v>2498</v>
      </c>
      <c r="P802" s="61">
        <f t="shared" si="110"/>
        <v>0</v>
      </c>
      <c r="Q802" s="61">
        <f t="shared" si="107"/>
        <v>2498</v>
      </c>
    </row>
    <row r="803" spans="2:17" ht="12.75">
      <c r="B803" s="20">
        <f t="shared" si="112"/>
        <v>188</v>
      </c>
      <c r="C803" s="10"/>
      <c r="D803" s="48"/>
      <c r="E803" s="10"/>
      <c r="F803" s="30" t="s">
        <v>191</v>
      </c>
      <c r="G803" s="10">
        <v>710</v>
      </c>
      <c r="H803" s="10" t="s">
        <v>176</v>
      </c>
      <c r="I803" s="61"/>
      <c r="J803" s="61"/>
      <c r="K803" s="61">
        <f t="shared" si="105"/>
        <v>0</v>
      </c>
      <c r="L803" s="61">
        <f>L804</f>
        <v>52000</v>
      </c>
      <c r="M803" s="61">
        <f>M804</f>
        <v>0</v>
      </c>
      <c r="N803" s="61">
        <f t="shared" si="106"/>
        <v>52000</v>
      </c>
      <c r="O803" s="61">
        <f t="shared" si="109"/>
        <v>52000</v>
      </c>
      <c r="P803" s="61">
        <f t="shared" si="110"/>
        <v>0</v>
      </c>
      <c r="Q803" s="61">
        <f t="shared" si="107"/>
        <v>52000</v>
      </c>
    </row>
    <row r="804" spans="2:17" ht="12.75">
      <c r="B804" s="20">
        <f t="shared" si="112"/>
        <v>189</v>
      </c>
      <c r="C804" s="4"/>
      <c r="D804" s="29"/>
      <c r="E804" s="4"/>
      <c r="F804" s="31" t="s">
        <v>191</v>
      </c>
      <c r="G804" s="4">
        <v>717</v>
      </c>
      <c r="H804" s="4" t="s">
        <v>186</v>
      </c>
      <c r="I804" s="17"/>
      <c r="J804" s="17"/>
      <c r="K804" s="17">
        <f t="shared" si="105"/>
        <v>0</v>
      </c>
      <c r="L804" s="17">
        <f>L805</f>
        <v>52000</v>
      </c>
      <c r="M804" s="17">
        <f>M805</f>
        <v>0</v>
      </c>
      <c r="N804" s="17">
        <f t="shared" si="106"/>
        <v>52000</v>
      </c>
      <c r="O804" s="17">
        <f t="shared" si="109"/>
        <v>52000</v>
      </c>
      <c r="P804" s="17">
        <f t="shared" si="110"/>
        <v>0</v>
      </c>
      <c r="Q804" s="17">
        <f t="shared" si="107"/>
        <v>52000</v>
      </c>
    </row>
    <row r="805" spans="2:17" ht="12.75">
      <c r="B805" s="20">
        <f t="shared" si="112"/>
        <v>190</v>
      </c>
      <c r="C805" s="4"/>
      <c r="D805" s="29"/>
      <c r="E805" s="4"/>
      <c r="F805" s="31"/>
      <c r="G805" s="4"/>
      <c r="H805" s="58" t="s">
        <v>485</v>
      </c>
      <c r="I805" s="18"/>
      <c r="J805" s="18"/>
      <c r="K805" s="18">
        <f t="shared" si="105"/>
        <v>0</v>
      </c>
      <c r="L805" s="18">
        <f>30000+22000</f>
        <v>52000</v>
      </c>
      <c r="M805" s="18"/>
      <c r="N805" s="18">
        <f t="shared" si="106"/>
        <v>52000</v>
      </c>
      <c r="O805" s="18">
        <f t="shared" si="109"/>
        <v>52000</v>
      </c>
      <c r="P805" s="18">
        <f t="shared" si="110"/>
        <v>0</v>
      </c>
      <c r="Q805" s="18">
        <f t="shared" si="107"/>
        <v>52000</v>
      </c>
    </row>
    <row r="806" spans="2:17" ht="15">
      <c r="B806" s="20">
        <f t="shared" si="112"/>
        <v>191</v>
      </c>
      <c r="C806" s="7">
        <v>2</v>
      </c>
      <c r="D806" s="232" t="s">
        <v>185</v>
      </c>
      <c r="E806" s="233"/>
      <c r="F806" s="233"/>
      <c r="G806" s="233"/>
      <c r="H806" s="234"/>
      <c r="I806" s="87">
        <f>I807+I810+I823+I852+I878+I905+I936+I969+I993+I1021</f>
        <v>10851756</v>
      </c>
      <c r="J806" s="87">
        <f>J807+J810+J823+J852+J878+J905+J936+J969+J993+J1021</f>
        <v>10041</v>
      </c>
      <c r="K806" s="87">
        <f t="shared" si="105"/>
        <v>10861797</v>
      </c>
      <c r="L806" s="87">
        <f>L810+L823+L852+L878+L905+L936+L969+L993+L1021</f>
        <v>896331</v>
      </c>
      <c r="M806" s="87">
        <f>M810+M823+M852+M878+M905+M936+M969+M993+M1021</f>
        <v>0</v>
      </c>
      <c r="N806" s="87">
        <f t="shared" si="106"/>
        <v>896331</v>
      </c>
      <c r="O806" s="87">
        <f t="shared" si="109"/>
        <v>11748087</v>
      </c>
      <c r="P806" s="87">
        <f t="shared" si="110"/>
        <v>10041</v>
      </c>
      <c r="Q806" s="87">
        <f t="shared" si="107"/>
        <v>11758128</v>
      </c>
    </row>
    <row r="807" spans="2:17" ht="12.75">
      <c r="B807" s="20">
        <f t="shared" si="112"/>
        <v>192</v>
      </c>
      <c r="C807" s="10"/>
      <c r="D807" s="10"/>
      <c r="E807" s="10"/>
      <c r="F807" s="30"/>
      <c r="G807" s="10">
        <v>630</v>
      </c>
      <c r="H807" s="10" t="s">
        <v>121</v>
      </c>
      <c r="I807" s="61">
        <f>SUM(I808:I809)</f>
        <v>14600</v>
      </c>
      <c r="J807" s="61">
        <f>SUM(J808:J809)</f>
        <v>0</v>
      </c>
      <c r="K807" s="61">
        <f t="shared" si="105"/>
        <v>14600</v>
      </c>
      <c r="L807" s="61"/>
      <c r="M807" s="61"/>
      <c r="N807" s="61">
        <f t="shared" si="106"/>
        <v>0</v>
      </c>
      <c r="O807" s="61">
        <f t="shared" si="109"/>
        <v>14600</v>
      </c>
      <c r="P807" s="61">
        <f t="shared" si="110"/>
        <v>0</v>
      </c>
      <c r="Q807" s="61">
        <f t="shared" si="107"/>
        <v>14600</v>
      </c>
    </row>
    <row r="808" spans="2:17" ht="12.75">
      <c r="B808" s="20">
        <f t="shared" si="112"/>
        <v>193</v>
      </c>
      <c r="C808" s="4"/>
      <c r="D808" s="4"/>
      <c r="E808" s="4"/>
      <c r="F808" s="31" t="s">
        <v>119</v>
      </c>
      <c r="G808" s="4">
        <v>637</v>
      </c>
      <c r="H808" s="4" t="s">
        <v>122</v>
      </c>
      <c r="I808" s="17">
        <v>2600</v>
      </c>
      <c r="J808" s="17"/>
      <c r="K808" s="17">
        <f aca="true" t="shared" si="113" ref="K808:K871">J808+I808</f>
        <v>2600</v>
      </c>
      <c r="L808" s="17"/>
      <c r="M808" s="17"/>
      <c r="N808" s="17">
        <f aca="true" t="shared" si="114" ref="N808:N871">M808+L808</f>
        <v>0</v>
      </c>
      <c r="O808" s="17">
        <f t="shared" si="109"/>
        <v>2600</v>
      </c>
      <c r="P808" s="17">
        <f t="shared" si="110"/>
        <v>0</v>
      </c>
      <c r="Q808" s="17">
        <f aca="true" t="shared" si="115" ref="Q808:Q871">O808+P808</f>
        <v>2600</v>
      </c>
    </row>
    <row r="809" spans="2:17" ht="12.75">
      <c r="B809" s="20">
        <f t="shared" si="112"/>
        <v>194</v>
      </c>
      <c r="C809" s="4"/>
      <c r="D809" s="4"/>
      <c r="E809" s="4"/>
      <c r="F809" s="33" t="s">
        <v>119</v>
      </c>
      <c r="G809" s="4">
        <v>630</v>
      </c>
      <c r="H809" s="24" t="s">
        <v>400</v>
      </c>
      <c r="I809" s="17">
        <v>12000</v>
      </c>
      <c r="J809" s="17"/>
      <c r="K809" s="17">
        <f t="shared" si="113"/>
        <v>12000</v>
      </c>
      <c r="L809" s="17"/>
      <c r="M809" s="17"/>
      <c r="N809" s="17">
        <f t="shared" si="114"/>
        <v>0</v>
      </c>
      <c r="O809" s="17">
        <f t="shared" si="109"/>
        <v>12000</v>
      </c>
      <c r="P809" s="17">
        <f t="shared" si="110"/>
        <v>0</v>
      </c>
      <c r="Q809" s="17">
        <f t="shared" si="115"/>
        <v>12000</v>
      </c>
    </row>
    <row r="810" spans="2:17" ht="15">
      <c r="B810" s="20">
        <f t="shared" si="112"/>
        <v>195</v>
      </c>
      <c r="C810" s="12"/>
      <c r="D810" s="12"/>
      <c r="E810" s="12">
        <v>4</v>
      </c>
      <c r="F810" s="34"/>
      <c r="G810" s="12"/>
      <c r="H810" s="12" t="s">
        <v>94</v>
      </c>
      <c r="I810" s="90">
        <f>I811</f>
        <v>91122</v>
      </c>
      <c r="J810" s="90">
        <f>J811</f>
        <v>0</v>
      </c>
      <c r="K810" s="90">
        <f t="shared" si="113"/>
        <v>91122</v>
      </c>
      <c r="L810" s="90"/>
      <c r="M810" s="90"/>
      <c r="N810" s="90">
        <f t="shared" si="114"/>
        <v>0</v>
      </c>
      <c r="O810" s="90">
        <f t="shared" si="109"/>
        <v>91122</v>
      </c>
      <c r="P810" s="90">
        <f t="shared" si="110"/>
        <v>0</v>
      </c>
      <c r="Q810" s="90">
        <f t="shared" si="115"/>
        <v>91122</v>
      </c>
    </row>
    <row r="811" spans="2:17" ht="12.75">
      <c r="B811" s="20">
        <f t="shared" si="112"/>
        <v>196</v>
      </c>
      <c r="C811" s="9"/>
      <c r="D811" s="9"/>
      <c r="E811" s="9"/>
      <c r="F811" s="35"/>
      <c r="G811" s="9"/>
      <c r="H811" s="9" t="s">
        <v>98</v>
      </c>
      <c r="I811" s="96">
        <f>I821+I814+I813+I812+I822</f>
        <v>91122</v>
      </c>
      <c r="J811" s="96">
        <f>J821+J814+J813+J812+J822</f>
        <v>0</v>
      </c>
      <c r="K811" s="96">
        <f t="shared" si="113"/>
        <v>91122</v>
      </c>
      <c r="L811" s="96"/>
      <c r="M811" s="96"/>
      <c r="N811" s="96">
        <f t="shared" si="114"/>
        <v>0</v>
      </c>
      <c r="O811" s="96">
        <f t="shared" si="109"/>
        <v>91122</v>
      </c>
      <c r="P811" s="96">
        <f t="shared" si="110"/>
        <v>0</v>
      </c>
      <c r="Q811" s="96">
        <f t="shared" si="115"/>
        <v>91122</v>
      </c>
    </row>
    <row r="812" spans="2:17" ht="12.75">
      <c r="B812" s="20">
        <f t="shared" si="112"/>
        <v>197</v>
      </c>
      <c r="C812" s="10"/>
      <c r="D812" s="10"/>
      <c r="E812" s="10"/>
      <c r="F812" s="30" t="s">
        <v>119</v>
      </c>
      <c r="G812" s="10">
        <v>610</v>
      </c>
      <c r="H812" s="10" t="s">
        <v>131</v>
      </c>
      <c r="I812" s="61">
        <f>64687-8540</f>
        <v>56147</v>
      </c>
      <c r="J812" s="61"/>
      <c r="K812" s="61">
        <f t="shared" si="113"/>
        <v>56147</v>
      </c>
      <c r="L812" s="61"/>
      <c r="M812" s="61"/>
      <c r="N812" s="61">
        <f t="shared" si="114"/>
        <v>0</v>
      </c>
      <c r="O812" s="61">
        <f t="shared" si="109"/>
        <v>56147</v>
      </c>
      <c r="P812" s="61">
        <f t="shared" si="110"/>
        <v>0</v>
      </c>
      <c r="Q812" s="61">
        <f t="shared" si="115"/>
        <v>56147</v>
      </c>
    </row>
    <row r="813" spans="2:17" ht="12.75">
      <c r="B813" s="20">
        <f t="shared" si="112"/>
        <v>198</v>
      </c>
      <c r="C813" s="10"/>
      <c r="D813" s="10"/>
      <c r="E813" s="10"/>
      <c r="F813" s="30" t="s">
        <v>119</v>
      </c>
      <c r="G813" s="10">
        <v>620</v>
      </c>
      <c r="H813" s="10" t="s">
        <v>124</v>
      </c>
      <c r="I813" s="61">
        <f>23817-3470</f>
        <v>20347</v>
      </c>
      <c r="J813" s="61"/>
      <c r="K813" s="61">
        <f t="shared" si="113"/>
        <v>20347</v>
      </c>
      <c r="L813" s="61"/>
      <c r="M813" s="61"/>
      <c r="N813" s="61">
        <f t="shared" si="114"/>
        <v>0</v>
      </c>
      <c r="O813" s="61">
        <f t="shared" si="109"/>
        <v>20347</v>
      </c>
      <c r="P813" s="61">
        <f t="shared" si="110"/>
        <v>0</v>
      </c>
      <c r="Q813" s="61">
        <f t="shared" si="115"/>
        <v>20347</v>
      </c>
    </row>
    <row r="814" spans="2:17" ht="12.75">
      <c r="B814" s="20">
        <f t="shared" si="112"/>
        <v>199</v>
      </c>
      <c r="C814" s="10"/>
      <c r="D814" s="10"/>
      <c r="E814" s="10"/>
      <c r="F814" s="30" t="s">
        <v>119</v>
      </c>
      <c r="G814" s="10">
        <v>630</v>
      </c>
      <c r="H814" s="10" t="s">
        <v>121</v>
      </c>
      <c r="I814" s="61">
        <f>SUM(I815:I820)</f>
        <v>11669</v>
      </c>
      <c r="J814" s="61">
        <f>SUM(J815:J820)</f>
        <v>0</v>
      </c>
      <c r="K814" s="61">
        <f t="shared" si="113"/>
        <v>11669</v>
      </c>
      <c r="L814" s="61"/>
      <c r="M814" s="61"/>
      <c r="N814" s="61">
        <f t="shared" si="114"/>
        <v>0</v>
      </c>
      <c r="O814" s="61">
        <f t="shared" si="109"/>
        <v>11669</v>
      </c>
      <c r="P814" s="61">
        <f t="shared" si="110"/>
        <v>0</v>
      </c>
      <c r="Q814" s="61">
        <f t="shared" si="115"/>
        <v>11669</v>
      </c>
    </row>
    <row r="815" spans="2:17" ht="12.75">
      <c r="B815" s="20">
        <f t="shared" si="112"/>
        <v>200</v>
      </c>
      <c r="C815" s="4"/>
      <c r="D815" s="4"/>
      <c r="E815" s="4"/>
      <c r="F815" s="31" t="s">
        <v>119</v>
      </c>
      <c r="G815" s="4">
        <v>632</v>
      </c>
      <c r="H815" s="4" t="s">
        <v>134</v>
      </c>
      <c r="I815" s="17">
        <f>6358+701-2000</f>
        <v>5059</v>
      </c>
      <c r="J815" s="17">
        <v>-700</v>
      </c>
      <c r="K815" s="17">
        <f t="shared" si="113"/>
        <v>4359</v>
      </c>
      <c r="L815" s="17"/>
      <c r="M815" s="17"/>
      <c r="N815" s="17">
        <f t="shared" si="114"/>
        <v>0</v>
      </c>
      <c r="O815" s="17">
        <f t="shared" si="109"/>
        <v>5059</v>
      </c>
      <c r="P815" s="17">
        <f t="shared" si="110"/>
        <v>-700</v>
      </c>
      <c r="Q815" s="17">
        <f t="shared" si="115"/>
        <v>4359</v>
      </c>
    </row>
    <row r="816" spans="2:17" ht="12.75">
      <c r="B816" s="20">
        <f t="shared" si="112"/>
        <v>201</v>
      </c>
      <c r="C816" s="4"/>
      <c r="D816" s="4"/>
      <c r="E816" s="4"/>
      <c r="F816" s="31" t="s">
        <v>119</v>
      </c>
      <c r="G816" s="4">
        <v>633</v>
      </c>
      <c r="H816" s="4" t="s">
        <v>125</v>
      </c>
      <c r="I816" s="17">
        <f>1248-754+2000</f>
        <v>2494</v>
      </c>
      <c r="J816" s="17">
        <v>1100</v>
      </c>
      <c r="K816" s="17">
        <f t="shared" si="113"/>
        <v>3594</v>
      </c>
      <c r="L816" s="17"/>
      <c r="M816" s="17"/>
      <c r="N816" s="17">
        <f t="shared" si="114"/>
        <v>0</v>
      </c>
      <c r="O816" s="17">
        <f t="shared" si="109"/>
        <v>2494</v>
      </c>
      <c r="P816" s="17">
        <f t="shared" si="110"/>
        <v>1100</v>
      </c>
      <c r="Q816" s="17">
        <f t="shared" si="115"/>
        <v>3594</v>
      </c>
    </row>
    <row r="817" spans="2:17" ht="12.75">
      <c r="B817" s="20">
        <f t="shared" si="112"/>
        <v>202</v>
      </c>
      <c r="C817" s="4"/>
      <c r="D817" s="4"/>
      <c r="E817" s="4"/>
      <c r="F817" s="31" t="s">
        <v>119</v>
      </c>
      <c r="G817" s="4">
        <v>634</v>
      </c>
      <c r="H817" s="4" t="s">
        <v>132</v>
      </c>
      <c r="I817" s="17">
        <v>300</v>
      </c>
      <c r="J817" s="17"/>
      <c r="K817" s="17">
        <f t="shared" si="113"/>
        <v>300</v>
      </c>
      <c r="L817" s="17"/>
      <c r="M817" s="17"/>
      <c r="N817" s="17">
        <f t="shared" si="114"/>
        <v>0</v>
      </c>
      <c r="O817" s="17">
        <f t="shared" si="109"/>
        <v>300</v>
      </c>
      <c r="P817" s="17">
        <f t="shared" si="110"/>
        <v>0</v>
      </c>
      <c r="Q817" s="17">
        <f t="shared" si="115"/>
        <v>300</v>
      </c>
    </row>
    <row r="818" spans="2:17" ht="12.75">
      <c r="B818" s="20">
        <f t="shared" si="112"/>
        <v>203</v>
      </c>
      <c r="C818" s="4"/>
      <c r="D818" s="4"/>
      <c r="E818" s="4"/>
      <c r="F818" s="31" t="s">
        <v>119</v>
      </c>
      <c r="G818" s="4">
        <v>635</v>
      </c>
      <c r="H818" s="4" t="s">
        <v>133</v>
      </c>
      <c r="I818" s="17">
        <v>500</v>
      </c>
      <c r="J818" s="17">
        <v>-400</v>
      </c>
      <c r="K818" s="17">
        <f t="shared" si="113"/>
        <v>100</v>
      </c>
      <c r="L818" s="17"/>
      <c r="M818" s="17"/>
      <c r="N818" s="17">
        <f t="shared" si="114"/>
        <v>0</v>
      </c>
      <c r="O818" s="17">
        <f t="shared" si="109"/>
        <v>500</v>
      </c>
      <c r="P818" s="17">
        <f t="shared" si="110"/>
        <v>-400</v>
      </c>
      <c r="Q818" s="17">
        <f t="shared" si="115"/>
        <v>100</v>
      </c>
    </row>
    <row r="819" spans="2:17" ht="12.75">
      <c r="B819" s="20">
        <f t="shared" si="112"/>
        <v>204</v>
      </c>
      <c r="C819" s="4"/>
      <c r="D819" s="4"/>
      <c r="E819" s="4"/>
      <c r="F819" s="31" t="s">
        <v>119</v>
      </c>
      <c r="G819" s="4">
        <v>637</v>
      </c>
      <c r="H819" s="4" t="s">
        <v>122</v>
      </c>
      <c r="I819" s="17">
        <v>2216</v>
      </c>
      <c r="J819" s="17"/>
      <c r="K819" s="17">
        <f t="shared" si="113"/>
        <v>2216</v>
      </c>
      <c r="L819" s="17"/>
      <c r="M819" s="17"/>
      <c r="N819" s="17">
        <f t="shared" si="114"/>
        <v>0</v>
      </c>
      <c r="O819" s="17">
        <f t="shared" si="109"/>
        <v>2216</v>
      </c>
      <c r="P819" s="17">
        <f t="shared" si="110"/>
        <v>0</v>
      </c>
      <c r="Q819" s="17">
        <f t="shared" si="115"/>
        <v>2216</v>
      </c>
    </row>
    <row r="820" spans="2:17" ht="12.75">
      <c r="B820" s="20">
        <f t="shared" si="112"/>
        <v>205</v>
      </c>
      <c r="C820" s="4"/>
      <c r="D820" s="4"/>
      <c r="E820" s="4"/>
      <c r="F820" s="31" t="s">
        <v>119</v>
      </c>
      <c r="G820" s="4">
        <v>637</v>
      </c>
      <c r="H820" s="4" t="s">
        <v>290</v>
      </c>
      <c r="I820" s="17">
        <v>1100</v>
      </c>
      <c r="J820" s="17"/>
      <c r="K820" s="17">
        <f t="shared" si="113"/>
        <v>1100</v>
      </c>
      <c r="L820" s="17"/>
      <c r="M820" s="17"/>
      <c r="N820" s="17">
        <f t="shared" si="114"/>
        <v>0</v>
      </c>
      <c r="O820" s="17">
        <f t="shared" si="109"/>
        <v>1100</v>
      </c>
      <c r="P820" s="17">
        <f t="shared" si="110"/>
        <v>0</v>
      </c>
      <c r="Q820" s="17">
        <f t="shared" si="115"/>
        <v>1100</v>
      </c>
    </row>
    <row r="821" spans="2:17" ht="12.75">
      <c r="B821" s="20">
        <f t="shared" si="112"/>
        <v>206</v>
      </c>
      <c r="C821" s="10"/>
      <c r="D821" s="10"/>
      <c r="E821" s="10"/>
      <c r="F821" s="30" t="s">
        <v>119</v>
      </c>
      <c r="G821" s="10">
        <v>640</v>
      </c>
      <c r="H821" s="10" t="s">
        <v>129</v>
      </c>
      <c r="I821" s="61">
        <v>1373</v>
      </c>
      <c r="J821" s="61"/>
      <c r="K821" s="61">
        <f t="shared" si="113"/>
        <v>1373</v>
      </c>
      <c r="L821" s="61"/>
      <c r="M821" s="61"/>
      <c r="N821" s="61">
        <f t="shared" si="114"/>
        <v>0</v>
      </c>
      <c r="O821" s="61">
        <f t="shared" si="109"/>
        <v>1373</v>
      </c>
      <c r="P821" s="61">
        <f t="shared" si="110"/>
        <v>0</v>
      </c>
      <c r="Q821" s="61">
        <f t="shared" si="115"/>
        <v>1373</v>
      </c>
    </row>
    <row r="822" spans="2:17" ht="12.75">
      <c r="B822" s="20">
        <f t="shared" si="112"/>
        <v>207</v>
      </c>
      <c r="C822" s="10"/>
      <c r="D822" s="10"/>
      <c r="E822" s="10"/>
      <c r="F822" s="30"/>
      <c r="G822" s="10">
        <v>630</v>
      </c>
      <c r="H822" s="10" t="s">
        <v>597</v>
      </c>
      <c r="I822" s="61">
        <v>1586</v>
      </c>
      <c r="J822" s="61"/>
      <c r="K822" s="61">
        <f t="shared" si="113"/>
        <v>1586</v>
      </c>
      <c r="L822" s="61"/>
      <c r="M822" s="61"/>
      <c r="N822" s="61">
        <f t="shared" si="114"/>
        <v>0</v>
      </c>
      <c r="O822" s="61">
        <f t="shared" si="109"/>
        <v>1586</v>
      </c>
      <c r="P822" s="61">
        <f t="shared" si="110"/>
        <v>0</v>
      </c>
      <c r="Q822" s="61">
        <f t="shared" si="115"/>
        <v>1586</v>
      </c>
    </row>
    <row r="823" spans="2:17" ht="15">
      <c r="B823" s="20">
        <f t="shared" si="112"/>
        <v>208</v>
      </c>
      <c r="C823" s="12"/>
      <c r="D823" s="12"/>
      <c r="E823" s="12">
        <v>6</v>
      </c>
      <c r="F823" s="34"/>
      <c r="G823" s="12"/>
      <c r="H823" s="12" t="s">
        <v>11</v>
      </c>
      <c r="I823" s="90">
        <f>I824+I825+I826+I833+I834+I835+I836+I844+I845</f>
        <v>1162985</v>
      </c>
      <c r="J823" s="90">
        <f>J824+J825+J826+J833+J834+J835+J836+J844+J845</f>
        <v>0</v>
      </c>
      <c r="K823" s="90">
        <f t="shared" si="113"/>
        <v>1162985</v>
      </c>
      <c r="L823" s="90">
        <f>L847</f>
        <v>69793</v>
      </c>
      <c r="M823" s="90">
        <f>M847</f>
        <v>0</v>
      </c>
      <c r="N823" s="90">
        <f t="shared" si="114"/>
        <v>69793</v>
      </c>
      <c r="O823" s="90">
        <f t="shared" si="109"/>
        <v>1232778</v>
      </c>
      <c r="P823" s="90">
        <f t="shared" si="110"/>
        <v>0</v>
      </c>
      <c r="Q823" s="90">
        <f t="shared" si="115"/>
        <v>1232778</v>
      </c>
    </row>
    <row r="824" spans="2:17" ht="12.75">
      <c r="B824" s="20">
        <f t="shared" si="112"/>
        <v>209</v>
      </c>
      <c r="C824" s="10"/>
      <c r="D824" s="10"/>
      <c r="E824" s="10"/>
      <c r="F824" s="30" t="s">
        <v>119</v>
      </c>
      <c r="G824" s="10">
        <v>610</v>
      </c>
      <c r="H824" s="10" t="s">
        <v>131</v>
      </c>
      <c r="I824" s="61">
        <f>294957-4018</f>
        <v>290939</v>
      </c>
      <c r="J824" s="61"/>
      <c r="K824" s="61">
        <f t="shared" si="113"/>
        <v>290939</v>
      </c>
      <c r="L824" s="61"/>
      <c r="M824" s="61"/>
      <c r="N824" s="61">
        <f t="shared" si="114"/>
        <v>0</v>
      </c>
      <c r="O824" s="61">
        <f t="shared" si="109"/>
        <v>290939</v>
      </c>
      <c r="P824" s="61">
        <f t="shared" si="110"/>
        <v>0</v>
      </c>
      <c r="Q824" s="61">
        <f t="shared" si="115"/>
        <v>290939</v>
      </c>
    </row>
    <row r="825" spans="2:17" ht="12.75">
      <c r="B825" s="20">
        <f t="shared" si="112"/>
        <v>210</v>
      </c>
      <c r="C825" s="10"/>
      <c r="D825" s="10"/>
      <c r="E825" s="10"/>
      <c r="F825" s="30" t="s">
        <v>119</v>
      </c>
      <c r="G825" s="10">
        <v>620</v>
      </c>
      <c r="H825" s="10" t="s">
        <v>124</v>
      </c>
      <c r="I825" s="61">
        <f>108987-8443</f>
        <v>100544</v>
      </c>
      <c r="J825" s="61"/>
      <c r="K825" s="61">
        <f t="shared" si="113"/>
        <v>100544</v>
      </c>
      <c r="L825" s="61"/>
      <c r="M825" s="61"/>
      <c r="N825" s="61">
        <f t="shared" si="114"/>
        <v>0</v>
      </c>
      <c r="O825" s="61">
        <f t="shared" si="109"/>
        <v>100544</v>
      </c>
      <c r="P825" s="61">
        <f t="shared" si="110"/>
        <v>0</v>
      </c>
      <c r="Q825" s="61">
        <f t="shared" si="115"/>
        <v>100544</v>
      </c>
    </row>
    <row r="826" spans="2:17" ht="12.75">
      <c r="B826" s="20">
        <f t="shared" si="112"/>
        <v>211</v>
      </c>
      <c r="C826" s="10"/>
      <c r="D826" s="10"/>
      <c r="E826" s="10"/>
      <c r="F826" s="30" t="s">
        <v>119</v>
      </c>
      <c r="G826" s="10">
        <v>630</v>
      </c>
      <c r="H826" s="10" t="s">
        <v>121</v>
      </c>
      <c r="I826" s="61">
        <f>I832+I831+I830+I829+I828+I827</f>
        <v>62788</v>
      </c>
      <c r="J826" s="61">
        <f>J832+J831+J830+J829+J828+J827</f>
        <v>0</v>
      </c>
      <c r="K826" s="61">
        <f t="shared" si="113"/>
        <v>62788</v>
      </c>
      <c r="L826" s="61"/>
      <c r="M826" s="61"/>
      <c r="N826" s="61">
        <f t="shared" si="114"/>
        <v>0</v>
      </c>
      <c r="O826" s="61">
        <f t="shared" si="109"/>
        <v>62788</v>
      </c>
      <c r="P826" s="61">
        <f t="shared" si="110"/>
        <v>0</v>
      </c>
      <c r="Q826" s="61">
        <f t="shared" si="115"/>
        <v>62788</v>
      </c>
    </row>
    <row r="827" spans="2:17" ht="12.75">
      <c r="B827" s="20">
        <f t="shared" si="112"/>
        <v>212</v>
      </c>
      <c r="C827" s="4"/>
      <c r="D827" s="4"/>
      <c r="E827" s="4"/>
      <c r="F827" s="31" t="s">
        <v>119</v>
      </c>
      <c r="G827" s="4">
        <v>631</v>
      </c>
      <c r="H827" s="4" t="s">
        <v>127</v>
      </c>
      <c r="I827" s="17">
        <v>274</v>
      </c>
      <c r="J827" s="17"/>
      <c r="K827" s="17">
        <f t="shared" si="113"/>
        <v>274</v>
      </c>
      <c r="L827" s="17"/>
      <c r="M827" s="17"/>
      <c r="N827" s="17">
        <f t="shared" si="114"/>
        <v>0</v>
      </c>
      <c r="O827" s="17">
        <f t="shared" si="109"/>
        <v>274</v>
      </c>
      <c r="P827" s="17">
        <f t="shared" si="110"/>
        <v>0</v>
      </c>
      <c r="Q827" s="17">
        <f t="shared" si="115"/>
        <v>274</v>
      </c>
    </row>
    <row r="828" spans="2:17" ht="12.75">
      <c r="B828" s="20">
        <f t="shared" si="112"/>
        <v>213</v>
      </c>
      <c r="C828" s="4"/>
      <c r="D828" s="4"/>
      <c r="E828" s="4"/>
      <c r="F828" s="31" t="s">
        <v>119</v>
      </c>
      <c r="G828" s="4">
        <v>632</v>
      </c>
      <c r="H828" s="4" t="s">
        <v>134</v>
      </c>
      <c r="I828" s="17">
        <f>32943-10765</f>
        <v>22178</v>
      </c>
      <c r="J828" s="17"/>
      <c r="K828" s="17">
        <f t="shared" si="113"/>
        <v>22178</v>
      </c>
      <c r="L828" s="17"/>
      <c r="M828" s="17"/>
      <c r="N828" s="17">
        <f t="shared" si="114"/>
        <v>0</v>
      </c>
      <c r="O828" s="17">
        <f t="shared" si="109"/>
        <v>22178</v>
      </c>
      <c r="P828" s="17">
        <f t="shared" si="110"/>
        <v>0</v>
      </c>
      <c r="Q828" s="17">
        <f t="shared" si="115"/>
        <v>22178</v>
      </c>
    </row>
    <row r="829" spans="2:17" ht="12.75">
      <c r="B829" s="20">
        <f t="shared" si="112"/>
        <v>214</v>
      </c>
      <c r="C829" s="4"/>
      <c r="D829" s="4"/>
      <c r="E829" s="4"/>
      <c r="F829" s="31" t="s">
        <v>119</v>
      </c>
      <c r="G829" s="4">
        <v>633</v>
      </c>
      <c r="H829" s="4" t="s">
        <v>125</v>
      </c>
      <c r="I829" s="17">
        <f>11290+5202</f>
        <v>16492</v>
      </c>
      <c r="J829" s="17"/>
      <c r="K829" s="17">
        <f t="shared" si="113"/>
        <v>16492</v>
      </c>
      <c r="L829" s="17"/>
      <c r="M829" s="17"/>
      <c r="N829" s="17">
        <f t="shared" si="114"/>
        <v>0</v>
      </c>
      <c r="O829" s="17">
        <f t="shared" si="109"/>
        <v>16492</v>
      </c>
      <c r="P829" s="17">
        <f t="shared" si="110"/>
        <v>0</v>
      </c>
      <c r="Q829" s="17">
        <f t="shared" si="115"/>
        <v>16492</v>
      </c>
    </row>
    <row r="830" spans="2:17" ht="12.75">
      <c r="B830" s="20">
        <f t="shared" si="112"/>
        <v>215</v>
      </c>
      <c r="C830" s="4"/>
      <c r="D830" s="4"/>
      <c r="E830" s="4"/>
      <c r="F830" s="31" t="s">
        <v>119</v>
      </c>
      <c r="G830" s="4">
        <v>634</v>
      </c>
      <c r="H830" s="4" t="s">
        <v>132</v>
      </c>
      <c r="I830" s="17">
        <v>1037</v>
      </c>
      <c r="J830" s="17"/>
      <c r="K830" s="17">
        <f t="shared" si="113"/>
        <v>1037</v>
      </c>
      <c r="L830" s="17"/>
      <c r="M830" s="17"/>
      <c r="N830" s="17">
        <f t="shared" si="114"/>
        <v>0</v>
      </c>
      <c r="O830" s="17">
        <f t="shared" si="109"/>
        <v>1037</v>
      </c>
      <c r="P830" s="17">
        <f t="shared" si="110"/>
        <v>0</v>
      </c>
      <c r="Q830" s="17">
        <f t="shared" si="115"/>
        <v>1037</v>
      </c>
    </row>
    <row r="831" spans="2:17" ht="12.75">
      <c r="B831" s="20">
        <f t="shared" si="112"/>
        <v>216</v>
      </c>
      <c r="C831" s="4"/>
      <c r="D831" s="4"/>
      <c r="E831" s="4"/>
      <c r="F831" s="31" t="s">
        <v>119</v>
      </c>
      <c r="G831" s="4">
        <v>635</v>
      </c>
      <c r="H831" s="4" t="s">
        <v>133</v>
      </c>
      <c r="I831" s="17">
        <v>6854</v>
      </c>
      <c r="J831" s="17"/>
      <c r="K831" s="17">
        <f t="shared" si="113"/>
        <v>6854</v>
      </c>
      <c r="L831" s="17"/>
      <c r="M831" s="17"/>
      <c r="N831" s="17">
        <f t="shared" si="114"/>
        <v>0</v>
      </c>
      <c r="O831" s="17">
        <f t="shared" si="109"/>
        <v>6854</v>
      </c>
      <c r="P831" s="17">
        <f t="shared" si="110"/>
        <v>0</v>
      </c>
      <c r="Q831" s="17">
        <f t="shared" si="115"/>
        <v>6854</v>
      </c>
    </row>
    <row r="832" spans="2:17" ht="12.75">
      <c r="B832" s="20">
        <f t="shared" si="112"/>
        <v>217</v>
      </c>
      <c r="C832" s="4"/>
      <c r="D832" s="4"/>
      <c r="E832" s="4"/>
      <c r="F832" s="31" t="s">
        <v>119</v>
      </c>
      <c r="G832" s="4">
        <v>637</v>
      </c>
      <c r="H832" s="4" t="s">
        <v>122</v>
      </c>
      <c r="I832" s="17">
        <f>16492-539</f>
        <v>15953</v>
      </c>
      <c r="J832" s="17"/>
      <c r="K832" s="17">
        <f t="shared" si="113"/>
        <v>15953</v>
      </c>
      <c r="L832" s="17"/>
      <c r="M832" s="17"/>
      <c r="N832" s="17">
        <f t="shared" si="114"/>
        <v>0</v>
      </c>
      <c r="O832" s="17">
        <f t="shared" si="109"/>
        <v>15953</v>
      </c>
      <c r="P832" s="17">
        <f t="shared" si="110"/>
        <v>0</v>
      </c>
      <c r="Q832" s="17">
        <f t="shared" si="115"/>
        <v>15953</v>
      </c>
    </row>
    <row r="833" spans="2:17" ht="12.75">
      <c r="B833" s="20">
        <f t="shared" si="112"/>
        <v>218</v>
      </c>
      <c r="C833" s="10"/>
      <c r="D833" s="10"/>
      <c r="E833" s="10"/>
      <c r="F833" s="30" t="s">
        <v>119</v>
      </c>
      <c r="G833" s="10">
        <v>640</v>
      </c>
      <c r="H833" s="10" t="s">
        <v>129</v>
      </c>
      <c r="I833" s="61">
        <v>6940</v>
      </c>
      <c r="J833" s="61"/>
      <c r="K833" s="61">
        <f t="shared" si="113"/>
        <v>6940</v>
      </c>
      <c r="L833" s="61"/>
      <c r="M833" s="61"/>
      <c r="N833" s="61">
        <f t="shared" si="114"/>
        <v>0</v>
      </c>
      <c r="O833" s="61">
        <f t="shared" si="109"/>
        <v>6940</v>
      </c>
      <c r="P833" s="61">
        <f t="shared" si="110"/>
        <v>0</v>
      </c>
      <c r="Q833" s="61">
        <f t="shared" si="115"/>
        <v>6940</v>
      </c>
    </row>
    <row r="834" spans="2:17" ht="12.75">
      <c r="B834" s="20">
        <f t="shared" si="112"/>
        <v>219</v>
      </c>
      <c r="C834" s="10"/>
      <c r="D834" s="10"/>
      <c r="E834" s="10"/>
      <c r="F834" s="30" t="s">
        <v>106</v>
      </c>
      <c r="G834" s="10">
        <v>610</v>
      </c>
      <c r="H834" s="10" t="s">
        <v>131</v>
      </c>
      <c r="I834" s="61">
        <f>410804-5187+50+3890</f>
        <v>409557</v>
      </c>
      <c r="J834" s="61"/>
      <c r="K834" s="61">
        <f t="shared" si="113"/>
        <v>409557</v>
      </c>
      <c r="L834" s="61"/>
      <c r="M834" s="61"/>
      <c r="N834" s="61">
        <f t="shared" si="114"/>
        <v>0</v>
      </c>
      <c r="O834" s="61">
        <f t="shared" si="109"/>
        <v>409557</v>
      </c>
      <c r="P834" s="61">
        <f t="shared" si="110"/>
        <v>0</v>
      </c>
      <c r="Q834" s="61">
        <f t="shared" si="115"/>
        <v>409557</v>
      </c>
    </row>
    <row r="835" spans="2:17" ht="12.75">
      <c r="B835" s="20">
        <f t="shared" si="112"/>
        <v>220</v>
      </c>
      <c r="C835" s="10"/>
      <c r="D835" s="10"/>
      <c r="E835" s="10"/>
      <c r="F835" s="30" t="s">
        <v>106</v>
      </c>
      <c r="G835" s="10">
        <v>620</v>
      </c>
      <c r="H835" s="10" t="s">
        <v>124</v>
      </c>
      <c r="I835" s="61">
        <f>151800-11337+18+1008</f>
        <v>141489</v>
      </c>
      <c r="J835" s="61"/>
      <c r="K835" s="61">
        <f t="shared" si="113"/>
        <v>141489</v>
      </c>
      <c r="L835" s="61"/>
      <c r="M835" s="61"/>
      <c r="N835" s="61">
        <f t="shared" si="114"/>
        <v>0</v>
      </c>
      <c r="O835" s="61">
        <f t="shared" si="109"/>
        <v>141489</v>
      </c>
      <c r="P835" s="61">
        <f t="shared" si="110"/>
        <v>0</v>
      </c>
      <c r="Q835" s="61">
        <f t="shared" si="115"/>
        <v>141489</v>
      </c>
    </row>
    <row r="836" spans="2:17" ht="12.75">
      <c r="B836" s="20">
        <f t="shared" si="112"/>
        <v>221</v>
      </c>
      <c r="C836" s="10"/>
      <c r="D836" s="10"/>
      <c r="E836" s="10"/>
      <c r="F836" s="30" t="s">
        <v>106</v>
      </c>
      <c r="G836" s="10">
        <v>630</v>
      </c>
      <c r="H836" s="10" t="s">
        <v>121</v>
      </c>
      <c r="I836" s="61">
        <f>SUM(I837:I843)</f>
        <v>132197</v>
      </c>
      <c r="J836" s="61">
        <f>SUM(J837:J843)</f>
        <v>0</v>
      </c>
      <c r="K836" s="61">
        <f t="shared" si="113"/>
        <v>132197</v>
      </c>
      <c r="L836" s="61"/>
      <c r="M836" s="61"/>
      <c r="N836" s="61">
        <f t="shared" si="114"/>
        <v>0</v>
      </c>
      <c r="O836" s="61">
        <f aca="true" t="shared" si="116" ref="O836:O845">I836+L836</f>
        <v>132197</v>
      </c>
      <c r="P836" s="61">
        <f aca="true" t="shared" si="117" ref="P836:P845">J836+M836</f>
        <v>0</v>
      </c>
      <c r="Q836" s="61">
        <f t="shared" si="115"/>
        <v>132197</v>
      </c>
    </row>
    <row r="837" spans="2:17" ht="12.75">
      <c r="B837" s="20">
        <f t="shared" si="112"/>
        <v>222</v>
      </c>
      <c r="C837" s="4"/>
      <c r="D837" s="4"/>
      <c r="E837" s="4"/>
      <c r="F837" s="31" t="s">
        <v>106</v>
      </c>
      <c r="G837" s="4">
        <v>631</v>
      </c>
      <c r="H837" s="4" t="s">
        <v>127</v>
      </c>
      <c r="I837" s="17">
        <v>226</v>
      </c>
      <c r="J837" s="17"/>
      <c r="K837" s="17">
        <f t="shared" si="113"/>
        <v>226</v>
      </c>
      <c r="L837" s="17"/>
      <c r="M837" s="17"/>
      <c r="N837" s="17">
        <f t="shared" si="114"/>
        <v>0</v>
      </c>
      <c r="O837" s="17">
        <f t="shared" si="116"/>
        <v>226</v>
      </c>
      <c r="P837" s="17">
        <f t="shared" si="117"/>
        <v>0</v>
      </c>
      <c r="Q837" s="17">
        <f t="shared" si="115"/>
        <v>226</v>
      </c>
    </row>
    <row r="838" spans="2:17" ht="12.75">
      <c r="B838" s="20">
        <f t="shared" si="112"/>
        <v>223</v>
      </c>
      <c r="C838" s="4"/>
      <c r="D838" s="4"/>
      <c r="E838" s="4"/>
      <c r="F838" s="31" t="s">
        <v>106</v>
      </c>
      <c r="G838" s="4">
        <v>632</v>
      </c>
      <c r="H838" s="4" t="s">
        <v>134</v>
      </c>
      <c r="I838" s="17">
        <f>27896-8808</f>
        <v>19088</v>
      </c>
      <c r="J838" s="17"/>
      <c r="K838" s="17">
        <f t="shared" si="113"/>
        <v>19088</v>
      </c>
      <c r="L838" s="17"/>
      <c r="M838" s="17"/>
      <c r="N838" s="17">
        <f t="shared" si="114"/>
        <v>0</v>
      </c>
      <c r="O838" s="17">
        <f t="shared" si="116"/>
        <v>19088</v>
      </c>
      <c r="P838" s="17">
        <f t="shared" si="117"/>
        <v>0</v>
      </c>
      <c r="Q838" s="17">
        <f t="shared" si="115"/>
        <v>19088</v>
      </c>
    </row>
    <row r="839" spans="2:17" ht="12.75">
      <c r="B839" s="20">
        <f t="shared" si="112"/>
        <v>224</v>
      </c>
      <c r="C839" s="4"/>
      <c r="D839" s="4"/>
      <c r="E839" s="4"/>
      <c r="F839" s="31" t="s">
        <v>106</v>
      </c>
      <c r="G839" s="4">
        <v>633</v>
      </c>
      <c r="H839" s="4" t="s">
        <v>125</v>
      </c>
      <c r="I839" s="17">
        <f>17109+2618</f>
        <v>19727</v>
      </c>
      <c r="J839" s="17"/>
      <c r="K839" s="17">
        <f t="shared" si="113"/>
        <v>19727</v>
      </c>
      <c r="L839" s="17"/>
      <c r="M839" s="17"/>
      <c r="N839" s="17">
        <f t="shared" si="114"/>
        <v>0</v>
      </c>
      <c r="O839" s="17">
        <f t="shared" si="116"/>
        <v>19727</v>
      </c>
      <c r="P839" s="17">
        <f t="shared" si="117"/>
        <v>0</v>
      </c>
      <c r="Q839" s="17">
        <f t="shared" si="115"/>
        <v>19727</v>
      </c>
    </row>
    <row r="840" spans="2:17" ht="12.75">
      <c r="B840" s="20">
        <f t="shared" si="112"/>
        <v>225</v>
      </c>
      <c r="C840" s="4"/>
      <c r="D840" s="4"/>
      <c r="E840" s="4"/>
      <c r="F840" s="31" t="s">
        <v>106</v>
      </c>
      <c r="G840" s="4">
        <v>634</v>
      </c>
      <c r="H840" s="4" t="s">
        <v>132</v>
      </c>
      <c r="I840" s="17">
        <v>2387</v>
      </c>
      <c r="J840" s="17"/>
      <c r="K840" s="17">
        <f t="shared" si="113"/>
        <v>2387</v>
      </c>
      <c r="L840" s="17"/>
      <c r="M840" s="17"/>
      <c r="N840" s="17">
        <f t="shared" si="114"/>
        <v>0</v>
      </c>
      <c r="O840" s="17">
        <f t="shared" si="116"/>
        <v>2387</v>
      </c>
      <c r="P840" s="17">
        <f t="shared" si="117"/>
        <v>0</v>
      </c>
      <c r="Q840" s="17">
        <f t="shared" si="115"/>
        <v>2387</v>
      </c>
    </row>
    <row r="841" spans="2:17" ht="12.75">
      <c r="B841" s="20">
        <f t="shared" si="112"/>
        <v>226</v>
      </c>
      <c r="C841" s="4"/>
      <c r="D841" s="4"/>
      <c r="E841" s="4"/>
      <c r="F841" s="31" t="s">
        <v>106</v>
      </c>
      <c r="G841" s="4">
        <v>635</v>
      </c>
      <c r="H841" s="4" t="s">
        <v>133</v>
      </c>
      <c r="I841" s="17">
        <v>61835</v>
      </c>
      <c r="J841" s="17"/>
      <c r="K841" s="17">
        <f t="shared" si="113"/>
        <v>61835</v>
      </c>
      <c r="L841" s="17"/>
      <c r="M841" s="17"/>
      <c r="N841" s="17">
        <f t="shared" si="114"/>
        <v>0</v>
      </c>
      <c r="O841" s="17">
        <f t="shared" si="116"/>
        <v>61835</v>
      </c>
      <c r="P841" s="17">
        <f t="shared" si="117"/>
        <v>0</v>
      </c>
      <c r="Q841" s="17">
        <f t="shared" si="115"/>
        <v>61835</v>
      </c>
    </row>
    <row r="842" spans="2:17" ht="12.75">
      <c r="B842" s="20">
        <f t="shared" si="112"/>
        <v>227</v>
      </c>
      <c r="C842" s="4"/>
      <c r="D842" s="4"/>
      <c r="E842" s="4"/>
      <c r="F842" s="31" t="s">
        <v>106</v>
      </c>
      <c r="G842" s="4">
        <v>637</v>
      </c>
      <c r="H842" s="4" t="s">
        <v>122</v>
      </c>
      <c r="I842" s="17">
        <f>14876-441+474</f>
        <v>14909</v>
      </c>
      <c r="J842" s="17"/>
      <c r="K842" s="17">
        <f t="shared" si="113"/>
        <v>14909</v>
      </c>
      <c r="L842" s="17"/>
      <c r="M842" s="17"/>
      <c r="N842" s="17">
        <f t="shared" si="114"/>
        <v>0</v>
      </c>
      <c r="O842" s="17">
        <f t="shared" si="116"/>
        <v>14909</v>
      </c>
      <c r="P842" s="17">
        <f t="shared" si="117"/>
        <v>0</v>
      </c>
      <c r="Q842" s="17">
        <f t="shared" si="115"/>
        <v>14909</v>
      </c>
    </row>
    <row r="843" spans="2:17" ht="12.75">
      <c r="B843" s="20">
        <f t="shared" si="112"/>
        <v>228</v>
      </c>
      <c r="C843" s="4"/>
      <c r="D843" s="4"/>
      <c r="E843" s="4"/>
      <c r="F843" s="31" t="s">
        <v>106</v>
      </c>
      <c r="G843" s="4">
        <v>637</v>
      </c>
      <c r="H843" s="4" t="s">
        <v>290</v>
      </c>
      <c r="I843" s="17">
        <v>14025</v>
      </c>
      <c r="J843" s="17"/>
      <c r="K843" s="17">
        <f t="shared" si="113"/>
        <v>14025</v>
      </c>
      <c r="L843" s="17"/>
      <c r="M843" s="17"/>
      <c r="N843" s="17">
        <f t="shared" si="114"/>
        <v>0</v>
      </c>
      <c r="O843" s="17">
        <f t="shared" si="116"/>
        <v>14025</v>
      </c>
      <c r="P843" s="17">
        <f t="shared" si="117"/>
        <v>0</v>
      </c>
      <c r="Q843" s="17">
        <f t="shared" si="115"/>
        <v>14025</v>
      </c>
    </row>
    <row r="844" spans="2:17" ht="12.75">
      <c r="B844" s="20">
        <f t="shared" si="112"/>
        <v>229</v>
      </c>
      <c r="C844" s="10"/>
      <c r="D844" s="10"/>
      <c r="E844" s="10"/>
      <c r="F844" s="30" t="s">
        <v>106</v>
      </c>
      <c r="G844" s="10">
        <v>640</v>
      </c>
      <c r="H844" s="10" t="s">
        <v>129</v>
      </c>
      <c r="I844" s="61">
        <v>700</v>
      </c>
      <c r="J844" s="61"/>
      <c r="K844" s="61">
        <f t="shared" si="113"/>
        <v>700</v>
      </c>
      <c r="L844" s="61"/>
      <c r="M844" s="61"/>
      <c r="N844" s="61">
        <f t="shared" si="114"/>
        <v>0</v>
      </c>
      <c r="O844" s="61">
        <f t="shared" si="116"/>
        <v>700</v>
      </c>
      <c r="P844" s="61">
        <f t="shared" si="117"/>
        <v>0</v>
      </c>
      <c r="Q844" s="61">
        <f t="shared" si="115"/>
        <v>700</v>
      </c>
    </row>
    <row r="845" spans="2:17" ht="12.75">
      <c r="B845" s="20">
        <f t="shared" si="112"/>
        <v>230</v>
      </c>
      <c r="C845" s="10"/>
      <c r="D845" s="10"/>
      <c r="E845" s="10"/>
      <c r="F845" s="30"/>
      <c r="G845" s="10">
        <v>630</v>
      </c>
      <c r="H845" s="10" t="s">
        <v>597</v>
      </c>
      <c r="I845" s="61">
        <v>17831</v>
      </c>
      <c r="J845" s="61"/>
      <c r="K845" s="61">
        <f t="shared" si="113"/>
        <v>17831</v>
      </c>
      <c r="L845" s="61"/>
      <c r="M845" s="61"/>
      <c r="N845" s="61">
        <f t="shared" si="114"/>
        <v>0</v>
      </c>
      <c r="O845" s="61">
        <f t="shared" si="116"/>
        <v>17831</v>
      </c>
      <c r="P845" s="61">
        <f t="shared" si="117"/>
        <v>0</v>
      </c>
      <c r="Q845" s="61">
        <f t="shared" si="115"/>
        <v>17831</v>
      </c>
    </row>
    <row r="846" spans="2:17" ht="12.75">
      <c r="B846" s="20">
        <f t="shared" si="112"/>
        <v>231</v>
      </c>
      <c r="C846" s="10"/>
      <c r="D846" s="10"/>
      <c r="E846" s="10"/>
      <c r="F846" s="30"/>
      <c r="G846" s="10"/>
      <c r="H846" s="10"/>
      <c r="I846" s="61"/>
      <c r="J846" s="61"/>
      <c r="K846" s="61">
        <f t="shared" si="113"/>
        <v>0</v>
      </c>
      <c r="L846" s="61"/>
      <c r="M846" s="61"/>
      <c r="N846" s="61">
        <f t="shared" si="114"/>
        <v>0</v>
      </c>
      <c r="O846" s="61"/>
      <c r="P846" s="61"/>
      <c r="Q846" s="61">
        <f t="shared" si="115"/>
        <v>0</v>
      </c>
    </row>
    <row r="847" spans="2:17" ht="12.75">
      <c r="B847" s="20">
        <f t="shared" si="112"/>
        <v>232</v>
      </c>
      <c r="C847" s="10"/>
      <c r="D847" s="10"/>
      <c r="E847" s="10"/>
      <c r="F847" s="30" t="s">
        <v>106</v>
      </c>
      <c r="G847" s="10">
        <v>710</v>
      </c>
      <c r="H847" s="10" t="s">
        <v>176</v>
      </c>
      <c r="I847" s="61"/>
      <c r="J847" s="61"/>
      <c r="K847" s="61">
        <f t="shared" si="113"/>
        <v>0</v>
      </c>
      <c r="L847" s="61">
        <f>L848+L850</f>
        <v>69793</v>
      </c>
      <c r="M847" s="61">
        <f>M848+M850</f>
        <v>0</v>
      </c>
      <c r="N847" s="61">
        <f t="shared" si="114"/>
        <v>69793</v>
      </c>
      <c r="O847" s="103">
        <f aca="true" t="shared" si="118" ref="O847:O873">I847+L847</f>
        <v>69793</v>
      </c>
      <c r="P847" s="103">
        <f aca="true" t="shared" si="119" ref="P847:P873">J847+M847</f>
        <v>0</v>
      </c>
      <c r="Q847" s="103">
        <f t="shared" si="115"/>
        <v>69793</v>
      </c>
    </row>
    <row r="848" spans="2:17" ht="12.75">
      <c r="B848" s="20">
        <f t="shared" si="112"/>
        <v>233</v>
      </c>
      <c r="C848" s="10"/>
      <c r="D848" s="10"/>
      <c r="E848" s="10"/>
      <c r="F848" s="40" t="s">
        <v>106</v>
      </c>
      <c r="G848" s="41">
        <v>713</v>
      </c>
      <c r="H848" s="41" t="s">
        <v>225</v>
      </c>
      <c r="I848" s="61"/>
      <c r="J848" s="61"/>
      <c r="K848" s="61">
        <f t="shared" si="113"/>
        <v>0</v>
      </c>
      <c r="L848" s="103">
        <f>L849</f>
        <v>68137</v>
      </c>
      <c r="M848" s="103">
        <f>M849</f>
        <v>0</v>
      </c>
      <c r="N848" s="103">
        <f t="shared" si="114"/>
        <v>68137</v>
      </c>
      <c r="O848" s="103">
        <f t="shared" si="118"/>
        <v>68137</v>
      </c>
      <c r="P848" s="103">
        <f t="shared" si="119"/>
        <v>0</v>
      </c>
      <c r="Q848" s="103">
        <f t="shared" si="115"/>
        <v>68137</v>
      </c>
    </row>
    <row r="849" spans="2:17" ht="12.75">
      <c r="B849" s="20">
        <f t="shared" si="112"/>
        <v>234</v>
      </c>
      <c r="C849" s="10"/>
      <c r="D849" s="10"/>
      <c r="E849" s="10"/>
      <c r="F849" s="30"/>
      <c r="G849" s="10"/>
      <c r="H849" s="42" t="s">
        <v>375</v>
      </c>
      <c r="I849" s="61"/>
      <c r="J849" s="61"/>
      <c r="K849" s="61">
        <f t="shared" si="113"/>
        <v>0</v>
      </c>
      <c r="L849" s="95">
        <v>68137</v>
      </c>
      <c r="M849" s="95"/>
      <c r="N849" s="95">
        <f t="shared" si="114"/>
        <v>68137</v>
      </c>
      <c r="O849" s="103">
        <f t="shared" si="118"/>
        <v>68137</v>
      </c>
      <c r="P849" s="103">
        <f t="shared" si="119"/>
        <v>0</v>
      </c>
      <c r="Q849" s="103">
        <f t="shared" si="115"/>
        <v>68137</v>
      </c>
    </row>
    <row r="850" spans="2:17" ht="12.75">
      <c r="B850" s="20">
        <f t="shared" si="112"/>
        <v>235</v>
      </c>
      <c r="C850" s="10"/>
      <c r="D850" s="10"/>
      <c r="E850" s="10"/>
      <c r="F850" s="40" t="s">
        <v>106</v>
      </c>
      <c r="G850" s="41">
        <v>717</v>
      </c>
      <c r="H850" s="41" t="s">
        <v>186</v>
      </c>
      <c r="I850" s="61"/>
      <c r="J850" s="61"/>
      <c r="K850" s="61">
        <f t="shared" si="113"/>
        <v>0</v>
      </c>
      <c r="L850" s="103">
        <f>L851</f>
        <v>1656</v>
      </c>
      <c r="M850" s="103">
        <f>M851</f>
        <v>0</v>
      </c>
      <c r="N850" s="103">
        <f t="shared" si="114"/>
        <v>1656</v>
      </c>
      <c r="O850" s="103">
        <f t="shared" si="118"/>
        <v>1656</v>
      </c>
      <c r="P850" s="103">
        <f t="shared" si="119"/>
        <v>0</v>
      </c>
      <c r="Q850" s="103">
        <f t="shared" si="115"/>
        <v>1656</v>
      </c>
    </row>
    <row r="851" spans="2:17" ht="12.75">
      <c r="B851" s="20">
        <f aca="true" t="shared" si="120" ref="B851:B914">B850+1</f>
        <v>236</v>
      </c>
      <c r="C851" s="10"/>
      <c r="D851" s="10"/>
      <c r="E851" s="10"/>
      <c r="F851" s="30"/>
      <c r="G851" s="10"/>
      <c r="H851" s="42" t="s">
        <v>375</v>
      </c>
      <c r="I851" s="61"/>
      <c r="J851" s="61"/>
      <c r="K851" s="61">
        <f t="shared" si="113"/>
        <v>0</v>
      </c>
      <c r="L851" s="95">
        <v>1656</v>
      </c>
      <c r="M851" s="95"/>
      <c r="N851" s="95">
        <f t="shared" si="114"/>
        <v>1656</v>
      </c>
      <c r="O851" s="103">
        <f t="shared" si="118"/>
        <v>1656</v>
      </c>
      <c r="P851" s="103">
        <f t="shared" si="119"/>
        <v>0</v>
      </c>
      <c r="Q851" s="103">
        <f t="shared" si="115"/>
        <v>1656</v>
      </c>
    </row>
    <row r="852" spans="2:17" ht="15">
      <c r="B852" s="20">
        <f t="shared" si="120"/>
        <v>237</v>
      </c>
      <c r="C852" s="12"/>
      <c r="D852" s="12"/>
      <c r="E852" s="12">
        <v>7</v>
      </c>
      <c r="F852" s="34"/>
      <c r="G852" s="12"/>
      <c r="H852" s="12" t="s">
        <v>12</v>
      </c>
      <c r="I852" s="90">
        <f>I853+I854+I855+I861+I862+I863+I864+I872+I873</f>
        <v>1474091</v>
      </c>
      <c r="J852" s="90">
        <f>J853+J854+J855+J861+J862+J863+J864+J872+J873</f>
        <v>0</v>
      </c>
      <c r="K852" s="90">
        <f t="shared" si="113"/>
        <v>1474091</v>
      </c>
      <c r="L852" s="90">
        <f>L875</f>
        <v>449000</v>
      </c>
      <c r="M852" s="90">
        <f>M875</f>
        <v>0</v>
      </c>
      <c r="N852" s="90">
        <f t="shared" si="114"/>
        <v>449000</v>
      </c>
      <c r="O852" s="90">
        <f t="shared" si="118"/>
        <v>1923091</v>
      </c>
      <c r="P852" s="90">
        <f t="shared" si="119"/>
        <v>0</v>
      </c>
      <c r="Q852" s="90">
        <f t="shared" si="115"/>
        <v>1923091</v>
      </c>
    </row>
    <row r="853" spans="2:17" ht="12.75">
      <c r="B853" s="20">
        <f t="shared" si="120"/>
        <v>238</v>
      </c>
      <c r="C853" s="10"/>
      <c r="D853" s="10"/>
      <c r="E853" s="10"/>
      <c r="F853" s="30" t="s">
        <v>119</v>
      </c>
      <c r="G853" s="10">
        <v>610</v>
      </c>
      <c r="H853" s="10" t="s">
        <v>131</v>
      </c>
      <c r="I853" s="61">
        <f>304000+8400</f>
        <v>312400</v>
      </c>
      <c r="J853" s="61">
        <v>-300</v>
      </c>
      <c r="K853" s="61">
        <f t="shared" si="113"/>
        <v>312100</v>
      </c>
      <c r="L853" s="61"/>
      <c r="M853" s="61"/>
      <c r="N853" s="61">
        <f t="shared" si="114"/>
        <v>0</v>
      </c>
      <c r="O853" s="61">
        <f t="shared" si="118"/>
        <v>312400</v>
      </c>
      <c r="P853" s="61">
        <f t="shared" si="119"/>
        <v>-300</v>
      </c>
      <c r="Q853" s="61">
        <f t="shared" si="115"/>
        <v>312100</v>
      </c>
    </row>
    <row r="854" spans="2:17" ht="12.75">
      <c r="B854" s="20">
        <f t="shared" si="120"/>
        <v>239</v>
      </c>
      <c r="C854" s="10"/>
      <c r="D854" s="10"/>
      <c r="E854" s="10"/>
      <c r="F854" s="30" t="s">
        <v>119</v>
      </c>
      <c r="G854" s="10">
        <v>620</v>
      </c>
      <c r="H854" s="10" t="s">
        <v>124</v>
      </c>
      <c r="I854" s="61">
        <f>111670-2974</f>
        <v>108696</v>
      </c>
      <c r="J854" s="61"/>
      <c r="K854" s="61">
        <f t="shared" si="113"/>
        <v>108696</v>
      </c>
      <c r="L854" s="61"/>
      <c r="M854" s="61"/>
      <c r="N854" s="61">
        <f t="shared" si="114"/>
        <v>0</v>
      </c>
      <c r="O854" s="61">
        <f t="shared" si="118"/>
        <v>108696</v>
      </c>
      <c r="P854" s="61">
        <f t="shared" si="119"/>
        <v>0</v>
      </c>
      <c r="Q854" s="61">
        <f t="shared" si="115"/>
        <v>108696</v>
      </c>
    </row>
    <row r="855" spans="2:17" ht="12.75">
      <c r="B855" s="20">
        <f t="shared" si="120"/>
        <v>240</v>
      </c>
      <c r="C855" s="10"/>
      <c r="D855" s="10"/>
      <c r="E855" s="10"/>
      <c r="F855" s="30" t="s">
        <v>119</v>
      </c>
      <c r="G855" s="10">
        <v>630</v>
      </c>
      <c r="H855" s="10" t="s">
        <v>121</v>
      </c>
      <c r="I855" s="61">
        <f>I860+I859+I858+I857+I856</f>
        <v>61849</v>
      </c>
      <c r="J855" s="61">
        <f>J860+J859+J858+J857+J856</f>
        <v>0</v>
      </c>
      <c r="K855" s="61">
        <f t="shared" si="113"/>
        <v>61849</v>
      </c>
      <c r="L855" s="61"/>
      <c r="M855" s="61"/>
      <c r="N855" s="61">
        <f t="shared" si="114"/>
        <v>0</v>
      </c>
      <c r="O855" s="61">
        <f t="shared" si="118"/>
        <v>61849</v>
      </c>
      <c r="P855" s="61">
        <f t="shared" si="119"/>
        <v>0</v>
      </c>
      <c r="Q855" s="61">
        <f t="shared" si="115"/>
        <v>61849</v>
      </c>
    </row>
    <row r="856" spans="2:17" ht="12.75">
      <c r="B856" s="20">
        <f t="shared" si="120"/>
        <v>241</v>
      </c>
      <c r="C856" s="4"/>
      <c r="D856" s="4"/>
      <c r="E856" s="4"/>
      <c r="F856" s="31" t="s">
        <v>119</v>
      </c>
      <c r="G856" s="4">
        <v>631</v>
      </c>
      <c r="H856" s="4" t="s">
        <v>127</v>
      </c>
      <c r="I856" s="17">
        <v>180</v>
      </c>
      <c r="J856" s="17"/>
      <c r="K856" s="17">
        <f t="shared" si="113"/>
        <v>180</v>
      </c>
      <c r="L856" s="17"/>
      <c r="M856" s="17"/>
      <c r="N856" s="17">
        <f t="shared" si="114"/>
        <v>0</v>
      </c>
      <c r="O856" s="17">
        <f t="shared" si="118"/>
        <v>180</v>
      </c>
      <c r="P856" s="17">
        <f t="shared" si="119"/>
        <v>0</v>
      </c>
      <c r="Q856" s="17">
        <f t="shared" si="115"/>
        <v>180</v>
      </c>
    </row>
    <row r="857" spans="2:17" ht="12.75">
      <c r="B857" s="20">
        <f t="shared" si="120"/>
        <v>242</v>
      </c>
      <c r="C857" s="4"/>
      <c r="D857" s="4"/>
      <c r="E857" s="4"/>
      <c r="F857" s="31" t="s">
        <v>119</v>
      </c>
      <c r="G857" s="4">
        <v>632</v>
      </c>
      <c r="H857" s="4" t="s">
        <v>134</v>
      </c>
      <c r="I857" s="17">
        <f>20830-2651-4000</f>
        <v>14179</v>
      </c>
      <c r="J857" s="17"/>
      <c r="K857" s="17">
        <f t="shared" si="113"/>
        <v>14179</v>
      </c>
      <c r="L857" s="17"/>
      <c r="M857" s="17"/>
      <c r="N857" s="17">
        <f t="shared" si="114"/>
        <v>0</v>
      </c>
      <c r="O857" s="17">
        <f t="shared" si="118"/>
        <v>14179</v>
      </c>
      <c r="P857" s="17">
        <f t="shared" si="119"/>
        <v>0</v>
      </c>
      <c r="Q857" s="17">
        <f t="shared" si="115"/>
        <v>14179</v>
      </c>
    </row>
    <row r="858" spans="2:17" ht="12.75">
      <c r="B858" s="20">
        <f t="shared" si="120"/>
        <v>243</v>
      </c>
      <c r="C858" s="4"/>
      <c r="D858" s="4"/>
      <c r="E858" s="4"/>
      <c r="F858" s="31" t="s">
        <v>119</v>
      </c>
      <c r="G858" s="4">
        <v>633</v>
      </c>
      <c r="H858" s="4" t="s">
        <v>125</v>
      </c>
      <c r="I858" s="17">
        <f>19550-4850</f>
        <v>14700</v>
      </c>
      <c r="J858" s="17"/>
      <c r="K858" s="17">
        <f t="shared" si="113"/>
        <v>14700</v>
      </c>
      <c r="L858" s="17"/>
      <c r="M858" s="17"/>
      <c r="N858" s="17">
        <f t="shared" si="114"/>
        <v>0</v>
      </c>
      <c r="O858" s="17">
        <f t="shared" si="118"/>
        <v>14700</v>
      </c>
      <c r="P858" s="17">
        <f t="shared" si="119"/>
        <v>0</v>
      </c>
      <c r="Q858" s="17">
        <f t="shared" si="115"/>
        <v>14700</v>
      </c>
    </row>
    <row r="859" spans="2:17" ht="12.75">
      <c r="B859" s="20">
        <f t="shared" si="120"/>
        <v>244</v>
      </c>
      <c r="C859" s="4"/>
      <c r="D859" s="4"/>
      <c r="E859" s="4"/>
      <c r="F859" s="31" t="s">
        <v>119</v>
      </c>
      <c r="G859" s="4">
        <v>635</v>
      </c>
      <c r="H859" s="4" t="s">
        <v>133</v>
      </c>
      <c r="I859" s="17">
        <f>11040-5000+4000</f>
        <v>10040</v>
      </c>
      <c r="J859" s="17"/>
      <c r="K859" s="17">
        <f t="shared" si="113"/>
        <v>10040</v>
      </c>
      <c r="L859" s="17"/>
      <c r="M859" s="17"/>
      <c r="N859" s="17">
        <f t="shared" si="114"/>
        <v>0</v>
      </c>
      <c r="O859" s="17">
        <f t="shared" si="118"/>
        <v>10040</v>
      </c>
      <c r="P859" s="17">
        <f t="shared" si="119"/>
        <v>0</v>
      </c>
      <c r="Q859" s="17">
        <f t="shared" si="115"/>
        <v>10040</v>
      </c>
    </row>
    <row r="860" spans="2:17" ht="12.75">
      <c r="B860" s="20">
        <f t="shared" si="120"/>
        <v>245</v>
      </c>
      <c r="C860" s="4"/>
      <c r="D860" s="4"/>
      <c r="E860" s="4"/>
      <c r="F860" s="31" t="s">
        <v>119</v>
      </c>
      <c r="G860" s="4">
        <v>637</v>
      </c>
      <c r="H860" s="4" t="s">
        <v>122</v>
      </c>
      <c r="I860" s="17">
        <f>32750-10000</f>
        <v>22750</v>
      </c>
      <c r="J860" s="17"/>
      <c r="K860" s="17">
        <f t="shared" si="113"/>
        <v>22750</v>
      </c>
      <c r="L860" s="17"/>
      <c r="M860" s="17"/>
      <c r="N860" s="17">
        <f t="shared" si="114"/>
        <v>0</v>
      </c>
      <c r="O860" s="17">
        <f t="shared" si="118"/>
        <v>22750</v>
      </c>
      <c r="P860" s="17">
        <f t="shared" si="119"/>
        <v>0</v>
      </c>
      <c r="Q860" s="17">
        <f t="shared" si="115"/>
        <v>22750</v>
      </c>
    </row>
    <row r="861" spans="2:17" ht="12.75">
      <c r="B861" s="20">
        <f t="shared" si="120"/>
        <v>246</v>
      </c>
      <c r="C861" s="10"/>
      <c r="D861" s="10"/>
      <c r="E861" s="10"/>
      <c r="F861" s="30" t="s">
        <v>119</v>
      </c>
      <c r="G861" s="10">
        <v>640</v>
      </c>
      <c r="H861" s="10" t="s">
        <v>129</v>
      </c>
      <c r="I861" s="61">
        <f>530-30</f>
        <v>500</v>
      </c>
      <c r="J861" s="61">
        <v>300</v>
      </c>
      <c r="K861" s="61">
        <f t="shared" si="113"/>
        <v>800</v>
      </c>
      <c r="L861" s="61"/>
      <c r="M861" s="61"/>
      <c r="N861" s="61">
        <f t="shared" si="114"/>
        <v>0</v>
      </c>
      <c r="O861" s="61">
        <f t="shared" si="118"/>
        <v>500</v>
      </c>
      <c r="P861" s="61">
        <f t="shared" si="119"/>
        <v>300</v>
      </c>
      <c r="Q861" s="61">
        <f t="shared" si="115"/>
        <v>800</v>
      </c>
    </row>
    <row r="862" spans="2:17" ht="12.75">
      <c r="B862" s="20">
        <f t="shared" si="120"/>
        <v>247</v>
      </c>
      <c r="C862" s="10"/>
      <c r="D862" s="10"/>
      <c r="E862" s="10"/>
      <c r="F862" s="30" t="s">
        <v>106</v>
      </c>
      <c r="G862" s="10">
        <v>610</v>
      </c>
      <c r="H862" s="10" t="s">
        <v>131</v>
      </c>
      <c r="I862" s="61">
        <f>583544+57201+50</f>
        <v>640795</v>
      </c>
      <c r="J862" s="61"/>
      <c r="K862" s="61">
        <f t="shared" si="113"/>
        <v>640795</v>
      </c>
      <c r="L862" s="61"/>
      <c r="M862" s="61"/>
      <c r="N862" s="61">
        <f t="shared" si="114"/>
        <v>0</v>
      </c>
      <c r="O862" s="61">
        <f t="shared" si="118"/>
        <v>640795</v>
      </c>
      <c r="P862" s="61">
        <f t="shared" si="119"/>
        <v>0</v>
      </c>
      <c r="Q862" s="61">
        <f t="shared" si="115"/>
        <v>640795</v>
      </c>
    </row>
    <row r="863" spans="2:17" ht="12.75">
      <c r="B863" s="20">
        <f t="shared" si="120"/>
        <v>248</v>
      </c>
      <c r="C863" s="10"/>
      <c r="D863" s="10"/>
      <c r="E863" s="10"/>
      <c r="F863" s="30" t="s">
        <v>106</v>
      </c>
      <c r="G863" s="10">
        <v>620</v>
      </c>
      <c r="H863" s="10" t="s">
        <v>124</v>
      </c>
      <c r="I863" s="61">
        <f>217022+3998+18</f>
        <v>221038</v>
      </c>
      <c r="J863" s="61"/>
      <c r="K863" s="61">
        <f t="shared" si="113"/>
        <v>221038</v>
      </c>
      <c r="L863" s="61"/>
      <c r="M863" s="61"/>
      <c r="N863" s="61">
        <f t="shared" si="114"/>
        <v>0</v>
      </c>
      <c r="O863" s="61">
        <f t="shared" si="118"/>
        <v>221038</v>
      </c>
      <c r="P863" s="61">
        <f t="shared" si="119"/>
        <v>0</v>
      </c>
      <c r="Q863" s="61">
        <f t="shared" si="115"/>
        <v>221038</v>
      </c>
    </row>
    <row r="864" spans="2:17" ht="12.75">
      <c r="B864" s="20">
        <f t="shared" si="120"/>
        <v>249</v>
      </c>
      <c r="C864" s="10"/>
      <c r="D864" s="10"/>
      <c r="E864" s="10"/>
      <c r="F864" s="30" t="s">
        <v>106</v>
      </c>
      <c r="G864" s="10">
        <v>630</v>
      </c>
      <c r="H864" s="10" t="s">
        <v>121</v>
      </c>
      <c r="I864" s="61">
        <f>SUM(I865:I871)</f>
        <v>122450</v>
      </c>
      <c r="J864" s="61">
        <f>SUM(J865:J871)</f>
        <v>0</v>
      </c>
      <c r="K864" s="61">
        <f t="shared" si="113"/>
        <v>122450</v>
      </c>
      <c r="L864" s="61"/>
      <c r="M864" s="61"/>
      <c r="N864" s="61">
        <f t="shared" si="114"/>
        <v>0</v>
      </c>
      <c r="O864" s="61">
        <f t="shared" si="118"/>
        <v>122450</v>
      </c>
      <c r="P864" s="61">
        <f t="shared" si="119"/>
        <v>0</v>
      </c>
      <c r="Q864" s="61">
        <f t="shared" si="115"/>
        <v>122450</v>
      </c>
    </row>
    <row r="865" spans="2:17" ht="12.75">
      <c r="B865" s="20">
        <f t="shared" si="120"/>
        <v>250</v>
      </c>
      <c r="C865" s="4"/>
      <c r="D865" s="4"/>
      <c r="E865" s="4"/>
      <c r="F865" s="31" t="s">
        <v>106</v>
      </c>
      <c r="G865" s="4">
        <v>631</v>
      </c>
      <c r="H865" s="4" t="s">
        <v>127</v>
      </c>
      <c r="I865" s="17">
        <v>200</v>
      </c>
      <c r="J865" s="17"/>
      <c r="K865" s="17">
        <f t="shared" si="113"/>
        <v>200</v>
      </c>
      <c r="L865" s="17"/>
      <c r="M865" s="17"/>
      <c r="N865" s="17">
        <f t="shared" si="114"/>
        <v>0</v>
      </c>
      <c r="O865" s="17">
        <f t="shared" si="118"/>
        <v>200</v>
      </c>
      <c r="P865" s="17">
        <f t="shared" si="119"/>
        <v>0</v>
      </c>
      <c r="Q865" s="17">
        <f t="shared" si="115"/>
        <v>200</v>
      </c>
    </row>
    <row r="866" spans="2:17" ht="12.75">
      <c r="B866" s="20">
        <f t="shared" si="120"/>
        <v>251</v>
      </c>
      <c r="C866" s="4"/>
      <c r="D866" s="4"/>
      <c r="E866" s="4"/>
      <c r="F866" s="31" t="s">
        <v>106</v>
      </c>
      <c r="G866" s="4">
        <v>632</v>
      </c>
      <c r="H866" s="4" t="s">
        <v>134</v>
      </c>
      <c r="I866" s="17">
        <f>26300-8400-5000</f>
        <v>12900</v>
      </c>
      <c r="J866" s="17"/>
      <c r="K866" s="17">
        <f t="shared" si="113"/>
        <v>12900</v>
      </c>
      <c r="L866" s="17"/>
      <c r="M866" s="17"/>
      <c r="N866" s="17">
        <f t="shared" si="114"/>
        <v>0</v>
      </c>
      <c r="O866" s="17">
        <f t="shared" si="118"/>
        <v>12900</v>
      </c>
      <c r="P866" s="17">
        <f t="shared" si="119"/>
        <v>0</v>
      </c>
      <c r="Q866" s="17">
        <f t="shared" si="115"/>
        <v>12900</v>
      </c>
    </row>
    <row r="867" spans="2:17" ht="12.75">
      <c r="B867" s="20">
        <f t="shared" si="120"/>
        <v>252</v>
      </c>
      <c r="C867" s="4"/>
      <c r="D867" s="4"/>
      <c r="E867" s="4"/>
      <c r="F867" s="31" t="s">
        <v>106</v>
      </c>
      <c r="G867" s="4">
        <v>633</v>
      </c>
      <c r="H867" s="4" t="s">
        <v>125</v>
      </c>
      <c r="I867" s="17">
        <f>26300+400</f>
        <v>26700</v>
      </c>
      <c r="J867" s="17"/>
      <c r="K867" s="17">
        <f t="shared" si="113"/>
        <v>26700</v>
      </c>
      <c r="L867" s="17"/>
      <c r="M867" s="17"/>
      <c r="N867" s="17">
        <f t="shared" si="114"/>
        <v>0</v>
      </c>
      <c r="O867" s="17">
        <f t="shared" si="118"/>
        <v>26700</v>
      </c>
      <c r="P867" s="17">
        <f t="shared" si="119"/>
        <v>0</v>
      </c>
      <c r="Q867" s="17">
        <f t="shared" si="115"/>
        <v>26700</v>
      </c>
    </row>
    <row r="868" spans="2:17" ht="12.75">
      <c r="B868" s="20">
        <f t="shared" si="120"/>
        <v>253</v>
      </c>
      <c r="C868" s="4"/>
      <c r="D868" s="4"/>
      <c r="E868" s="4"/>
      <c r="F868" s="31" t="s">
        <v>106</v>
      </c>
      <c r="G868" s="4">
        <v>634</v>
      </c>
      <c r="H868" s="4" t="s">
        <v>132</v>
      </c>
      <c r="I868" s="17">
        <v>1200</v>
      </c>
      <c r="J868" s="17"/>
      <c r="K868" s="17">
        <f t="shared" si="113"/>
        <v>1200</v>
      </c>
      <c r="L868" s="17"/>
      <c r="M868" s="17"/>
      <c r="N868" s="17">
        <f t="shared" si="114"/>
        <v>0</v>
      </c>
      <c r="O868" s="17">
        <f t="shared" si="118"/>
        <v>1200</v>
      </c>
      <c r="P868" s="17">
        <f t="shared" si="119"/>
        <v>0</v>
      </c>
      <c r="Q868" s="17">
        <f t="shared" si="115"/>
        <v>1200</v>
      </c>
    </row>
    <row r="869" spans="2:17" ht="12.75">
      <c r="B869" s="20">
        <f t="shared" si="120"/>
        <v>254</v>
      </c>
      <c r="C869" s="4"/>
      <c r="D869" s="4"/>
      <c r="E869" s="4"/>
      <c r="F869" s="31" t="s">
        <v>106</v>
      </c>
      <c r="G869" s="4">
        <v>635</v>
      </c>
      <c r="H869" s="4" t="s">
        <v>133</v>
      </c>
      <c r="I869" s="17">
        <f>20500+5000</f>
        <v>25500</v>
      </c>
      <c r="J869" s="17"/>
      <c r="K869" s="17">
        <f t="shared" si="113"/>
        <v>25500</v>
      </c>
      <c r="L869" s="17"/>
      <c r="M869" s="17"/>
      <c r="N869" s="17">
        <f t="shared" si="114"/>
        <v>0</v>
      </c>
      <c r="O869" s="17">
        <f t="shared" si="118"/>
        <v>25500</v>
      </c>
      <c r="P869" s="17">
        <f t="shared" si="119"/>
        <v>0</v>
      </c>
      <c r="Q869" s="17">
        <f t="shared" si="115"/>
        <v>25500</v>
      </c>
    </row>
    <row r="870" spans="2:17" ht="12.75">
      <c r="B870" s="20">
        <f t="shared" si="120"/>
        <v>255</v>
      </c>
      <c r="C870" s="4"/>
      <c r="D870" s="4"/>
      <c r="E870" s="4"/>
      <c r="F870" s="31" t="s">
        <v>106</v>
      </c>
      <c r="G870" s="4">
        <v>637</v>
      </c>
      <c r="H870" s="4" t="s">
        <v>122</v>
      </c>
      <c r="I870" s="17">
        <f>45510-4560</f>
        <v>40950</v>
      </c>
      <c r="J870" s="17"/>
      <c r="K870" s="17">
        <f t="shared" si="113"/>
        <v>40950</v>
      </c>
      <c r="L870" s="17"/>
      <c r="M870" s="17"/>
      <c r="N870" s="17">
        <f t="shared" si="114"/>
        <v>0</v>
      </c>
      <c r="O870" s="17">
        <f t="shared" si="118"/>
        <v>40950</v>
      </c>
      <c r="P870" s="17">
        <f t="shared" si="119"/>
        <v>0</v>
      </c>
      <c r="Q870" s="17">
        <f t="shared" si="115"/>
        <v>40950</v>
      </c>
    </row>
    <row r="871" spans="2:17" ht="12.75">
      <c r="B871" s="20">
        <f t="shared" si="120"/>
        <v>256</v>
      </c>
      <c r="C871" s="4"/>
      <c r="D871" s="4"/>
      <c r="E871" s="4"/>
      <c r="F871" s="33" t="s">
        <v>106</v>
      </c>
      <c r="G871" s="4">
        <v>637</v>
      </c>
      <c r="H871" s="24" t="s">
        <v>290</v>
      </c>
      <c r="I871" s="17">
        <v>15000</v>
      </c>
      <c r="J871" s="17"/>
      <c r="K871" s="17">
        <f t="shared" si="113"/>
        <v>15000</v>
      </c>
      <c r="L871" s="17"/>
      <c r="M871" s="17"/>
      <c r="N871" s="17">
        <f t="shared" si="114"/>
        <v>0</v>
      </c>
      <c r="O871" s="17">
        <f t="shared" si="118"/>
        <v>15000</v>
      </c>
      <c r="P871" s="17">
        <f t="shared" si="119"/>
        <v>0</v>
      </c>
      <c r="Q871" s="17">
        <f t="shared" si="115"/>
        <v>15000</v>
      </c>
    </row>
    <row r="872" spans="2:17" ht="12.75">
      <c r="B872" s="20">
        <f t="shared" si="120"/>
        <v>257</v>
      </c>
      <c r="C872" s="10"/>
      <c r="D872" s="10"/>
      <c r="E872" s="10"/>
      <c r="F872" s="30" t="s">
        <v>106</v>
      </c>
      <c r="G872" s="10">
        <v>640</v>
      </c>
      <c r="H872" s="10" t="s">
        <v>129</v>
      </c>
      <c r="I872" s="61">
        <f>2136-136</f>
        <v>2000</v>
      </c>
      <c r="J872" s="61"/>
      <c r="K872" s="61">
        <f aca="true" t="shared" si="121" ref="K872:K935">J872+I872</f>
        <v>2000</v>
      </c>
      <c r="L872" s="61"/>
      <c r="M872" s="61"/>
      <c r="N872" s="61">
        <f aca="true" t="shared" si="122" ref="N872:N935">M872+L872</f>
        <v>0</v>
      </c>
      <c r="O872" s="61">
        <f t="shared" si="118"/>
        <v>2000</v>
      </c>
      <c r="P872" s="61">
        <f t="shared" si="119"/>
        <v>0</v>
      </c>
      <c r="Q872" s="61">
        <f aca="true" t="shared" si="123" ref="Q872:Q935">O872+P872</f>
        <v>2000</v>
      </c>
    </row>
    <row r="873" spans="2:17" ht="12.75">
      <c r="B873" s="20">
        <f t="shared" si="120"/>
        <v>258</v>
      </c>
      <c r="C873" s="10"/>
      <c r="D873" s="10"/>
      <c r="E873" s="10"/>
      <c r="F873" s="30"/>
      <c r="G873" s="10">
        <v>630</v>
      </c>
      <c r="H873" s="10" t="s">
        <v>597</v>
      </c>
      <c r="I873" s="61">
        <v>4363</v>
      </c>
      <c r="J873" s="61"/>
      <c r="K873" s="61">
        <f t="shared" si="121"/>
        <v>4363</v>
      </c>
      <c r="L873" s="61"/>
      <c r="M873" s="61"/>
      <c r="N873" s="61">
        <f t="shared" si="122"/>
        <v>0</v>
      </c>
      <c r="O873" s="61">
        <f t="shared" si="118"/>
        <v>4363</v>
      </c>
      <c r="P873" s="61">
        <f t="shared" si="119"/>
        <v>0</v>
      </c>
      <c r="Q873" s="61">
        <f t="shared" si="123"/>
        <v>4363</v>
      </c>
    </row>
    <row r="874" spans="2:17" ht="12.75">
      <c r="B874" s="20">
        <f t="shared" si="120"/>
        <v>259</v>
      </c>
      <c r="C874" s="10"/>
      <c r="D874" s="10"/>
      <c r="E874" s="10"/>
      <c r="F874" s="30"/>
      <c r="G874" s="10"/>
      <c r="H874" s="10"/>
      <c r="I874" s="61"/>
      <c r="J874" s="61"/>
      <c r="K874" s="61">
        <f t="shared" si="121"/>
        <v>0</v>
      </c>
      <c r="L874" s="61"/>
      <c r="M874" s="61"/>
      <c r="N874" s="61">
        <f t="shared" si="122"/>
        <v>0</v>
      </c>
      <c r="O874" s="61"/>
      <c r="P874" s="61"/>
      <c r="Q874" s="61">
        <f t="shared" si="123"/>
        <v>0</v>
      </c>
    </row>
    <row r="875" spans="2:17" ht="12.75">
      <c r="B875" s="20">
        <f t="shared" si="120"/>
        <v>260</v>
      </c>
      <c r="C875" s="10"/>
      <c r="D875" s="10"/>
      <c r="E875" s="10"/>
      <c r="F875" s="30" t="s">
        <v>106</v>
      </c>
      <c r="G875" s="10">
        <v>710</v>
      </c>
      <c r="H875" s="10" t="s">
        <v>176</v>
      </c>
      <c r="I875" s="61"/>
      <c r="J875" s="61"/>
      <c r="K875" s="61">
        <f t="shared" si="121"/>
        <v>0</v>
      </c>
      <c r="L875" s="61">
        <f>L876</f>
        <v>449000</v>
      </c>
      <c r="M875" s="61">
        <f>M876</f>
        <v>0</v>
      </c>
      <c r="N875" s="61">
        <f t="shared" si="122"/>
        <v>449000</v>
      </c>
      <c r="O875" s="61">
        <f>I875+L875</f>
        <v>449000</v>
      </c>
      <c r="P875" s="61">
        <f>J875+M875</f>
        <v>0</v>
      </c>
      <c r="Q875" s="61">
        <f t="shared" si="123"/>
        <v>449000</v>
      </c>
    </row>
    <row r="876" spans="2:17" ht="12.75">
      <c r="B876" s="20">
        <f t="shared" si="120"/>
        <v>261</v>
      </c>
      <c r="C876" s="4"/>
      <c r="D876" s="4"/>
      <c r="E876" s="4"/>
      <c r="F876" s="31" t="s">
        <v>106</v>
      </c>
      <c r="G876" s="4">
        <v>717</v>
      </c>
      <c r="H876" s="4" t="s">
        <v>186</v>
      </c>
      <c r="I876" s="17"/>
      <c r="J876" s="17"/>
      <c r="K876" s="17">
        <f t="shared" si="121"/>
        <v>0</v>
      </c>
      <c r="L876" s="17">
        <f>L877</f>
        <v>449000</v>
      </c>
      <c r="M876" s="17">
        <f>M877</f>
        <v>0</v>
      </c>
      <c r="N876" s="17">
        <f t="shared" si="122"/>
        <v>449000</v>
      </c>
      <c r="O876" s="17">
        <f>L876</f>
        <v>449000</v>
      </c>
      <c r="P876" s="17">
        <f>M876</f>
        <v>0</v>
      </c>
      <c r="Q876" s="17">
        <f t="shared" si="123"/>
        <v>449000</v>
      </c>
    </row>
    <row r="877" spans="2:17" ht="12.75">
      <c r="B877" s="20">
        <f t="shared" si="120"/>
        <v>262</v>
      </c>
      <c r="C877" s="4"/>
      <c r="D877" s="4"/>
      <c r="E877" s="4"/>
      <c r="F877" s="31"/>
      <c r="G877" s="4"/>
      <c r="H877" s="5" t="s">
        <v>433</v>
      </c>
      <c r="I877" s="18"/>
      <c r="J877" s="18"/>
      <c r="K877" s="18">
        <f t="shared" si="121"/>
        <v>0</v>
      </c>
      <c r="L877" s="18">
        <f>430000+19000</f>
        <v>449000</v>
      </c>
      <c r="M877" s="18"/>
      <c r="N877" s="18">
        <f t="shared" si="122"/>
        <v>449000</v>
      </c>
      <c r="O877" s="18">
        <f aca="true" t="shared" si="124" ref="O877:O900">I877+L877</f>
        <v>449000</v>
      </c>
      <c r="P877" s="18">
        <f aca="true" t="shared" si="125" ref="P877:P900">J877+M877</f>
        <v>0</v>
      </c>
      <c r="Q877" s="18">
        <f t="shared" si="123"/>
        <v>449000</v>
      </c>
    </row>
    <row r="878" spans="2:17" ht="15">
      <c r="B878" s="20">
        <f t="shared" si="120"/>
        <v>263</v>
      </c>
      <c r="C878" s="12"/>
      <c r="D878" s="12"/>
      <c r="E878" s="12">
        <v>8</v>
      </c>
      <c r="F878" s="34"/>
      <c r="G878" s="12"/>
      <c r="H878" s="12" t="s">
        <v>9</v>
      </c>
      <c r="I878" s="90">
        <f>I879+I880+I881+I888+I889+I890+I891+I899+I900</f>
        <v>1981143</v>
      </c>
      <c r="J878" s="90">
        <f>J879+J880+J881+J888+J889+J890+J891+J899+J900</f>
        <v>800</v>
      </c>
      <c r="K878" s="90">
        <f t="shared" si="121"/>
        <v>1981943</v>
      </c>
      <c r="L878" s="90">
        <f>L902</f>
        <v>15000</v>
      </c>
      <c r="M878" s="90">
        <f>M902</f>
        <v>0</v>
      </c>
      <c r="N878" s="90">
        <f t="shared" si="122"/>
        <v>15000</v>
      </c>
      <c r="O878" s="90">
        <f t="shared" si="124"/>
        <v>1996143</v>
      </c>
      <c r="P878" s="90">
        <f t="shared" si="125"/>
        <v>800</v>
      </c>
      <c r="Q878" s="90">
        <f t="shared" si="123"/>
        <v>1996943</v>
      </c>
    </row>
    <row r="879" spans="2:17" ht="12.75">
      <c r="B879" s="20">
        <f t="shared" si="120"/>
        <v>264</v>
      </c>
      <c r="C879" s="10"/>
      <c r="D879" s="10"/>
      <c r="E879" s="10"/>
      <c r="F879" s="30" t="s">
        <v>119</v>
      </c>
      <c r="G879" s="10">
        <v>610</v>
      </c>
      <c r="H879" s="10" t="s">
        <v>131</v>
      </c>
      <c r="I879" s="61">
        <f>458740-814</f>
        <v>457926</v>
      </c>
      <c r="J879" s="61"/>
      <c r="K879" s="61">
        <f t="shared" si="121"/>
        <v>457926</v>
      </c>
      <c r="L879" s="61"/>
      <c r="M879" s="61"/>
      <c r="N879" s="61">
        <f t="shared" si="122"/>
        <v>0</v>
      </c>
      <c r="O879" s="61">
        <f t="shared" si="124"/>
        <v>457926</v>
      </c>
      <c r="P879" s="61">
        <f t="shared" si="125"/>
        <v>0</v>
      </c>
      <c r="Q879" s="61">
        <f t="shared" si="123"/>
        <v>457926</v>
      </c>
    </row>
    <row r="880" spans="2:17" ht="12.75">
      <c r="B880" s="20">
        <f t="shared" si="120"/>
        <v>265</v>
      </c>
      <c r="C880" s="10"/>
      <c r="D880" s="10"/>
      <c r="E880" s="10"/>
      <c r="F880" s="30" t="s">
        <v>119</v>
      </c>
      <c r="G880" s="10">
        <v>620</v>
      </c>
      <c r="H880" s="10" t="s">
        <v>124</v>
      </c>
      <c r="I880" s="61">
        <f>160450-309</f>
        <v>160141</v>
      </c>
      <c r="J880" s="61"/>
      <c r="K880" s="61">
        <f t="shared" si="121"/>
        <v>160141</v>
      </c>
      <c r="L880" s="61"/>
      <c r="M880" s="61"/>
      <c r="N880" s="61">
        <f t="shared" si="122"/>
        <v>0</v>
      </c>
      <c r="O880" s="61">
        <f t="shared" si="124"/>
        <v>160141</v>
      </c>
      <c r="P880" s="61">
        <f t="shared" si="125"/>
        <v>0</v>
      </c>
      <c r="Q880" s="61">
        <f t="shared" si="123"/>
        <v>160141</v>
      </c>
    </row>
    <row r="881" spans="2:17" ht="12.75">
      <c r="B881" s="20">
        <f t="shared" si="120"/>
        <v>266</v>
      </c>
      <c r="C881" s="10"/>
      <c r="D881" s="10"/>
      <c r="E881" s="10"/>
      <c r="F881" s="30" t="s">
        <v>119</v>
      </c>
      <c r="G881" s="10">
        <v>630</v>
      </c>
      <c r="H881" s="10" t="s">
        <v>121</v>
      </c>
      <c r="I881" s="61">
        <f>I887+I886+I885+I884+I883+I882</f>
        <v>75360</v>
      </c>
      <c r="J881" s="61">
        <f>J887+J886+J885+J884+J883+J882</f>
        <v>800</v>
      </c>
      <c r="K881" s="61">
        <f t="shared" si="121"/>
        <v>76160</v>
      </c>
      <c r="L881" s="61"/>
      <c r="M881" s="61"/>
      <c r="N881" s="61">
        <f t="shared" si="122"/>
        <v>0</v>
      </c>
      <c r="O881" s="61">
        <f t="shared" si="124"/>
        <v>75360</v>
      </c>
      <c r="P881" s="61">
        <f t="shared" si="125"/>
        <v>800</v>
      </c>
      <c r="Q881" s="61">
        <f t="shared" si="123"/>
        <v>76160</v>
      </c>
    </row>
    <row r="882" spans="2:17" ht="12.75">
      <c r="B882" s="20">
        <f t="shared" si="120"/>
        <v>267</v>
      </c>
      <c r="C882" s="4"/>
      <c r="D882" s="4"/>
      <c r="E882" s="4"/>
      <c r="F882" s="31" t="s">
        <v>119</v>
      </c>
      <c r="G882" s="4">
        <v>631</v>
      </c>
      <c r="H882" s="4" t="s">
        <v>127</v>
      </c>
      <c r="I882" s="17">
        <v>50</v>
      </c>
      <c r="J882" s="17"/>
      <c r="K882" s="17">
        <f t="shared" si="121"/>
        <v>50</v>
      </c>
      <c r="L882" s="17"/>
      <c r="M882" s="17"/>
      <c r="N882" s="17">
        <f t="shared" si="122"/>
        <v>0</v>
      </c>
      <c r="O882" s="17">
        <f t="shared" si="124"/>
        <v>50</v>
      </c>
      <c r="P882" s="17">
        <f t="shared" si="125"/>
        <v>0</v>
      </c>
      <c r="Q882" s="17">
        <f t="shared" si="123"/>
        <v>50</v>
      </c>
    </row>
    <row r="883" spans="2:17" ht="12.75">
      <c r="B883" s="20">
        <f t="shared" si="120"/>
        <v>268</v>
      </c>
      <c r="C883" s="4"/>
      <c r="D883" s="4"/>
      <c r="E883" s="4"/>
      <c r="F883" s="31" t="s">
        <v>119</v>
      </c>
      <c r="G883" s="4">
        <v>632</v>
      </c>
      <c r="H883" s="4" t="s">
        <v>134</v>
      </c>
      <c r="I883" s="17">
        <v>30800</v>
      </c>
      <c r="J883" s="17"/>
      <c r="K883" s="17">
        <f t="shared" si="121"/>
        <v>30800</v>
      </c>
      <c r="L883" s="17"/>
      <c r="M883" s="17"/>
      <c r="N883" s="17">
        <f t="shared" si="122"/>
        <v>0</v>
      </c>
      <c r="O883" s="17">
        <f t="shared" si="124"/>
        <v>30800</v>
      </c>
      <c r="P883" s="17">
        <f t="shared" si="125"/>
        <v>0</v>
      </c>
      <c r="Q883" s="17">
        <f t="shared" si="123"/>
        <v>30800</v>
      </c>
    </row>
    <row r="884" spans="2:17" ht="12.75">
      <c r="B884" s="20">
        <f t="shared" si="120"/>
        <v>269</v>
      </c>
      <c r="C884" s="4"/>
      <c r="D884" s="4"/>
      <c r="E884" s="4"/>
      <c r="F884" s="31" t="s">
        <v>119</v>
      </c>
      <c r="G884" s="4">
        <v>633</v>
      </c>
      <c r="H884" s="4" t="s">
        <v>125</v>
      </c>
      <c r="I884" s="17">
        <f>11160-530</f>
        <v>10630</v>
      </c>
      <c r="J884" s="17">
        <v>800</v>
      </c>
      <c r="K884" s="17">
        <f t="shared" si="121"/>
        <v>11430</v>
      </c>
      <c r="L884" s="17"/>
      <c r="M884" s="17"/>
      <c r="N884" s="17">
        <f t="shared" si="122"/>
        <v>0</v>
      </c>
      <c r="O884" s="17">
        <f t="shared" si="124"/>
        <v>10630</v>
      </c>
      <c r="P884" s="17">
        <f t="shared" si="125"/>
        <v>800</v>
      </c>
      <c r="Q884" s="17">
        <f t="shared" si="123"/>
        <v>11430</v>
      </c>
    </row>
    <row r="885" spans="2:17" ht="12.75">
      <c r="B885" s="20">
        <f t="shared" si="120"/>
        <v>270</v>
      </c>
      <c r="C885" s="4"/>
      <c r="D885" s="4"/>
      <c r="E885" s="4"/>
      <c r="F885" s="31" t="s">
        <v>119</v>
      </c>
      <c r="G885" s="4">
        <v>635</v>
      </c>
      <c r="H885" s="4" t="s">
        <v>133</v>
      </c>
      <c r="I885" s="17">
        <v>4490</v>
      </c>
      <c r="J885" s="17"/>
      <c r="K885" s="17">
        <f t="shared" si="121"/>
        <v>4490</v>
      </c>
      <c r="L885" s="17"/>
      <c r="M885" s="17"/>
      <c r="N885" s="17">
        <f t="shared" si="122"/>
        <v>0</v>
      </c>
      <c r="O885" s="17">
        <f t="shared" si="124"/>
        <v>4490</v>
      </c>
      <c r="P885" s="17">
        <f t="shared" si="125"/>
        <v>0</v>
      </c>
      <c r="Q885" s="17">
        <f t="shared" si="123"/>
        <v>4490</v>
      </c>
    </row>
    <row r="886" spans="2:17" ht="12.75">
      <c r="B886" s="20">
        <f t="shared" si="120"/>
        <v>271</v>
      </c>
      <c r="C886" s="4"/>
      <c r="D886" s="4"/>
      <c r="E886" s="4"/>
      <c r="F886" s="31" t="s">
        <v>119</v>
      </c>
      <c r="G886" s="4">
        <v>636</v>
      </c>
      <c r="H886" s="4" t="s">
        <v>126</v>
      </c>
      <c r="I886" s="17">
        <v>1400</v>
      </c>
      <c r="J886" s="17"/>
      <c r="K886" s="17">
        <f t="shared" si="121"/>
        <v>1400</v>
      </c>
      <c r="L886" s="17"/>
      <c r="M886" s="17"/>
      <c r="N886" s="17">
        <f t="shared" si="122"/>
        <v>0</v>
      </c>
      <c r="O886" s="17">
        <f t="shared" si="124"/>
        <v>1400</v>
      </c>
      <c r="P886" s="17">
        <f t="shared" si="125"/>
        <v>0</v>
      </c>
      <c r="Q886" s="17">
        <f t="shared" si="123"/>
        <v>1400</v>
      </c>
    </row>
    <row r="887" spans="2:17" ht="12.75">
      <c r="B887" s="20">
        <f t="shared" si="120"/>
        <v>272</v>
      </c>
      <c r="C887" s="4"/>
      <c r="D887" s="4"/>
      <c r="E887" s="4"/>
      <c r="F887" s="31" t="s">
        <v>119</v>
      </c>
      <c r="G887" s="4">
        <v>637</v>
      </c>
      <c r="H887" s="4" t="s">
        <v>122</v>
      </c>
      <c r="I887" s="17">
        <v>27990</v>
      </c>
      <c r="J887" s="17"/>
      <c r="K887" s="17">
        <f t="shared" si="121"/>
        <v>27990</v>
      </c>
      <c r="L887" s="17"/>
      <c r="M887" s="17"/>
      <c r="N887" s="17">
        <f t="shared" si="122"/>
        <v>0</v>
      </c>
      <c r="O887" s="17">
        <f t="shared" si="124"/>
        <v>27990</v>
      </c>
      <c r="P887" s="17">
        <f t="shared" si="125"/>
        <v>0</v>
      </c>
      <c r="Q887" s="17">
        <f t="shared" si="123"/>
        <v>27990</v>
      </c>
    </row>
    <row r="888" spans="2:17" ht="12.75">
      <c r="B888" s="20">
        <f t="shared" si="120"/>
        <v>273</v>
      </c>
      <c r="C888" s="10"/>
      <c r="D888" s="10"/>
      <c r="E888" s="10"/>
      <c r="F888" s="30" t="s">
        <v>119</v>
      </c>
      <c r="G888" s="10">
        <v>640</v>
      </c>
      <c r="H888" s="10" t="s">
        <v>129</v>
      </c>
      <c r="I888" s="61">
        <v>8900</v>
      </c>
      <c r="J888" s="61"/>
      <c r="K888" s="61">
        <f t="shared" si="121"/>
        <v>8900</v>
      </c>
      <c r="L888" s="61"/>
      <c r="M888" s="61"/>
      <c r="N888" s="61">
        <f t="shared" si="122"/>
        <v>0</v>
      </c>
      <c r="O888" s="61">
        <f t="shared" si="124"/>
        <v>8900</v>
      </c>
      <c r="P888" s="61">
        <f t="shared" si="125"/>
        <v>0</v>
      </c>
      <c r="Q888" s="61">
        <f t="shared" si="123"/>
        <v>8900</v>
      </c>
    </row>
    <row r="889" spans="2:17" ht="12.75">
      <c r="B889" s="20">
        <f t="shared" si="120"/>
        <v>274</v>
      </c>
      <c r="C889" s="10"/>
      <c r="D889" s="10"/>
      <c r="E889" s="10"/>
      <c r="F889" s="30" t="s">
        <v>106</v>
      </c>
      <c r="G889" s="10">
        <v>610</v>
      </c>
      <c r="H889" s="10" t="s">
        <v>131</v>
      </c>
      <c r="I889" s="61">
        <f>773840+12920-5677</f>
        <v>781083</v>
      </c>
      <c r="J889" s="61"/>
      <c r="K889" s="61">
        <f t="shared" si="121"/>
        <v>781083</v>
      </c>
      <c r="L889" s="61"/>
      <c r="M889" s="61"/>
      <c r="N889" s="61">
        <f t="shared" si="122"/>
        <v>0</v>
      </c>
      <c r="O889" s="61">
        <f t="shared" si="124"/>
        <v>781083</v>
      </c>
      <c r="P889" s="61">
        <f t="shared" si="125"/>
        <v>0</v>
      </c>
      <c r="Q889" s="61">
        <f t="shared" si="123"/>
        <v>781083</v>
      </c>
    </row>
    <row r="890" spans="2:17" ht="12.75">
      <c r="B890" s="20">
        <f t="shared" si="120"/>
        <v>275</v>
      </c>
      <c r="C890" s="10"/>
      <c r="D890" s="10"/>
      <c r="E890" s="10"/>
      <c r="F890" s="30" t="s">
        <v>106</v>
      </c>
      <c r="G890" s="10">
        <v>620</v>
      </c>
      <c r="H890" s="10" t="s">
        <v>124</v>
      </c>
      <c r="I890" s="61">
        <f>278037+1384-240</f>
        <v>279181</v>
      </c>
      <c r="J890" s="61"/>
      <c r="K890" s="61">
        <f t="shared" si="121"/>
        <v>279181</v>
      </c>
      <c r="L890" s="61"/>
      <c r="M890" s="61"/>
      <c r="N890" s="61">
        <f t="shared" si="122"/>
        <v>0</v>
      </c>
      <c r="O890" s="61">
        <f t="shared" si="124"/>
        <v>279181</v>
      </c>
      <c r="P890" s="61">
        <f t="shared" si="125"/>
        <v>0</v>
      </c>
      <c r="Q890" s="61">
        <f t="shared" si="123"/>
        <v>279181</v>
      </c>
    </row>
    <row r="891" spans="2:17" ht="12.75">
      <c r="B891" s="20">
        <f t="shared" si="120"/>
        <v>276</v>
      </c>
      <c r="C891" s="10"/>
      <c r="D891" s="10"/>
      <c r="E891" s="10"/>
      <c r="F891" s="30" t="s">
        <v>106</v>
      </c>
      <c r="G891" s="10">
        <v>630</v>
      </c>
      <c r="H891" s="10" t="s">
        <v>121</v>
      </c>
      <c r="I891" s="61">
        <f>SUM(I892:I898)</f>
        <v>202030</v>
      </c>
      <c r="J891" s="61">
        <f>SUM(J892:J898)</f>
        <v>0</v>
      </c>
      <c r="K891" s="61">
        <f t="shared" si="121"/>
        <v>202030</v>
      </c>
      <c r="L891" s="61"/>
      <c r="M891" s="61"/>
      <c r="N891" s="61">
        <f t="shared" si="122"/>
        <v>0</v>
      </c>
      <c r="O891" s="61">
        <f t="shared" si="124"/>
        <v>202030</v>
      </c>
      <c r="P891" s="61">
        <f t="shared" si="125"/>
        <v>0</v>
      </c>
      <c r="Q891" s="61">
        <f t="shared" si="123"/>
        <v>202030</v>
      </c>
    </row>
    <row r="892" spans="2:17" ht="12.75">
      <c r="B892" s="20">
        <f t="shared" si="120"/>
        <v>277</v>
      </c>
      <c r="C892" s="4"/>
      <c r="D892" s="4"/>
      <c r="E892" s="4"/>
      <c r="F892" s="31" t="s">
        <v>106</v>
      </c>
      <c r="G892" s="4">
        <v>631</v>
      </c>
      <c r="H892" s="4" t="s">
        <v>127</v>
      </c>
      <c r="I892" s="17">
        <v>50</v>
      </c>
      <c r="J892" s="17"/>
      <c r="K892" s="17">
        <f t="shared" si="121"/>
        <v>50</v>
      </c>
      <c r="L892" s="17"/>
      <c r="M892" s="17"/>
      <c r="N892" s="17">
        <f t="shared" si="122"/>
        <v>0</v>
      </c>
      <c r="O892" s="17">
        <f t="shared" si="124"/>
        <v>50</v>
      </c>
      <c r="P892" s="17">
        <f t="shared" si="125"/>
        <v>0</v>
      </c>
      <c r="Q892" s="17">
        <f t="shared" si="123"/>
        <v>50</v>
      </c>
    </row>
    <row r="893" spans="2:17" ht="12.75">
      <c r="B893" s="20">
        <f t="shared" si="120"/>
        <v>278</v>
      </c>
      <c r="C893" s="4"/>
      <c r="D893" s="4"/>
      <c r="E893" s="4"/>
      <c r="F893" s="31" t="s">
        <v>106</v>
      </c>
      <c r="G893" s="4">
        <v>632</v>
      </c>
      <c r="H893" s="4" t="s">
        <v>134</v>
      </c>
      <c r="I893" s="17">
        <f>82610-1919</f>
        <v>80691</v>
      </c>
      <c r="J893" s="17"/>
      <c r="K893" s="17">
        <f t="shared" si="121"/>
        <v>80691</v>
      </c>
      <c r="L893" s="17"/>
      <c r="M893" s="17"/>
      <c r="N893" s="17">
        <f t="shared" si="122"/>
        <v>0</v>
      </c>
      <c r="O893" s="17">
        <f t="shared" si="124"/>
        <v>80691</v>
      </c>
      <c r="P893" s="17">
        <f t="shared" si="125"/>
        <v>0</v>
      </c>
      <c r="Q893" s="17">
        <f t="shared" si="123"/>
        <v>80691</v>
      </c>
    </row>
    <row r="894" spans="2:17" ht="12.75">
      <c r="B894" s="20">
        <f t="shared" si="120"/>
        <v>279</v>
      </c>
      <c r="C894" s="4"/>
      <c r="D894" s="4"/>
      <c r="E894" s="4"/>
      <c r="F894" s="31" t="s">
        <v>106</v>
      </c>
      <c r="G894" s="4">
        <v>633</v>
      </c>
      <c r="H894" s="4" t="s">
        <v>125</v>
      </c>
      <c r="I894" s="17">
        <f>16184+3460</f>
        <v>19644</v>
      </c>
      <c r="J894" s="17"/>
      <c r="K894" s="17">
        <f t="shared" si="121"/>
        <v>19644</v>
      </c>
      <c r="L894" s="17"/>
      <c r="M894" s="17"/>
      <c r="N894" s="17">
        <f t="shared" si="122"/>
        <v>0</v>
      </c>
      <c r="O894" s="17">
        <f t="shared" si="124"/>
        <v>19644</v>
      </c>
      <c r="P894" s="17">
        <f t="shared" si="125"/>
        <v>0</v>
      </c>
      <c r="Q894" s="17">
        <f t="shared" si="123"/>
        <v>19644</v>
      </c>
    </row>
    <row r="895" spans="2:17" ht="12.75">
      <c r="B895" s="20">
        <f t="shared" si="120"/>
        <v>280</v>
      </c>
      <c r="C895" s="4"/>
      <c r="D895" s="4"/>
      <c r="E895" s="4"/>
      <c r="F895" s="31" t="s">
        <v>106</v>
      </c>
      <c r="G895" s="4">
        <v>635</v>
      </c>
      <c r="H895" s="4" t="s">
        <v>133</v>
      </c>
      <c r="I895" s="17">
        <f>15750+15000</f>
        <v>30750</v>
      </c>
      <c r="J895" s="17"/>
      <c r="K895" s="17">
        <f t="shared" si="121"/>
        <v>30750</v>
      </c>
      <c r="L895" s="17"/>
      <c r="M895" s="17"/>
      <c r="N895" s="17">
        <f t="shared" si="122"/>
        <v>0</v>
      </c>
      <c r="O895" s="17">
        <f t="shared" si="124"/>
        <v>30750</v>
      </c>
      <c r="P895" s="17">
        <f t="shared" si="125"/>
        <v>0</v>
      </c>
      <c r="Q895" s="17">
        <f t="shared" si="123"/>
        <v>30750</v>
      </c>
    </row>
    <row r="896" spans="2:17" ht="12.75">
      <c r="B896" s="20">
        <f t="shared" si="120"/>
        <v>281</v>
      </c>
      <c r="C896" s="4"/>
      <c r="D896" s="4"/>
      <c r="E896" s="4"/>
      <c r="F896" s="31" t="s">
        <v>106</v>
      </c>
      <c r="G896" s="4">
        <v>636</v>
      </c>
      <c r="H896" s="4" t="s">
        <v>126</v>
      </c>
      <c r="I896" s="17">
        <v>3000</v>
      </c>
      <c r="J896" s="17"/>
      <c r="K896" s="17">
        <f t="shared" si="121"/>
        <v>3000</v>
      </c>
      <c r="L896" s="17"/>
      <c r="M896" s="17"/>
      <c r="N896" s="17">
        <f t="shared" si="122"/>
        <v>0</v>
      </c>
      <c r="O896" s="17">
        <f t="shared" si="124"/>
        <v>3000</v>
      </c>
      <c r="P896" s="17">
        <f t="shared" si="125"/>
        <v>0</v>
      </c>
      <c r="Q896" s="17">
        <f t="shared" si="123"/>
        <v>3000</v>
      </c>
    </row>
    <row r="897" spans="2:17" ht="12.75">
      <c r="B897" s="20">
        <f t="shared" si="120"/>
        <v>282</v>
      </c>
      <c r="C897" s="4"/>
      <c r="D897" s="4"/>
      <c r="E897" s="4"/>
      <c r="F897" s="31" t="s">
        <v>106</v>
      </c>
      <c r="G897" s="4">
        <v>637</v>
      </c>
      <c r="H897" s="4" t="s">
        <v>122</v>
      </c>
      <c r="I897" s="17">
        <f>40070+5000</f>
        <v>45070</v>
      </c>
      <c r="J897" s="17"/>
      <c r="K897" s="17">
        <f t="shared" si="121"/>
        <v>45070</v>
      </c>
      <c r="L897" s="17"/>
      <c r="M897" s="17"/>
      <c r="N897" s="17">
        <f t="shared" si="122"/>
        <v>0</v>
      </c>
      <c r="O897" s="17">
        <f t="shared" si="124"/>
        <v>45070</v>
      </c>
      <c r="P897" s="17">
        <f t="shared" si="125"/>
        <v>0</v>
      </c>
      <c r="Q897" s="17">
        <f t="shared" si="123"/>
        <v>45070</v>
      </c>
    </row>
    <row r="898" spans="2:17" ht="12.75">
      <c r="B898" s="20">
        <f t="shared" si="120"/>
        <v>283</v>
      </c>
      <c r="C898" s="4"/>
      <c r="D898" s="4"/>
      <c r="E898" s="4"/>
      <c r="F898" s="33" t="s">
        <v>106</v>
      </c>
      <c r="G898" s="4">
        <v>637</v>
      </c>
      <c r="H898" s="24" t="s">
        <v>290</v>
      </c>
      <c r="I898" s="17">
        <v>22825</v>
      </c>
      <c r="J898" s="17"/>
      <c r="K898" s="17">
        <f t="shared" si="121"/>
        <v>22825</v>
      </c>
      <c r="L898" s="17"/>
      <c r="M898" s="17"/>
      <c r="N898" s="17">
        <f t="shared" si="122"/>
        <v>0</v>
      </c>
      <c r="O898" s="17">
        <f t="shared" si="124"/>
        <v>22825</v>
      </c>
      <c r="P898" s="17">
        <f t="shared" si="125"/>
        <v>0</v>
      </c>
      <c r="Q898" s="17">
        <f t="shared" si="123"/>
        <v>22825</v>
      </c>
    </row>
    <row r="899" spans="2:17" ht="12.75">
      <c r="B899" s="20">
        <f t="shared" si="120"/>
        <v>284</v>
      </c>
      <c r="C899" s="10"/>
      <c r="D899" s="10"/>
      <c r="E899" s="10"/>
      <c r="F899" s="30" t="s">
        <v>106</v>
      </c>
      <c r="G899" s="10">
        <v>640</v>
      </c>
      <c r="H899" s="10" t="s">
        <v>129</v>
      </c>
      <c r="I899" s="61">
        <f>7200+300</f>
        <v>7500</v>
      </c>
      <c r="J899" s="61"/>
      <c r="K899" s="61">
        <f t="shared" si="121"/>
        <v>7500</v>
      </c>
      <c r="L899" s="61"/>
      <c r="M899" s="61"/>
      <c r="N899" s="61">
        <f t="shared" si="122"/>
        <v>0</v>
      </c>
      <c r="O899" s="61">
        <f t="shared" si="124"/>
        <v>7500</v>
      </c>
      <c r="P899" s="61">
        <f t="shared" si="125"/>
        <v>0</v>
      </c>
      <c r="Q899" s="61">
        <f t="shared" si="123"/>
        <v>7500</v>
      </c>
    </row>
    <row r="900" spans="2:17" ht="12.75">
      <c r="B900" s="20">
        <f t="shared" si="120"/>
        <v>285</v>
      </c>
      <c r="C900" s="10"/>
      <c r="D900" s="10"/>
      <c r="E900" s="10"/>
      <c r="F900" s="30"/>
      <c r="G900" s="10">
        <v>630</v>
      </c>
      <c r="H900" s="10" t="s">
        <v>597</v>
      </c>
      <c r="I900" s="61">
        <v>9022</v>
      </c>
      <c r="J900" s="61"/>
      <c r="K900" s="61">
        <f t="shared" si="121"/>
        <v>9022</v>
      </c>
      <c r="L900" s="61"/>
      <c r="M900" s="61"/>
      <c r="N900" s="61">
        <f t="shared" si="122"/>
        <v>0</v>
      </c>
      <c r="O900" s="61">
        <f t="shared" si="124"/>
        <v>9022</v>
      </c>
      <c r="P900" s="61">
        <f t="shared" si="125"/>
        <v>0</v>
      </c>
      <c r="Q900" s="61">
        <f t="shared" si="123"/>
        <v>9022</v>
      </c>
    </row>
    <row r="901" spans="2:17" ht="12.75">
      <c r="B901" s="20">
        <f t="shared" si="120"/>
        <v>286</v>
      </c>
      <c r="C901" s="10"/>
      <c r="D901" s="10"/>
      <c r="E901" s="10"/>
      <c r="F901" s="30"/>
      <c r="G901" s="10"/>
      <c r="H901" s="10"/>
      <c r="I901" s="61"/>
      <c r="J901" s="61"/>
      <c r="K901" s="61">
        <f t="shared" si="121"/>
        <v>0</v>
      </c>
      <c r="L901" s="61"/>
      <c r="M901" s="61"/>
      <c r="N901" s="61">
        <f t="shared" si="122"/>
        <v>0</v>
      </c>
      <c r="O901" s="61"/>
      <c r="P901" s="61"/>
      <c r="Q901" s="61">
        <f t="shared" si="123"/>
        <v>0</v>
      </c>
    </row>
    <row r="902" spans="2:17" ht="12.75">
      <c r="B902" s="20">
        <f t="shared" si="120"/>
        <v>287</v>
      </c>
      <c r="C902" s="10"/>
      <c r="D902" s="10"/>
      <c r="E902" s="10"/>
      <c r="F902" s="30" t="s">
        <v>106</v>
      </c>
      <c r="G902" s="10">
        <v>710</v>
      </c>
      <c r="H902" s="10" t="s">
        <v>176</v>
      </c>
      <c r="I902" s="61"/>
      <c r="J902" s="61"/>
      <c r="K902" s="61">
        <f t="shared" si="121"/>
        <v>0</v>
      </c>
      <c r="L902" s="61">
        <f>L903</f>
        <v>15000</v>
      </c>
      <c r="M902" s="61">
        <f>M903</f>
        <v>0</v>
      </c>
      <c r="N902" s="61">
        <f t="shared" si="122"/>
        <v>15000</v>
      </c>
      <c r="O902" s="61">
        <f aca="true" t="shared" si="126" ref="O902:O928">I902+L902</f>
        <v>15000</v>
      </c>
      <c r="P902" s="61">
        <f aca="true" t="shared" si="127" ref="P902:P928">J902+M902</f>
        <v>0</v>
      </c>
      <c r="Q902" s="61">
        <f t="shared" si="123"/>
        <v>15000</v>
      </c>
    </row>
    <row r="903" spans="2:17" ht="12.75">
      <c r="B903" s="20">
        <f t="shared" si="120"/>
        <v>288</v>
      </c>
      <c r="C903" s="10"/>
      <c r="D903" s="10"/>
      <c r="E903" s="10"/>
      <c r="F903" s="31" t="s">
        <v>106</v>
      </c>
      <c r="G903" s="4">
        <v>717</v>
      </c>
      <c r="H903" s="4" t="s">
        <v>186</v>
      </c>
      <c r="I903" s="61"/>
      <c r="J903" s="61"/>
      <c r="K903" s="61">
        <f t="shared" si="121"/>
        <v>0</v>
      </c>
      <c r="L903" s="103">
        <f>L904</f>
        <v>15000</v>
      </c>
      <c r="M903" s="103">
        <f>M904</f>
        <v>0</v>
      </c>
      <c r="N903" s="103">
        <f t="shared" si="122"/>
        <v>15000</v>
      </c>
      <c r="O903" s="103">
        <f t="shared" si="126"/>
        <v>15000</v>
      </c>
      <c r="P903" s="103">
        <f t="shared" si="127"/>
        <v>0</v>
      </c>
      <c r="Q903" s="103">
        <f t="shared" si="123"/>
        <v>15000</v>
      </c>
    </row>
    <row r="904" spans="2:17" ht="12.75">
      <c r="B904" s="20">
        <f t="shared" si="120"/>
        <v>289</v>
      </c>
      <c r="C904" s="10"/>
      <c r="D904" s="10"/>
      <c r="E904" s="10"/>
      <c r="F904" s="31"/>
      <c r="G904" s="4"/>
      <c r="H904" s="5" t="s">
        <v>537</v>
      </c>
      <c r="I904" s="169"/>
      <c r="J904" s="169"/>
      <c r="K904" s="169">
        <f t="shared" si="121"/>
        <v>0</v>
      </c>
      <c r="L904" s="95">
        <v>15000</v>
      </c>
      <c r="M904" s="95"/>
      <c r="N904" s="95">
        <f t="shared" si="122"/>
        <v>15000</v>
      </c>
      <c r="O904" s="95">
        <f t="shared" si="126"/>
        <v>15000</v>
      </c>
      <c r="P904" s="95">
        <f t="shared" si="127"/>
        <v>0</v>
      </c>
      <c r="Q904" s="95">
        <f t="shared" si="123"/>
        <v>15000</v>
      </c>
    </row>
    <row r="905" spans="2:17" ht="15">
      <c r="B905" s="20">
        <f t="shared" si="120"/>
        <v>290</v>
      </c>
      <c r="C905" s="12"/>
      <c r="D905" s="12"/>
      <c r="E905" s="12">
        <v>9</v>
      </c>
      <c r="F905" s="34"/>
      <c r="G905" s="12"/>
      <c r="H905" s="12" t="s">
        <v>7</v>
      </c>
      <c r="I905" s="90">
        <f>I906+I907+I908+I916+I917+I918+I919+I927+I928</f>
        <v>1163410</v>
      </c>
      <c r="J905" s="90">
        <f>J906+J907+J908+J916+J917+J918+J919+J927+J928</f>
        <v>800</v>
      </c>
      <c r="K905" s="90">
        <f t="shared" si="121"/>
        <v>1164210</v>
      </c>
      <c r="L905" s="90">
        <f>L930</f>
        <v>130150</v>
      </c>
      <c r="M905" s="90">
        <f>M930</f>
        <v>0</v>
      </c>
      <c r="N905" s="90">
        <f t="shared" si="122"/>
        <v>130150</v>
      </c>
      <c r="O905" s="90">
        <f t="shared" si="126"/>
        <v>1293560</v>
      </c>
      <c r="P905" s="90">
        <f t="shared" si="127"/>
        <v>800</v>
      </c>
      <c r="Q905" s="90">
        <f t="shared" si="123"/>
        <v>1294360</v>
      </c>
    </row>
    <row r="906" spans="2:17" ht="12.75">
      <c r="B906" s="20">
        <f t="shared" si="120"/>
        <v>291</v>
      </c>
      <c r="C906" s="10"/>
      <c r="D906" s="10"/>
      <c r="E906" s="10"/>
      <c r="F906" s="30" t="s">
        <v>119</v>
      </c>
      <c r="G906" s="10">
        <v>610</v>
      </c>
      <c r="H906" s="10" t="s">
        <v>131</v>
      </c>
      <c r="I906" s="61">
        <f>274000+6200</f>
        <v>280200</v>
      </c>
      <c r="J906" s="61"/>
      <c r="K906" s="61">
        <f t="shared" si="121"/>
        <v>280200</v>
      </c>
      <c r="L906" s="61"/>
      <c r="M906" s="61"/>
      <c r="N906" s="61">
        <f t="shared" si="122"/>
        <v>0</v>
      </c>
      <c r="O906" s="61">
        <f t="shared" si="126"/>
        <v>280200</v>
      </c>
      <c r="P906" s="61">
        <f t="shared" si="127"/>
        <v>0</v>
      </c>
      <c r="Q906" s="61">
        <f t="shared" si="123"/>
        <v>280200</v>
      </c>
    </row>
    <row r="907" spans="2:17" ht="12.75">
      <c r="B907" s="20">
        <f t="shared" si="120"/>
        <v>292</v>
      </c>
      <c r="C907" s="10"/>
      <c r="D907" s="10"/>
      <c r="E907" s="10"/>
      <c r="F907" s="30" t="s">
        <v>119</v>
      </c>
      <c r="G907" s="10">
        <v>620</v>
      </c>
      <c r="H907" s="10" t="s">
        <v>124</v>
      </c>
      <c r="I907" s="61">
        <f>100200+2167</f>
        <v>102367</v>
      </c>
      <c r="J907" s="61"/>
      <c r="K907" s="61">
        <f t="shared" si="121"/>
        <v>102367</v>
      </c>
      <c r="L907" s="61"/>
      <c r="M907" s="61"/>
      <c r="N907" s="61">
        <f t="shared" si="122"/>
        <v>0</v>
      </c>
      <c r="O907" s="61">
        <f t="shared" si="126"/>
        <v>102367</v>
      </c>
      <c r="P907" s="61">
        <f t="shared" si="127"/>
        <v>0</v>
      </c>
      <c r="Q907" s="61">
        <f t="shared" si="123"/>
        <v>102367</v>
      </c>
    </row>
    <row r="908" spans="2:17" ht="12.75">
      <c r="B908" s="20">
        <f t="shared" si="120"/>
        <v>293</v>
      </c>
      <c r="C908" s="10"/>
      <c r="D908" s="10"/>
      <c r="E908" s="10"/>
      <c r="F908" s="30" t="s">
        <v>119</v>
      </c>
      <c r="G908" s="10">
        <v>630</v>
      </c>
      <c r="H908" s="10" t="s">
        <v>121</v>
      </c>
      <c r="I908" s="61">
        <f>I915+I914+I913+I912+I911+I910+I909</f>
        <v>89281</v>
      </c>
      <c r="J908" s="61">
        <f>J915+J914+J913+J912+J911+J910+J909</f>
        <v>800</v>
      </c>
      <c r="K908" s="61">
        <f t="shared" si="121"/>
        <v>90081</v>
      </c>
      <c r="L908" s="61"/>
      <c r="M908" s="61"/>
      <c r="N908" s="61">
        <f t="shared" si="122"/>
        <v>0</v>
      </c>
      <c r="O908" s="61">
        <f t="shared" si="126"/>
        <v>89281</v>
      </c>
      <c r="P908" s="61">
        <f t="shared" si="127"/>
        <v>800</v>
      </c>
      <c r="Q908" s="61">
        <f t="shared" si="123"/>
        <v>90081</v>
      </c>
    </row>
    <row r="909" spans="2:17" ht="12.75">
      <c r="B909" s="20">
        <f t="shared" si="120"/>
        <v>294</v>
      </c>
      <c r="C909" s="4"/>
      <c r="D909" s="4"/>
      <c r="E909" s="4"/>
      <c r="F909" s="31" t="s">
        <v>119</v>
      </c>
      <c r="G909" s="4">
        <v>631</v>
      </c>
      <c r="H909" s="4" t="s">
        <v>127</v>
      </c>
      <c r="I909" s="17">
        <v>300</v>
      </c>
      <c r="J909" s="17"/>
      <c r="K909" s="17">
        <f t="shared" si="121"/>
        <v>300</v>
      </c>
      <c r="L909" s="17"/>
      <c r="M909" s="17"/>
      <c r="N909" s="17">
        <f t="shared" si="122"/>
        <v>0</v>
      </c>
      <c r="O909" s="17">
        <f t="shared" si="126"/>
        <v>300</v>
      </c>
      <c r="P909" s="17">
        <f t="shared" si="127"/>
        <v>0</v>
      </c>
      <c r="Q909" s="17">
        <f t="shared" si="123"/>
        <v>300</v>
      </c>
    </row>
    <row r="910" spans="2:17" ht="12.75">
      <c r="B910" s="20">
        <f t="shared" si="120"/>
        <v>295</v>
      </c>
      <c r="C910" s="4"/>
      <c r="D910" s="4"/>
      <c r="E910" s="4"/>
      <c r="F910" s="31" t="s">
        <v>119</v>
      </c>
      <c r="G910" s="4">
        <v>632</v>
      </c>
      <c r="H910" s="4" t="s">
        <v>134</v>
      </c>
      <c r="I910" s="17">
        <v>21200</v>
      </c>
      <c r="J910" s="17"/>
      <c r="K910" s="17">
        <f t="shared" si="121"/>
        <v>21200</v>
      </c>
      <c r="L910" s="17"/>
      <c r="M910" s="17"/>
      <c r="N910" s="17">
        <f t="shared" si="122"/>
        <v>0</v>
      </c>
      <c r="O910" s="17">
        <f t="shared" si="126"/>
        <v>21200</v>
      </c>
      <c r="P910" s="17">
        <f t="shared" si="127"/>
        <v>0</v>
      </c>
      <c r="Q910" s="17">
        <f t="shared" si="123"/>
        <v>21200</v>
      </c>
    </row>
    <row r="911" spans="2:17" ht="12.75">
      <c r="B911" s="20">
        <f t="shared" si="120"/>
        <v>296</v>
      </c>
      <c r="C911" s="4"/>
      <c r="D911" s="4"/>
      <c r="E911" s="4"/>
      <c r="F911" s="31" t="s">
        <v>119</v>
      </c>
      <c r="G911" s="4">
        <v>633</v>
      </c>
      <c r="H911" s="4" t="s">
        <v>125</v>
      </c>
      <c r="I911" s="17">
        <f>17100+1676</f>
        <v>18776</v>
      </c>
      <c r="J911" s="17">
        <v>800</v>
      </c>
      <c r="K911" s="17">
        <f t="shared" si="121"/>
        <v>19576</v>
      </c>
      <c r="L911" s="17"/>
      <c r="M911" s="17"/>
      <c r="N911" s="17">
        <f t="shared" si="122"/>
        <v>0</v>
      </c>
      <c r="O911" s="17">
        <f t="shared" si="126"/>
        <v>18776</v>
      </c>
      <c r="P911" s="17">
        <f t="shared" si="127"/>
        <v>800</v>
      </c>
      <c r="Q911" s="17">
        <f t="shared" si="123"/>
        <v>19576</v>
      </c>
    </row>
    <row r="912" spans="2:17" ht="12.75">
      <c r="B912" s="20">
        <f t="shared" si="120"/>
        <v>297</v>
      </c>
      <c r="C912" s="4"/>
      <c r="D912" s="4"/>
      <c r="E912" s="4"/>
      <c r="F912" s="31" t="s">
        <v>119</v>
      </c>
      <c r="G912" s="4">
        <v>634</v>
      </c>
      <c r="H912" s="4" t="s">
        <v>132</v>
      </c>
      <c r="I912" s="17">
        <v>1500</v>
      </c>
      <c r="J912" s="17"/>
      <c r="K912" s="17">
        <f t="shared" si="121"/>
        <v>1500</v>
      </c>
      <c r="L912" s="17"/>
      <c r="M912" s="17"/>
      <c r="N912" s="17">
        <f t="shared" si="122"/>
        <v>0</v>
      </c>
      <c r="O912" s="17">
        <f t="shared" si="126"/>
        <v>1500</v>
      </c>
      <c r="P912" s="17">
        <f t="shared" si="127"/>
        <v>0</v>
      </c>
      <c r="Q912" s="17">
        <f t="shared" si="123"/>
        <v>1500</v>
      </c>
    </row>
    <row r="913" spans="2:17" ht="12.75">
      <c r="B913" s="20">
        <f t="shared" si="120"/>
        <v>298</v>
      </c>
      <c r="C913" s="4"/>
      <c r="D913" s="4"/>
      <c r="E913" s="4"/>
      <c r="F913" s="31" t="s">
        <v>119</v>
      </c>
      <c r="G913" s="4">
        <v>635</v>
      </c>
      <c r="H913" s="4" t="s">
        <v>133</v>
      </c>
      <c r="I913" s="17">
        <v>17190</v>
      </c>
      <c r="J913" s="17"/>
      <c r="K913" s="17">
        <f t="shared" si="121"/>
        <v>17190</v>
      </c>
      <c r="L913" s="17"/>
      <c r="M913" s="17"/>
      <c r="N913" s="17">
        <f t="shared" si="122"/>
        <v>0</v>
      </c>
      <c r="O913" s="17">
        <f t="shared" si="126"/>
        <v>17190</v>
      </c>
      <c r="P913" s="17">
        <f t="shared" si="127"/>
        <v>0</v>
      </c>
      <c r="Q913" s="17">
        <f t="shared" si="123"/>
        <v>17190</v>
      </c>
    </row>
    <row r="914" spans="2:17" ht="12.75">
      <c r="B914" s="20">
        <f t="shared" si="120"/>
        <v>299</v>
      </c>
      <c r="C914" s="4"/>
      <c r="D914" s="4"/>
      <c r="E914" s="4"/>
      <c r="F914" s="31" t="s">
        <v>119</v>
      </c>
      <c r="G914" s="4">
        <v>636</v>
      </c>
      <c r="H914" s="4" t="s">
        <v>126</v>
      </c>
      <c r="I914" s="17">
        <v>140</v>
      </c>
      <c r="J914" s="17"/>
      <c r="K914" s="17">
        <f t="shared" si="121"/>
        <v>140</v>
      </c>
      <c r="L914" s="17"/>
      <c r="M914" s="17"/>
      <c r="N914" s="17">
        <f t="shared" si="122"/>
        <v>0</v>
      </c>
      <c r="O914" s="17">
        <f t="shared" si="126"/>
        <v>140</v>
      </c>
      <c r="P914" s="17">
        <f t="shared" si="127"/>
        <v>0</v>
      </c>
      <c r="Q914" s="17">
        <f t="shared" si="123"/>
        <v>140</v>
      </c>
    </row>
    <row r="915" spans="2:17" ht="12.75">
      <c r="B915" s="20">
        <f aca="true" t="shared" si="128" ref="B915:B978">B914+1</f>
        <v>300</v>
      </c>
      <c r="C915" s="4"/>
      <c r="D915" s="4"/>
      <c r="E915" s="4"/>
      <c r="F915" s="31" t="s">
        <v>119</v>
      </c>
      <c r="G915" s="4">
        <v>637</v>
      </c>
      <c r="H915" s="4" t="s">
        <v>122</v>
      </c>
      <c r="I915" s="17">
        <v>30175</v>
      </c>
      <c r="J915" s="17"/>
      <c r="K915" s="17">
        <f t="shared" si="121"/>
        <v>30175</v>
      </c>
      <c r="L915" s="17"/>
      <c r="M915" s="17"/>
      <c r="N915" s="17">
        <f t="shared" si="122"/>
        <v>0</v>
      </c>
      <c r="O915" s="17">
        <f t="shared" si="126"/>
        <v>30175</v>
      </c>
      <c r="P915" s="17">
        <f t="shared" si="127"/>
        <v>0</v>
      </c>
      <c r="Q915" s="17">
        <f t="shared" si="123"/>
        <v>30175</v>
      </c>
    </row>
    <row r="916" spans="2:17" ht="12.75">
      <c r="B916" s="20">
        <f t="shared" si="128"/>
        <v>301</v>
      </c>
      <c r="C916" s="10"/>
      <c r="D916" s="10"/>
      <c r="E916" s="10"/>
      <c r="F916" s="30" t="s">
        <v>119</v>
      </c>
      <c r="G916" s="10">
        <v>640</v>
      </c>
      <c r="H916" s="10" t="s">
        <v>129</v>
      </c>
      <c r="I916" s="61">
        <f>4500+200</f>
        <v>4700</v>
      </c>
      <c r="J916" s="61"/>
      <c r="K916" s="61">
        <f t="shared" si="121"/>
        <v>4700</v>
      </c>
      <c r="L916" s="61"/>
      <c r="M916" s="61"/>
      <c r="N916" s="61">
        <f t="shared" si="122"/>
        <v>0</v>
      </c>
      <c r="O916" s="61">
        <f t="shared" si="126"/>
        <v>4700</v>
      </c>
      <c r="P916" s="61">
        <f t="shared" si="127"/>
        <v>0</v>
      </c>
      <c r="Q916" s="61">
        <f t="shared" si="123"/>
        <v>4700</v>
      </c>
    </row>
    <row r="917" spans="2:17" ht="12.75">
      <c r="B917" s="20">
        <f t="shared" si="128"/>
        <v>302</v>
      </c>
      <c r="C917" s="10"/>
      <c r="D917" s="10"/>
      <c r="E917" s="10"/>
      <c r="F917" s="30" t="s">
        <v>106</v>
      </c>
      <c r="G917" s="10">
        <v>610</v>
      </c>
      <c r="H917" s="10" t="s">
        <v>131</v>
      </c>
      <c r="I917" s="61">
        <f>378018+17000+50</f>
        <v>395068</v>
      </c>
      <c r="J917" s="61"/>
      <c r="K917" s="61">
        <f t="shared" si="121"/>
        <v>395068</v>
      </c>
      <c r="L917" s="61"/>
      <c r="M917" s="61"/>
      <c r="N917" s="61">
        <f t="shared" si="122"/>
        <v>0</v>
      </c>
      <c r="O917" s="61">
        <f t="shared" si="126"/>
        <v>395068</v>
      </c>
      <c r="P917" s="61">
        <f t="shared" si="127"/>
        <v>0</v>
      </c>
      <c r="Q917" s="61">
        <f t="shared" si="123"/>
        <v>395068</v>
      </c>
    </row>
    <row r="918" spans="2:17" ht="12.75">
      <c r="B918" s="20">
        <f t="shared" si="128"/>
        <v>303</v>
      </c>
      <c r="C918" s="10"/>
      <c r="D918" s="10"/>
      <c r="E918" s="10"/>
      <c r="F918" s="30" t="s">
        <v>106</v>
      </c>
      <c r="G918" s="10">
        <v>620</v>
      </c>
      <c r="H918" s="10" t="s">
        <v>124</v>
      </c>
      <c r="I918" s="61">
        <f>136443+5996+18</f>
        <v>142457</v>
      </c>
      <c r="J918" s="61"/>
      <c r="K918" s="61">
        <f t="shared" si="121"/>
        <v>142457</v>
      </c>
      <c r="L918" s="61"/>
      <c r="M918" s="61"/>
      <c r="N918" s="61">
        <f t="shared" si="122"/>
        <v>0</v>
      </c>
      <c r="O918" s="61">
        <f t="shared" si="126"/>
        <v>142457</v>
      </c>
      <c r="P918" s="61">
        <f t="shared" si="127"/>
        <v>0</v>
      </c>
      <c r="Q918" s="61">
        <f t="shared" si="123"/>
        <v>142457</v>
      </c>
    </row>
    <row r="919" spans="2:17" ht="12.75">
      <c r="B919" s="20">
        <f t="shared" si="128"/>
        <v>304</v>
      </c>
      <c r="C919" s="10"/>
      <c r="D919" s="10"/>
      <c r="E919" s="10"/>
      <c r="F919" s="30" t="s">
        <v>106</v>
      </c>
      <c r="G919" s="10">
        <v>630</v>
      </c>
      <c r="H919" s="10" t="s">
        <v>121</v>
      </c>
      <c r="I919" s="61">
        <f>SUM(I920:I926)</f>
        <v>138926</v>
      </c>
      <c r="J919" s="61">
        <f>SUM(J920:J926)</f>
        <v>0</v>
      </c>
      <c r="K919" s="61">
        <f t="shared" si="121"/>
        <v>138926</v>
      </c>
      <c r="L919" s="61"/>
      <c r="M919" s="61"/>
      <c r="N919" s="61">
        <f t="shared" si="122"/>
        <v>0</v>
      </c>
      <c r="O919" s="61">
        <f t="shared" si="126"/>
        <v>138926</v>
      </c>
      <c r="P919" s="61">
        <f t="shared" si="127"/>
        <v>0</v>
      </c>
      <c r="Q919" s="61">
        <f t="shared" si="123"/>
        <v>138926</v>
      </c>
    </row>
    <row r="920" spans="2:17" ht="12.75">
      <c r="B920" s="20">
        <f t="shared" si="128"/>
        <v>305</v>
      </c>
      <c r="C920" s="4"/>
      <c r="D920" s="4"/>
      <c r="E920" s="4"/>
      <c r="F920" s="31" t="s">
        <v>106</v>
      </c>
      <c r="G920" s="4">
        <v>631</v>
      </c>
      <c r="H920" s="4" t="s">
        <v>127</v>
      </c>
      <c r="I920" s="17">
        <v>300</v>
      </c>
      <c r="J920" s="17"/>
      <c r="K920" s="17">
        <f t="shared" si="121"/>
        <v>300</v>
      </c>
      <c r="L920" s="17"/>
      <c r="M920" s="17"/>
      <c r="N920" s="17">
        <f t="shared" si="122"/>
        <v>0</v>
      </c>
      <c r="O920" s="17">
        <f t="shared" si="126"/>
        <v>300</v>
      </c>
      <c r="P920" s="17">
        <f t="shared" si="127"/>
        <v>0</v>
      </c>
      <c r="Q920" s="17">
        <f t="shared" si="123"/>
        <v>300</v>
      </c>
    </row>
    <row r="921" spans="2:17" ht="12.75">
      <c r="B921" s="20">
        <f t="shared" si="128"/>
        <v>306</v>
      </c>
      <c r="C921" s="4"/>
      <c r="D921" s="4"/>
      <c r="E921" s="4"/>
      <c r="F921" s="31" t="s">
        <v>106</v>
      </c>
      <c r="G921" s="4">
        <v>632</v>
      </c>
      <c r="H921" s="4" t="s">
        <v>134</v>
      </c>
      <c r="I921" s="17">
        <f>24200+4945</f>
        <v>29145</v>
      </c>
      <c r="J921" s="17"/>
      <c r="K921" s="17">
        <f t="shared" si="121"/>
        <v>29145</v>
      </c>
      <c r="L921" s="17"/>
      <c r="M921" s="17"/>
      <c r="N921" s="17">
        <f t="shared" si="122"/>
        <v>0</v>
      </c>
      <c r="O921" s="17">
        <f t="shared" si="126"/>
        <v>29145</v>
      </c>
      <c r="P921" s="17">
        <f t="shared" si="127"/>
        <v>0</v>
      </c>
      <c r="Q921" s="17">
        <f t="shared" si="123"/>
        <v>29145</v>
      </c>
    </row>
    <row r="922" spans="2:17" ht="12.75">
      <c r="B922" s="20">
        <f t="shared" si="128"/>
        <v>307</v>
      </c>
      <c r="C922" s="4"/>
      <c r="D922" s="4"/>
      <c r="E922" s="4"/>
      <c r="F922" s="31" t="s">
        <v>106</v>
      </c>
      <c r="G922" s="4">
        <v>633</v>
      </c>
      <c r="H922" s="4" t="s">
        <v>125</v>
      </c>
      <c r="I922" s="17">
        <f>17100+3676</f>
        <v>20776</v>
      </c>
      <c r="J922" s="17"/>
      <c r="K922" s="17">
        <f t="shared" si="121"/>
        <v>20776</v>
      </c>
      <c r="L922" s="17"/>
      <c r="M922" s="17"/>
      <c r="N922" s="17">
        <f t="shared" si="122"/>
        <v>0</v>
      </c>
      <c r="O922" s="17">
        <f t="shared" si="126"/>
        <v>20776</v>
      </c>
      <c r="P922" s="17">
        <f t="shared" si="127"/>
        <v>0</v>
      </c>
      <c r="Q922" s="17">
        <f t="shared" si="123"/>
        <v>20776</v>
      </c>
    </row>
    <row r="923" spans="2:17" ht="12.75">
      <c r="B923" s="20">
        <f t="shared" si="128"/>
        <v>308</v>
      </c>
      <c r="C923" s="4"/>
      <c r="D923" s="4"/>
      <c r="E923" s="4"/>
      <c r="F923" s="31" t="s">
        <v>106</v>
      </c>
      <c r="G923" s="4">
        <v>635</v>
      </c>
      <c r="H923" s="4" t="s">
        <v>133</v>
      </c>
      <c r="I923" s="17">
        <v>17190</v>
      </c>
      <c r="J923" s="17"/>
      <c r="K923" s="17">
        <f t="shared" si="121"/>
        <v>17190</v>
      </c>
      <c r="L923" s="17"/>
      <c r="M923" s="17"/>
      <c r="N923" s="17">
        <f t="shared" si="122"/>
        <v>0</v>
      </c>
      <c r="O923" s="17">
        <f t="shared" si="126"/>
        <v>17190</v>
      </c>
      <c r="P923" s="17">
        <f t="shared" si="127"/>
        <v>0</v>
      </c>
      <c r="Q923" s="17">
        <f t="shared" si="123"/>
        <v>17190</v>
      </c>
    </row>
    <row r="924" spans="2:17" ht="12.75">
      <c r="B924" s="20">
        <f t="shared" si="128"/>
        <v>309</v>
      </c>
      <c r="C924" s="4"/>
      <c r="D924" s="4"/>
      <c r="E924" s="4"/>
      <c r="F924" s="31" t="s">
        <v>106</v>
      </c>
      <c r="G924" s="4">
        <v>636</v>
      </c>
      <c r="H924" s="4" t="s">
        <v>126</v>
      </c>
      <c r="I924" s="17">
        <v>140</v>
      </c>
      <c r="J924" s="17"/>
      <c r="K924" s="17">
        <f t="shared" si="121"/>
        <v>140</v>
      </c>
      <c r="L924" s="17"/>
      <c r="M924" s="17"/>
      <c r="N924" s="17">
        <f t="shared" si="122"/>
        <v>0</v>
      </c>
      <c r="O924" s="17">
        <f t="shared" si="126"/>
        <v>140</v>
      </c>
      <c r="P924" s="17">
        <f t="shared" si="127"/>
        <v>0</v>
      </c>
      <c r="Q924" s="17">
        <f t="shared" si="123"/>
        <v>140</v>
      </c>
    </row>
    <row r="925" spans="2:17" ht="12.75">
      <c r="B925" s="20">
        <f t="shared" si="128"/>
        <v>310</v>
      </c>
      <c r="C925" s="4"/>
      <c r="D925" s="4"/>
      <c r="E925" s="4"/>
      <c r="F925" s="31" t="s">
        <v>106</v>
      </c>
      <c r="G925" s="4">
        <v>637</v>
      </c>
      <c r="H925" s="4" t="s">
        <v>122</v>
      </c>
      <c r="I925" s="17">
        <f>45425+10000</f>
        <v>55425</v>
      </c>
      <c r="J925" s="17"/>
      <c r="K925" s="17">
        <f t="shared" si="121"/>
        <v>55425</v>
      </c>
      <c r="L925" s="17"/>
      <c r="M925" s="17"/>
      <c r="N925" s="17">
        <f t="shared" si="122"/>
        <v>0</v>
      </c>
      <c r="O925" s="17">
        <f t="shared" si="126"/>
        <v>55425</v>
      </c>
      <c r="P925" s="17">
        <f t="shared" si="127"/>
        <v>0</v>
      </c>
      <c r="Q925" s="17">
        <f t="shared" si="123"/>
        <v>55425</v>
      </c>
    </row>
    <row r="926" spans="2:17" ht="12.75">
      <c r="B926" s="20">
        <f t="shared" si="128"/>
        <v>311</v>
      </c>
      <c r="C926" s="4"/>
      <c r="D926" s="4"/>
      <c r="E926" s="4"/>
      <c r="F926" s="33" t="s">
        <v>106</v>
      </c>
      <c r="G926" s="4">
        <v>637</v>
      </c>
      <c r="H926" s="24" t="s">
        <v>290</v>
      </c>
      <c r="I926" s="17">
        <v>15950</v>
      </c>
      <c r="J926" s="17"/>
      <c r="K926" s="17">
        <f t="shared" si="121"/>
        <v>15950</v>
      </c>
      <c r="L926" s="17"/>
      <c r="M926" s="17"/>
      <c r="N926" s="17">
        <f t="shared" si="122"/>
        <v>0</v>
      </c>
      <c r="O926" s="17">
        <f t="shared" si="126"/>
        <v>15950</v>
      </c>
      <c r="P926" s="17">
        <f t="shared" si="127"/>
        <v>0</v>
      </c>
      <c r="Q926" s="17">
        <f t="shared" si="123"/>
        <v>15950</v>
      </c>
    </row>
    <row r="927" spans="2:17" ht="12.75">
      <c r="B927" s="20">
        <f t="shared" si="128"/>
        <v>312</v>
      </c>
      <c r="C927" s="10"/>
      <c r="D927" s="10"/>
      <c r="E927" s="10"/>
      <c r="F927" s="30" t="s">
        <v>106</v>
      </c>
      <c r="G927" s="10">
        <v>640</v>
      </c>
      <c r="H927" s="10" t="s">
        <v>129</v>
      </c>
      <c r="I927" s="61">
        <v>4500</v>
      </c>
      <c r="J927" s="61"/>
      <c r="K927" s="61">
        <f t="shared" si="121"/>
        <v>4500</v>
      </c>
      <c r="L927" s="61"/>
      <c r="M927" s="61"/>
      <c r="N927" s="61">
        <f t="shared" si="122"/>
        <v>0</v>
      </c>
      <c r="O927" s="61">
        <f t="shared" si="126"/>
        <v>4500</v>
      </c>
      <c r="P927" s="61">
        <f t="shared" si="127"/>
        <v>0</v>
      </c>
      <c r="Q927" s="61">
        <f t="shared" si="123"/>
        <v>4500</v>
      </c>
    </row>
    <row r="928" spans="2:17" ht="12.75">
      <c r="B928" s="20">
        <f t="shared" si="128"/>
        <v>313</v>
      </c>
      <c r="C928" s="10"/>
      <c r="D928" s="10"/>
      <c r="E928" s="10"/>
      <c r="F928" s="30"/>
      <c r="G928" s="10">
        <v>630</v>
      </c>
      <c r="H928" s="10" t="s">
        <v>597</v>
      </c>
      <c r="I928" s="61">
        <v>5911</v>
      </c>
      <c r="J928" s="61"/>
      <c r="K928" s="61">
        <f t="shared" si="121"/>
        <v>5911</v>
      </c>
      <c r="L928" s="61"/>
      <c r="M928" s="61"/>
      <c r="N928" s="61">
        <f t="shared" si="122"/>
        <v>0</v>
      </c>
      <c r="O928" s="61">
        <f t="shared" si="126"/>
        <v>5911</v>
      </c>
      <c r="P928" s="61">
        <f t="shared" si="127"/>
        <v>0</v>
      </c>
      <c r="Q928" s="61">
        <f t="shared" si="123"/>
        <v>5911</v>
      </c>
    </row>
    <row r="929" spans="2:17" ht="12.75">
      <c r="B929" s="20">
        <f t="shared" si="128"/>
        <v>314</v>
      </c>
      <c r="C929" s="10"/>
      <c r="D929" s="10"/>
      <c r="E929" s="10"/>
      <c r="F929" s="30"/>
      <c r="G929" s="10"/>
      <c r="H929" s="10"/>
      <c r="I929" s="61"/>
      <c r="J929" s="61"/>
      <c r="K929" s="61">
        <f t="shared" si="121"/>
        <v>0</v>
      </c>
      <c r="L929" s="61"/>
      <c r="M929" s="61"/>
      <c r="N929" s="61">
        <f t="shared" si="122"/>
        <v>0</v>
      </c>
      <c r="O929" s="61"/>
      <c r="P929" s="61"/>
      <c r="Q929" s="61">
        <f t="shared" si="123"/>
        <v>0</v>
      </c>
    </row>
    <row r="930" spans="2:17" ht="12.75">
      <c r="B930" s="20">
        <f t="shared" si="128"/>
        <v>315</v>
      </c>
      <c r="C930" s="10"/>
      <c r="D930" s="10"/>
      <c r="E930" s="10"/>
      <c r="F930" s="30" t="s">
        <v>106</v>
      </c>
      <c r="G930" s="10">
        <v>710</v>
      </c>
      <c r="H930" s="10" t="s">
        <v>176</v>
      </c>
      <c r="I930" s="61"/>
      <c r="J930" s="61"/>
      <c r="K930" s="61">
        <f t="shared" si="121"/>
        <v>0</v>
      </c>
      <c r="L930" s="61">
        <f>L931+L933</f>
        <v>130150</v>
      </c>
      <c r="M930" s="61">
        <f>M931+M933</f>
        <v>0</v>
      </c>
      <c r="N930" s="61">
        <f t="shared" si="122"/>
        <v>130150</v>
      </c>
      <c r="O930" s="61">
        <f aca="true" t="shared" si="129" ref="O930:O959">I930+L930</f>
        <v>130150</v>
      </c>
      <c r="P930" s="61">
        <f aca="true" t="shared" si="130" ref="P930:P959">J930+M930</f>
        <v>0</v>
      </c>
      <c r="Q930" s="61">
        <f t="shared" si="123"/>
        <v>130150</v>
      </c>
    </row>
    <row r="931" spans="2:17" ht="12.75">
      <c r="B931" s="20">
        <f t="shared" si="128"/>
        <v>316</v>
      </c>
      <c r="C931" s="4"/>
      <c r="D931" s="4"/>
      <c r="E931" s="4"/>
      <c r="F931" s="31" t="s">
        <v>106</v>
      </c>
      <c r="G931" s="4">
        <v>713</v>
      </c>
      <c r="H931" s="4" t="s">
        <v>225</v>
      </c>
      <c r="I931" s="17"/>
      <c r="J931" s="17"/>
      <c r="K931" s="17">
        <f t="shared" si="121"/>
        <v>0</v>
      </c>
      <c r="L931" s="17">
        <f>L932</f>
        <v>115150</v>
      </c>
      <c r="M931" s="17">
        <f>M932</f>
        <v>0</v>
      </c>
      <c r="N931" s="17">
        <f t="shared" si="122"/>
        <v>115150</v>
      </c>
      <c r="O931" s="17">
        <f t="shared" si="129"/>
        <v>115150</v>
      </c>
      <c r="P931" s="17">
        <f t="shared" si="130"/>
        <v>0</v>
      </c>
      <c r="Q931" s="17">
        <f t="shared" si="123"/>
        <v>115150</v>
      </c>
    </row>
    <row r="932" spans="2:17" ht="12.75">
      <c r="B932" s="20">
        <f t="shared" si="128"/>
        <v>317</v>
      </c>
      <c r="C932" s="4"/>
      <c r="D932" s="4"/>
      <c r="E932" s="4"/>
      <c r="F932" s="31"/>
      <c r="G932" s="4"/>
      <c r="H932" s="5" t="s">
        <v>375</v>
      </c>
      <c r="I932" s="18"/>
      <c r="J932" s="18"/>
      <c r="K932" s="18">
        <f t="shared" si="121"/>
        <v>0</v>
      </c>
      <c r="L932" s="18">
        <f>125150-10000</f>
        <v>115150</v>
      </c>
      <c r="M932" s="18"/>
      <c r="N932" s="18">
        <f t="shared" si="122"/>
        <v>115150</v>
      </c>
      <c r="O932" s="18">
        <f t="shared" si="129"/>
        <v>115150</v>
      </c>
      <c r="P932" s="18">
        <f t="shared" si="130"/>
        <v>0</v>
      </c>
      <c r="Q932" s="18">
        <f t="shared" si="123"/>
        <v>115150</v>
      </c>
    </row>
    <row r="933" spans="2:17" ht="12.75">
      <c r="B933" s="20">
        <f t="shared" si="128"/>
        <v>318</v>
      </c>
      <c r="C933" s="4"/>
      <c r="D933" s="4"/>
      <c r="E933" s="4"/>
      <c r="F933" s="31" t="s">
        <v>106</v>
      </c>
      <c r="G933" s="4">
        <v>717</v>
      </c>
      <c r="H933" s="4" t="s">
        <v>186</v>
      </c>
      <c r="I933" s="17"/>
      <c r="J933" s="17"/>
      <c r="K933" s="17">
        <f t="shared" si="121"/>
        <v>0</v>
      </c>
      <c r="L933" s="17">
        <f>L934+L935</f>
        <v>15000</v>
      </c>
      <c r="M933" s="17">
        <f>M934+M935</f>
        <v>0</v>
      </c>
      <c r="N933" s="17">
        <f t="shared" si="122"/>
        <v>15000</v>
      </c>
      <c r="O933" s="17">
        <f t="shared" si="129"/>
        <v>15000</v>
      </c>
      <c r="P933" s="17">
        <f t="shared" si="130"/>
        <v>0</v>
      </c>
      <c r="Q933" s="17">
        <f t="shared" si="123"/>
        <v>15000</v>
      </c>
    </row>
    <row r="934" spans="2:17" ht="12.75">
      <c r="B934" s="20">
        <f t="shared" si="128"/>
        <v>319</v>
      </c>
      <c r="C934" s="4"/>
      <c r="D934" s="4"/>
      <c r="E934" s="4"/>
      <c r="F934" s="31"/>
      <c r="G934" s="4"/>
      <c r="H934" s="5" t="s">
        <v>375</v>
      </c>
      <c r="I934" s="18"/>
      <c r="J934" s="18"/>
      <c r="K934" s="18">
        <f t="shared" si="121"/>
        <v>0</v>
      </c>
      <c r="L934" s="18">
        <v>10000</v>
      </c>
      <c r="M934" s="18"/>
      <c r="N934" s="18">
        <f t="shared" si="122"/>
        <v>10000</v>
      </c>
      <c r="O934" s="18">
        <f t="shared" si="129"/>
        <v>10000</v>
      </c>
      <c r="P934" s="18">
        <f t="shared" si="130"/>
        <v>0</v>
      </c>
      <c r="Q934" s="18">
        <f t="shared" si="123"/>
        <v>10000</v>
      </c>
    </row>
    <row r="935" spans="2:17" ht="12.75">
      <c r="B935" s="20">
        <f t="shared" si="128"/>
        <v>320</v>
      </c>
      <c r="C935" s="4"/>
      <c r="D935" s="4"/>
      <c r="E935" s="4"/>
      <c r="F935" s="31"/>
      <c r="G935" s="4"/>
      <c r="H935" s="5" t="s">
        <v>629</v>
      </c>
      <c r="I935" s="18"/>
      <c r="J935" s="18"/>
      <c r="K935" s="18">
        <f t="shared" si="121"/>
        <v>0</v>
      </c>
      <c r="L935" s="18">
        <v>5000</v>
      </c>
      <c r="M935" s="18"/>
      <c r="N935" s="18">
        <f t="shared" si="122"/>
        <v>5000</v>
      </c>
      <c r="O935" s="18">
        <f t="shared" si="129"/>
        <v>5000</v>
      </c>
      <c r="P935" s="18">
        <f t="shared" si="130"/>
        <v>0</v>
      </c>
      <c r="Q935" s="18">
        <f t="shared" si="123"/>
        <v>5000</v>
      </c>
    </row>
    <row r="936" spans="2:17" ht="15">
      <c r="B936" s="20">
        <f t="shared" si="128"/>
        <v>321</v>
      </c>
      <c r="C936" s="12"/>
      <c r="D936" s="12"/>
      <c r="E936" s="12">
        <v>10</v>
      </c>
      <c r="F936" s="34"/>
      <c r="G936" s="12"/>
      <c r="H936" s="12" t="s">
        <v>2</v>
      </c>
      <c r="I936" s="90">
        <f>I937+I938+I939+I947+I948+I949+I950+I958+I959</f>
        <v>830510</v>
      </c>
      <c r="J936" s="90">
        <f>J937+J938+J939+J947+J948+J949+J950+J958+J959</f>
        <v>800</v>
      </c>
      <c r="K936" s="90">
        <f aca="true" t="shared" si="131" ref="K936:K999">J936+I936</f>
        <v>831310</v>
      </c>
      <c r="L936" s="90">
        <f>L961</f>
        <v>155388</v>
      </c>
      <c r="M936" s="90">
        <f>M961</f>
        <v>0</v>
      </c>
      <c r="N936" s="90">
        <f aca="true" t="shared" si="132" ref="N936:N999">M936+L936</f>
        <v>155388</v>
      </c>
      <c r="O936" s="90">
        <f t="shared" si="129"/>
        <v>985898</v>
      </c>
      <c r="P936" s="90">
        <f t="shared" si="130"/>
        <v>800</v>
      </c>
      <c r="Q936" s="90">
        <f aca="true" t="shared" si="133" ref="Q936:Q999">O936+P936</f>
        <v>986698</v>
      </c>
    </row>
    <row r="937" spans="2:17" ht="12.75">
      <c r="B937" s="20">
        <f t="shared" si="128"/>
        <v>322</v>
      </c>
      <c r="C937" s="10"/>
      <c r="D937" s="10"/>
      <c r="E937" s="10"/>
      <c r="F937" s="30" t="s">
        <v>119</v>
      </c>
      <c r="G937" s="10">
        <v>610</v>
      </c>
      <c r="H937" s="10" t="s">
        <v>131</v>
      </c>
      <c r="I937" s="61">
        <f>251110-63877</f>
        <v>187233</v>
      </c>
      <c r="J937" s="61"/>
      <c r="K937" s="61">
        <f t="shared" si="131"/>
        <v>187233</v>
      </c>
      <c r="L937" s="61"/>
      <c r="M937" s="61"/>
      <c r="N937" s="61">
        <f t="shared" si="132"/>
        <v>0</v>
      </c>
      <c r="O937" s="61">
        <f t="shared" si="129"/>
        <v>187233</v>
      </c>
      <c r="P937" s="61">
        <f t="shared" si="130"/>
        <v>0</v>
      </c>
      <c r="Q937" s="61">
        <f t="shared" si="133"/>
        <v>187233</v>
      </c>
    </row>
    <row r="938" spans="2:17" ht="12.75">
      <c r="B938" s="20">
        <f t="shared" si="128"/>
        <v>323</v>
      </c>
      <c r="C938" s="10"/>
      <c r="D938" s="10"/>
      <c r="E938" s="10"/>
      <c r="F938" s="30" t="s">
        <v>119</v>
      </c>
      <c r="G938" s="10">
        <v>620</v>
      </c>
      <c r="H938" s="10" t="s">
        <v>124</v>
      </c>
      <c r="I938" s="61">
        <f>92939+6473</f>
        <v>99412</v>
      </c>
      <c r="J938" s="61"/>
      <c r="K938" s="61">
        <f t="shared" si="131"/>
        <v>99412</v>
      </c>
      <c r="L938" s="61"/>
      <c r="M938" s="61"/>
      <c r="N938" s="61">
        <f t="shared" si="132"/>
        <v>0</v>
      </c>
      <c r="O938" s="61">
        <f t="shared" si="129"/>
        <v>99412</v>
      </c>
      <c r="P938" s="61">
        <f t="shared" si="130"/>
        <v>0</v>
      </c>
      <c r="Q938" s="61">
        <f t="shared" si="133"/>
        <v>99412</v>
      </c>
    </row>
    <row r="939" spans="2:17" ht="12.75">
      <c r="B939" s="20">
        <f t="shared" si="128"/>
        <v>324</v>
      </c>
      <c r="C939" s="10"/>
      <c r="D939" s="10"/>
      <c r="E939" s="10"/>
      <c r="F939" s="30" t="s">
        <v>119</v>
      </c>
      <c r="G939" s="10">
        <v>630</v>
      </c>
      <c r="H939" s="10" t="s">
        <v>121</v>
      </c>
      <c r="I939" s="61">
        <f>I946+I945+I944+I943+I942+I941+I940</f>
        <v>36494</v>
      </c>
      <c r="J939" s="61">
        <f>J946+J945+J944+J943+J942+J941+J940</f>
        <v>800</v>
      </c>
      <c r="K939" s="61">
        <f t="shared" si="131"/>
        <v>37294</v>
      </c>
      <c r="L939" s="61"/>
      <c r="M939" s="61"/>
      <c r="N939" s="61">
        <f t="shared" si="132"/>
        <v>0</v>
      </c>
      <c r="O939" s="61">
        <f t="shared" si="129"/>
        <v>36494</v>
      </c>
      <c r="P939" s="61">
        <f t="shared" si="130"/>
        <v>800</v>
      </c>
      <c r="Q939" s="61">
        <f t="shared" si="133"/>
        <v>37294</v>
      </c>
    </row>
    <row r="940" spans="2:17" ht="12.75">
      <c r="B940" s="20">
        <f t="shared" si="128"/>
        <v>325</v>
      </c>
      <c r="C940" s="4"/>
      <c r="D940" s="4"/>
      <c r="E940" s="4"/>
      <c r="F940" s="31" t="s">
        <v>119</v>
      </c>
      <c r="G940" s="4">
        <v>631</v>
      </c>
      <c r="H940" s="4" t="s">
        <v>127</v>
      </c>
      <c r="I940" s="17">
        <v>100</v>
      </c>
      <c r="J940" s="17"/>
      <c r="K940" s="17">
        <f t="shared" si="131"/>
        <v>100</v>
      </c>
      <c r="L940" s="17"/>
      <c r="M940" s="17"/>
      <c r="N940" s="17">
        <f t="shared" si="132"/>
        <v>0</v>
      </c>
      <c r="O940" s="17">
        <f t="shared" si="129"/>
        <v>100</v>
      </c>
      <c r="P940" s="17">
        <f t="shared" si="130"/>
        <v>0</v>
      </c>
      <c r="Q940" s="17">
        <f t="shared" si="133"/>
        <v>100</v>
      </c>
    </row>
    <row r="941" spans="2:17" ht="12.75">
      <c r="B941" s="20">
        <f t="shared" si="128"/>
        <v>326</v>
      </c>
      <c r="C941" s="4"/>
      <c r="D941" s="4"/>
      <c r="E941" s="4"/>
      <c r="F941" s="31" t="s">
        <v>119</v>
      </c>
      <c r="G941" s="4">
        <v>632</v>
      </c>
      <c r="H941" s="4" t="s">
        <v>134</v>
      </c>
      <c r="I941" s="17">
        <f>14000-1000</f>
        <v>13000</v>
      </c>
      <c r="J941" s="17"/>
      <c r="K941" s="17">
        <f t="shared" si="131"/>
        <v>13000</v>
      </c>
      <c r="L941" s="17"/>
      <c r="M941" s="17"/>
      <c r="N941" s="17">
        <f t="shared" si="132"/>
        <v>0</v>
      </c>
      <c r="O941" s="17">
        <f t="shared" si="129"/>
        <v>13000</v>
      </c>
      <c r="P941" s="17">
        <f t="shared" si="130"/>
        <v>0</v>
      </c>
      <c r="Q941" s="17">
        <f t="shared" si="133"/>
        <v>13000</v>
      </c>
    </row>
    <row r="942" spans="2:17" ht="12.75">
      <c r="B942" s="20">
        <f t="shared" si="128"/>
        <v>327</v>
      </c>
      <c r="C942" s="4"/>
      <c r="D942" s="4"/>
      <c r="E942" s="4"/>
      <c r="F942" s="31" t="s">
        <v>119</v>
      </c>
      <c r="G942" s="4">
        <v>633</v>
      </c>
      <c r="H942" s="4" t="s">
        <v>125</v>
      </c>
      <c r="I942" s="17">
        <f>8600-856</f>
        <v>7744</v>
      </c>
      <c r="J942" s="17">
        <v>800</v>
      </c>
      <c r="K942" s="17">
        <f t="shared" si="131"/>
        <v>8544</v>
      </c>
      <c r="L942" s="17"/>
      <c r="M942" s="17"/>
      <c r="N942" s="17">
        <f t="shared" si="132"/>
        <v>0</v>
      </c>
      <c r="O942" s="17">
        <f t="shared" si="129"/>
        <v>7744</v>
      </c>
      <c r="P942" s="17">
        <f t="shared" si="130"/>
        <v>800</v>
      </c>
      <c r="Q942" s="17">
        <f t="shared" si="133"/>
        <v>8544</v>
      </c>
    </row>
    <row r="943" spans="2:17" ht="12.75">
      <c r="B943" s="20">
        <f t="shared" si="128"/>
        <v>328</v>
      </c>
      <c r="C943" s="4"/>
      <c r="D943" s="4"/>
      <c r="E943" s="4"/>
      <c r="F943" s="31" t="s">
        <v>119</v>
      </c>
      <c r="G943" s="4">
        <v>634</v>
      </c>
      <c r="H943" s="4" t="s">
        <v>132</v>
      </c>
      <c r="I943" s="17">
        <v>2500</v>
      </c>
      <c r="J943" s="17"/>
      <c r="K943" s="17">
        <f t="shared" si="131"/>
        <v>2500</v>
      </c>
      <c r="L943" s="17"/>
      <c r="M943" s="17"/>
      <c r="N943" s="17">
        <f t="shared" si="132"/>
        <v>0</v>
      </c>
      <c r="O943" s="17">
        <f t="shared" si="129"/>
        <v>2500</v>
      </c>
      <c r="P943" s="17">
        <f t="shared" si="130"/>
        <v>0</v>
      </c>
      <c r="Q943" s="17">
        <f t="shared" si="133"/>
        <v>2500</v>
      </c>
    </row>
    <row r="944" spans="2:17" ht="12.75">
      <c r="B944" s="20">
        <f t="shared" si="128"/>
        <v>329</v>
      </c>
      <c r="C944" s="4"/>
      <c r="D944" s="4"/>
      <c r="E944" s="4"/>
      <c r="F944" s="31" t="s">
        <v>119</v>
      </c>
      <c r="G944" s="4">
        <v>635</v>
      </c>
      <c r="H944" s="4" t="s">
        <v>133</v>
      </c>
      <c r="I944" s="17">
        <v>2500</v>
      </c>
      <c r="J944" s="17"/>
      <c r="K944" s="17">
        <f t="shared" si="131"/>
        <v>2500</v>
      </c>
      <c r="L944" s="17"/>
      <c r="M944" s="17"/>
      <c r="N944" s="17">
        <f t="shared" si="132"/>
        <v>0</v>
      </c>
      <c r="O944" s="17">
        <f t="shared" si="129"/>
        <v>2500</v>
      </c>
      <c r="P944" s="17">
        <f t="shared" si="130"/>
        <v>0</v>
      </c>
      <c r="Q944" s="17">
        <f t="shared" si="133"/>
        <v>2500</v>
      </c>
    </row>
    <row r="945" spans="2:17" ht="12.75">
      <c r="B945" s="20">
        <f t="shared" si="128"/>
        <v>330</v>
      </c>
      <c r="C945" s="4"/>
      <c r="D945" s="4"/>
      <c r="E945" s="4"/>
      <c r="F945" s="31" t="s">
        <v>119</v>
      </c>
      <c r="G945" s="4">
        <v>636</v>
      </c>
      <c r="H945" s="4" t="s">
        <v>126</v>
      </c>
      <c r="I945" s="17">
        <v>50</v>
      </c>
      <c r="J945" s="17"/>
      <c r="K945" s="17">
        <f t="shared" si="131"/>
        <v>50</v>
      </c>
      <c r="L945" s="17"/>
      <c r="M945" s="17"/>
      <c r="N945" s="17">
        <f t="shared" si="132"/>
        <v>0</v>
      </c>
      <c r="O945" s="17">
        <f t="shared" si="129"/>
        <v>50</v>
      </c>
      <c r="P945" s="17">
        <f t="shared" si="130"/>
        <v>0</v>
      </c>
      <c r="Q945" s="17">
        <f t="shared" si="133"/>
        <v>50</v>
      </c>
    </row>
    <row r="946" spans="2:17" ht="12.75">
      <c r="B946" s="20">
        <f t="shared" si="128"/>
        <v>331</v>
      </c>
      <c r="C946" s="4"/>
      <c r="D946" s="4"/>
      <c r="E946" s="4"/>
      <c r="F946" s="31" t="s">
        <v>119</v>
      </c>
      <c r="G946" s="4">
        <v>637</v>
      </c>
      <c r="H946" s="4" t="s">
        <v>122</v>
      </c>
      <c r="I946" s="17">
        <f>12600-2000</f>
        <v>10600</v>
      </c>
      <c r="J946" s="17"/>
      <c r="K946" s="17">
        <f t="shared" si="131"/>
        <v>10600</v>
      </c>
      <c r="L946" s="17"/>
      <c r="M946" s="17"/>
      <c r="N946" s="17">
        <f t="shared" si="132"/>
        <v>0</v>
      </c>
      <c r="O946" s="17">
        <f t="shared" si="129"/>
        <v>10600</v>
      </c>
      <c r="P946" s="17">
        <f t="shared" si="130"/>
        <v>0</v>
      </c>
      <c r="Q946" s="17">
        <f t="shared" si="133"/>
        <v>10600</v>
      </c>
    </row>
    <row r="947" spans="2:17" ht="12.75">
      <c r="B947" s="20">
        <f t="shared" si="128"/>
        <v>332</v>
      </c>
      <c r="C947" s="10"/>
      <c r="D947" s="10"/>
      <c r="E947" s="10"/>
      <c r="F947" s="30" t="s">
        <v>119</v>
      </c>
      <c r="G947" s="10">
        <v>640</v>
      </c>
      <c r="H947" s="10" t="s">
        <v>129</v>
      </c>
      <c r="I947" s="61">
        <v>500</v>
      </c>
      <c r="J947" s="61"/>
      <c r="K947" s="61">
        <f t="shared" si="131"/>
        <v>500</v>
      </c>
      <c r="L947" s="61"/>
      <c r="M947" s="61"/>
      <c r="N947" s="61">
        <f t="shared" si="132"/>
        <v>0</v>
      </c>
      <c r="O947" s="61">
        <f t="shared" si="129"/>
        <v>500</v>
      </c>
      <c r="P947" s="61">
        <f t="shared" si="130"/>
        <v>0</v>
      </c>
      <c r="Q947" s="61">
        <f t="shared" si="133"/>
        <v>500</v>
      </c>
    </row>
    <row r="948" spans="2:17" ht="12.75">
      <c r="B948" s="20">
        <f t="shared" si="128"/>
        <v>333</v>
      </c>
      <c r="C948" s="10"/>
      <c r="D948" s="10"/>
      <c r="E948" s="10"/>
      <c r="F948" s="30" t="s">
        <v>106</v>
      </c>
      <c r="G948" s="10">
        <v>610</v>
      </c>
      <c r="H948" s="10" t="s">
        <v>131</v>
      </c>
      <c r="I948" s="61">
        <f>302685-48621</f>
        <v>254064</v>
      </c>
      <c r="J948" s="61"/>
      <c r="K948" s="61">
        <f t="shared" si="131"/>
        <v>254064</v>
      </c>
      <c r="L948" s="61"/>
      <c r="M948" s="61"/>
      <c r="N948" s="61">
        <f t="shared" si="132"/>
        <v>0</v>
      </c>
      <c r="O948" s="61">
        <f t="shared" si="129"/>
        <v>254064</v>
      </c>
      <c r="P948" s="61">
        <f t="shared" si="130"/>
        <v>0</v>
      </c>
      <c r="Q948" s="61">
        <f t="shared" si="133"/>
        <v>254064</v>
      </c>
    </row>
    <row r="949" spans="2:17" ht="12.75">
      <c r="B949" s="20">
        <f t="shared" si="128"/>
        <v>334</v>
      </c>
      <c r="C949" s="10"/>
      <c r="D949" s="10"/>
      <c r="E949" s="10"/>
      <c r="F949" s="30" t="s">
        <v>106</v>
      </c>
      <c r="G949" s="10">
        <v>620</v>
      </c>
      <c r="H949" s="10" t="s">
        <v>124</v>
      </c>
      <c r="I949" s="61">
        <f>108606+14163</f>
        <v>122769</v>
      </c>
      <c r="J949" s="61"/>
      <c r="K949" s="61">
        <f t="shared" si="131"/>
        <v>122769</v>
      </c>
      <c r="L949" s="61"/>
      <c r="M949" s="61"/>
      <c r="N949" s="61">
        <f t="shared" si="132"/>
        <v>0</v>
      </c>
      <c r="O949" s="61">
        <f t="shared" si="129"/>
        <v>122769</v>
      </c>
      <c r="P949" s="61">
        <f t="shared" si="130"/>
        <v>0</v>
      </c>
      <c r="Q949" s="61">
        <f t="shared" si="133"/>
        <v>122769</v>
      </c>
    </row>
    <row r="950" spans="2:17" ht="12.75">
      <c r="B950" s="20">
        <f t="shared" si="128"/>
        <v>335</v>
      </c>
      <c r="C950" s="10"/>
      <c r="D950" s="10"/>
      <c r="E950" s="10"/>
      <c r="F950" s="30" t="s">
        <v>106</v>
      </c>
      <c r="G950" s="10">
        <v>630</v>
      </c>
      <c r="H950" s="10" t="s">
        <v>121</v>
      </c>
      <c r="I950" s="61">
        <f>SUM(I951:I957)</f>
        <v>121551</v>
      </c>
      <c r="J950" s="61">
        <f>SUM(J951:J957)</f>
        <v>0</v>
      </c>
      <c r="K950" s="61">
        <f t="shared" si="131"/>
        <v>121551</v>
      </c>
      <c r="L950" s="61"/>
      <c r="M950" s="61"/>
      <c r="N950" s="61">
        <f t="shared" si="132"/>
        <v>0</v>
      </c>
      <c r="O950" s="61">
        <f t="shared" si="129"/>
        <v>121551</v>
      </c>
      <c r="P950" s="61">
        <f t="shared" si="130"/>
        <v>0</v>
      </c>
      <c r="Q950" s="61">
        <f t="shared" si="133"/>
        <v>121551</v>
      </c>
    </row>
    <row r="951" spans="2:17" ht="12.75">
      <c r="B951" s="20">
        <f t="shared" si="128"/>
        <v>336</v>
      </c>
      <c r="C951" s="4"/>
      <c r="D951" s="4"/>
      <c r="E951" s="4"/>
      <c r="F951" s="31" t="s">
        <v>106</v>
      </c>
      <c r="G951" s="4">
        <v>631</v>
      </c>
      <c r="H951" s="4" t="s">
        <v>127</v>
      </c>
      <c r="I951" s="17">
        <v>100</v>
      </c>
      <c r="J951" s="17"/>
      <c r="K951" s="17">
        <f t="shared" si="131"/>
        <v>100</v>
      </c>
      <c r="L951" s="17"/>
      <c r="M951" s="17"/>
      <c r="N951" s="17">
        <f t="shared" si="132"/>
        <v>0</v>
      </c>
      <c r="O951" s="17">
        <f t="shared" si="129"/>
        <v>100</v>
      </c>
      <c r="P951" s="17">
        <f t="shared" si="130"/>
        <v>0</v>
      </c>
      <c r="Q951" s="17">
        <f t="shared" si="133"/>
        <v>100</v>
      </c>
    </row>
    <row r="952" spans="2:17" ht="12.75">
      <c r="B952" s="20">
        <f t="shared" si="128"/>
        <v>337</v>
      </c>
      <c r="C952" s="4"/>
      <c r="D952" s="4"/>
      <c r="E952" s="4"/>
      <c r="F952" s="31" t="s">
        <v>106</v>
      </c>
      <c r="G952" s="4">
        <v>632</v>
      </c>
      <c r="H952" s="4" t="s">
        <v>134</v>
      </c>
      <c r="I952" s="17">
        <f>60730-1000</f>
        <v>59730</v>
      </c>
      <c r="J952" s="17"/>
      <c r="K952" s="17">
        <f t="shared" si="131"/>
        <v>59730</v>
      </c>
      <c r="L952" s="17"/>
      <c r="M952" s="17"/>
      <c r="N952" s="17">
        <f t="shared" si="132"/>
        <v>0</v>
      </c>
      <c r="O952" s="17">
        <f t="shared" si="129"/>
        <v>59730</v>
      </c>
      <c r="P952" s="17">
        <f t="shared" si="130"/>
        <v>0</v>
      </c>
      <c r="Q952" s="17">
        <f t="shared" si="133"/>
        <v>59730</v>
      </c>
    </row>
    <row r="953" spans="2:17" ht="12.75">
      <c r="B953" s="20">
        <f t="shared" si="128"/>
        <v>338</v>
      </c>
      <c r="C953" s="4"/>
      <c r="D953" s="4"/>
      <c r="E953" s="4"/>
      <c r="F953" s="31" t="s">
        <v>106</v>
      </c>
      <c r="G953" s="4">
        <v>633</v>
      </c>
      <c r="H953" s="4" t="s">
        <v>125</v>
      </c>
      <c r="I953" s="17">
        <f>11770-856</f>
        <v>10914</v>
      </c>
      <c r="J953" s="17"/>
      <c r="K953" s="17">
        <f t="shared" si="131"/>
        <v>10914</v>
      </c>
      <c r="L953" s="17"/>
      <c r="M953" s="17"/>
      <c r="N953" s="17">
        <f t="shared" si="132"/>
        <v>0</v>
      </c>
      <c r="O953" s="17">
        <f t="shared" si="129"/>
        <v>10914</v>
      </c>
      <c r="P953" s="17">
        <f t="shared" si="130"/>
        <v>0</v>
      </c>
      <c r="Q953" s="17">
        <f t="shared" si="133"/>
        <v>10914</v>
      </c>
    </row>
    <row r="954" spans="2:17" ht="12.75">
      <c r="B954" s="20">
        <f t="shared" si="128"/>
        <v>339</v>
      </c>
      <c r="C954" s="4"/>
      <c r="D954" s="4"/>
      <c r="E954" s="4"/>
      <c r="F954" s="31" t="s">
        <v>106</v>
      </c>
      <c r="G954" s="4">
        <v>635</v>
      </c>
      <c r="H954" s="4" t="s">
        <v>133</v>
      </c>
      <c r="I954" s="17">
        <f>2500+19000</f>
        <v>21500</v>
      </c>
      <c r="J954" s="17"/>
      <c r="K954" s="17">
        <f t="shared" si="131"/>
        <v>21500</v>
      </c>
      <c r="L954" s="17"/>
      <c r="M954" s="17"/>
      <c r="N954" s="17">
        <f t="shared" si="132"/>
        <v>0</v>
      </c>
      <c r="O954" s="17">
        <f t="shared" si="129"/>
        <v>21500</v>
      </c>
      <c r="P954" s="17">
        <f t="shared" si="130"/>
        <v>0</v>
      </c>
      <c r="Q954" s="17">
        <f t="shared" si="133"/>
        <v>21500</v>
      </c>
    </row>
    <row r="955" spans="2:17" ht="12.75">
      <c r="B955" s="20">
        <f t="shared" si="128"/>
        <v>340</v>
      </c>
      <c r="C955" s="4"/>
      <c r="D955" s="4"/>
      <c r="E955" s="4"/>
      <c r="F955" s="31" t="s">
        <v>106</v>
      </c>
      <c r="G955" s="4">
        <v>636</v>
      </c>
      <c r="H955" s="4" t="s">
        <v>126</v>
      </c>
      <c r="I955" s="17">
        <v>50</v>
      </c>
      <c r="J955" s="17"/>
      <c r="K955" s="17">
        <f t="shared" si="131"/>
        <v>50</v>
      </c>
      <c r="L955" s="17"/>
      <c r="M955" s="17"/>
      <c r="N955" s="17">
        <f t="shared" si="132"/>
        <v>0</v>
      </c>
      <c r="O955" s="17">
        <f t="shared" si="129"/>
        <v>50</v>
      </c>
      <c r="P955" s="17">
        <f t="shared" si="130"/>
        <v>0</v>
      </c>
      <c r="Q955" s="17">
        <f t="shared" si="133"/>
        <v>50</v>
      </c>
    </row>
    <row r="956" spans="2:17" ht="12.75">
      <c r="B956" s="20">
        <f t="shared" si="128"/>
        <v>341</v>
      </c>
      <c r="C956" s="4"/>
      <c r="D956" s="4"/>
      <c r="E956" s="4"/>
      <c r="F956" s="31" t="s">
        <v>106</v>
      </c>
      <c r="G956" s="4">
        <v>637</v>
      </c>
      <c r="H956" s="4" t="s">
        <v>122</v>
      </c>
      <c r="I956" s="17">
        <f>16850+307</f>
        <v>17157</v>
      </c>
      <c r="J956" s="17"/>
      <c r="K956" s="17">
        <f t="shared" si="131"/>
        <v>17157</v>
      </c>
      <c r="L956" s="17"/>
      <c r="M956" s="17"/>
      <c r="N956" s="17">
        <f t="shared" si="132"/>
        <v>0</v>
      </c>
      <c r="O956" s="17">
        <f t="shared" si="129"/>
        <v>17157</v>
      </c>
      <c r="P956" s="17">
        <f t="shared" si="130"/>
        <v>0</v>
      </c>
      <c r="Q956" s="17">
        <f t="shared" si="133"/>
        <v>17157</v>
      </c>
    </row>
    <row r="957" spans="2:17" ht="12.75">
      <c r="B957" s="20">
        <f t="shared" si="128"/>
        <v>342</v>
      </c>
      <c r="C957" s="4"/>
      <c r="D957" s="4"/>
      <c r="E957" s="4"/>
      <c r="F957" s="33" t="s">
        <v>106</v>
      </c>
      <c r="G957" s="4">
        <v>637</v>
      </c>
      <c r="H957" s="24" t="s">
        <v>290</v>
      </c>
      <c r="I957" s="17">
        <v>12100</v>
      </c>
      <c r="J957" s="17"/>
      <c r="K957" s="17">
        <f t="shared" si="131"/>
        <v>12100</v>
      </c>
      <c r="L957" s="17"/>
      <c r="M957" s="17"/>
      <c r="N957" s="17">
        <f t="shared" si="132"/>
        <v>0</v>
      </c>
      <c r="O957" s="17">
        <f t="shared" si="129"/>
        <v>12100</v>
      </c>
      <c r="P957" s="17">
        <f t="shared" si="130"/>
        <v>0</v>
      </c>
      <c r="Q957" s="17">
        <f t="shared" si="133"/>
        <v>12100</v>
      </c>
    </row>
    <row r="958" spans="2:17" ht="12.75">
      <c r="B958" s="20">
        <f t="shared" si="128"/>
        <v>343</v>
      </c>
      <c r="C958" s="10"/>
      <c r="D958" s="10"/>
      <c r="E958" s="10"/>
      <c r="F958" s="30" t="s">
        <v>106</v>
      </c>
      <c r="G958" s="10">
        <v>640</v>
      </c>
      <c r="H958" s="10" t="s">
        <v>129</v>
      </c>
      <c r="I958" s="61">
        <v>5350</v>
      </c>
      <c r="J958" s="61"/>
      <c r="K958" s="61">
        <f t="shared" si="131"/>
        <v>5350</v>
      </c>
      <c r="L958" s="61"/>
      <c r="M958" s="61"/>
      <c r="N958" s="61">
        <f t="shared" si="132"/>
        <v>0</v>
      </c>
      <c r="O958" s="61">
        <f t="shared" si="129"/>
        <v>5350</v>
      </c>
      <c r="P958" s="61">
        <f t="shared" si="130"/>
        <v>0</v>
      </c>
      <c r="Q958" s="61">
        <f t="shared" si="133"/>
        <v>5350</v>
      </c>
    </row>
    <row r="959" spans="2:17" ht="12.75">
      <c r="B959" s="20">
        <f t="shared" si="128"/>
        <v>344</v>
      </c>
      <c r="C959" s="10"/>
      <c r="D959" s="10"/>
      <c r="E959" s="10"/>
      <c r="F959" s="30"/>
      <c r="G959" s="10">
        <v>630</v>
      </c>
      <c r="H959" s="10" t="s">
        <v>597</v>
      </c>
      <c r="I959" s="61">
        <v>3137</v>
      </c>
      <c r="J959" s="61"/>
      <c r="K959" s="61">
        <f t="shared" si="131"/>
        <v>3137</v>
      </c>
      <c r="L959" s="61"/>
      <c r="M959" s="61"/>
      <c r="N959" s="61">
        <f t="shared" si="132"/>
        <v>0</v>
      </c>
      <c r="O959" s="61">
        <f t="shared" si="129"/>
        <v>3137</v>
      </c>
      <c r="P959" s="61">
        <f t="shared" si="130"/>
        <v>0</v>
      </c>
      <c r="Q959" s="61">
        <f t="shared" si="133"/>
        <v>3137</v>
      </c>
    </row>
    <row r="960" spans="2:17" ht="12.75">
      <c r="B960" s="20">
        <f t="shared" si="128"/>
        <v>345</v>
      </c>
      <c r="C960" s="10"/>
      <c r="D960" s="10"/>
      <c r="E960" s="10"/>
      <c r="F960" s="30"/>
      <c r="G960" s="10"/>
      <c r="H960" s="10"/>
      <c r="I960" s="61"/>
      <c r="J960" s="61"/>
      <c r="K960" s="61">
        <f t="shared" si="131"/>
        <v>0</v>
      </c>
      <c r="L960" s="61"/>
      <c r="M960" s="61"/>
      <c r="N960" s="61">
        <f t="shared" si="132"/>
        <v>0</v>
      </c>
      <c r="O960" s="61"/>
      <c r="P960" s="61"/>
      <c r="Q960" s="61">
        <f t="shared" si="133"/>
        <v>0</v>
      </c>
    </row>
    <row r="961" spans="2:17" ht="12.75">
      <c r="B961" s="20">
        <f t="shared" si="128"/>
        <v>346</v>
      </c>
      <c r="C961" s="10"/>
      <c r="D961" s="10"/>
      <c r="E961" s="10"/>
      <c r="F961" s="30" t="s">
        <v>106</v>
      </c>
      <c r="G961" s="10">
        <v>710</v>
      </c>
      <c r="H961" s="10" t="s">
        <v>176</v>
      </c>
      <c r="I961" s="61"/>
      <c r="J961" s="61"/>
      <c r="K961" s="61">
        <f t="shared" si="131"/>
        <v>0</v>
      </c>
      <c r="L961" s="61">
        <f>L966+L962+L964</f>
        <v>155388</v>
      </c>
      <c r="M961" s="61">
        <f>M966+M962+M964</f>
        <v>0</v>
      </c>
      <c r="N961" s="61">
        <f t="shared" si="132"/>
        <v>155388</v>
      </c>
      <c r="O961" s="61">
        <f aca="true" t="shared" si="134" ref="O961:O992">I961+L961</f>
        <v>155388</v>
      </c>
      <c r="P961" s="61">
        <f aca="true" t="shared" si="135" ref="P961:P992">J961+M961</f>
        <v>0</v>
      </c>
      <c r="Q961" s="61">
        <f t="shared" si="133"/>
        <v>155388</v>
      </c>
    </row>
    <row r="962" spans="2:17" ht="12.75">
      <c r="B962" s="20">
        <f t="shared" si="128"/>
        <v>347</v>
      </c>
      <c r="C962" s="10"/>
      <c r="D962" s="10"/>
      <c r="E962" s="10"/>
      <c r="F962" s="31" t="s">
        <v>106</v>
      </c>
      <c r="G962" s="4">
        <v>713</v>
      </c>
      <c r="H962" s="4" t="s">
        <v>225</v>
      </c>
      <c r="I962" s="61"/>
      <c r="J962" s="61"/>
      <c r="K962" s="61">
        <f t="shared" si="131"/>
        <v>0</v>
      </c>
      <c r="L962" s="103">
        <f>L963</f>
        <v>45173</v>
      </c>
      <c r="M962" s="103">
        <f>M963</f>
        <v>0</v>
      </c>
      <c r="N962" s="103">
        <f t="shared" si="132"/>
        <v>45173</v>
      </c>
      <c r="O962" s="103">
        <f t="shared" si="134"/>
        <v>45173</v>
      </c>
      <c r="P962" s="103">
        <f t="shared" si="135"/>
        <v>0</v>
      </c>
      <c r="Q962" s="103">
        <f t="shared" si="133"/>
        <v>45173</v>
      </c>
    </row>
    <row r="963" spans="2:17" ht="12.75">
      <c r="B963" s="20">
        <f t="shared" si="128"/>
        <v>348</v>
      </c>
      <c r="C963" s="10"/>
      <c r="D963" s="10"/>
      <c r="E963" s="10"/>
      <c r="F963" s="31"/>
      <c r="G963" s="4"/>
      <c r="H963" s="43" t="s">
        <v>375</v>
      </c>
      <c r="I963" s="61"/>
      <c r="J963" s="61"/>
      <c r="K963" s="61">
        <f t="shared" si="131"/>
        <v>0</v>
      </c>
      <c r="L963" s="95">
        <v>45173</v>
      </c>
      <c r="M963" s="95"/>
      <c r="N963" s="95">
        <f t="shared" si="132"/>
        <v>45173</v>
      </c>
      <c r="O963" s="95">
        <f t="shared" si="134"/>
        <v>45173</v>
      </c>
      <c r="P963" s="95">
        <f t="shared" si="135"/>
        <v>0</v>
      </c>
      <c r="Q963" s="95">
        <f t="shared" si="133"/>
        <v>45173</v>
      </c>
    </row>
    <row r="964" spans="2:17" ht="12.75">
      <c r="B964" s="20">
        <f t="shared" si="128"/>
        <v>349</v>
      </c>
      <c r="C964" s="10"/>
      <c r="D964" s="10"/>
      <c r="E964" s="10"/>
      <c r="F964" s="31" t="s">
        <v>106</v>
      </c>
      <c r="G964" s="4">
        <v>716</v>
      </c>
      <c r="H964" s="4" t="s">
        <v>222</v>
      </c>
      <c r="I964" s="61"/>
      <c r="J964" s="61"/>
      <c r="K964" s="61">
        <f t="shared" si="131"/>
        <v>0</v>
      </c>
      <c r="L964" s="103">
        <f>L965</f>
        <v>28000</v>
      </c>
      <c r="M964" s="103">
        <f>M965</f>
        <v>0</v>
      </c>
      <c r="N964" s="103">
        <f t="shared" si="132"/>
        <v>28000</v>
      </c>
      <c r="O964" s="103">
        <f t="shared" si="134"/>
        <v>28000</v>
      </c>
      <c r="P964" s="103">
        <f t="shared" si="135"/>
        <v>0</v>
      </c>
      <c r="Q964" s="103">
        <f t="shared" si="133"/>
        <v>28000</v>
      </c>
    </row>
    <row r="965" spans="2:17" ht="12.75">
      <c r="B965" s="20">
        <f t="shared" si="128"/>
        <v>350</v>
      </c>
      <c r="C965" s="10"/>
      <c r="D965" s="10"/>
      <c r="E965" s="10"/>
      <c r="F965" s="31"/>
      <c r="G965" s="4"/>
      <c r="H965" s="5" t="s">
        <v>424</v>
      </c>
      <c r="I965" s="61"/>
      <c r="J965" s="61"/>
      <c r="K965" s="61">
        <f t="shared" si="131"/>
        <v>0</v>
      </c>
      <c r="L965" s="95">
        <f>17000+3000+8000</f>
        <v>28000</v>
      </c>
      <c r="M965" s="95"/>
      <c r="N965" s="95">
        <f t="shared" si="132"/>
        <v>28000</v>
      </c>
      <c r="O965" s="95">
        <f t="shared" si="134"/>
        <v>28000</v>
      </c>
      <c r="P965" s="95">
        <f t="shared" si="135"/>
        <v>0</v>
      </c>
      <c r="Q965" s="95">
        <f t="shared" si="133"/>
        <v>28000</v>
      </c>
    </row>
    <row r="966" spans="2:17" ht="12.75">
      <c r="B966" s="20">
        <f t="shared" si="128"/>
        <v>351</v>
      </c>
      <c r="C966" s="4"/>
      <c r="D966" s="4"/>
      <c r="E966" s="4"/>
      <c r="F966" s="31" t="s">
        <v>106</v>
      </c>
      <c r="G966" s="4">
        <v>717</v>
      </c>
      <c r="H966" s="4" t="s">
        <v>186</v>
      </c>
      <c r="I966" s="17"/>
      <c r="J966" s="17"/>
      <c r="K966" s="17">
        <f t="shared" si="131"/>
        <v>0</v>
      </c>
      <c r="L966" s="17">
        <f>SUM(L967:L968)</f>
        <v>82215</v>
      </c>
      <c r="M966" s="17">
        <f>SUM(M967:M968)</f>
        <v>0</v>
      </c>
      <c r="N966" s="17">
        <f t="shared" si="132"/>
        <v>82215</v>
      </c>
      <c r="O966" s="17">
        <f t="shared" si="134"/>
        <v>82215</v>
      </c>
      <c r="P966" s="17">
        <f t="shared" si="135"/>
        <v>0</v>
      </c>
      <c r="Q966" s="17">
        <f t="shared" si="133"/>
        <v>82215</v>
      </c>
    </row>
    <row r="967" spans="2:17" ht="12.75">
      <c r="B967" s="20">
        <f t="shared" si="128"/>
        <v>352</v>
      </c>
      <c r="C967" s="4"/>
      <c r="D967" s="4"/>
      <c r="E967" s="4"/>
      <c r="F967" s="31"/>
      <c r="G967" s="4"/>
      <c r="H967" s="5" t="s">
        <v>375</v>
      </c>
      <c r="I967" s="18"/>
      <c r="J967" s="18"/>
      <c r="K967" s="18">
        <f t="shared" si="131"/>
        <v>0</v>
      </c>
      <c r="L967" s="18">
        <f>7215+25000</f>
        <v>32215</v>
      </c>
      <c r="M967" s="18"/>
      <c r="N967" s="18">
        <f t="shared" si="132"/>
        <v>32215</v>
      </c>
      <c r="O967" s="18">
        <f t="shared" si="134"/>
        <v>32215</v>
      </c>
      <c r="P967" s="18">
        <f t="shared" si="135"/>
        <v>0</v>
      </c>
      <c r="Q967" s="18">
        <f t="shared" si="133"/>
        <v>32215</v>
      </c>
    </row>
    <row r="968" spans="2:17" ht="12.75">
      <c r="B968" s="20">
        <f t="shared" si="128"/>
        <v>353</v>
      </c>
      <c r="C968" s="4"/>
      <c r="D968" s="4"/>
      <c r="E968" s="4"/>
      <c r="F968" s="31"/>
      <c r="G968" s="4"/>
      <c r="H968" s="5" t="s">
        <v>425</v>
      </c>
      <c r="I968" s="18"/>
      <c r="J968" s="18"/>
      <c r="K968" s="18">
        <f t="shared" si="131"/>
        <v>0</v>
      </c>
      <c r="L968" s="18">
        <v>50000</v>
      </c>
      <c r="M968" s="18"/>
      <c r="N968" s="18">
        <f t="shared" si="132"/>
        <v>50000</v>
      </c>
      <c r="O968" s="18">
        <f t="shared" si="134"/>
        <v>50000</v>
      </c>
      <c r="P968" s="18">
        <f t="shared" si="135"/>
        <v>0</v>
      </c>
      <c r="Q968" s="18">
        <f t="shared" si="133"/>
        <v>50000</v>
      </c>
    </row>
    <row r="969" spans="2:17" ht="15">
      <c r="B969" s="20">
        <f t="shared" si="128"/>
        <v>354</v>
      </c>
      <c r="C969" s="12"/>
      <c r="D969" s="12"/>
      <c r="E969" s="12">
        <v>11</v>
      </c>
      <c r="F969" s="34"/>
      <c r="G969" s="12"/>
      <c r="H969" s="12" t="s">
        <v>10</v>
      </c>
      <c r="I969" s="90">
        <f>I970+I971+I972+I979+I980+I981+I982+I991+I992</f>
        <v>1695854</v>
      </c>
      <c r="J969" s="90">
        <f>J970+J971+J972+J979+J980+J981+J982+J991+J992</f>
        <v>0</v>
      </c>
      <c r="K969" s="90">
        <f t="shared" si="131"/>
        <v>1695854</v>
      </c>
      <c r="L969" s="90"/>
      <c r="M969" s="90"/>
      <c r="N969" s="90">
        <f t="shared" si="132"/>
        <v>0</v>
      </c>
      <c r="O969" s="90">
        <f t="shared" si="134"/>
        <v>1695854</v>
      </c>
      <c r="P969" s="90">
        <f t="shared" si="135"/>
        <v>0</v>
      </c>
      <c r="Q969" s="90">
        <f t="shared" si="133"/>
        <v>1695854</v>
      </c>
    </row>
    <row r="970" spans="2:17" ht="12.75">
      <c r="B970" s="20">
        <f t="shared" si="128"/>
        <v>355</v>
      </c>
      <c r="C970" s="10"/>
      <c r="D970" s="10"/>
      <c r="E970" s="10"/>
      <c r="F970" s="30" t="s">
        <v>119</v>
      </c>
      <c r="G970" s="10">
        <v>610</v>
      </c>
      <c r="H970" s="10" t="s">
        <v>131</v>
      </c>
      <c r="I970" s="61">
        <f>379181+10000</f>
        <v>389181</v>
      </c>
      <c r="J970" s="61"/>
      <c r="K970" s="61">
        <f t="shared" si="131"/>
        <v>389181</v>
      </c>
      <c r="L970" s="61"/>
      <c r="M970" s="61"/>
      <c r="N970" s="61">
        <f t="shared" si="132"/>
        <v>0</v>
      </c>
      <c r="O970" s="61">
        <f t="shared" si="134"/>
        <v>389181</v>
      </c>
      <c r="P970" s="61">
        <f t="shared" si="135"/>
        <v>0</v>
      </c>
      <c r="Q970" s="61">
        <f t="shared" si="133"/>
        <v>389181</v>
      </c>
    </row>
    <row r="971" spans="2:17" ht="12.75">
      <c r="B971" s="20">
        <f t="shared" si="128"/>
        <v>356</v>
      </c>
      <c r="C971" s="10"/>
      <c r="D971" s="10"/>
      <c r="E971" s="10"/>
      <c r="F971" s="30" t="s">
        <v>119</v>
      </c>
      <c r="G971" s="10">
        <v>620</v>
      </c>
      <c r="H971" s="10" t="s">
        <v>124</v>
      </c>
      <c r="I971" s="61">
        <v>135066</v>
      </c>
      <c r="J971" s="61"/>
      <c r="K971" s="61">
        <f t="shared" si="131"/>
        <v>135066</v>
      </c>
      <c r="L971" s="61"/>
      <c r="M971" s="61"/>
      <c r="N971" s="61">
        <f t="shared" si="132"/>
        <v>0</v>
      </c>
      <c r="O971" s="61">
        <f t="shared" si="134"/>
        <v>135066</v>
      </c>
      <c r="P971" s="61">
        <f t="shared" si="135"/>
        <v>0</v>
      </c>
      <c r="Q971" s="61">
        <f t="shared" si="133"/>
        <v>135066</v>
      </c>
    </row>
    <row r="972" spans="2:17" ht="12.75">
      <c r="B972" s="20">
        <f t="shared" si="128"/>
        <v>357</v>
      </c>
      <c r="C972" s="10"/>
      <c r="D972" s="10"/>
      <c r="E972" s="10"/>
      <c r="F972" s="30" t="s">
        <v>119</v>
      </c>
      <c r="G972" s="10">
        <v>630</v>
      </c>
      <c r="H972" s="10" t="s">
        <v>121</v>
      </c>
      <c r="I972" s="61">
        <f>SUM(I973:I978)</f>
        <v>68702</v>
      </c>
      <c r="J972" s="61">
        <f>SUM(J973:J978)</f>
        <v>0</v>
      </c>
      <c r="K972" s="61">
        <f t="shared" si="131"/>
        <v>68702</v>
      </c>
      <c r="L972" s="61"/>
      <c r="M972" s="61"/>
      <c r="N972" s="61">
        <f t="shared" si="132"/>
        <v>0</v>
      </c>
      <c r="O972" s="61">
        <f t="shared" si="134"/>
        <v>68702</v>
      </c>
      <c r="P972" s="61">
        <f t="shared" si="135"/>
        <v>0</v>
      </c>
      <c r="Q972" s="61">
        <f t="shared" si="133"/>
        <v>68702</v>
      </c>
    </row>
    <row r="973" spans="2:17" ht="12.75">
      <c r="B973" s="20">
        <f t="shared" si="128"/>
        <v>358</v>
      </c>
      <c r="C973" s="4"/>
      <c r="D973" s="4"/>
      <c r="E973" s="4"/>
      <c r="F973" s="31" t="s">
        <v>119</v>
      </c>
      <c r="G973" s="4">
        <v>631</v>
      </c>
      <c r="H973" s="4" t="s">
        <v>127</v>
      </c>
      <c r="I973" s="17">
        <v>17</v>
      </c>
      <c r="J973" s="17"/>
      <c r="K973" s="17">
        <f t="shared" si="131"/>
        <v>17</v>
      </c>
      <c r="L973" s="17"/>
      <c r="M973" s="17"/>
      <c r="N973" s="17">
        <f t="shared" si="132"/>
        <v>0</v>
      </c>
      <c r="O973" s="17">
        <f t="shared" si="134"/>
        <v>17</v>
      </c>
      <c r="P973" s="17">
        <f t="shared" si="135"/>
        <v>0</v>
      </c>
      <c r="Q973" s="17">
        <f t="shared" si="133"/>
        <v>17</v>
      </c>
    </row>
    <row r="974" spans="2:17" ht="12.75">
      <c r="B974" s="20">
        <f t="shared" si="128"/>
        <v>359</v>
      </c>
      <c r="C974" s="4"/>
      <c r="D974" s="4"/>
      <c r="E974" s="4"/>
      <c r="F974" s="31" t="s">
        <v>119</v>
      </c>
      <c r="G974" s="4">
        <v>632</v>
      </c>
      <c r="H974" s="4" t="s">
        <v>134</v>
      </c>
      <c r="I974" s="17">
        <v>11581</v>
      </c>
      <c r="J974" s="17"/>
      <c r="K974" s="17">
        <f t="shared" si="131"/>
        <v>11581</v>
      </c>
      <c r="L974" s="17"/>
      <c r="M974" s="17"/>
      <c r="N974" s="17">
        <f t="shared" si="132"/>
        <v>0</v>
      </c>
      <c r="O974" s="17">
        <f t="shared" si="134"/>
        <v>11581</v>
      </c>
      <c r="P974" s="17">
        <f t="shared" si="135"/>
        <v>0</v>
      </c>
      <c r="Q974" s="17">
        <f t="shared" si="133"/>
        <v>11581</v>
      </c>
    </row>
    <row r="975" spans="2:17" ht="12.75">
      <c r="B975" s="20">
        <f t="shared" si="128"/>
        <v>360</v>
      </c>
      <c r="C975" s="4"/>
      <c r="D975" s="4"/>
      <c r="E975" s="4"/>
      <c r="F975" s="31" t="s">
        <v>119</v>
      </c>
      <c r="G975" s="4">
        <v>633</v>
      </c>
      <c r="H975" s="4" t="s">
        <v>125</v>
      </c>
      <c r="I975" s="17">
        <v>18030</v>
      </c>
      <c r="J975" s="17"/>
      <c r="K975" s="17">
        <f t="shared" si="131"/>
        <v>18030</v>
      </c>
      <c r="L975" s="17"/>
      <c r="M975" s="17"/>
      <c r="N975" s="17">
        <f t="shared" si="132"/>
        <v>0</v>
      </c>
      <c r="O975" s="17">
        <f t="shared" si="134"/>
        <v>18030</v>
      </c>
      <c r="P975" s="17">
        <f t="shared" si="135"/>
        <v>0</v>
      </c>
      <c r="Q975" s="17">
        <f t="shared" si="133"/>
        <v>18030</v>
      </c>
    </row>
    <row r="976" spans="2:17" ht="12.75">
      <c r="B976" s="20">
        <f t="shared" si="128"/>
        <v>361</v>
      </c>
      <c r="C976" s="4"/>
      <c r="D976" s="4"/>
      <c r="E976" s="4"/>
      <c r="F976" s="31" t="s">
        <v>119</v>
      </c>
      <c r="G976" s="4">
        <v>635</v>
      </c>
      <c r="H976" s="4" t="s">
        <v>133</v>
      </c>
      <c r="I976" s="17">
        <v>12842</v>
      </c>
      <c r="J976" s="17"/>
      <c r="K976" s="17">
        <f t="shared" si="131"/>
        <v>12842</v>
      </c>
      <c r="L976" s="17"/>
      <c r="M976" s="17"/>
      <c r="N976" s="17">
        <f t="shared" si="132"/>
        <v>0</v>
      </c>
      <c r="O976" s="17">
        <f t="shared" si="134"/>
        <v>12842</v>
      </c>
      <c r="P976" s="17">
        <f t="shared" si="135"/>
        <v>0</v>
      </c>
      <c r="Q976" s="17">
        <f t="shared" si="133"/>
        <v>12842</v>
      </c>
    </row>
    <row r="977" spans="2:17" ht="12.75">
      <c r="B977" s="20">
        <f t="shared" si="128"/>
        <v>362</v>
      </c>
      <c r="C977" s="4"/>
      <c r="D977" s="4"/>
      <c r="E977" s="4"/>
      <c r="F977" s="31" t="s">
        <v>119</v>
      </c>
      <c r="G977" s="4">
        <v>636</v>
      </c>
      <c r="H977" s="4" t="s">
        <v>126</v>
      </c>
      <c r="I977" s="17">
        <v>1502</v>
      </c>
      <c r="J977" s="17"/>
      <c r="K977" s="17">
        <f t="shared" si="131"/>
        <v>1502</v>
      </c>
      <c r="L977" s="17"/>
      <c r="M977" s="17"/>
      <c r="N977" s="17">
        <f t="shared" si="132"/>
        <v>0</v>
      </c>
      <c r="O977" s="17">
        <f t="shared" si="134"/>
        <v>1502</v>
      </c>
      <c r="P977" s="17">
        <f t="shared" si="135"/>
        <v>0</v>
      </c>
      <c r="Q977" s="17">
        <f t="shared" si="133"/>
        <v>1502</v>
      </c>
    </row>
    <row r="978" spans="2:17" ht="12.75">
      <c r="B978" s="20">
        <f t="shared" si="128"/>
        <v>363</v>
      </c>
      <c r="C978" s="4"/>
      <c r="D978" s="4"/>
      <c r="E978" s="4"/>
      <c r="F978" s="31" t="s">
        <v>119</v>
      </c>
      <c r="G978" s="4">
        <v>637</v>
      </c>
      <c r="H978" s="4" t="s">
        <v>122</v>
      </c>
      <c r="I978" s="17">
        <v>24730</v>
      </c>
      <c r="J978" s="17"/>
      <c r="K978" s="17">
        <f t="shared" si="131"/>
        <v>24730</v>
      </c>
      <c r="L978" s="17"/>
      <c r="M978" s="17"/>
      <c r="N978" s="17">
        <f t="shared" si="132"/>
        <v>0</v>
      </c>
      <c r="O978" s="17">
        <f t="shared" si="134"/>
        <v>24730</v>
      </c>
      <c r="P978" s="17">
        <f t="shared" si="135"/>
        <v>0</v>
      </c>
      <c r="Q978" s="17">
        <f t="shared" si="133"/>
        <v>24730</v>
      </c>
    </row>
    <row r="979" spans="2:17" ht="12.75">
      <c r="B979" s="20">
        <f aca="true" t="shared" si="136" ref="B979:B991">B978+1</f>
        <v>364</v>
      </c>
      <c r="C979" s="10"/>
      <c r="D979" s="10"/>
      <c r="E979" s="10"/>
      <c r="F979" s="30" t="s">
        <v>119</v>
      </c>
      <c r="G979" s="10">
        <v>640</v>
      </c>
      <c r="H979" s="10" t="s">
        <v>129</v>
      </c>
      <c r="I979" s="61">
        <v>1785</v>
      </c>
      <c r="J979" s="61"/>
      <c r="K979" s="61">
        <f t="shared" si="131"/>
        <v>1785</v>
      </c>
      <c r="L979" s="61"/>
      <c r="M979" s="61"/>
      <c r="N979" s="61">
        <f t="shared" si="132"/>
        <v>0</v>
      </c>
      <c r="O979" s="61">
        <f t="shared" si="134"/>
        <v>1785</v>
      </c>
      <c r="P979" s="61">
        <f t="shared" si="135"/>
        <v>0</v>
      </c>
      <c r="Q979" s="61">
        <f t="shared" si="133"/>
        <v>1785</v>
      </c>
    </row>
    <row r="980" spans="2:17" ht="12.75">
      <c r="B980" s="20">
        <f t="shared" si="136"/>
        <v>365</v>
      </c>
      <c r="C980" s="10"/>
      <c r="D980" s="10"/>
      <c r="E980" s="10"/>
      <c r="F980" s="30" t="s">
        <v>106</v>
      </c>
      <c r="G980" s="10">
        <v>610</v>
      </c>
      <c r="H980" s="10" t="s">
        <v>131</v>
      </c>
      <c r="I980" s="61">
        <f>643516+18174</f>
        <v>661690</v>
      </c>
      <c r="J980" s="61"/>
      <c r="K980" s="61">
        <f t="shared" si="131"/>
        <v>661690</v>
      </c>
      <c r="L980" s="61"/>
      <c r="M980" s="61"/>
      <c r="N980" s="61">
        <f t="shared" si="132"/>
        <v>0</v>
      </c>
      <c r="O980" s="61">
        <f t="shared" si="134"/>
        <v>661690</v>
      </c>
      <c r="P980" s="61">
        <f t="shared" si="135"/>
        <v>0</v>
      </c>
      <c r="Q980" s="61">
        <f t="shared" si="133"/>
        <v>661690</v>
      </c>
    </row>
    <row r="981" spans="2:17" ht="12.75">
      <c r="B981" s="20">
        <f t="shared" si="136"/>
        <v>366</v>
      </c>
      <c r="C981" s="10"/>
      <c r="D981" s="10"/>
      <c r="E981" s="10"/>
      <c r="F981" s="30" t="s">
        <v>106</v>
      </c>
      <c r="G981" s="10">
        <v>620</v>
      </c>
      <c r="H981" s="10" t="s">
        <v>124</v>
      </c>
      <c r="I981" s="61">
        <f>237277+994</f>
        <v>238271</v>
      </c>
      <c r="J981" s="61"/>
      <c r="K981" s="61">
        <f t="shared" si="131"/>
        <v>238271</v>
      </c>
      <c r="L981" s="61"/>
      <c r="M981" s="61"/>
      <c r="N981" s="61">
        <f t="shared" si="132"/>
        <v>0</v>
      </c>
      <c r="O981" s="61">
        <f t="shared" si="134"/>
        <v>238271</v>
      </c>
      <c r="P981" s="61">
        <f t="shared" si="135"/>
        <v>0</v>
      </c>
      <c r="Q981" s="61">
        <f t="shared" si="133"/>
        <v>238271</v>
      </c>
    </row>
    <row r="982" spans="2:17" ht="12.75">
      <c r="B982" s="20">
        <f t="shared" si="136"/>
        <v>367</v>
      </c>
      <c r="C982" s="10"/>
      <c r="D982" s="10"/>
      <c r="E982" s="10"/>
      <c r="F982" s="30" t="s">
        <v>106</v>
      </c>
      <c r="G982" s="10">
        <v>630</v>
      </c>
      <c r="H982" s="10" t="s">
        <v>121</v>
      </c>
      <c r="I982" s="61">
        <f>SUM(I983:I990)</f>
        <v>175418</v>
      </c>
      <c r="J982" s="61">
        <f>SUM(J983:J990)</f>
        <v>0</v>
      </c>
      <c r="K982" s="61">
        <f t="shared" si="131"/>
        <v>175418</v>
      </c>
      <c r="L982" s="61"/>
      <c r="M982" s="61"/>
      <c r="N982" s="61">
        <f t="shared" si="132"/>
        <v>0</v>
      </c>
      <c r="O982" s="61">
        <f t="shared" si="134"/>
        <v>175418</v>
      </c>
      <c r="P982" s="61">
        <f t="shared" si="135"/>
        <v>0</v>
      </c>
      <c r="Q982" s="61">
        <f t="shared" si="133"/>
        <v>175418</v>
      </c>
    </row>
    <row r="983" spans="2:17" ht="12.75">
      <c r="B983" s="20">
        <f t="shared" si="136"/>
        <v>368</v>
      </c>
      <c r="C983" s="4"/>
      <c r="D983" s="4"/>
      <c r="E983" s="4"/>
      <c r="F983" s="31" t="s">
        <v>106</v>
      </c>
      <c r="G983" s="4">
        <v>631</v>
      </c>
      <c r="H983" s="4" t="s">
        <v>127</v>
      </c>
      <c r="I983" s="17">
        <v>25</v>
      </c>
      <c r="J983" s="17"/>
      <c r="K983" s="17">
        <f t="shared" si="131"/>
        <v>25</v>
      </c>
      <c r="L983" s="17"/>
      <c r="M983" s="17"/>
      <c r="N983" s="17">
        <f t="shared" si="132"/>
        <v>0</v>
      </c>
      <c r="O983" s="17">
        <f t="shared" si="134"/>
        <v>25</v>
      </c>
      <c r="P983" s="17">
        <f t="shared" si="135"/>
        <v>0</v>
      </c>
      <c r="Q983" s="17">
        <f t="shared" si="133"/>
        <v>25</v>
      </c>
    </row>
    <row r="984" spans="2:17" ht="12.75">
      <c r="B984" s="20">
        <f t="shared" si="136"/>
        <v>369</v>
      </c>
      <c r="C984" s="4"/>
      <c r="D984" s="4"/>
      <c r="E984" s="4"/>
      <c r="F984" s="31" t="s">
        <v>106</v>
      </c>
      <c r="G984" s="4">
        <v>632</v>
      </c>
      <c r="H984" s="4" t="s">
        <v>134</v>
      </c>
      <c r="I984" s="17">
        <v>59118</v>
      </c>
      <c r="J984" s="17"/>
      <c r="K984" s="17">
        <f t="shared" si="131"/>
        <v>59118</v>
      </c>
      <c r="L984" s="17"/>
      <c r="M984" s="17"/>
      <c r="N984" s="17">
        <f t="shared" si="132"/>
        <v>0</v>
      </c>
      <c r="O984" s="17">
        <f t="shared" si="134"/>
        <v>59118</v>
      </c>
      <c r="P984" s="17">
        <f t="shared" si="135"/>
        <v>0</v>
      </c>
      <c r="Q984" s="17">
        <f t="shared" si="133"/>
        <v>59118</v>
      </c>
    </row>
    <row r="985" spans="2:17" ht="12.75">
      <c r="B985" s="20">
        <f t="shared" si="136"/>
        <v>370</v>
      </c>
      <c r="C985" s="4"/>
      <c r="D985" s="4"/>
      <c r="E985" s="4"/>
      <c r="F985" s="31" t="s">
        <v>106</v>
      </c>
      <c r="G985" s="4">
        <v>633</v>
      </c>
      <c r="H985" s="4" t="s">
        <v>125</v>
      </c>
      <c r="I985" s="17">
        <f>28461+4939</f>
        <v>33400</v>
      </c>
      <c r="J985" s="17"/>
      <c r="K985" s="17">
        <f t="shared" si="131"/>
        <v>33400</v>
      </c>
      <c r="L985" s="17"/>
      <c r="M985" s="17"/>
      <c r="N985" s="17">
        <f t="shared" si="132"/>
        <v>0</v>
      </c>
      <c r="O985" s="17">
        <f t="shared" si="134"/>
        <v>33400</v>
      </c>
      <c r="P985" s="17">
        <f t="shared" si="135"/>
        <v>0</v>
      </c>
      <c r="Q985" s="17">
        <f t="shared" si="133"/>
        <v>33400</v>
      </c>
    </row>
    <row r="986" spans="2:17" ht="12.75">
      <c r="B986" s="20">
        <f t="shared" si="136"/>
        <v>371</v>
      </c>
      <c r="C986" s="4"/>
      <c r="D986" s="4"/>
      <c r="E986" s="4"/>
      <c r="F986" s="31" t="s">
        <v>106</v>
      </c>
      <c r="G986" s="4">
        <v>634</v>
      </c>
      <c r="H986" s="4" t="s">
        <v>132</v>
      </c>
      <c r="I986" s="17">
        <v>1610</v>
      </c>
      <c r="J986" s="17"/>
      <c r="K986" s="17">
        <f t="shared" si="131"/>
        <v>1610</v>
      </c>
      <c r="L986" s="17"/>
      <c r="M986" s="17"/>
      <c r="N986" s="17">
        <f t="shared" si="132"/>
        <v>0</v>
      </c>
      <c r="O986" s="17">
        <f t="shared" si="134"/>
        <v>1610</v>
      </c>
      <c r="P986" s="17">
        <f t="shared" si="135"/>
        <v>0</v>
      </c>
      <c r="Q986" s="17">
        <f t="shared" si="133"/>
        <v>1610</v>
      </c>
    </row>
    <row r="987" spans="2:17" ht="12.75">
      <c r="B987" s="20">
        <f t="shared" si="136"/>
        <v>372</v>
      </c>
      <c r="C987" s="4"/>
      <c r="D987" s="4"/>
      <c r="E987" s="4"/>
      <c r="F987" s="31" t="s">
        <v>106</v>
      </c>
      <c r="G987" s="4">
        <v>635</v>
      </c>
      <c r="H987" s="4" t="s">
        <v>133</v>
      </c>
      <c r="I987" s="17">
        <v>21676</v>
      </c>
      <c r="J987" s="17"/>
      <c r="K987" s="17">
        <f t="shared" si="131"/>
        <v>21676</v>
      </c>
      <c r="L987" s="17"/>
      <c r="M987" s="17"/>
      <c r="N987" s="17">
        <f t="shared" si="132"/>
        <v>0</v>
      </c>
      <c r="O987" s="17">
        <f t="shared" si="134"/>
        <v>21676</v>
      </c>
      <c r="P987" s="17">
        <f t="shared" si="135"/>
        <v>0</v>
      </c>
      <c r="Q987" s="17">
        <f t="shared" si="133"/>
        <v>21676</v>
      </c>
    </row>
    <row r="988" spans="2:17" ht="12.75">
      <c r="B988" s="20">
        <f t="shared" si="136"/>
        <v>373</v>
      </c>
      <c r="C988" s="4"/>
      <c r="D988" s="4"/>
      <c r="E988" s="4"/>
      <c r="F988" s="31" t="s">
        <v>106</v>
      </c>
      <c r="G988" s="4">
        <v>636</v>
      </c>
      <c r="H988" s="4" t="s">
        <v>126</v>
      </c>
      <c r="I988" s="17">
        <v>2253</v>
      </c>
      <c r="J988" s="17"/>
      <c r="K988" s="17">
        <f t="shared" si="131"/>
        <v>2253</v>
      </c>
      <c r="L988" s="17"/>
      <c r="M988" s="17"/>
      <c r="N988" s="17">
        <f t="shared" si="132"/>
        <v>0</v>
      </c>
      <c r="O988" s="17">
        <f t="shared" si="134"/>
        <v>2253</v>
      </c>
      <c r="P988" s="17">
        <f t="shared" si="135"/>
        <v>0</v>
      </c>
      <c r="Q988" s="17">
        <f t="shared" si="133"/>
        <v>2253</v>
      </c>
    </row>
    <row r="989" spans="2:17" ht="12.75">
      <c r="B989" s="20">
        <f t="shared" si="136"/>
        <v>374</v>
      </c>
      <c r="C989" s="4"/>
      <c r="D989" s="4"/>
      <c r="E989" s="4"/>
      <c r="F989" s="31" t="s">
        <v>106</v>
      </c>
      <c r="G989" s="4">
        <v>637</v>
      </c>
      <c r="H989" s="4" t="s">
        <v>122</v>
      </c>
      <c r="I989" s="17">
        <f>53072-17461+16500</f>
        <v>52111</v>
      </c>
      <c r="J989" s="17"/>
      <c r="K989" s="17">
        <f t="shared" si="131"/>
        <v>52111</v>
      </c>
      <c r="L989" s="17"/>
      <c r="M989" s="17"/>
      <c r="N989" s="17">
        <f t="shared" si="132"/>
        <v>0</v>
      </c>
      <c r="O989" s="17">
        <f t="shared" si="134"/>
        <v>52111</v>
      </c>
      <c r="P989" s="17">
        <f t="shared" si="135"/>
        <v>0</v>
      </c>
      <c r="Q989" s="17">
        <f t="shared" si="133"/>
        <v>52111</v>
      </c>
    </row>
    <row r="990" spans="2:17" ht="12.75">
      <c r="B990" s="20">
        <f t="shared" si="136"/>
        <v>375</v>
      </c>
      <c r="C990" s="4"/>
      <c r="D990" s="4"/>
      <c r="E990" s="4"/>
      <c r="F990" s="33" t="s">
        <v>106</v>
      </c>
      <c r="G990" s="4">
        <v>637</v>
      </c>
      <c r="H990" s="24" t="s">
        <v>290</v>
      </c>
      <c r="I990" s="17">
        <f>21725-16500</f>
        <v>5225</v>
      </c>
      <c r="J990" s="17"/>
      <c r="K990" s="17">
        <f t="shared" si="131"/>
        <v>5225</v>
      </c>
      <c r="L990" s="17"/>
      <c r="M990" s="17"/>
      <c r="N990" s="17">
        <f t="shared" si="132"/>
        <v>0</v>
      </c>
      <c r="O990" s="17">
        <f t="shared" si="134"/>
        <v>5225</v>
      </c>
      <c r="P990" s="17">
        <f t="shared" si="135"/>
        <v>0</v>
      </c>
      <c r="Q990" s="17">
        <f t="shared" si="133"/>
        <v>5225</v>
      </c>
    </row>
    <row r="991" spans="2:17" ht="12.75">
      <c r="B991" s="20">
        <f t="shared" si="136"/>
        <v>376</v>
      </c>
      <c r="C991" s="10"/>
      <c r="D991" s="10"/>
      <c r="E991" s="10"/>
      <c r="F991" s="30" t="s">
        <v>106</v>
      </c>
      <c r="G991" s="10">
        <v>640</v>
      </c>
      <c r="H991" s="10" t="s">
        <v>129</v>
      </c>
      <c r="I991" s="61">
        <v>1215</v>
      </c>
      <c r="J991" s="61"/>
      <c r="K991" s="61">
        <f t="shared" si="131"/>
        <v>1215</v>
      </c>
      <c r="L991" s="61"/>
      <c r="M991" s="61"/>
      <c r="N991" s="61">
        <f t="shared" si="132"/>
        <v>0</v>
      </c>
      <c r="O991" s="61">
        <f t="shared" si="134"/>
        <v>1215</v>
      </c>
      <c r="P991" s="61">
        <f t="shared" si="135"/>
        <v>0</v>
      </c>
      <c r="Q991" s="61">
        <f t="shared" si="133"/>
        <v>1215</v>
      </c>
    </row>
    <row r="992" spans="2:17" ht="12.75">
      <c r="B992" s="20"/>
      <c r="C992" s="10"/>
      <c r="D992" s="10"/>
      <c r="E992" s="10"/>
      <c r="F992" s="30"/>
      <c r="G992" s="10">
        <v>630</v>
      </c>
      <c r="H992" s="10" t="s">
        <v>597</v>
      </c>
      <c r="I992" s="61">
        <v>24526</v>
      </c>
      <c r="J992" s="61"/>
      <c r="K992" s="61">
        <f t="shared" si="131"/>
        <v>24526</v>
      </c>
      <c r="L992" s="61"/>
      <c r="M992" s="61"/>
      <c r="N992" s="61">
        <f t="shared" si="132"/>
        <v>0</v>
      </c>
      <c r="O992" s="61">
        <f t="shared" si="134"/>
        <v>24526</v>
      </c>
      <c r="P992" s="61">
        <f t="shared" si="135"/>
        <v>0</v>
      </c>
      <c r="Q992" s="61">
        <f t="shared" si="133"/>
        <v>24526</v>
      </c>
    </row>
    <row r="993" spans="2:17" ht="15">
      <c r="B993" s="20">
        <f>B991+1</f>
        <v>377</v>
      </c>
      <c r="C993" s="12"/>
      <c r="D993" s="12"/>
      <c r="E993" s="12">
        <v>12</v>
      </c>
      <c r="F993" s="34"/>
      <c r="G993" s="12"/>
      <c r="H993" s="12" t="s">
        <v>8</v>
      </c>
      <c r="I993" s="90">
        <f>I994+I995+I996+I1003+I1004+I1005+I1006+I1014+I1017+I1015</f>
        <v>1778750</v>
      </c>
      <c r="J993" s="90">
        <f>J994+J995+J996+J1003+J1004+J1005+J1006+J1014+J1017+J1015</f>
        <v>1983</v>
      </c>
      <c r="K993" s="90">
        <f t="shared" si="131"/>
        <v>1780733</v>
      </c>
      <c r="L993" s="90">
        <f>L1018</f>
        <v>35000</v>
      </c>
      <c r="M993" s="90">
        <f>M1018</f>
        <v>0</v>
      </c>
      <c r="N993" s="90">
        <f t="shared" si="132"/>
        <v>35000</v>
      </c>
      <c r="O993" s="90">
        <f aca="true" t="shared" si="137" ref="O993:O1015">I993+L993</f>
        <v>1813750</v>
      </c>
      <c r="P993" s="90">
        <f aca="true" t="shared" si="138" ref="P993:P1015">J993+M993</f>
        <v>1983</v>
      </c>
      <c r="Q993" s="90">
        <f t="shared" si="133"/>
        <v>1815733</v>
      </c>
    </row>
    <row r="994" spans="2:17" ht="12.75">
      <c r="B994" s="20">
        <f aca="true" t="shared" si="139" ref="B994:B1057">B993+1</f>
        <v>378</v>
      </c>
      <c r="C994" s="10"/>
      <c r="D994" s="10"/>
      <c r="E994" s="10"/>
      <c r="F994" s="30" t="s">
        <v>119</v>
      </c>
      <c r="G994" s="10">
        <v>610</v>
      </c>
      <c r="H994" s="10" t="s">
        <v>131</v>
      </c>
      <c r="I994" s="61">
        <v>537870</v>
      </c>
      <c r="J994" s="61"/>
      <c r="K994" s="61">
        <f t="shared" si="131"/>
        <v>537870</v>
      </c>
      <c r="L994" s="61"/>
      <c r="M994" s="61"/>
      <c r="N994" s="61">
        <f t="shared" si="132"/>
        <v>0</v>
      </c>
      <c r="O994" s="61">
        <f t="shared" si="137"/>
        <v>537870</v>
      </c>
      <c r="P994" s="61">
        <f t="shared" si="138"/>
        <v>0</v>
      </c>
      <c r="Q994" s="61">
        <f t="shared" si="133"/>
        <v>537870</v>
      </c>
    </row>
    <row r="995" spans="2:17" ht="12.75">
      <c r="B995" s="20">
        <f t="shared" si="139"/>
        <v>379</v>
      </c>
      <c r="C995" s="10"/>
      <c r="D995" s="10"/>
      <c r="E995" s="10"/>
      <c r="F995" s="30" t="s">
        <v>119</v>
      </c>
      <c r="G995" s="10">
        <v>620</v>
      </c>
      <c r="H995" s="10" t="s">
        <v>124</v>
      </c>
      <c r="I995" s="61">
        <v>194780</v>
      </c>
      <c r="J995" s="61"/>
      <c r="K995" s="61">
        <f t="shared" si="131"/>
        <v>194780</v>
      </c>
      <c r="L995" s="61"/>
      <c r="M995" s="61"/>
      <c r="N995" s="61">
        <f t="shared" si="132"/>
        <v>0</v>
      </c>
      <c r="O995" s="61">
        <f t="shared" si="137"/>
        <v>194780</v>
      </c>
      <c r="P995" s="61">
        <f t="shared" si="138"/>
        <v>0</v>
      </c>
      <c r="Q995" s="61">
        <f t="shared" si="133"/>
        <v>194780</v>
      </c>
    </row>
    <row r="996" spans="2:17" ht="12.75">
      <c r="B996" s="20">
        <f t="shared" si="139"/>
        <v>380</v>
      </c>
      <c r="C996" s="10"/>
      <c r="D996" s="10"/>
      <c r="E996" s="10"/>
      <c r="F996" s="30" t="s">
        <v>119</v>
      </c>
      <c r="G996" s="10">
        <v>630</v>
      </c>
      <c r="H996" s="10" t="s">
        <v>121</v>
      </c>
      <c r="I996" s="61">
        <f>I1002+I1001+I1000+I999+I998+I997</f>
        <v>77466</v>
      </c>
      <c r="J996" s="61">
        <f>J1002+J1001+J1000+J999+J998+J997</f>
        <v>0</v>
      </c>
      <c r="K996" s="61">
        <f t="shared" si="131"/>
        <v>77466</v>
      </c>
      <c r="L996" s="61"/>
      <c r="M996" s="61"/>
      <c r="N996" s="61">
        <f t="shared" si="132"/>
        <v>0</v>
      </c>
      <c r="O996" s="61">
        <f t="shared" si="137"/>
        <v>77466</v>
      </c>
      <c r="P996" s="61">
        <f t="shared" si="138"/>
        <v>0</v>
      </c>
      <c r="Q996" s="61">
        <f t="shared" si="133"/>
        <v>77466</v>
      </c>
    </row>
    <row r="997" spans="2:17" ht="12.75">
      <c r="B997" s="20">
        <f t="shared" si="139"/>
        <v>381</v>
      </c>
      <c r="C997" s="4"/>
      <c r="D997" s="4"/>
      <c r="E997" s="4"/>
      <c r="F997" s="31" t="s">
        <v>119</v>
      </c>
      <c r="G997" s="4">
        <v>631</v>
      </c>
      <c r="H997" s="4" t="s">
        <v>127</v>
      </c>
      <c r="I997" s="17">
        <v>1370</v>
      </c>
      <c r="J997" s="17"/>
      <c r="K997" s="17">
        <f t="shared" si="131"/>
        <v>1370</v>
      </c>
      <c r="L997" s="17"/>
      <c r="M997" s="17"/>
      <c r="N997" s="17">
        <f t="shared" si="132"/>
        <v>0</v>
      </c>
      <c r="O997" s="17">
        <f t="shared" si="137"/>
        <v>1370</v>
      </c>
      <c r="P997" s="17">
        <f t="shared" si="138"/>
        <v>0</v>
      </c>
      <c r="Q997" s="17">
        <f t="shared" si="133"/>
        <v>1370</v>
      </c>
    </row>
    <row r="998" spans="2:17" ht="12.75">
      <c r="B998" s="20">
        <f t="shared" si="139"/>
        <v>382</v>
      </c>
      <c r="C998" s="4"/>
      <c r="D998" s="4"/>
      <c r="E998" s="4"/>
      <c r="F998" s="31" t="s">
        <v>119</v>
      </c>
      <c r="G998" s="4">
        <v>632</v>
      </c>
      <c r="H998" s="4" t="s">
        <v>134</v>
      </c>
      <c r="I998" s="17">
        <f>28000-10000</f>
        <v>18000</v>
      </c>
      <c r="J998" s="17">
        <v>-4000</v>
      </c>
      <c r="K998" s="17">
        <f t="shared" si="131"/>
        <v>14000</v>
      </c>
      <c r="L998" s="17"/>
      <c r="M998" s="17"/>
      <c r="N998" s="17">
        <f t="shared" si="132"/>
        <v>0</v>
      </c>
      <c r="O998" s="17">
        <f t="shared" si="137"/>
        <v>18000</v>
      </c>
      <c r="P998" s="17">
        <f t="shared" si="138"/>
        <v>-4000</v>
      </c>
      <c r="Q998" s="17">
        <f t="shared" si="133"/>
        <v>14000</v>
      </c>
    </row>
    <row r="999" spans="2:17" ht="12.75">
      <c r="B999" s="20">
        <f t="shared" si="139"/>
        <v>383</v>
      </c>
      <c r="C999" s="4"/>
      <c r="D999" s="4"/>
      <c r="E999" s="4"/>
      <c r="F999" s="31" t="s">
        <v>119</v>
      </c>
      <c r="G999" s="4">
        <v>633</v>
      </c>
      <c r="H999" s="4" t="s">
        <v>125</v>
      </c>
      <c r="I999" s="17">
        <f>26900+3700</f>
        <v>30600</v>
      </c>
      <c r="J999" s="17"/>
      <c r="K999" s="17">
        <f t="shared" si="131"/>
        <v>30600</v>
      </c>
      <c r="L999" s="17"/>
      <c r="M999" s="17"/>
      <c r="N999" s="17">
        <f t="shared" si="132"/>
        <v>0</v>
      </c>
      <c r="O999" s="17">
        <f t="shared" si="137"/>
        <v>30600</v>
      </c>
      <c r="P999" s="17">
        <f t="shared" si="138"/>
        <v>0</v>
      </c>
      <c r="Q999" s="17">
        <f t="shared" si="133"/>
        <v>30600</v>
      </c>
    </row>
    <row r="1000" spans="2:17" ht="12.75">
      <c r="B1000" s="20">
        <f t="shared" si="139"/>
        <v>384</v>
      </c>
      <c r="C1000" s="4"/>
      <c r="D1000" s="4"/>
      <c r="E1000" s="4"/>
      <c r="F1000" s="31" t="s">
        <v>119</v>
      </c>
      <c r="G1000" s="4">
        <v>635</v>
      </c>
      <c r="H1000" s="4" t="s">
        <v>133</v>
      </c>
      <c r="I1000" s="17">
        <f>13200-10000</f>
        <v>3200</v>
      </c>
      <c r="J1000" s="17"/>
      <c r="K1000" s="17">
        <f aca="true" t="shared" si="140" ref="K1000:K1063">J1000+I1000</f>
        <v>3200</v>
      </c>
      <c r="L1000" s="17"/>
      <c r="M1000" s="17"/>
      <c r="N1000" s="17">
        <f aca="true" t="shared" si="141" ref="N1000:N1063">M1000+L1000</f>
        <v>0</v>
      </c>
      <c r="O1000" s="17">
        <f t="shared" si="137"/>
        <v>3200</v>
      </c>
      <c r="P1000" s="17">
        <f t="shared" si="138"/>
        <v>0</v>
      </c>
      <c r="Q1000" s="17">
        <f aca="true" t="shared" si="142" ref="Q1000:Q1063">O1000+P1000</f>
        <v>3200</v>
      </c>
    </row>
    <row r="1001" spans="2:17" ht="12.75">
      <c r="B1001" s="20">
        <f t="shared" si="139"/>
        <v>385</v>
      </c>
      <c r="C1001" s="4"/>
      <c r="D1001" s="4"/>
      <c r="E1001" s="4"/>
      <c r="F1001" s="31" t="s">
        <v>119</v>
      </c>
      <c r="G1001" s="4">
        <v>636</v>
      </c>
      <c r="H1001" s="4" t="s">
        <v>126</v>
      </c>
      <c r="I1001" s="17">
        <v>3000</v>
      </c>
      <c r="J1001" s="17"/>
      <c r="K1001" s="17">
        <f t="shared" si="140"/>
        <v>3000</v>
      </c>
      <c r="L1001" s="17"/>
      <c r="M1001" s="17"/>
      <c r="N1001" s="17">
        <f t="shared" si="141"/>
        <v>0</v>
      </c>
      <c r="O1001" s="17">
        <f t="shared" si="137"/>
        <v>3000</v>
      </c>
      <c r="P1001" s="17">
        <f t="shared" si="138"/>
        <v>0</v>
      </c>
      <c r="Q1001" s="17">
        <f t="shared" si="142"/>
        <v>3000</v>
      </c>
    </row>
    <row r="1002" spans="2:17" ht="12.75">
      <c r="B1002" s="20">
        <f t="shared" si="139"/>
        <v>386</v>
      </c>
      <c r="C1002" s="4"/>
      <c r="D1002" s="4"/>
      <c r="E1002" s="4"/>
      <c r="F1002" s="31" t="s">
        <v>119</v>
      </c>
      <c r="G1002" s="4">
        <v>637</v>
      </c>
      <c r="H1002" s="4" t="s">
        <v>122</v>
      </c>
      <c r="I1002" s="17">
        <f>20240+1056</f>
        <v>21296</v>
      </c>
      <c r="J1002" s="17">
        <v>4000</v>
      </c>
      <c r="K1002" s="17">
        <f t="shared" si="140"/>
        <v>25296</v>
      </c>
      <c r="L1002" s="17"/>
      <c r="M1002" s="17"/>
      <c r="N1002" s="17">
        <f t="shared" si="141"/>
        <v>0</v>
      </c>
      <c r="O1002" s="17">
        <f t="shared" si="137"/>
        <v>21296</v>
      </c>
      <c r="P1002" s="17">
        <f t="shared" si="138"/>
        <v>4000</v>
      </c>
      <c r="Q1002" s="17">
        <f t="shared" si="142"/>
        <v>25296</v>
      </c>
    </row>
    <row r="1003" spans="2:17" ht="12.75">
      <c r="B1003" s="20">
        <f t="shared" si="139"/>
        <v>387</v>
      </c>
      <c r="C1003" s="10"/>
      <c r="D1003" s="10"/>
      <c r="E1003" s="10"/>
      <c r="F1003" s="30" t="s">
        <v>119</v>
      </c>
      <c r="G1003" s="10">
        <v>640</v>
      </c>
      <c r="H1003" s="10" t="s">
        <v>129</v>
      </c>
      <c r="I1003" s="61">
        <v>11000</v>
      </c>
      <c r="J1003" s="61"/>
      <c r="K1003" s="61">
        <f t="shared" si="140"/>
        <v>11000</v>
      </c>
      <c r="L1003" s="61"/>
      <c r="M1003" s="61"/>
      <c r="N1003" s="61">
        <f t="shared" si="141"/>
        <v>0</v>
      </c>
      <c r="O1003" s="61">
        <f t="shared" si="137"/>
        <v>11000</v>
      </c>
      <c r="P1003" s="61">
        <f t="shared" si="138"/>
        <v>0</v>
      </c>
      <c r="Q1003" s="61">
        <f t="shared" si="142"/>
        <v>11000</v>
      </c>
    </row>
    <row r="1004" spans="2:17" ht="12.75">
      <c r="B1004" s="20">
        <f t="shared" si="139"/>
        <v>388</v>
      </c>
      <c r="C1004" s="10"/>
      <c r="D1004" s="10"/>
      <c r="E1004" s="10"/>
      <c r="F1004" s="30" t="s">
        <v>106</v>
      </c>
      <c r="G1004" s="10">
        <v>610</v>
      </c>
      <c r="H1004" s="10" t="s">
        <v>131</v>
      </c>
      <c r="I1004" s="61">
        <f>586605+50</f>
        <v>586655</v>
      </c>
      <c r="J1004" s="61"/>
      <c r="K1004" s="61">
        <f t="shared" si="140"/>
        <v>586655</v>
      </c>
      <c r="L1004" s="61"/>
      <c r="M1004" s="61"/>
      <c r="N1004" s="61">
        <f t="shared" si="141"/>
        <v>0</v>
      </c>
      <c r="O1004" s="61">
        <f t="shared" si="137"/>
        <v>586655</v>
      </c>
      <c r="P1004" s="61">
        <f t="shared" si="138"/>
        <v>0</v>
      </c>
      <c r="Q1004" s="61">
        <f t="shared" si="142"/>
        <v>586655</v>
      </c>
    </row>
    <row r="1005" spans="2:17" ht="12.75">
      <c r="B1005" s="20">
        <f t="shared" si="139"/>
        <v>389</v>
      </c>
      <c r="C1005" s="10"/>
      <c r="D1005" s="10"/>
      <c r="E1005" s="10"/>
      <c r="F1005" s="30" t="s">
        <v>106</v>
      </c>
      <c r="G1005" s="10">
        <v>620</v>
      </c>
      <c r="H1005" s="10" t="s">
        <v>124</v>
      </c>
      <c r="I1005" s="61">
        <f>212050+18</f>
        <v>212068</v>
      </c>
      <c r="J1005" s="61"/>
      <c r="K1005" s="61">
        <f t="shared" si="140"/>
        <v>212068</v>
      </c>
      <c r="L1005" s="61"/>
      <c r="M1005" s="61"/>
      <c r="N1005" s="61">
        <f t="shared" si="141"/>
        <v>0</v>
      </c>
      <c r="O1005" s="61">
        <f t="shared" si="137"/>
        <v>212068</v>
      </c>
      <c r="P1005" s="61">
        <f t="shared" si="138"/>
        <v>0</v>
      </c>
      <c r="Q1005" s="61">
        <f t="shared" si="142"/>
        <v>212068</v>
      </c>
    </row>
    <row r="1006" spans="2:17" ht="12.75">
      <c r="B1006" s="20">
        <f t="shared" si="139"/>
        <v>390</v>
      </c>
      <c r="C1006" s="10"/>
      <c r="D1006" s="10"/>
      <c r="E1006" s="10"/>
      <c r="F1006" s="30" t="s">
        <v>106</v>
      </c>
      <c r="G1006" s="10">
        <v>630</v>
      </c>
      <c r="H1006" s="10" t="s">
        <v>121</v>
      </c>
      <c r="I1006" s="61">
        <f>SUM(I1007:I1013)</f>
        <v>120963</v>
      </c>
      <c r="J1006" s="61">
        <f>SUM(J1007:J1013)</f>
        <v>1983</v>
      </c>
      <c r="K1006" s="61">
        <f t="shared" si="140"/>
        <v>122946</v>
      </c>
      <c r="L1006" s="61"/>
      <c r="M1006" s="61"/>
      <c r="N1006" s="61">
        <f t="shared" si="141"/>
        <v>0</v>
      </c>
      <c r="O1006" s="61">
        <f t="shared" si="137"/>
        <v>120963</v>
      </c>
      <c r="P1006" s="61">
        <f t="shared" si="138"/>
        <v>1983</v>
      </c>
      <c r="Q1006" s="61">
        <f t="shared" si="142"/>
        <v>122946</v>
      </c>
    </row>
    <row r="1007" spans="2:17" ht="12.75">
      <c r="B1007" s="20">
        <f t="shared" si="139"/>
        <v>391</v>
      </c>
      <c r="C1007" s="4"/>
      <c r="D1007" s="4"/>
      <c r="E1007" s="4"/>
      <c r="F1007" s="31" t="s">
        <v>106</v>
      </c>
      <c r="G1007" s="4">
        <v>631</v>
      </c>
      <c r="H1007" s="4" t="s">
        <v>127</v>
      </c>
      <c r="I1007" s="17">
        <v>1370</v>
      </c>
      <c r="J1007" s="17"/>
      <c r="K1007" s="17">
        <f t="shared" si="140"/>
        <v>1370</v>
      </c>
      <c r="L1007" s="17"/>
      <c r="M1007" s="17"/>
      <c r="N1007" s="17">
        <f t="shared" si="141"/>
        <v>0</v>
      </c>
      <c r="O1007" s="17">
        <f t="shared" si="137"/>
        <v>1370</v>
      </c>
      <c r="P1007" s="17">
        <f t="shared" si="138"/>
        <v>0</v>
      </c>
      <c r="Q1007" s="17">
        <f t="shared" si="142"/>
        <v>1370</v>
      </c>
    </row>
    <row r="1008" spans="2:17" ht="12.75">
      <c r="B1008" s="20">
        <f t="shared" si="139"/>
        <v>392</v>
      </c>
      <c r="C1008" s="4"/>
      <c r="D1008" s="4"/>
      <c r="E1008" s="4"/>
      <c r="F1008" s="31" t="s">
        <v>106</v>
      </c>
      <c r="G1008" s="4">
        <v>632</v>
      </c>
      <c r="H1008" s="4" t="s">
        <v>134</v>
      </c>
      <c r="I1008" s="17">
        <f>28000-10000</f>
        <v>18000</v>
      </c>
      <c r="J1008" s="17"/>
      <c r="K1008" s="17">
        <f t="shared" si="140"/>
        <v>18000</v>
      </c>
      <c r="L1008" s="17"/>
      <c r="M1008" s="17"/>
      <c r="N1008" s="17">
        <f t="shared" si="141"/>
        <v>0</v>
      </c>
      <c r="O1008" s="17">
        <f t="shared" si="137"/>
        <v>18000</v>
      </c>
      <c r="P1008" s="17">
        <f t="shared" si="138"/>
        <v>0</v>
      </c>
      <c r="Q1008" s="17">
        <f t="shared" si="142"/>
        <v>18000</v>
      </c>
    </row>
    <row r="1009" spans="2:17" ht="12.75">
      <c r="B1009" s="20">
        <f t="shared" si="139"/>
        <v>393</v>
      </c>
      <c r="C1009" s="4"/>
      <c r="D1009" s="4"/>
      <c r="E1009" s="4"/>
      <c r="F1009" s="31" t="s">
        <v>106</v>
      </c>
      <c r="G1009" s="4">
        <v>633</v>
      </c>
      <c r="H1009" s="4" t="s">
        <v>125</v>
      </c>
      <c r="I1009" s="17">
        <v>11450</v>
      </c>
      <c r="J1009" s="17">
        <v>1983</v>
      </c>
      <c r="K1009" s="17">
        <f t="shared" si="140"/>
        <v>13433</v>
      </c>
      <c r="L1009" s="17"/>
      <c r="M1009" s="17"/>
      <c r="N1009" s="17">
        <f t="shared" si="141"/>
        <v>0</v>
      </c>
      <c r="O1009" s="17">
        <f t="shared" si="137"/>
        <v>11450</v>
      </c>
      <c r="P1009" s="17">
        <f t="shared" si="138"/>
        <v>1983</v>
      </c>
      <c r="Q1009" s="17">
        <f t="shared" si="142"/>
        <v>13433</v>
      </c>
    </row>
    <row r="1010" spans="2:17" ht="12.75">
      <c r="B1010" s="20">
        <f t="shared" si="139"/>
        <v>394</v>
      </c>
      <c r="C1010" s="4"/>
      <c r="D1010" s="4"/>
      <c r="E1010" s="4"/>
      <c r="F1010" s="31" t="s">
        <v>106</v>
      </c>
      <c r="G1010" s="4">
        <v>635</v>
      </c>
      <c r="H1010" s="4" t="s">
        <v>133</v>
      </c>
      <c r="I1010" s="17">
        <f>30200-10000+5360</f>
        <v>25560</v>
      </c>
      <c r="J1010" s="17"/>
      <c r="K1010" s="17">
        <f t="shared" si="140"/>
        <v>25560</v>
      </c>
      <c r="L1010" s="17"/>
      <c r="M1010" s="17"/>
      <c r="N1010" s="17">
        <f t="shared" si="141"/>
        <v>0</v>
      </c>
      <c r="O1010" s="17">
        <f t="shared" si="137"/>
        <v>25560</v>
      </c>
      <c r="P1010" s="17">
        <f t="shared" si="138"/>
        <v>0</v>
      </c>
      <c r="Q1010" s="17">
        <f t="shared" si="142"/>
        <v>25560</v>
      </c>
    </row>
    <row r="1011" spans="2:17" ht="12.75">
      <c r="B1011" s="20">
        <f t="shared" si="139"/>
        <v>395</v>
      </c>
      <c r="C1011" s="4"/>
      <c r="D1011" s="4"/>
      <c r="E1011" s="4"/>
      <c r="F1011" s="31" t="s">
        <v>106</v>
      </c>
      <c r="G1011" s="4">
        <v>636</v>
      </c>
      <c r="H1011" s="4" t="s">
        <v>126</v>
      </c>
      <c r="I1011" s="17">
        <v>3000</v>
      </c>
      <c r="J1011" s="17"/>
      <c r="K1011" s="17">
        <f t="shared" si="140"/>
        <v>3000</v>
      </c>
      <c r="L1011" s="17"/>
      <c r="M1011" s="17"/>
      <c r="N1011" s="17">
        <f t="shared" si="141"/>
        <v>0</v>
      </c>
      <c r="O1011" s="17">
        <f t="shared" si="137"/>
        <v>3000</v>
      </c>
      <c r="P1011" s="17">
        <f t="shared" si="138"/>
        <v>0</v>
      </c>
      <c r="Q1011" s="17">
        <f t="shared" si="142"/>
        <v>3000</v>
      </c>
    </row>
    <row r="1012" spans="2:17" ht="12.75">
      <c r="B1012" s="20">
        <f t="shared" si="139"/>
        <v>396</v>
      </c>
      <c r="C1012" s="4"/>
      <c r="D1012" s="4"/>
      <c r="E1012" s="4"/>
      <c r="F1012" s="31" t="s">
        <v>106</v>
      </c>
      <c r="G1012" s="4">
        <v>637</v>
      </c>
      <c r="H1012" s="4" t="s">
        <v>122</v>
      </c>
      <c r="I1012" s="17">
        <f>43500-1167</f>
        <v>42333</v>
      </c>
      <c r="J1012" s="17"/>
      <c r="K1012" s="17">
        <f t="shared" si="140"/>
        <v>42333</v>
      </c>
      <c r="L1012" s="17"/>
      <c r="M1012" s="17"/>
      <c r="N1012" s="17">
        <f t="shared" si="141"/>
        <v>0</v>
      </c>
      <c r="O1012" s="17">
        <f t="shared" si="137"/>
        <v>42333</v>
      </c>
      <c r="P1012" s="17">
        <f t="shared" si="138"/>
        <v>0</v>
      </c>
      <c r="Q1012" s="17">
        <f t="shared" si="142"/>
        <v>42333</v>
      </c>
    </row>
    <row r="1013" spans="2:17" ht="12.75">
      <c r="B1013" s="20">
        <f t="shared" si="139"/>
        <v>397</v>
      </c>
      <c r="C1013" s="4"/>
      <c r="D1013" s="4"/>
      <c r="E1013" s="4"/>
      <c r="F1013" s="33" t="s">
        <v>106</v>
      </c>
      <c r="G1013" s="4">
        <v>637</v>
      </c>
      <c r="H1013" s="24" t="s">
        <v>290</v>
      </c>
      <c r="I1013" s="17">
        <v>19250</v>
      </c>
      <c r="J1013" s="17"/>
      <c r="K1013" s="17">
        <f t="shared" si="140"/>
        <v>19250</v>
      </c>
      <c r="L1013" s="17"/>
      <c r="M1013" s="17"/>
      <c r="N1013" s="17">
        <f t="shared" si="141"/>
        <v>0</v>
      </c>
      <c r="O1013" s="17">
        <f t="shared" si="137"/>
        <v>19250</v>
      </c>
      <c r="P1013" s="17">
        <f t="shared" si="138"/>
        <v>0</v>
      </c>
      <c r="Q1013" s="17">
        <f t="shared" si="142"/>
        <v>19250</v>
      </c>
    </row>
    <row r="1014" spans="2:17" ht="12.75">
      <c r="B1014" s="20">
        <f t="shared" si="139"/>
        <v>398</v>
      </c>
      <c r="C1014" s="10"/>
      <c r="D1014" s="10"/>
      <c r="E1014" s="10"/>
      <c r="F1014" s="30" t="s">
        <v>106</v>
      </c>
      <c r="G1014" s="10">
        <v>640</v>
      </c>
      <c r="H1014" s="10" t="s">
        <v>129</v>
      </c>
      <c r="I1014" s="61">
        <f>15000-415</f>
        <v>14585</v>
      </c>
      <c r="J1014" s="61"/>
      <c r="K1014" s="61">
        <f t="shared" si="140"/>
        <v>14585</v>
      </c>
      <c r="L1014" s="61"/>
      <c r="M1014" s="61"/>
      <c r="N1014" s="61">
        <f t="shared" si="141"/>
        <v>0</v>
      </c>
      <c r="O1014" s="61">
        <f t="shared" si="137"/>
        <v>14585</v>
      </c>
      <c r="P1014" s="61">
        <f t="shared" si="138"/>
        <v>0</v>
      </c>
      <c r="Q1014" s="61">
        <f t="shared" si="142"/>
        <v>14585</v>
      </c>
    </row>
    <row r="1015" spans="2:17" ht="12.75">
      <c r="B1015" s="20">
        <f t="shared" si="139"/>
        <v>399</v>
      </c>
      <c r="C1015" s="10"/>
      <c r="D1015" s="10"/>
      <c r="E1015" s="10"/>
      <c r="F1015" s="30"/>
      <c r="G1015" s="10">
        <v>630</v>
      </c>
      <c r="H1015" s="10" t="s">
        <v>597</v>
      </c>
      <c r="I1015" s="61">
        <v>23363</v>
      </c>
      <c r="J1015" s="61"/>
      <c r="K1015" s="61">
        <f t="shared" si="140"/>
        <v>23363</v>
      </c>
      <c r="L1015" s="61"/>
      <c r="M1015" s="61"/>
      <c r="N1015" s="61">
        <f t="shared" si="141"/>
        <v>0</v>
      </c>
      <c r="O1015" s="61">
        <f t="shared" si="137"/>
        <v>23363</v>
      </c>
      <c r="P1015" s="61">
        <f t="shared" si="138"/>
        <v>0</v>
      </c>
      <c r="Q1015" s="61">
        <f t="shared" si="142"/>
        <v>23363</v>
      </c>
    </row>
    <row r="1016" spans="2:17" ht="12.75">
      <c r="B1016" s="20">
        <f t="shared" si="139"/>
        <v>400</v>
      </c>
      <c r="C1016" s="10"/>
      <c r="D1016" s="10"/>
      <c r="E1016" s="10"/>
      <c r="F1016" s="30"/>
      <c r="G1016" s="10"/>
      <c r="H1016" s="10"/>
      <c r="I1016" s="61"/>
      <c r="J1016" s="61"/>
      <c r="K1016" s="61">
        <f t="shared" si="140"/>
        <v>0</v>
      </c>
      <c r="L1016" s="61"/>
      <c r="M1016" s="61"/>
      <c r="N1016" s="61">
        <f t="shared" si="141"/>
        <v>0</v>
      </c>
      <c r="O1016" s="61"/>
      <c r="P1016" s="61"/>
      <c r="Q1016" s="61">
        <f t="shared" si="142"/>
        <v>0</v>
      </c>
    </row>
    <row r="1017" spans="2:17" ht="12.75">
      <c r="B1017" s="20">
        <f t="shared" si="139"/>
        <v>401</v>
      </c>
      <c r="C1017" s="10"/>
      <c r="D1017" s="10"/>
      <c r="E1017" s="10"/>
      <c r="F1017" s="30" t="s">
        <v>158</v>
      </c>
      <c r="G1017" s="10">
        <v>640</v>
      </c>
      <c r="H1017" s="10" t="s">
        <v>129</v>
      </c>
      <c r="I1017" s="61">
        <f>1200-1200</f>
        <v>0</v>
      </c>
      <c r="J1017" s="61">
        <f>1200-1200</f>
        <v>0</v>
      </c>
      <c r="K1017" s="61">
        <f t="shared" si="140"/>
        <v>0</v>
      </c>
      <c r="L1017" s="61"/>
      <c r="M1017" s="61"/>
      <c r="N1017" s="61">
        <f t="shared" si="141"/>
        <v>0</v>
      </c>
      <c r="O1017" s="61">
        <f aca="true" t="shared" si="143" ref="O1017:O1040">I1017+L1017</f>
        <v>0</v>
      </c>
      <c r="P1017" s="61">
        <f aca="true" t="shared" si="144" ref="P1017:P1040">J1017+M1017</f>
        <v>0</v>
      </c>
      <c r="Q1017" s="61">
        <f t="shared" si="142"/>
        <v>0</v>
      </c>
    </row>
    <row r="1018" spans="2:17" ht="12.75">
      <c r="B1018" s="20">
        <f t="shared" si="139"/>
        <v>402</v>
      </c>
      <c r="C1018" s="10"/>
      <c r="D1018" s="10"/>
      <c r="E1018" s="10"/>
      <c r="F1018" s="30" t="s">
        <v>106</v>
      </c>
      <c r="G1018" s="10">
        <v>710</v>
      </c>
      <c r="H1018" s="10" t="s">
        <v>176</v>
      </c>
      <c r="I1018" s="61"/>
      <c r="J1018" s="61"/>
      <c r="K1018" s="61">
        <f t="shared" si="140"/>
        <v>0</v>
      </c>
      <c r="L1018" s="61">
        <f>L1019</f>
        <v>35000</v>
      </c>
      <c r="M1018" s="61">
        <f>M1019</f>
        <v>0</v>
      </c>
      <c r="N1018" s="61">
        <f t="shared" si="141"/>
        <v>35000</v>
      </c>
      <c r="O1018" s="61">
        <f t="shared" si="143"/>
        <v>35000</v>
      </c>
      <c r="P1018" s="61">
        <f t="shared" si="144"/>
        <v>0</v>
      </c>
      <c r="Q1018" s="61">
        <f t="shared" si="142"/>
        <v>35000</v>
      </c>
    </row>
    <row r="1019" spans="2:17" ht="12.75">
      <c r="B1019" s="20">
        <f t="shared" si="139"/>
        <v>403</v>
      </c>
      <c r="C1019" s="4"/>
      <c r="D1019" s="4"/>
      <c r="E1019" s="4"/>
      <c r="F1019" s="31" t="s">
        <v>106</v>
      </c>
      <c r="G1019" s="4">
        <v>717</v>
      </c>
      <c r="H1019" s="4" t="s">
        <v>186</v>
      </c>
      <c r="I1019" s="17"/>
      <c r="J1019" s="17"/>
      <c r="K1019" s="17">
        <f t="shared" si="140"/>
        <v>0</v>
      </c>
      <c r="L1019" s="17">
        <f>SUM(L1020:L1020)</f>
        <v>35000</v>
      </c>
      <c r="M1019" s="17">
        <f>SUM(M1020:M1020)</f>
        <v>0</v>
      </c>
      <c r="N1019" s="17">
        <f t="shared" si="141"/>
        <v>35000</v>
      </c>
      <c r="O1019" s="17">
        <f t="shared" si="143"/>
        <v>35000</v>
      </c>
      <c r="P1019" s="17">
        <f t="shared" si="144"/>
        <v>0</v>
      </c>
      <c r="Q1019" s="17">
        <f t="shared" si="142"/>
        <v>35000</v>
      </c>
    </row>
    <row r="1020" spans="2:17" ht="12.75">
      <c r="B1020" s="20">
        <f t="shared" si="139"/>
        <v>404</v>
      </c>
      <c r="C1020" s="4"/>
      <c r="D1020" s="4"/>
      <c r="E1020" s="4"/>
      <c r="F1020" s="31"/>
      <c r="G1020" s="4"/>
      <c r="H1020" s="5" t="s">
        <v>427</v>
      </c>
      <c r="I1020" s="18"/>
      <c r="J1020" s="18"/>
      <c r="K1020" s="18">
        <f t="shared" si="140"/>
        <v>0</v>
      </c>
      <c r="L1020" s="18">
        <v>35000</v>
      </c>
      <c r="M1020" s="18"/>
      <c r="N1020" s="18">
        <f t="shared" si="141"/>
        <v>35000</v>
      </c>
      <c r="O1020" s="18">
        <f t="shared" si="143"/>
        <v>35000</v>
      </c>
      <c r="P1020" s="18">
        <f t="shared" si="144"/>
        <v>0</v>
      </c>
      <c r="Q1020" s="18">
        <f t="shared" si="142"/>
        <v>35000</v>
      </c>
    </row>
    <row r="1021" spans="2:17" ht="15">
      <c r="B1021" s="20">
        <f t="shared" si="139"/>
        <v>405</v>
      </c>
      <c r="C1021" s="12"/>
      <c r="D1021" s="12"/>
      <c r="E1021" s="12">
        <v>13</v>
      </c>
      <c r="F1021" s="34"/>
      <c r="G1021" s="12"/>
      <c r="H1021" s="12" t="s">
        <v>17</v>
      </c>
      <c r="I1021" s="90">
        <f>I1022+I1023+I1024+I1030+I1031+I1032+I1033+I1039+I1040</f>
        <v>659291</v>
      </c>
      <c r="J1021" s="90">
        <f>J1022+J1023+J1024+J1030+J1031+J1032+J1033+J1039+J1040</f>
        <v>5658</v>
      </c>
      <c r="K1021" s="90">
        <f t="shared" si="140"/>
        <v>664949</v>
      </c>
      <c r="L1021" s="90">
        <f>L1042</f>
        <v>42000</v>
      </c>
      <c r="M1021" s="90">
        <f>M1042</f>
        <v>0</v>
      </c>
      <c r="N1021" s="90">
        <f t="shared" si="141"/>
        <v>42000</v>
      </c>
      <c r="O1021" s="90">
        <f t="shared" si="143"/>
        <v>701291</v>
      </c>
      <c r="P1021" s="90">
        <f t="shared" si="144"/>
        <v>5658</v>
      </c>
      <c r="Q1021" s="90">
        <f t="shared" si="142"/>
        <v>706949</v>
      </c>
    </row>
    <row r="1022" spans="2:17" ht="12.75">
      <c r="B1022" s="20">
        <f t="shared" si="139"/>
        <v>406</v>
      </c>
      <c r="C1022" s="10"/>
      <c r="D1022" s="10"/>
      <c r="E1022" s="10"/>
      <c r="F1022" s="30" t="s">
        <v>119</v>
      </c>
      <c r="G1022" s="10">
        <v>610</v>
      </c>
      <c r="H1022" s="10" t="s">
        <v>131</v>
      </c>
      <c r="I1022" s="61">
        <f>116100-161</f>
        <v>115939</v>
      </c>
      <c r="J1022" s="61">
        <v>2600</v>
      </c>
      <c r="K1022" s="61">
        <f t="shared" si="140"/>
        <v>118539</v>
      </c>
      <c r="L1022" s="61"/>
      <c r="M1022" s="61"/>
      <c r="N1022" s="61">
        <f t="shared" si="141"/>
        <v>0</v>
      </c>
      <c r="O1022" s="61">
        <f t="shared" si="143"/>
        <v>115939</v>
      </c>
      <c r="P1022" s="61">
        <f t="shared" si="144"/>
        <v>2600</v>
      </c>
      <c r="Q1022" s="61">
        <f t="shared" si="142"/>
        <v>118539</v>
      </c>
    </row>
    <row r="1023" spans="2:17" ht="12.75">
      <c r="B1023" s="20">
        <f t="shared" si="139"/>
        <v>407</v>
      </c>
      <c r="C1023" s="10"/>
      <c r="D1023" s="10"/>
      <c r="E1023" s="10"/>
      <c r="F1023" s="30" t="s">
        <v>119</v>
      </c>
      <c r="G1023" s="10">
        <v>620</v>
      </c>
      <c r="H1023" s="10" t="s">
        <v>124</v>
      </c>
      <c r="I1023" s="61">
        <f>40574-85</f>
        <v>40489</v>
      </c>
      <c r="J1023" s="61">
        <v>908</v>
      </c>
      <c r="K1023" s="61">
        <f t="shared" si="140"/>
        <v>41397</v>
      </c>
      <c r="L1023" s="61"/>
      <c r="M1023" s="61"/>
      <c r="N1023" s="61">
        <f t="shared" si="141"/>
        <v>0</v>
      </c>
      <c r="O1023" s="61">
        <f t="shared" si="143"/>
        <v>40489</v>
      </c>
      <c r="P1023" s="61">
        <f t="shared" si="144"/>
        <v>908</v>
      </c>
      <c r="Q1023" s="61">
        <f t="shared" si="142"/>
        <v>41397</v>
      </c>
    </row>
    <row r="1024" spans="2:17" ht="12.75">
      <c r="B1024" s="20">
        <f t="shared" si="139"/>
        <v>408</v>
      </c>
      <c r="C1024" s="10"/>
      <c r="D1024" s="10"/>
      <c r="E1024" s="10"/>
      <c r="F1024" s="30" t="s">
        <v>119</v>
      </c>
      <c r="G1024" s="10">
        <v>630</v>
      </c>
      <c r="H1024" s="10" t="s">
        <v>121</v>
      </c>
      <c r="I1024" s="61">
        <f>I1029+I1028+I1027+I1026+I1025</f>
        <v>36452</v>
      </c>
      <c r="J1024" s="61">
        <f>J1029+J1028+J1027+J1026+J1025</f>
        <v>0</v>
      </c>
      <c r="K1024" s="61">
        <f t="shared" si="140"/>
        <v>36452</v>
      </c>
      <c r="L1024" s="61"/>
      <c r="M1024" s="61"/>
      <c r="N1024" s="61">
        <f t="shared" si="141"/>
        <v>0</v>
      </c>
      <c r="O1024" s="61">
        <f t="shared" si="143"/>
        <v>36452</v>
      </c>
      <c r="P1024" s="61">
        <f t="shared" si="144"/>
        <v>0</v>
      </c>
      <c r="Q1024" s="61">
        <f t="shared" si="142"/>
        <v>36452</v>
      </c>
    </row>
    <row r="1025" spans="2:17" ht="12.75">
      <c r="B1025" s="20">
        <f t="shared" si="139"/>
        <v>409</v>
      </c>
      <c r="C1025" s="4"/>
      <c r="D1025" s="4"/>
      <c r="E1025" s="4"/>
      <c r="F1025" s="31" t="s">
        <v>119</v>
      </c>
      <c r="G1025" s="4">
        <v>632</v>
      </c>
      <c r="H1025" s="4" t="s">
        <v>134</v>
      </c>
      <c r="I1025" s="17">
        <v>26170</v>
      </c>
      <c r="J1025" s="17"/>
      <c r="K1025" s="17">
        <f t="shared" si="140"/>
        <v>26170</v>
      </c>
      <c r="L1025" s="17"/>
      <c r="M1025" s="17"/>
      <c r="N1025" s="17">
        <f t="shared" si="141"/>
        <v>0</v>
      </c>
      <c r="O1025" s="17">
        <f t="shared" si="143"/>
        <v>26170</v>
      </c>
      <c r="P1025" s="17">
        <f t="shared" si="144"/>
        <v>0</v>
      </c>
      <c r="Q1025" s="17">
        <f t="shared" si="142"/>
        <v>26170</v>
      </c>
    </row>
    <row r="1026" spans="2:17" ht="12.75">
      <c r="B1026" s="20">
        <f t="shared" si="139"/>
        <v>410</v>
      </c>
      <c r="C1026" s="4"/>
      <c r="D1026" s="4"/>
      <c r="E1026" s="4"/>
      <c r="F1026" s="31" t="s">
        <v>119</v>
      </c>
      <c r="G1026" s="4">
        <v>633</v>
      </c>
      <c r="H1026" s="4" t="s">
        <v>125</v>
      </c>
      <c r="I1026" s="17">
        <f>4285-575</f>
        <v>3710</v>
      </c>
      <c r="J1026" s="17"/>
      <c r="K1026" s="17">
        <f t="shared" si="140"/>
        <v>3710</v>
      </c>
      <c r="L1026" s="17"/>
      <c r="M1026" s="17"/>
      <c r="N1026" s="17">
        <f t="shared" si="141"/>
        <v>0</v>
      </c>
      <c r="O1026" s="17">
        <f t="shared" si="143"/>
        <v>3710</v>
      </c>
      <c r="P1026" s="17">
        <f t="shared" si="144"/>
        <v>0</v>
      </c>
      <c r="Q1026" s="17">
        <f t="shared" si="142"/>
        <v>3710</v>
      </c>
    </row>
    <row r="1027" spans="2:17" ht="12.75">
      <c r="B1027" s="20">
        <f t="shared" si="139"/>
        <v>411</v>
      </c>
      <c r="C1027" s="4"/>
      <c r="D1027" s="4"/>
      <c r="E1027" s="4"/>
      <c r="F1027" s="31" t="s">
        <v>119</v>
      </c>
      <c r="G1027" s="4">
        <v>634</v>
      </c>
      <c r="H1027" s="4" t="s">
        <v>132</v>
      </c>
      <c r="I1027" s="17">
        <v>400</v>
      </c>
      <c r="J1027" s="17"/>
      <c r="K1027" s="17">
        <f t="shared" si="140"/>
        <v>400</v>
      </c>
      <c r="L1027" s="17"/>
      <c r="M1027" s="17"/>
      <c r="N1027" s="17">
        <f t="shared" si="141"/>
        <v>0</v>
      </c>
      <c r="O1027" s="17">
        <f t="shared" si="143"/>
        <v>400</v>
      </c>
      <c r="P1027" s="17">
        <f t="shared" si="144"/>
        <v>0</v>
      </c>
      <c r="Q1027" s="17">
        <f t="shared" si="142"/>
        <v>400</v>
      </c>
    </row>
    <row r="1028" spans="2:17" ht="12.75">
      <c r="B1028" s="20">
        <f t="shared" si="139"/>
        <v>412</v>
      </c>
      <c r="C1028" s="4"/>
      <c r="D1028" s="4"/>
      <c r="E1028" s="4"/>
      <c r="F1028" s="31" t="s">
        <v>119</v>
      </c>
      <c r="G1028" s="4">
        <v>635</v>
      </c>
      <c r="H1028" s="4" t="s">
        <v>133</v>
      </c>
      <c r="I1028" s="17">
        <v>600</v>
      </c>
      <c r="J1028" s="17"/>
      <c r="K1028" s="17">
        <f t="shared" si="140"/>
        <v>600</v>
      </c>
      <c r="L1028" s="17"/>
      <c r="M1028" s="17"/>
      <c r="N1028" s="17">
        <f t="shared" si="141"/>
        <v>0</v>
      </c>
      <c r="O1028" s="17">
        <f t="shared" si="143"/>
        <v>600</v>
      </c>
      <c r="P1028" s="17">
        <f t="shared" si="144"/>
        <v>0</v>
      </c>
      <c r="Q1028" s="17">
        <f t="shared" si="142"/>
        <v>600</v>
      </c>
    </row>
    <row r="1029" spans="2:17" ht="12.75">
      <c r="B1029" s="20">
        <f t="shared" si="139"/>
        <v>413</v>
      </c>
      <c r="C1029" s="4"/>
      <c r="D1029" s="4"/>
      <c r="E1029" s="4"/>
      <c r="F1029" s="31" t="s">
        <v>119</v>
      </c>
      <c r="G1029" s="4">
        <v>637</v>
      </c>
      <c r="H1029" s="4" t="s">
        <v>122</v>
      </c>
      <c r="I1029" s="17">
        <f>4930+642</f>
        <v>5572</v>
      </c>
      <c r="J1029" s="17"/>
      <c r="K1029" s="17">
        <f t="shared" si="140"/>
        <v>5572</v>
      </c>
      <c r="L1029" s="17"/>
      <c r="M1029" s="17"/>
      <c r="N1029" s="17">
        <f t="shared" si="141"/>
        <v>0</v>
      </c>
      <c r="O1029" s="17">
        <f t="shared" si="143"/>
        <v>5572</v>
      </c>
      <c r="P1029" s="17">
        <f t="shared" si="144"/>
        <v>0</v>
      </c>
      <c r="Q1029" s="17">
        <f t="shared" si="142"/>
        <v>5572</v>
      </c>
    </row>
    <row r="1030" spans="2:17" ht="12.75">
      <c r="B1030" s="20">
        <f t="shared" si="139"/>
        <v>414</v>
      </c>
      <c r="C1030" s="10"/>
      <c r="D1030" s="10"/>
      <c r="E1030" s="10"/>
      <c r="F1030" s="30" t="s">
        <v>119</v>
      </c>
      <c r="G1030" s="10">
        <v>640</v>
      </c>
      <c r="H1030" s="10" t="s">
        <v>129</v>
      </c>
      <c r="I1030" s="61">
        <v>400</v>
      </c>
      <c r="J1030" s="61"/>
      <c r="K1030" s="61">
        <f t="shared" si="140"/>
        <v>400</v>
      </c>
      <c r="L1030" s="61"/>
      <c r="M1030" s="61"/>
      <c r="N1030" s="61">
        <f t="shared" si="141"/>
        <v>0</v>
      </c>
      <c r="O1030" s="61">
        <f t="shared" si="143"/>
        <v>400</v>
      </c>
      <c r="P1030" s="61">
        <f t="shared" si="144"/>
        <v>0</v>
      </c>
      <c r="Q1030" s="61">
        <f t="shared" si="142"/>
        <v>400</v>
      </c>
    </row>
    <row r="1031" spans="2:17" ht="12.75">
      <c r="B1031" s="20">
        <f t="shared" si="139"/>
        <v>415</v>
      </c>
      <c r="C1031" s="10"/>
      <c r="D1031" s="10"/>
      <c r="E1031" s="10"/>
      <c r="F1031" s="30" t="s">
        <v>106</v>
      </c>
      <c r="G1031" s="10">
        <v>610</v>
      </c>
      <c r="H1031" s="10" t="s">
        <v>131</v>
      </c>
      <c r="I1031" s="61">
        <f>283393-2714</f>
        <v>280679</v>
      </c>
      <c r="J1031" s="61"/>
      <c r="K1031" s="61">
        <f t="shared" si="140"/>
        <v>280679</v>
      </c>
      <c r="L1031" s="61"/>
      <c r="M1031" s="61"/>
      <c r="N1031" s="61">
        <f t="shared" si="141"/>
        <v>0</v>
      </c>
      <c r="O1031" s="61">
        <f t="shared" si="143"/>
        <v>280679</v>
      </c>
      <c r="P1031" s="61">
        <f t="shared" si="144"/>
        <v>0</v>
      </c>
      <c r="Q1031" s="61">
        <f t="shared" si="142"/>
        <v>280679</v>
      </c>
    </row>
    <row r="1032" spans="2:17" ht="12.75">
      <c r="B1032" s="20">
        <f t="shared" si="139"/>
        <v>416</v>
      </c>
      <c r="C1032" s="10"/>
      <c r="D1032" s="10"/>
      <c r="E1032" s="10"/>
      <c r="F1032" s="30" t="s">
        <v>106</v>
      </c>
      <c r="G1032" s="10">
        <v>620</v>
      </c>
      <c r="H1032" s="10" t="s">
        <v>124</v>
      </c>
      <c r="I1032" s="61">
        <f>99059-948</f>
        <v>98111</v>
      </c>
      <c r="J1032" s="61"/>
      <c r="K1032" s="61">
        <f t="shared" si="140"/>
        <v>98111</v>
      </c>
      <c r="L1032" s="61"/>
      <c r="M1032" s="61"/>
      <c r="N1032" s="61">
        <f t="shared" si="141"/>
        <v>0</v>
      </c>
      <c r="O1032" s="61">
        <f t="shared" si="143"/>
        <v>98111</v>
      </c>
      <c r="P1032" s="61">
        <f t="shared" si="144"/>
        <v>0</v>
      </c>
      <c r="Q1032" s="61">
        <f t="shared" si="142"/>
        <v>98111</v>
      </c>
    </row>
    <row r="1033" spans="2:17" ht="12.75">
      <c r="B1033" s="20">
        <f t="shared" si="139"/>
        <v>417</v>
      </c>
      <c r="C1033" s="10"/>
      <c r="D1033" s="10"/>
      <c r="E1033" s="10"/>
      <c r="F1033" s="30" t="s">
        <v>106</v>
      </c>
      <c r="G1033" s="10">
        <v>630</v>
      </c>
      <c r="H1033" s="10" t="s">
        <v>121</v>
      </c>
      <c r="I1033" s="61">
        <f>SUM(I1034:I1038)</f>
        <v>82192</v>
      </c>
      <c r="J1033" s="61">
        <f>SUM(J1034:J1038)</f>
        <v>2150</v>
      </c>
      <c r="K1033" s="61">
        <f t="shared" si="140"/>
        <v>84342</v>
      </c>
      <c r="L1033" s="61"/>
      <c r="M1033" s="61"/>
      <c r="N1033" s="61">
        <f t="shared" si="141"/>
        <v>0</v>
      </c>
      <c r="O1033" s="61">
        <f t="shared" si="143"/>
        <v>82192</v>
      </c>
      <c r="P1033" s="61">
        <f t="shared" si="144"/>
        <v>2150</v>
      </c>
      <c r="Q1033" s="61">
        <f t="shared" si="142"/>
        <v>84342</v>
      </c>
    </row>
    <row r="1034" spans="2:17" ht="12.75">
      <c r="B1034" s="20">
        <f t="shared" si="139"/>
        <v>418</v>
      </c>
      <c r="C1034" s="4"/>
      <c r="D1034" s="4"/>
      <c r="E1034" s="4"/>
      <c r="F1034" s="31" t="s">
        <v>106</v>
      </c>
      <c r="G1034" s="4">
        <v>632</v>
      </c>
      <c r="H1034" s="4" t="s">
        <v>134</v>
      </c>
      <c r="I1034" s="17">
        <v>23272</v>
      </c>
      <c r="J1034" s="17"/>
      <c r="K1034" s="17">
        <f t="shared" si="140"/>
        <v>23272</v>
      </c>
      <c r="L1034" s="17"/>
      <c r="M1034" s="17"/>
      <c r="N1034" s="17">
        <f t="shared" si="141"/>
        <v>0</v>
      </c>
      <c r="O1034" s="17">
        <f t="shared" si="143"/>
        <v>23272</v>
      </c>
      <c r="P1034" s="17">
        <f t="shared" si="144"/>
        <v>0</v>
      </c>
      <c r="Q1034" s="17">
        <f t="shared" si="142"/>
        <v>23272</v>
      </c>
    </row>
    <row r="1035" spans="2:17" ht="12.75">
      <c r="B1035" s="20">
        <f t="shared" si="139"/>
        <v>419</v>
      </c>
      <c r="C1035" s="4"/>
      <c r="D1035" s="4"/>
      <c r="E1035" s="4"/>
      <c r="F1035" s="31" t="s">
        <v>106</v>
      </c>
      <c r="G1035" s="4">
        <v>633</v>
      </c>
      <c r="H1035" s="4" t="s">
        <v>125</v>
      </c>
      <c r="I1035" s="17">
        <f>2780+15000+2000</f>
        <v>19780</v>
      </c>
      <c r="J1035" s="17">
        <v>1548</v>
      </c>
      <c r="K1035" s="17">
        <f t="shared" si="140"/>
        <v>21328</v>
      </c>
      <c r="L1035" s="17"/>
      <c r="M1035" s="17"/>
      <c r="N1035" s="17">
        <f t="shared" si="141"/>
        <v>0</v>
      </c>
      <c r="O1035" s="17">
        <f t="shared" si="143"/>
        <v>19780</v>
      </c>
      <c r="P1035" s="17">
        <f t="shared" si="144"/>
        <v>1548</v>
      </c>
      <c r="Q1035" s="17">
        <f t="shared" si="142"/>
        <v>21328</v>
      </c>
    </row>
    <row r="1036" spans="2:17" ht="12.75">
      <c r="B1036" s="20">
        <f t="shared" si="139"/>
        <v>420</v>
      </c>
      <c r="C1036" s="4"/>
      <c r="D1036" s="4"/>
      <c r="E1036" s="4"/>
      <c r="F1036" s="31" t="s">
        <v>106</v>
      </c>
      <c r="G1036" s="4">
        <v>635</v>
      </c>
      <c r="H1036" s="4" t="s">
        <v>133</v>
      </c>
      <c r="I1036" s="17">
        <v>16000</v>
      </c>
      <c r="J1036" s="17"/>
      <c r="K1036" s="17">
        <f t="shared" si="140"/>
        <v>16000</v>
      </c>
      <c r="L1036" s="17"/>
      <c r="M1036" s="17"/>
      <c r="N1036" s="17">
        <f t="shared" si="141"/>
        <v>0</v>
      </c>
      <c r="O1036" s="17">
        <f t="shared" si="143"/>
        <v>16000</v>
      </c>
      <c r="P1036" s="17">
        <f t="shared" si="144"/>
        <v>0</v>
      </c>
      <c r="Q1036" s="17">
        <f t="shared" si="142"/>
        <v>16000</v>
      </c>
    </row>
    <row r="1037" spans="2:17" ht="12.75">
      <c r="B1037" s="20">
        <f t="shared" si="139"/>
        <v>421</v>
      </c>
      <c r="C1037" s="4"/>
      <c r="D1037" s="4"/>
      <c r="E1037" s="4"/>
      <c r="F1037" s="31" t="s">
        <v>106</v>
      </c>
      <c r="G1037" s="4">
        <v>637</v>
      </c>
      <c r="H1037" s="4" t="s">
        <v>122</v>
      </c>
      <c r="I1037" s="17">
        <v>14340</v>
      </c>
      <c r="J1037" s="17">
        <v>602</v>
      </c>
      <c r="K1037" s="17">
        <f t="shared" si="140"/>
        <v>14942</v>
      </c>
      <c r="L1037" s="17"/>
      <c r="M1037" s="17"/>
      <c r="N1037" s="17">
        <f t="shared" si="141"/>
        <v>0</v>
      </c>
      <c r="O1037" s="17">
        <f t="shared" si="143"/>
        <v>14340</v>
      </c>
      <c r="P1037" s="17">
        <f t="shared" si="144"/>
        <v>602</v>
      </c>
      <c r="Q1037" s="17">
        <f t="shared" si="142"/>
        <v>14942</v>
      </c>
    </row>
    <row r="1038" spans="2:17" ht="12.75">
      <c r="B1038" s="20">
        <f t="shared" si="139"/>
        <v>422</v>
      </c>
      <c r="C1038" s="4"/>
      <c r="D1038" s="4"/>
      <c r="E1038" s="4"/>
      <c r="F1038" s="33" t="s">
        <v>106</v>
      </c>
      <c r="G1038" s="4">
        <v>637</v>
      </c>
      <c r="H1038" s="24" t="s">
        <v>290</v>
      </c>
      <c r="I1038" s="17">
        <v>8800</v>
      </c>
      <c r="J1038" s="17"/>
      <c r="K1038" s="17">
        <f t="shared" si="140"/>
        <v>8800</v>
      </c>
      <c r="L1038" s="17"/>
      <c r="M1038" s="17"/>
      <c r="N1038" s="17">
        <f t="shared" si="141"/>
        <v>0</v>
      </c>
      <c r="O1038" s="17">
        <f t="shared" si="143"/>
        <v>8800</v>
      </c>
      <c r="P1038" s="17">
        <f t="shared" si="144"/>
        <v>0</v>
      </c>
      <c r="Q1038" s="17">
        <f t="shared" si="142"/>
        <v>8800</v>
      </c>
    </row>
    <row r="1039" spans="2:17" ht="12.75">
      <c r="B1039" s="20">
        <f t="shared" si="139"/>
        <v>423</v>
      </c>
      <c r="C1039" s="10"/>
      <c r="D1039" s="10"/>
      <c r="E1039" s="10"/>
      <c r="F1039" s="30" t="s">
        <v>106</v>
      </c>
      <c r="G1039" s="10">
        <v>640</v>
      </c>
      <c r="H1039" s="10" t="s">
        <v>129</v>
      </c>
      <c r="I1039" s="61">
        <v>400</v>
      </c>
      <c r="J1039" s="61"/>
      <c r="K1039" s="61">
        <f t="shared" si="140"/>
        <v>400</v>
      </c>
      <c r="L1039" s="61"/>
      <c r="M1039" s="61"/>
      <c r="N1039" s="61">
        <f t="shared" si="141"/>
        <v>0</v>
      </c>
      <c r="O1039" s="61">
        <f t="shared" si="143"/>
        <v>400</v>
      </c>
      <c r="P1039" s="61">
        <f t="shared" si="144"/>
        <v>0</v>
      </c>
      <c r="Q1039" s="61">
        <f t="shared" si="142"/>
        <v>400</v>
      </c>
    </row>
    <row r="1040" spans="2:17" ht="12.75">
      <c r="B1040" s="20">
        <f t="shared" si="139"/>
        <v>424</v>
      </c>
      <c r="C1040" s="10"/>
      <c r="D1040" s="10"/>
      <c r="E1040" s="10"/>
      <c r="F1040" s="30"/>
      <c r="G1040" s="10">
        <v>630</v>
      </c>
      <c r="H1040" s="10" t="s">
        <v>597</v>
      </c>
      <c r="I1040" s="61">
        <v>4629</v>
      </c>
      <c r="J1040" s="61"/>
      <c r="K1040" s="61">
        <f t="shared" si="140"/>
        <v>4629</v>
      </c>
      <c r="L1040" s="61"/>
      <c r="M1040" s="61"/>
      <c r="N1040" s="61">
        <f t="shared" si="141"/>
        <v>0</v>
      </c>
      <c r="O1040" s="61">
        <f t="shared" si="143"/>
        <v>4629</v>
      </c>
      <c r="P1040" s="61">
        <f t="shared" si="144"/>
        <v>0</v>
      </c>
      <c r="Q1040" s="61">
        <f t="shared" si="142"/>
        <v>4629</v>
      </c>
    </row>
    <row r="1041" spans="2:17" ht="12.75">
      <c r="B1041" s="20">
        <f t="shared" si="139"/>
        <v>425</v>
      </c>
      <c r="C1041" s="10"/>
      <c r="D1041" s="10"/>
      <c r="E1041" s="10"/>
      <c r="F1041" s="30"/>
      <c r="G1041" s="10"/>
      <c r="H1041" s="10"/>
      <c r="I1041" s="61"/>
      <c r="J1041" s="61"/>
      <c r="K1041" s="61">
        <f t="shared" si="140"/>
        <v>0</v>
      </c>
      <c r="L1041" s="61"/>
      <c r="M1041" s="61"/>
      <c r="N1041" s="61">
        <f t="shared" si="141"/>
        <v>0</v>
      </c>
      <c r="O1041" s="61"/>
      <c r="P1041" s="61"/>
      <c r="Q1041" s="61">
        <f t="shared" si="142"/>
        <v>0</v>
      </c>
    </row>
    <row r="1042" spans="2:17" ht="12.75">
      <c r="B1042" s="20">
        <f t="shared" si="139"/>
        <v>426</v>
      </c>
      <c r="C1042" s="10"/>
      <c r="D1042" s="10"/>
      <c r="E1042" s="10"/>
      <c r="F1042" s="30" t="s">
        <v>106</v>
      </c>
      <c r="G1042" s="10">
        <v>710</v>
      </c>
      <c r="H1042" s="10" t="s">
        <v>176</v>
      </c>
      <c r="I1042" s="61"/>
      <c r="J1042" s="61"/>
      <c r="K1042" s="61">
        <f t="shared" si="140"/>
        <v>0</v>
      </c>
      <c r="L1042" s="61">
        <f>L1043</f>
        <v>42000</v>
      </c>
      <c r="M1042" s="61">
        <f>M1043</f>
        <v>0</v>
      </c>
      <c r="N1042" s="61">
        <f t="shared" si="141"/>
        <v>42000</v>
      </c>
      <c r="O1042" s="61">
        <f aca="true" t="shared" si="145" ref="O1042:O1073">I1042+L1042</f>
        <v>42000</v>
      </c>
      <c r="P1042" s="61">
        <f aca="true" t="shared" si="146" ref="P1042:P1073">J1042+M1042</f>
        <v>0</v>
      </c>
      <c r="Q1042" s="61">
        <f t="shared" si="142"/>
        <v>42000</v>
      </c>
    </row>
    <row r="1043" spans="2:17" ht="12.75">
      <c r="B1043" s="20">
        <f t="shared" si="139"/>
        <v>427</v>
      </c>
      <c r="C1043" s="4"/>
      <c r="D1043" s="29"/>
      <c r="E1043" s="4"/>
      <c r="F1043" s="31" t="s">
        <v>106</v>
      </c>
      <c r="G1043" s="4">
        <v>717</v>
      </c>
      <c r="H1043" s="47" t="s">
        <v>186</v>
      </c>
      <c r="I1043" s="17"/>
      <c r="J1043" s="17"/>
      <c r="K1043" s="17">
        <f t="shared" si="140"/>
        <v>0</v>
      </c>
      <c r="L1043" s="17">
        <f>L1044</f>
        <v>42000</v>
      </c>
      <c r="M1043" s="17">
        <f>M1044</f>
        <v>0</v>
      </c>
      <c r="N1043" s="17">
        <f t="shared" si="141"/>
        <v>42000</v>
      </c>
      <c r="O1043" s="17">
        <f t="shared" si="145"/>
        <v>42000</v>
      </c>
      <c r="P1043" s="17">
        <f t="shared" si="146"/>
        <v>0</v>
      </c>
      <c r="Q1043" s="17">
        <f t="shared" si="142"/>
        <v>42000</v>
      </c>
    </row>
    <row r="1044" spans="2:17" ht="12.75">
      <c r="B1044" s="20">
        <f t="shared" si="139"/>
        <v>428</v>
      </c>
      <c r="C1044" s="4"/>
      <c r="D1044" s="4"/>
      <c r="E1044" s="4"/>
      <c r="F1044" s="31"/>
      <c r="G1044" s="4"/>
      <c r="H1044" s="5" t="s">
        <v>486</v>
      </c>
      <c r="I1044" s="18"/>
      <c r="J1044" s="18"/>
      <c r="K1044" s="18">
        <f t="shared" si="140"/>
        <v>0</v>
      </c>
      <c r="L1044" s="18">
        <v>42000</v>
      </c>
      <c r="M1044" s="18"/>
      <c r="N1044" s="18">
        <f t="shared" si="141"/>
        <v>42000</v>
      </c>
      <c r="O1044" s="18">
        <f t="shared" si="145"/>
        <v>42000</v>
      </c>
      <c r="P1044" s="18">
        <f t="shared" si="146"/>
        <v>0</v>
      </c>
      <c r="Q1044" s="18">
        <f t="shared" si="142"/>
        <v>42000</v>
      </c>
    </row>
    <row r="1045" spans="2:17" ht="15">
      <c r="B1045" s="20">
        <f t="shared" si="139"/>
        <v>429</v>
      </c>
      <c r="C1045" s="7">
        <v>3</v>
      </c>
      <c r="D1045" s="232" t="s">
        <v>159</v>
      </c>
      <c r="E1045" s="233"/>
      <c r="F1045" s="233"/>
      <c r="G1045" s="233"/>
      <c r="H1045" s="234"/>
      <c r="I1045" s="87">
        <f>I1046+I1056+I1072+I1081+I1090+I1098+I1107+I1116+I1125+I1133+I1142+I1151</f>
        <v>3625032</v>
      </c>
      <c r="J1045" s="87">
        <f>J1046+J1056+J1072+J1081+J1090+J1098+J1107+J1116+J1125+J1133+J1142+J1151</f>
        <v>0</v>
      </c>
      <c r="K1045" s="87">
        <f t="shared" si="140"/>
        <v>3625032</v>
      </c>
      <c r="L1045" s="87">
        <f>L1046+L1056+L1072+L1081+L1090+L1098+L1107+L1116+L1125+L1133+L1142+L1151</f>
        <v>31000</v>
      </c>
      <c r="M1045" s="87">
        <f>M1046+M1056+M1072+M1081+M1090+M1098+M1107+M1116+M1125+M1133+M1142+M1151</f>
        <v>0</v>
      </c>
      <c r="N1045" s="87">
        <f t="shared" si="141"/>
        <v>31000</v>
      </c>
      <c r="O1045" s="87">
        <f t="shared" si="145"/>
        <v>3656032</v>
      </c>
      <c r="P1045" s="87">
        <f t="shared" si="146"/>
        <v>0</v>
      </c>
      <c r="Q1045" s="87">
        <f t="shared" si="142"/>
        <v>3656032</v>
      </c>
    </row>
    <row r="1046" spans="2:17" ht="12.75">
      <c r="B1046" s="20">
        <f t="shared" si="139"/>
        <v>430</v>
      </c>
      <c r="C1046" s="10"/>
      <c r="D1046" s="10"/>
      <c r="E1046" s="10"/>
      <c r="F1046" s="30" t="s">
        <v>158</v>
      </c>
      <c r="G1046" s="10">
        <v>640</v>
      </c>
      <c r="H1046" s="10" t="s">
        <v>129</v>
      </c>
      <c r="I1046" s="61">
        <f>I1047</f>
        <v>663938</v>
      </c>
      <c r="J1046" s="61">
        <f>J1047</f>
        <v>0</v>
      </c>
      <c r="K1046" s="61">
        <f t="shared" si="140"/>
        <v>663938</v>
      </c>
      <c r="L1046" s="61"/>
      <c r="M1046" s="61"/>
      <c r="N1046" s="61">
        <f t="shared" si="141"/>
        <v>0</v>
      </c>
      <c r="O1046" s="61">
        <f t="shared" si="145"/>
        <v>663938</v>
      </c>
      <c r="P1046" s="61">
        <f t="shared" si="146"/>
        <v>0</v>
      </c>
      <c r="Q1046" s="61">
        <f t="shared" si="142"/>
        <v>663938</v>
      </c>
    </row>
    <row r="1047" spans="2:17" ht="12.75">
      <c r="B1047" s="20">
        <f t="shared" si="139"/>
        <v>431</v>
      </c>
      <c r="C1047" s="4"/>
      <c r="D1047" s="4"/>
      <c r="E1047" s="4"/>
      <c r="F1047" s="31" t="s">
        <v>158</v>
      </c>
      <c r="G1047" s="4">
        <v>642</v>
      </c>
      <c r="H1047" s="4" t="s">
        <v>130</v>
      </c>
      <c r="I1047" s="17">
        <f>I1055+I1053+I1052+I1051+I1050+I1049+I1048+I1054</f>
        <v>663938</v>
      </c>
      <c r="J1047" s="17">
        <f>J1055+J1053+J1052+J1051+J1050+J1049+J1048+J1054</f>
        <v>0</v>
      </c>
      <c r="K1047" s="17">
        <f t="shared" si="140"/>
        <v>663938</v>
      </c>
      <c r="L1047" s="17"/>
      <c r="M1047" s="17"/>
      <c r="N1047" s="17">
        <f t="shared" si="141"/>
        <v>0</v>
      </c>
      <c r="O1047" s="17">
        <f t="shared" si="145"/>
        <v>663938</v>
      </c>
      <c r="P1047" s="17">
        <f t="shared" si="146"/>
        <v>0</v>
      </c>
      <c r="Q1047" s="17">
        <f t="shared" si="142"/>
        <v>663938</v>
      </c>
    </row>
    <row r="1048" spans="2:17" ht="12.75">
      <c r="B1048" s="20">
        <f t="shared" si="139"/>
        <v>432</v>
      </c>
      <c r="C1048" s="5"/>
      <c r="D1048" s="5"/>
      <c r="E1048" s="5"/>
      <c r="F1048" s="32"/>
      <c r="G1048" s="5"/>
      <c r="H1048" s="5" t="s">
        <v>376</v>
      </c>
      <c r="I1048" s="18">
        <f>6021+115</f>
        <v>6136</v>
      </c>
      <c r="J1048" s="18"/>
      <c r="K1048" s="18">
        <f t="shared" si="140"/>
        <v>6136</v>
      </c>
      <c r="L1048" s="18"/>
      <c r="M1048" s="18"/>
      <c r="N1048" s="18">
        <f t="shared" si="141"/>
        <v>0</v>
      </c>
      <c r="O1048" s="18">
        <f t="shared" si="145"/>
        <v>6136</v>
      </c>
      <c r="P1048" s="18">
        <f t="shared" si="146"/>
        <v>0</v>
      </c>
      <c r="Q1048" s="18">
        <f t="shared" si="142"/>
        <v>6136</v>
      </c>
    </row>
    <row r="1049" spans="2:17" ht="12.75">
      <c r="B1049" s="20">
        <f t="shared" si="139"/>
        <v>433</v>
      </c>
      <c r="C1049" s="5"/>
      <c r="D1049" s="5"/>
      <c r="E1049" s="5"/>
      <c r="F1049" s="32"/>
      <c r="G1049" s="5"/>
      <c r="H1049" s="5" t="s">
        <v>377</v>
      </c>
      <c r="I1049" s="18">
        <f>32841+629</f>
        <v>33470</v>
      </c>
      <c r="J1049" s="18"/>
      <c r="K1049" s="18">
        <f t="shared" si="140"/>
        <v>33470</v>
      </c>
      <c r="L1049" s="18"/>
      <c r="M1049" s="18"/>
      <c r="N1049" s="18">
        <f t="shared" si="141"/>
        <v>0</v>
      </c>
      <c r="O1049" s="18">
        <f t="shared" si="145"/>
        <v>33470</v>
      </c>
      <c r="P1049" s="18">
        <f t="shared" si="146"/>
        <v>0</v>
      </c>
      <c r="Q1049" s="18">
        <f t="shared" si="142"/>
        <v>33470</v>
      </c>
    </row>
    <row r="1050" spans="2:17" ht="12.75">
      <c r="B1050" s="20">
        <f t="shared" si="139"/>
        <v>434</v>
      </c>
      <c r="C1050" s="5"/>
      <c r="D1050" s="5"/>
      <c r="E1050" s="5"/>
      <c r="F1050" s="32"/>
      <c r="G1050" s="5"/>
      <c r="H1050" s="5" t="s">
        <v>378</v>
      </c>
      <c r="I1050" s="18">
        <f>3099+60</f>
        <v>3159</v>
      </c>
      <c r="J1050" s="18"/>
      <c r="K1050" s="18">
        <f t="shared" si="140"/>
        <v>3159</v>
      </c>
      <c r="L1050" s="18"/>
      <c r="M1050" s="18"/>
      <c r="N1050" s="18">
        <f t="shared" si="141"/>
        <v>0</v>
      </c>
      <c r="O1050" s="18">
        <f t="shared" si="145"/>
        <v>3159</v>
      </c>
      <c r="P1050" s="18">
        <f t="shared" si="146"/>
        <v>0</v>
      </c>
      <c r="Q1050" s="18">
        <f t="shared" si="142"/>
        <v>3159</v>
      </c>
    </row>
    <row r="1051" spans="2:17" ht="12.75">
      <c r="B1051" s="20">
        <f t="shared" si="139"/>
        <v>435</v>
      </c>
      <c r="C1051" s="5"/>
      <c r="D1051" s="5"/>
      <c r="E1051" s="5"/>
      <c r="F1051" s="32"/>
      <c r="G1051" s="5"/>
      <c r="H1051" s="5" t="s">
        <v>379</v>
      </c>
      <c r="I1051" s="18">
        <f>44432+850</f>
        <v>45282</v>
      </c>
      <c r="J1051" s="18"/>
      <c r="K1051" s="18">
        <f t="shared" si="140"/>
        <v>45282</v>
      </c>
      <c r="L1051" s="18"/>
      <c r="M1051" s="18"/>
      <c r="N1051" s="18">
        <f t="shared" si="141"/>
        <v>0</v>
      </c>
      <c r="O1051" s="18">
        <f t="shared" si="145"/>
        <v>45282</v>
      </c>
      <c r="P1051" s="18">
        <f t="shared" si="146"/>
        <v>0</v>
      </c>
      <c r="Q1051" s="18">
        <f t="shared" si="142"/>
        <v>45282</v>
      </c>
    </row>
    <row r="1052" spans="2:17" ht="12.75">
      <c r="B1052" s="20">
        <f t="shared" si="139"/>
        <v>436</v>
      </c>
      <c r="C1052" s="5"/>
      <c r="D1052" s="5"/>
      <c r="E1052" s="5"/>
      <c r="F1052" s="32"/>
      <c r="G1052" s="5"/>
      <c r="H1052" s="5" t="s">
        <v>380</v>
      </c>
      <c r="I1052" s="18">
        <f>151794+2903</f>
        <v>154697</v>
      </c>
      <c r="J1052" s="18"/>
      <c r="K1052" s="18">
        <f t="shared" si="140"/>
        <v>154697</v>
      </c>
      <c r="L1052" s="18"/>
      <c r="M1052" s="18"/>
      <c r="N1052" s="18">
        <f t="shared" si="141"/>
        <v>0</v>
      </c>
      <c r="O1052" s="18">
        <f t="shared" si="145"/>
        <v>154697</v>
      </c>
      <c r="P1052" s="18">
        <f t="shared" si="146"/>
        <v>0</v>
      </c>
      <c r="Q1052" s="18">
        <f t="shared" si="142"/>
        <v>154697</v>
      </c>
    </row>
    <row r="1053" spans="2:17" ht="12.75">
      <c r="B1053" s="20">
        <f t="shared" si="139"/>
        <v>437</v>
      </c>
      <c r="C1053" s="5"/>
      <c r="D1053" s="5"/>
      <c r="E1053" s="5"/>
      <c r="F1053" s="32"/>
      <c r="G1053" s="5"/>
      <c r="H1053" s="5" t="s">
        <v>381</v>
      </c>
      <c r="I1053" s="18">
        <f>378393+7240</f>
        <v>385633</v>
      </c>
      <c r="J1053" s="18"/>
      <c r="K1053" s="18">
        <f t="shared" si="140"/>
        <v>385633</v>
      </c>
      <c r="L1053" s="18"/>
      <c r="M1053" s="18"/>
      <c r="N1053" s="18">
        <f t="shared" si="141"/>
        <v>0</v>
      </c>
      <c r="O1053" s="18">
        <f t="shared" si="145"/>
        <v>385633</v>
      </c>
      <c r="P1053" s="18">
        <f t="shared" si="146"/>
        <v>0</v>
      </c>
      <c r="Q1053" s="18">
        <f t="shared" si="142"/>
        <v>385633</v>
      </c>
    </row>
    <row r="1054" spans="2:17" ht="12.75">
      <c r="B1054" s="20">
        <f t="shared" si="139"/>
        <v>438</v>
      </c>
      <c r="C1054" s="5"/>
      <c r="D1054" s="5"/>
      <c r="E1054" s="5"/>
      <c r="F1054" s="32"/>
      <c r="G1054" s="5"/>
      <c r="H1054" s="5" t="s">
        <v>599</v>
      </c>
      <c r="I1054" s="18">
        <v>7383</v>
      </c>
      <c r="J1054" s="18"/>
      <c r="K1054" s="18">
        <f t="shared" si="140"/>
        <v>7383</v>
      </c>
      <c r="L1054" s="18"/>
      <c r="M1054" s="18"/>
      <c r="N1054" s="18">
        <f t="shared" si="141"/>
        <v>0</v>
      </c>
      <c r="O1054" s="18">
        <f t="shared" si="145"/>
        <v>7383</v>
      </c>
      <c r="P1054" s="18">
        <f t="shared" si="146"/>
        <v>0</v>
      </c>
      <c r="Q1054" s="18">
        <f t="shared" si="142"/>
        <v>7383</v>
      </c>
    </row>
    <row r="1055" spans="2:17" ht="12.75">
      <c r="B1055" s="20">
        <f t="shared" si="139"/>
        <v>439</v>
      </c>
      <c r="C1055" s="5"/>
      <c r="D1055" s="5"/>
      <c r="E1055" s="5"/>
      <c r="F1055" s="32"/>
      <c r="G1055" s="5"/>
      <c r="H1055" s="5" t="s">
        <v>382</v>
      </c>
      <c r="I1055" s="18">
        <f>27650+528</f>
        <v>28178</v>
      </c>
      <c r="J1055" s="18"/>
      <c r="K1055" s="18">
        <f t="shared" si="140"/>
        <v>28178</v>
      </c>
      <c r="L1055" s="18"/>
      <c r="M1055" s="18"/>
      <c r="N1055" s="18">
        <f t="shared" si="141"/>
        <v>0</v>
      </c>
      <c r="O1055" s="18">
        <f t="shared" si="145"/>
        <v>28178</v>
      </c>
      <c r="P1055" s="18">
        <f t="shared" si="146"/>
        <v>0</v>
      </c>
      <c r="Q1055" s="18">
        <f t="shared" si="142"/>
        <v>28178</v>
      </c>
    </row>
    <row r="1056" spans="2:17" ht="15">
      <c r="B1056" s="20">
        <f t="shared" si="139"/>
        <v>440</v>
      </c>
      <c r="C1056" s="12"/>
      <c r="D1056" s="12"/>
      <c r="E1056" s="12">
        <v>1</v>
      </c>
      <c r="F1056" s="34"/>
      <c r="G1056" s="12"/>
      <c r="H1056" s="12" t="s">
        <v>60</v>
      </c>
      <c r="I1056" s="90">
        <f>I1057+I1058+I1059+I1068</f>
        <v>245676</v>
      </c>
      <c r="J1056" s="90">
        <f>J1057+J1058+J1059+J1068</f>
        <v>0</v>
      </c>
      <c r="K1056" s="90">
        <f t="shared" si="140"/>
        <v>245676</v>
      </c>
      <c r="L1056" s="90">
        <f>L1069</f>
        <v>31000</v>
      </c>
      <c r="M1056" s="90">
        <f>M1069</f>
        <v>0</v>
      </c>
      <c r="N1056" s="90">
        <f t="shared" si="141"/>
        <v>31000</v>
      </c>
      <c r="O1056" s="90">
        <f t="shared" si="145"/>
        <v>276676</v>
      </c>
      <c r="P1056" s="90">
        <f t="shared" si="146"/>
        <v>0</v>
      </c>
      <c r="Q1056" s="90">
        <f t="shared" si="142"/>
        <v>276676</v>
      </c>
    </row>
    <row r="1057" spans="2:17" ht="12.75">
      <c r="B1057" s="20">
        <f t="shared" si="139"/>
        <v>441</v>
      </c>
      <c r="C1057" s="10"/>
      <c r="D1057" s="10"/>
      <c r="E1057" s="10"/>
      <c r="F1057" s="30" t="s">
        <v>158</v>
      </c>
      <c r="G1057" s="10">
        <v>610</v>
      </c>
      <c r="H1057" s="10" t="s">
        <v>131</v>
      </c>
      <c r="I1057" s="61">
        <v>129950</v>
      </c>
      <c r="J1057" s="61"/>
      <c r="K1057" s="61">
        <f t="shared" si="140"/>
        <v>129950</v>
      </c>
      <c r="L1057" s="61"/>
      <c r="M1057" s="61"/>
      <c r="N1057" s="61">
        <f t="shared" si="141"/>
        <v>0</v>
      </c>
      <c r="O1057" s="61">
        <f t="shared" si="145"/>
        <v>129950</v>
      </c>
      <c r="P1057" s="61">
        <f t="shared" si="146"/>
        <v>0</v>
      </c>
      <c r="Q1057" s="61">
        <f t="shared" si="142"/>
        <v>129950</v>
      </c>
    </row>
    <row r="1058" spans="2:17" ht="12.75">
      <c r="B1058" s="20">
        <f aca="true" t="shared" si="147" ref="B1058:B1121">B1057+1</f>
        <v>442</v>
      </c>
      <c r="C1058" s="10"/>
      <c r="D1058" s="10"/>
      <c r="E1058" s="10"/>
      <c r="F1058" s="30" t="s">
        <v>158</v>
      </c>
      <c r="G1058" s="10">
        <v>620</v>
      </c>
      <c r="H1058" s="10" t="s">
        <v>124</v>
      </c>
      <c r="I1058" s="61">
        <v>47015</v>
      </c>
      <c r="J1058" s="61"/>
      <c r="K1058" s="61">
        <f t="shared" si="140"/>
        <v>47015</v>
      </c>
      <c r="L1058" s="61"/>
      <c r="M1058" s="61"/>
      <c r="N1058" s="61">
        <f t="shared" si="141"/>
        <v>0</v>
      </c>
      <c r="O1058" s="61">
        <f t="shared" si="145"/>
        <v>47015</v>
      </c>
      <c r="P1058" s="61">
        <f t="shared" si="146"/>
        <v>0</v>
      </c>
      <c r="Q1058" s="61">
        <f t="shared" si="142"/>
        <v>47015</v>
      </c>
    </row>
    <row r="1059" spans="2:17" ht="12.75">
      <c r="B1059" s="20">
        <f t="shared" si="147"/>
        <v>443</v>
      </c>
      <c r="C1059" s="10"/>
      <c r="D1059" s="10"/>
      <c r="E1059" s="10"/>
      <c r="F1059" s="30" t="s">
        <v>158</v>
      </c>
      <c r="G1059" s="10">
        <v>630</v>
      </c>
      <c r="H1059" s="10" t="s">
        <v>121</v>
      </c>
      <c r="I1059" s="61">
        <f>SUM(I1060:I1067)</f>
        <v>68211</v>
      </c>
      <c r="J1059" s="61">
        <f>SUM(J1060:J1067)</f>
        <v>0</v>
      </c>
      <c r="K1059" s="61">
        <f t="shared" si="140"/>
        <v>68211</v>
      </c>
      <c r="L1059" s="61"/>
      <c r="M1059" s="61"/>
      <c r="N1059" s="61">
        <f t="shared" si="141"/>
        <v>0</v>
      </c>
      <c r="O1059" s="61">
        <f t="shared" si="145"/>
        <v>68211</v>
      </c>
      <c r="P1059" s="61">
        <f t="shared" si="146"/>
        <v>0</v>
      </c>
      <c r="Q1059" s="61">
        <f t="shared" si="142"/>
        <v>68211</v>
      </c>
    </row>
    <row r="1060" spans="2:17" ht="12.75">
      <c r="B1060" s="20">
        <f t="shared" si="147"/>
        <v>444</v>
      </c>
      <c r="C1060" s="4"/>
      <c r="D1060" s="4"/>
      <c r="E1060" s="4"/>
      <c r="F1060" s="31" t="s">
        <v>158</v>
      </c>
      <c r="G1060" s="4">
        <v>631</v>
      </c>
      <c r="H1060" s="4" t="s">
        <v>127</v>
      </c>
      <c r="I1060" s="17">
        <v>200</v>
      </c>
      <c r="J1060" s="17"/>
      <c r="K1060" s="17">
        <f t="shared" si="140"/>
        <v>200</v>
      </c>
      <c r="L1060" s="17"/>
      <c r="M1060" s="17"/>
      <c r="N1060" s="17">
        <f t="shared" si="141"/>
        <v>0</v>
      </c>
      <c r="O1060" s="17">
        <f t="shared" si="145"/>
        <v>200</v>
      </c>
      <c r="P1060" s="17">
        <f t="shared" si="146"/>
        <v>0</v>
      </c>
      <c r="Q1060" s="17">
        <f t="shared" si="142"/>
        <v>200</v>
      </c>
    </row>
    <row r="1061" spans="2:17" ht="12.75">
      <c r="B1061" s="20">
        <f t="shared" si="147"/>
        <v>445</v>
      </c>
      <c r="C1061" s="4"/>
      <c r="D1061" s="4"/>
      <c r="E1061" s="4"/>
      <c r="F1061" s="31" t="s">
        <v>158</v>
      </c>
      <c r="G1061" s="4">
        <v>632</v>
      </c>
      <c r="H1061" s="4" t="s">
        <v>134</v>
      </c>
      <c r="I1061" s="17">
        <v>8500</v>
      </c>
      <c r="J1061" s="17"/>
      <c r="K1061" s="17">
        <f t="shared" si="140"/>
        <v>8500</v>
      </c>
      <c r="L1061" s="17"/>
      <c r="M1061" s="17"/>
      <c r="N1061" s="17">
        <f t="shared" si="141"/>
        <v>0</v>
      </c>
      <c r="O1061" s="17">
        <f t="shared" si="145"/>
        <v>8500</v>
      </c>
      <c r="P1061" s="17">
        <f t="shared" si="146"/>
        <v>0</v>
      </c>
      <c r="Q1061" s="17">
        <f t="shared" si="142"/>
        <v>8500</v>
      </c>
    </row>
    <row r="1062" spans="2:17" ht="12.75">
      <c r="B1062" s="20">
        <f t="shared" si="147"/>
        <v>446</v>
      </c>
      <c r="C1062" s="4"/>
      <c r="D1062" s="4"/>
      <c r="E1062" s="4"/>
      <c r="F1062" s="31" t="s">
        <v>158</v>
      </c>
      <c r="G1062" s="4">
        <v>633</v>
      </c>
      <c r="H1062" s="4" t="s">
        <v>125</v>
      </c>
      <c r="I1062" s="17">
        <f>14300+2148</f>
        <v>16448</v>
      </c>
      <c r="J1062" s="17"/>
      <c r="K1062" s="17">
        <f t="shared" si="140"/>
        <v>16448</v>
      </c>
      <c r="L1062" s="17"/>
      <c r="M1062" s="17"/>
      <c r="N1062" s="17">
        <f t="shared" si="141"/>
        <v>0</v>
      </c>
      <c r="O1062" s="17">
        <f t="shared" si="145"/>
        <v>16448</v>
      </c>
      <c r="P1062" s="17">
        <f t="shared" si="146"/>
        <v>0</v>
      </c>
      <c r="Q1062" s="17">
        <f t="shared" si="142"/>
        <v>16448</v>
      </c>
    </row>
    <row r="1063" spans="2:17" ht="12.75">
      <c r="B1063" s="20">
        <f t="shared" si="147"/>
        <v>447</v>
      </c>
      <c r="C1063" s="4"/>
      <c r="D1063" s="4"/>
      <c r="E1063" s="4"/>
      <c r="F1063" s="31" t="s">
        <v>158</v>
      </c>
      <c r="G1063" s="4">
        <v>634</v>
      </c>
      <c r="H1063" s="4" t="s">
        <v>132</v>
      </c>
      <c r="I1063" s="17">
        <v>100</v>
      </c>
      <c r="J1063" s="17"/>
      <c r="K1063" s="17">
        <f t="shared" si="140"/>
        <v>100</v>
      </c>
      <c r="L1063" s="17"/>
      <c r="M1063" s="17"/>
      <c r="N1063" s="17">
        <f t="shared" si="141"/>
        <v>0</v>
      </c>
      <c r="O1063" s="17">
        <f t="shared" si="145"/>
        <v>100</v>
      </c>
      <c r="P1063" s="17">
        <f t="shared" si="146"/>
        <v>0</v>
      </c>
      <c r="Q1063" s="17">
        <f t="shared" si="142"/>
        <v>100</v>
      </c>
    </row>
    <row r="1064" spans="2:17" ht="12.75">
      <c r="B1064" s="20">
        <f t="shared" si="147"/>
        <v>448</v>
      </c>
      <c r="C1064" s="4"/>
      <c r="D1064" s="4"/>
      <c r="E1064" s="4"/>
      <c r="F1064" s="31" t="s">
        <v>158</v>
      </c>
      <c r="G1064" s="4">
        <v>635</v>
      </c>
      <c r="H1064" s="4" t="s">
        <v>133</v>
      </c>
      <c r="I1064" s="17">
        <v>2800</v>
      </c>
      <c r="J1064" s="17"/>
      <c r="K1064" s="17">
        <f aca="true" t="shared" si="148" ref="K1064:K1127">J1064+I1064</f>
        <v>2800</v>
      </c>
      <c r="L1064" s="17"/>
      <c r="M1064" s="17"/>
      <c r="N1064" s="17">
        <f aca="true" t="shared" si="149" ref="N1064:N1127">M1064+L1064</f>
        <v>0</v>
      </c>
      <c r="O1064" s="17">
        <f t="shared" si="145"/>
        <v>2800</v>
      </c>
      <c r="P1064" s="17">
        <f t="shared" si="146"/>
        <v>0</v>
      </c>
      <c r="Q1064" s="17">
        <f aca="true" t="shared" si="150" ref="Q1064:Q1127">O1064+P1064</f>
        <v>2800</v>
      </c>
    </row>
    <row r="1065" spans="2:17" ht="12.75">
      <c r="B1065" s="20">
        <f t="shared" si="147"/>
        <v>449</v>
      </c>
      <c r="C1065" s="4"/>
      <c r="D1065" s="4"/>
      <c r="E1065" s="4"/>
      <c r="F1065" s="31" t="s">
        <v>158</v>
      </c>
      <c r="G1065" s="4">
        <v>636</v>
      </c>
      <c r="H1065" s="4" t="s">
        <v>126</v>
      </c>
      <c r="I1065" s="17">
        <v>1000</v>
      </c>
      <c r="J1065" s="17"/>
      <c r="K1065" s="17">
        <f t="shared" si="148"/>
        <v>1000</v>
      </c>
      <c r="L1065" s="17"/>
      <c r="M1065" s="17"/>
      <c r="N1065" s="17">
        <f t="shared" si="149"/>
        <v>0</v>
      </c>
      <c r="O1065" s="17">
        <f t="shared" si="145"/>
        <v>1000</v>
      </c>
      <c r="P1065" s="17">
        <f t="shared" si="146"/>
        <v>0</v>
      </c>
      <c r="Q1065" s="17">
        <f t="shared" si="150"/>
        <v>1000</v>
      </c>
    </row>
    <row r="1066" spans="2:17" ht="12.75">
      <c r="B1066" s="20">
        <f t="shared" si="147"/>
        <v>450</v>
      </c>
      <c r="C1066" s="4"/>
      <c r="D1066" s="4"/>
      <c r="E1066" s="4"/>
      <c r="F1066" s="31" t="s">
        <v>158</v>
      </c>
      <c r="G1066" s="4">
        <v>637</v>
      </c>
      <c r="H1066" s="4" t="s">
        <v>122</v>
      </c>
      <c r="I1066" s="17">
        <f>34300+2100+700</f>
        <v>37100</v>
      </c>
      <c r="J1066" s="17"/>
      <c r="K1066" s="17">
        <f t="shared" si="148"/>
        <v>37100</v>
      </c>
      <c r="L1066" s="17"/>
      <c r="M1066" s="17"/>
      <c r="N1066" s="17">
        <f t="shared" si="149"/>
        <v>0</v>
      </c>
      <c r="O1066" s="17">
        <f t="shared" si="145"/>
        <v>37100</v>
      </c>
      <c r="P1066" s="17">
        <f t="shared" si="146"/>
        <v>0</v>
      </c>
      <c r="Q1066" s="17">
        <f t="shared" si="150"/>
        <v>37100</v>
      </c>
    </row>
    <row r="1067" spans="2:17" ht="12.75">
      <c r="B1067" s="20">
        <f t="shared" si="147"/>
        <v>451</v>
      </c>
      <c r="C1067" s="4"/>
      <c r="D1067" s="4"/>
      <c r="E1067" s="4"/>
      <c r="F1067" s="33" t="s">
        <v>158</v>
      </c>
      <c r="G1067" s="4">
        <v>637</v>
      </c>
      <c r="H1067" s="24" t="s">
        <v>290</v>
      </c>
      <c r="I1067" s="17">
        <v>2063</v>
      </c>
      <c r="J1067" s="17"/>
      <c r="K1067" s="17">
        <f t="shared" si="148"/>
        <v>2063</v>
      </c>
      <c r="L1067" s="17"/>
      <c r="M1067" s="17"/>
      <c r="N1067" s="17">
        <f t="shared" si="149"/>
        <v>0</v>
      </c>
      <c r="O1067" s="17">
        <f t="shared" si="145"/>
        <v>2063</v>
      </c>
      <c r="P1067" s="17">
        <f t="shared" si="146"/>
        <v>0</v>
      </c>
      <c r="Q1067" s="17">
        <f t="shared" si="150"/>
        <v>2063</v>
      </c>
    </row>
    <row r="1068" spans="2:17" ht="12.75">
      <c r="B1068" s="20">
        <f t="shared" si="147"/>
        <v>452</v>
      </c>
      <c r="C1068" s="10"/>
      <c r="D1068" s="10"/>
      <c r="E1068" s="10"/>
      <c r="F1068" s="30" t="s">
        <v>158</v>
      </c>
      <c r="G1068" s="10">
        <v>640</v>
      </c>
      <c r="H1068" s="10" t="s">
        <v>129</v>
      </c>
      <c r="I1068" s="61">
        <v>500</v>
      </c>
      <c r="J1068" s="61"/>
      <c r="K1068" s="61">
        <f t="shared" si="148"/>
        <v>500</v>
      </c>
      <c r="L1068" s="61"/>
      <c r="M1068" s="61"/>
      <c r="N1068" s="61">
        <f t="shared" si="149"/>
        <v>0</v>
      </c>
      <c r="O1068" s="61">
        <f t="shared" si="145"/>
        <v>500</v>
      </c>
      <c r="P1068" s="61">
        <f t="shared" si="146"/>
        <v>0</v>
      </c>
      <c r="Q1068" s="61">
        <f t="shared" si="150"/>
        <v>500</v>
      </c>
    </row>
    <row r="1069" spans="2:17" ht="12.75">
      <c r="B1069" s="20">
        <f t="shared" si="147"/>
        <v>453</v>
      </c>
      <c r="C1069" s="10"/>
      <c r="D1069" s="10"/>
      <c r="E1069" s="10"/>
      <c r="F1069" s="30" t="s">
        <v>158</v>
      </c>
      <c r="G1069" s="10">
        <v>710</v>
      </c>
      <c r="H1069" s="10" t="s">
        <v>176</v>
      </c>
      <c r="I1069" s="61"/>
      <c r="J1069" s="61"/>
      <c r="K1069" s="61">
        <f t="shared" si="148"/>
        <v>0</v>
      </c>
      <c r="L1069" s="61">
        <f>L1070</f>
        <v>31000</v>
      </c>
      <c r="M1069" s="61">
        <f>M1070</f>
        <v>0</v>
      </c>
      <c r="N1069" s="61">
        <f t="shared" si="149"/>
        <v>31000</v>
      </c>
      <c r="O1069" s="61">
        <f t="shared" si="145"/>
        <v>31000</v>
      </c>
      <c r="P1069" s="61">
        <f t="shared" si="146"/>
        <v>0</v>
      </c>
      <c r="Q1069" s="61">
        <f t="shared" si="150"/>
        <v>31000</v>
      </c>
    </row>
    <row r="1070" spans="2:17" ht="12.75">
      <c r="B1070" s="20">
        <f t="shared" si="147"/>
        <v>454</v>
      </c>
      <c r="C1070" s="4"/>
      <c r="D1070" s="29"/>
      <c r="E1070" s="4"/>
      <c r="F1070" s="31" t="s">
        <v>158</v>
      </c>
      <c r="G1070" s="4">
        <v>717</v>
      </c>
      <c r="H1070" s="47" t="s">
        <v>186</v>
      </c>
      <c r="I1070" s="17"/>
      <c r="J1070" s="17"/>
      <c r="K1070" s="17">
        <f t="shared" si="148"/>
        <v>0</v>
      </c>
      <c r="L1070" s="17">
        <f>L1071</f>
        <v>31000</v>
      </c>
      <c r="M1070" s="17">
        <f>M1071</f>
        <v>0</v>
      </c>
      <c r="N1070" s="17">
        <f t="shared" si="149"/>
        <v>31000</v>
      </c>
      <c r="O1070" s="17">
        <f t="shared" si="145"/>
        <v>31000</v>
      </c>
      <c r="P1070" s="17">
        <f t="shared" si="146"/>
        <v>0</v>
      </c>
      <c r="Q1070" s="17">
        <f t="shared" si="150"/>
        <v>31000</v>
      </c>
    </row>
    <row r="1071" spans="2:17" ht="12.75">
      <c r="B1071" s="20">
        <f t="shared" si="147"/>
        <v>455</v>
      </c>
      <c r="C1071" s="4"/>
      <c r="D1071" s="4"/>
      <c r="E1071" s="4"/>
      <c r="F1071" s="31"/>
      <c r="G1071" s="4"/>
      <c r="H1071" s="5" t="s">
        <v>630</v>
      </c>
      <c r="I1071" s="18"/>
      <c r="J1071" s="18"/>
      <c r="K1071" s="18">
        <f t="shared" si="148"/>
        <v>0</v>
      </c>
      <c r="L1071" s="18">
        <v>31000</v>
      </c>
      <c r="M1071" s="18"/>
      <c r="N1071" s="18">
        <f t="shared" si="149"/>
        <v>31000</v>
      </c>
      <c r="O1071" s="18">
        <f t="shared" si="145"/>
        <v>31000</v>
      </c>
      <c r="P1071" s="18">
        <f t="shared" si="146"/>
        <v>0</v>
      </c>
      <c r="Q1071" s="18">
        <f t="shared" si="150"/>
        <v>31000</v>
      </c>
    </row>
    <row r="1072" spans="2:17" ht="15">
      <c r="B1072" s="20">
        <f t="shared" si="147"/>
        <v>456</v>
      </c>
      <c r="C1072" s="12"/>
      <c r="D1072" s="12"/>
      <c r="E1072" s="12">
        <v>4</v>
      </c>
      <c r="F1072" s="34"/>
      <c r="G1072" s="12"/>
      <c r="H1072" s="12" t="s">
        <v>94</v>
      </c>
      <c r="I1072" s="90">
        <f>I1073</f>
        <v>21316</v>
      </c>
      <c r="J1072" s="90">
        <f>J1073</f>
        <v>0</v>
      </c>
      <c r="K1072" s="90">
        <f t="shared" si="148"/>
        <v>21316</v>
      </c>
      <c r="L1072" s="90"/>
      <c r="M1072" s="90"/>
      <c r="N1072" s="90">
        <f t="shared" si="149"/>
        <v>0</v>
      </c>
      <c r="O1072" s="90">
        <f t="shared" si="145"/>
        <v>21316</v>
      </c>
      <c r="P1072" s="90">
        <f t="shared" si="146"/>
        <v>0</v>
      </c>
      <c r="Q1072" s="90">
        <f t="shared" si="150"/>
        <v>21316</v>
      </c>
    </row>
    <row r="1073" spans="2:17" ht="12.75">
      <c r="B1073" s="20">
        <f t="shared" si="147"/>
        <v>457</v>
      </c>
      <c r="C1073" s="9"/>
      <c r="D1073" s="9"/>
      <c r="E1073" s="9"/>
      <c r="F1073" s="35"/>
      <c r="G1073" s="9"/>
      <c r="H1073" s="9" t="s">
        <v>98</v>
      </c>
      <c r="I1073" s="96">
        <f>I1080+I1076+I1075+I1074</f>
        <v>21316</v>
      </c>
      <c r="J1073" s="96">
        <f>J1080+J1076+J1075+J1074</f>
        <v>0</v>
      </c>
      <c r="K1073" s="96">
        <f t="shared" si="148"/>
        <v>21316</v>
      </c>
      <c r="L1073" s="96"/>
      <c r="M1073" s="96"/>
      <c r="N1073" s="96">
        <f t="shared" si="149"/>
        <v>0</v>
      </c>
      <c r="O1073" s="96">
        <f t="shared" si="145"/>
        <v>21316</v>
      </c>
      <c r="P1073" s="96">
        <f t="shared" si="146"/>
        <v>0</v>
      </c>
      <c r="Q1073" s="96">
        <f t="shared" si="150"/>
        <v>21316</v>
      </c>
    </row>
    <row r="1074" spans="2:17" ht="12.75">
      <c r="B1074" s="20">
        <f t="shared" si="147"/>
        <v>458</v>
      </c>
      <c r="C1074" s="10"/>
      <c r="D1074" s="10"/>
      <c r="E1074" s="10"/>
      <c r="F1074" s="30" t="s">
        <v>158</v>
      </c>
      <c r="G1074" s="10">
        <v>610</v>
      </c>
      <c r="H1074" s="10" t="s">
        <v>131</v>
      </c>
      <c r="I1074" s="61">
        <v>14271</v>
      </c>
      <c r="J1074" s="61"/>
      <c r="K1074" s="61">
        <f t="shared" si="148"/>
        <v>14271</v>
      </c>
      <c r="L1074" s="61"/>
      <c r="M1074" s="61"/>
      <c r="N1074" s="61">
        <f t="shared" si="149"/>
        <v>0</v>
      </c>
      <c r="O1074" s="61">
        <f aca="true" t="shared" si="151" ref="O1074:O1105">I1074+L1074</f>
        <v>14271</v>
      </c>
      <c r="P1074" s="61">
        <f aca="true" t="shared" si="152" ref="P1074:P1105">J1074+M1074</f>
        <v>0</v>
      </c>
      <c r="Q1074" s="61">
        <f t="shared" si="150"/>
        <v>14271</v>
      </c>
    </row>
    <row r="1075" spans="2:17" ht="12.75">
      <c r="B1075" s="20">
        <f t="shared" si="147"/>
        <v>459</v>
      </c>
      <c r="C1075" s="10"/>
      <c r="D1075" s="10"/>
      <c r="E1075" s="10"/>
      <c r="F1075" s="30" t="s">
        <v>158</v>
      </c>
      <c r="G1075" s="10">
        <v>620</v>
      </c>
      <c r="H1075" s="10" t="s">
        <v>124</v>
      </c>
      <c r="I1075" s="61">
        <v>5295</v>
      </c>
      <c r="J1075" s="61"/>
      <c r="K1075" s="61">
        <f t="shared" si="148"/>
        <v>5295</v>
      </c>
      <c r="L1075" s="61"/>
      <c r="M1075" s="61"/>
      <c r="N1075" s="61">
        <f t="shared" si="149"/>
        <v>0</v>
      </c>
      <c r="O1075" s="61">
        <f t="shared" si="151"/>
        <v>5295</v>
      </c>
      <c r="P1075" s="61">
        <f t="shared" si="152"/>
        <v>0</v>
      </c>
      <c r="Q1075" s="61">
        <f t="shared" si="150"/>
        <v>5295</v>
      </c>
    </row>
    <row r="1076" spans="2:17" ht="12.75">
      <c r="B1076" s="20">
        <f t="shared" si="147"/>
        <v>460</v>
      </c>
      <c r="C1076" s="10"/>
      <c r="D1076" s="10"/>
      <c r="E1076" s="10"/>
      <c r="F1076" s="30" t="s">
        <v>158</v>
      </c>
      <c r="G1076" s="10">
        <v>630</v>
      </c>
      <c r="H1076" s="10" t="s">
        <v>121</v>
      </c>
      <c r="I1076" s="61">
        <f>I1079+I1078+I1077</f>
        <v>1300</v>
      </c>
      <c r="J1076" s="61">
        <f>J1079+J1078+J1077</f>
        <v>0</v>
      </c>
      <c r="K1076" s="61">
        <f t="shared" si="148"/>
        <v>1300</v>
      </c>
      <c r="L1076" s="61"/>
      <c r="M1076" s="61"/>
      <c r="N1076" s="61">
        <f t="shared" si="149"/>
        <v>0</v>
      </c>
      <c r="O1076" s="61">
        <f t="shared" si="151"/>
        <v>1300</v>
      </c>
      <c r="P1076" s="61">
        <f t="shared" si="152"/>
        <v>0</v>
      </c>
      <c r="Q1076" s="61">
        <f t="shared" si="150"/>
        <v>1300</v>
      </c>
    </row>
    <row r="1077" spans="2:17" ht="12.75">
      <c r="B1077" s="20">
        <f t="shared" si="147"/>
        <v>461</v>
      </c>
      <c r="C1077" s="4"/>
      <c r="D1077" s="4"/>
      <c r="E1077" s="4"/>
      <c r="F1077" s="31" t="s">
        <v>158</v>
      </c>
      <c r="G1077" s="4">
        <v>632</v>
      </c>
      <c r="H1077" s="4" t="s">
        <v>134</v>
      </c>
      <c r="I1077" s="17">
        <v>620</v>
      </c>
      <c r="J1077" s="17"/>
      <c r="K1077" s="17">
        <f t="shared" si="148"/>
        <v>620</v>
      </c>
      <c r="L1077" s="17"/>
      <c r="M1077" s="17"/>
      <c r="N1077" s="17">
        <f t="shared" si="149"/>
        <v>0</v>
      </c>
      <c r="O1077" s="17">
        <f t="shared" si="151"/>
        <v>620</v>
      </c>
      <c r="P1077" s="17">
        <f t="shared" si="152"/>
        <v>0</v>
      </c>
      <c r="Q1077" s="17">
        <f t="shared" si="150"/>
        <v>620</v>
      </c>
    </row>
    <row r="1078" spans="2:17" ht="12.75">
      <c r="B1078" s="20">
        <f t="shared" si="147"/>
        <v>462</v>
      </c>
      <c r="C1078" s="4"/>
      <c r="D1078" s="4"/>
      <c r="E1078" s="4"/>
      <c r="F1078" s="31" t="s">
        <v>158</v>
      </c>
      <c r="G1078" s="4">
        <v>633</v>
      </c>
      <c r="H1078" s="4" t="s">
        <v>125</v>
      </c>
      <c r="I1078" s="17">
        <v>500</v>
      </c>
      <c r="J1078" s="17"/>
      <c r="K1078" s="17">
        <f t="shared" si="148"/>
        <v>500</v>
      </c>
      <c r="L1078" s="17"/>
      <c r="M1078" s="17"/>
      <c r="N1078" s="17">
        <f t="shared" si="149"/>
        <v>0</v>
      </c>
      <c r="O1078" s="17">
        <f t="shared" si="151"/>
        <v>500</v>
      </c>
      <c r="P1078" s="17">
        <f t="shared" si="152"/>
        <v>0</v>
      </c>
      <c r="Q1078" s="17">
        <f t="shared" si="150"/>
        <v>500</v>
      </c>
    </row>
    <row r="1079" spans="2:17" ht="12.75">
      <c r="B1079" s="20">
        <f t="shared" si="147"/>
        <v>463</v>
      </c>
      <c r="C1079" s="4"/>
      <c r="D1079" s="4"/>
      <c r="E1079" s="4"/>
      <c r="F1079" s="31" t="s">
        <v>158</v>
      </c>
      <c r="G1079" s="4">
        <v>637</v>
      </c>
      <c r="H1079" s="4" t="s">
        <v>122</v>
      </c>
      <c r="I1079" s="17">
        <v>180</v>
      </c>
      <c r="J1079" s="17"/>
      <c r="K1079" s="17">
        <f t="shared" si="148"/>
        <v>180</v>
      </c>
      <c r="L1079" s="17"/>
      <c r="M1079" s="17"/>
      <c r="N1079" s="17">
        <f t="shared" si="149"/>
        <v>0</v>
      </c>
      <c r="O1079" s="17">
        <f t="shared" si="151"/>
        <v>180</v>
      </c>
      <c r="P1079" s="17">
        <f t="shared" si="152"/>
        <v>0</v>
      </c>
      <c r="Q1079" s="17">
        <f t="shared" si="150"/>
        <v>180</v>
      </c>
    </row>
    <row r="1080" spans="2:17" ht="12.75">
      <c r="B1080" s="20">
        <f t="shared" si="147"/>
        <v>464</v>
      </c>
      <c r="C1080" s="10"/>
      <c r="D1080" s="10"/>
      <c r="E1080" s="10"/>
      <c r="F1080" s="30" t="s">
        <v>158</v>
      </c>
      <c r="G1080" s="10">
        <v>640</v>
      </c>
      <c r="H1080" s="10" t="s">
        <v>129</v>
      </c>
      <c r="I1080" s="61">
        <v>450</v>
      </c>
      <c r="J1080" s="61"/>
      <c r="K1080" s="61">
        <f t="shared" si="148"/>
        <v>450</v>
      </c>
      <c r="L1080" s="61"/>
      <c r="M1080" s="61"/>
      <c r="N1080" s="61">
        <f t="shared" si="149"/>
        <v>0</v>
      </c>
      <c r="O1080" s="61">
        <f t="shared" si="151"/>
        <v>450</v>
      </c>
      <c r="P1080" s="61">
        <f t="shared" si="152"/>
        <v>0</v>
      </c>
      <c r="Q1080" s="61">
        <f t="shared" si="150"/>
        <v>450</v>
      </c>
    </row>
    <row r="1081" spans="2:17" ht="15">
      <c r="B1081" s="20">
        <f t="shared" si="147"/>
        <v>465</v>
      </c>
      <c r="C1081" s="12"/>
      <c r="D1081" s="12"/>
      <c r="E1081" s="12">
        <v>6</v>
      </c>
      <c r="F1081" s="34"/>
      <c r="G1081" s="12"/>
      <c r="H1081" s="12" t="s">
        <v>11</v>
      </c>
      <c r="I1081" s="90">
        <f>I1082+I1083+I1084+I1089</f>
        <v>157992</v>
      </c>
      <c r="J1081" s="90">
        <f>J1082+J1083+J1084+J1089</f>
        <v>0</v>
      </c>
      <c r="K1081" s="90">
        <f t="shared" si="148"/>
        <v>157992</v>
      </c>
      <c r="L1081" s="90"/>
      <c r="M1081" s="90"/>
      <c r="N1081" s="90">
        <f t="shared" si="149"/>
        <v>0</v>
      </c>
      <c r="O1081" s="90">
        <f t="shared" si="151"/>
        <v>157992</v>
      </c>
      <c r="P1081" s="90">
        <f t="shared" si="152"/>
        <v>0</v>
      </c>
      <c r="Q1081" s="90">
        <f t="shared" si="150"/>
        <v>157992</v>
      </c>
    </row>
    <row r="1082" spans="2:17" ht="12.75">
      <c r="B1082" s="20">
        <f t="shared" si="147"/>
        <v>466</v>
      </c>
      <c r="C1082" s="10"/>
      <c r="D1082" s="10"/>
      <c r="E1082" s="10"/>
      <c r="F1082" s="30" t="s">
        <v>158</v>
      </c>
      <c r="G1082" s="10">
        <v>610</v>
      </c>
      <c r="H1082" s="10" t="s">
        <v>131</v>
      </c>
      <c r="I1082" s="61">
        <v>99106</v>
      </c>
      <c r="J1082" s="61"/>
      <c r="K1082" s="61">
        <f t="shared" si="148"/>
        <v>99106</v>
      </c>
      <c r="L1082" s="61"/>
      <c r="M1082" s="61"/>
      <c r="N1082" s="61">
        <f t="shared" si="149"/>
        <v>0</v>
      </c>
      <c r="O1082" s="61">
        <f t="shared" si="151"/>
        <v>99106</v>
      </c>
      <c r="P1082" s="61">
        <f t="shared" si="152"/>
        <v>0</v>
      </c>
      <c r="Q1082" s="61">
        <f t="shared" si="150"/>
        <v>99106</v>
      </c>
    </row>
    <row r="1083" spans="2:17" ht="12.75">
      <c r="B1083" s="20">
        <f t="shared" si="147"/>
        <v>467</v>
      </c>
      <c r="C1083" s="10"/>
      <c r="D1083" s="10"/>
      <c r="E1083" s="10"/>
      <c r="F1083" s="30" t="s">
        <v>158</v>
      </c>
      <c r="G1083" s="10">
        <v>620</v>
      </c>
      <c r="H1083" s="10" t="s">
        <v>124</v>
      </c>
      <c r="I1083" s="61">
        <v>36620</v>
      </c>
      <c r="J1083" s="61"/>
      <c r="K1083" s="61">
        <f t="shared" si="148"/>
        <v>36620</v>
      </c>
      <c r="L1083" s="61"/>
      <c r="M1083" s="61"/>
      <c r="N1083" s="61">
        <f t="shared" si="149"/>
        <v>0</v>
      </c>
      <c r="O1083" s="61">
        <f t="shared" si="151"/>
        <v>36620</v>
      </c>
      <c r="P1083" s="61">
        <f t="shared" si="152"/>
        <v>0</v>
      </c>
      <c r="Q1083" s="61">
        <f t="shared" si="150"/>
        <v>36620</v>
      </c>
    </row>
    <row r="1084" spans="2:17" ht="12.75">
      <c r="B1084" s="20">
        <f t="shared" si="147"/>
        <v>468</v>
      </c>
      <c r="C1084" s="10"/>
      <c r="D1084" s="10"/>
      <c r="E1084" s="10"/>
      <c r="F1084" s="30" t="s">
        <v>158</v>
      </c>
      <c r="G1084" s="10">
        <v>630</v>
      </c>
      <c r="H1084" s="10" t="s">
        <v>121</v>
      </c>
      <c r="I1084" s="61">
        <f>I1088+I1087+I1086+I1085</f>
        <v>21813</v>
      </c>
      <c r="J1084" s="61">
        <f>J1088+J1087+J1086+J1085</f>
        <v>0</v>
      </c>
      <c r="K1084" s="61">
        <f t="shared" si="148"/>
        <v>21813</v>
      </c>
      <c r="L1084" s="61"/>
      <c r="M1084" s="61"/>
      <c r="N1084" s="61">
        <f t="shared" si="149"/>
        <v>0</v>
      </c>
      <c r="O1084" s="61">
        <f t="shared" si="151"/>
        <v>21813</v>
      </c>
      <c r="P1084" s="61">
        <f t="shared" si="152"/>
        <v>0</v>
      </c>
      <c r="Q1084" s="61">
        <f t="shared" si="150"/>
        <v>21813</v>
      </c>
    </row>
    <row r="1085" spans="2:17" ht="12.75">
      <c r="B1085" s="20">
        <f t="shared" si="147"/>
        <v>469</v>
      </c>
      <c r="C1085" s="4"/>
      <c r="D1085" s="4"/>
      <c r="E1085" s="4"/>
      <c r="F1085" s="31" t="s">
        <v>158</v>
      </c>
      <c r="G1085" s="4">
        <v>632</v>
      </c>
      <c r="H1085" s="4" t="s">
        <v>134</v>
      </c>
      <c r="I1085" s="17">
        <v>14311</v>
      </c>
      <c r="J1085" s="17"/>
      <c r="K1085" s="17">
        <f t="shared" si="148"/>
        <v>14311</v>
      </c>
      <c r="L1085" s="17"/>
      <c r="M1085" s="17"/>
      <c r="N1085" s="17">
        <f t="shared" si="149"/>
        <v>0</v>
      </c>
      <c r="O1085" s="17">
        <f t="shared" si="151"/>
        <v>14311</v>
      </c>
      <c r="P1085" s="17">
        <f t="shared" si="152"/>
        <v>0</v>
      </c>
      <c r="Q1085" s="17">
        <f t="shared" si="150"/>
        <v>14311</v>
      </c>
    </row>
    <row r="1086" spans="2:17" ht="12.75">
      <c r="B1086" s="20">
        <f t="shared" si="147"/>
        <v>470</v>
      </c>
      <c r="C1086" s="4"/>
      <c r="D1086" s="4"/>
      <c r="E1086" s="4"/>
      <c r="F1086" s="31" t="s">
        <v>158</v>
      </c>
      <c r="G1086" s="4">
        <v>633</v>
      </c>
      <c r="H1086" s="4" t="s">
        <v>125</v>
      </c>
      <c r="I1086" s="17">
        <v>4430</v>
      </c>
      <c r="J1086" s="17"/>
      <c r="K1086" s="17">
        <f t="shared" si="148"/>
        <v>4430</v>
      </c>
      <c r="L1086" s="17"/>
      <c r="M1086" s="17"/>
      <c r="N1086" s="17">
        <f t="shared" si="149"/>
        <v>0</v>
      </c>
      <c r="O1086" s="17">
        <f t="shared" si="151"/>
        <v>4430</v>
      </c>
      <c r="P1086" s="17">
        <f t="shared" si="152"/>
        <v>0</v>
      </c>
      <c r="Q1086" s="17">
        <f t="shared" si="150"/>
        <v>4430</v>
      </c>
    </row>
    <row r="1087" spans="2:17" ht="12.75">
      <c r="B1087" s="20">
        <f t="shared" si="147"/>
        <v>471</v>
      </c>
      <c r="C1087" s="4"/>
      <c r="D1087" s="4"/>
      <c r="E1087" s="4"/>
      <c r="F1087" s="31" t="s">
        <v>158</v>
      </c>
      <c r="G1087" s="4">
        <v>635</v>
      </c>
      <c r="H1087" s="4" t="s">
        <v>133</v>
      </c>
      <c r="I1087" s="17">
        <v>550</v>
      </c>
      <c r="J1087" s="17"/>
      <c r="K1087" s="17">
        <f t="shared" si="148"/>
        <v>550</v>
      </c>
      <c r="L1087" s="17"/>
      <c r="M1087" s="17"/>
      <c r="N1087" s="17">
        <f t="shared" si="149"/>
        <v>0</v>
      </c>
      <c r="O1087" s="17">
        <f t="shared" si="151"/>
        <v>550</v>
      </c>
      <c r="P1087" s="17">
        <f t="shared" si="152"/>
        <v>0</v>
      </c>
      <c r="Q1087" s="17">
        <f t="shared" si="150"/>
        <v>550</v>
      </c>
    </row>
    <row r="1088" spans="2:17" ht="12.75">
      <c r="B1088" s="20">
        <f t="shared" si="147"/>
        <v>472</v>
      </c>
      <c r="C1088" s="4"/>
      <c r="D1088" s="4"/>
      <c r="E1088" s="4"/>
      <c r="F1088" s="31" t="s">
        <v>158</v>
      </c>
      <c r="G1088" s="4">
        <v>637</v>
      </c>
      <c r="H1088" s="4" t="s">
        <v>122</v>
      </c>
      <c r="I1088" s="17">
        <v>2522</v>
      </c>
      <c r="J1088" s="17"/>
      <c r="K1088" s="17">
        <f t="shared" si="148"/>
        <v>2522</v>
      </c>
      <c r="L1088" s="17"/>
      <c r="M1088" s="17"/>
      <c r="N1088" s="17">
        <f t="shared" si="149"/>
        <v>0</v>
      </c>
      <c r="O1088" s="17">
        <f t="shared" si="151"/>
        <v>2522</v>
      </c>
      <c r="P1088" s="17">
        <f t="shared" si="152"/>
        <v>0</v>
      </c>
      <c r="Q1088" s="17">
        <f t="shared" si="150"/>
        <v>2522</v>
      </c>
    </row>
    <row r="1089" spans="2:17" ht="12.75">
      <c r="B1089" s="20">
        <f t="shared" si="147"/>
        <v>473</v>
      </c>
      <c r="C1089" s="10"/>
      <c r="D1089" s="10"/>
      <c r="E1089" s="10"/>
      <c r="F1089" s="30" t="s">
        <v>158</v>
      </c>
      <c r="G1089" s="10">
        <v>640</v>
      </c>
      <c r="H1089" s="10" t="s">
        <v>129</v>
      </c>
      <c r="I1089" s="61">
        <v>453</v>
      </c>
      <c r="J1089" s="61"/>
      <c r="K1089" s="61">
        <f t="shared" si="148"/>
        <v>453</v>
      </c>
      <c r="L1089" s="61"/>
      <c r="M1089" s="61"/>
      <c r="N1089" s="61">
        <f t="shared" si="149"/>
        <v>0</v>
      </c>
      <c r="O1089" s="61">
        <f t="shared" si="151"/>
        <v>453</v>
      </c>
      <c r="P1089" s="61">
        <f t="shared" si="152"/>
        <v>0</v>
      </c>
      <c r="Q1089" s="61">
        <f t="shared" si="150"/>
        <v>453</v>
      </c>
    </row>
    <row r="1090" spans="2:17" ht="15">
      <c r="B1090" s="20">
        <f t="shared" si="147"/>
        <v>474</v>
      </c>
      <c r="C1090" s="12"/>
      <c r="D1090" s="12"/>
      <c r="E1090" s="12">
        <v>7</v>
      </c>
      <c r="F1090" s="34"/>
      <c r="G1090" s="12"/>
      <c r="H1090" s="12" t="s">
        <v>12</v>
      </c>
      <c r="I1090" s="90">
        <f>I1091+I1092+I1093+I1097</f>
        <v>171872</v>
      </c>
      <c r="J1090" s="90">
        <f>J1091+J1092+J1093+J1097</f>
        <v>0</v>
      </c>
      <c r="K1090" s="90">
        <f t="shared" si="148"/>
        <v>171872</v>
      </c>
      <c r="L1090" s="90"/>
      <c r="M1090" s="90"/>
      <c r="N1090" s="90">
        <f t="shared" si="149"/>
        <v>0</v>
      </c>
      <c r="O1090" s="90">
        <f t="shared" si="151"/>
        <v>171872</v>
      </c>
      <c r="P1090" s="90">
        <f t="shared" si="152"/>
        <v>0</v>
      </c>
      <c r="Q1090" s="90">
        <f t="shared" si="150"/>
        <v>171872</v>
      </c>
    </row>
    <row r="1091" spans="2:17" ht="12.75">
      <c r="B1091" s="20">
        <f t="shared" si="147"/>
        <v>475</v>
      </c>
      <c r="C1091" s="10"/>
      <c r="D1091" s="10"/>
      <c r="E1091" s="10"/>
      <c r="F1091" s="30" t="s">
        <v>158</v>
      </c>
      <c r="G1091" s="10">
        <v>610</v>
      </c>
      <c r="H1091" s="10" t="s">
        <v>131</v>
      </c>
      <c r="I1091" s="61">
        <v>116604</v>
      </c>
      <c r="J1091" s="61"/>
      <c r="K1091" s="61">
        <f t="shared" si="148"/>
        <v>116604</v>
      </c>
      <c r="L1091" s="61"/>
      <c r="M1091" s="61"/>
      <c r="N1091" s="61">
        <f t="shared" si="149"/>
        <v>0</v>
      </c>
      <c r="O1091" s="61">
        <f t="shared" si="151"/>
        <v>116604</v>
      </c>
      <c r="P1091" s="61">
        <f t="shared" si="152"/>
        <v>0</v>
      </c>
      <c r="Q1091" s="61">
        <f t="shared" si="150"/>
        <v>116604</v>
      </c>
    </row>
    <row r="1092" spans="2:17" ht="12.75">
      <c r="B1092" s="20">
        <f t="shared" si="147"/>
        <v>476</v>
      </c>
      <c r="C1092" s="10"/>
      <c r="D1092" s="10"/>
      <c r="E1092" s="10"/>
      <c r="F1092" s="30" t="s">
        <v>158</v>
      </c>
      <c r="G1092" s="10">
        <v>620</v>
      </c>
      <c r="H1092" s="10" t="s">
        <v>124</v>
      </c>
      <c r="I1092" s="61">
        <v>44668</v>
      </c>
      <c r="J1092" s="61"/>
      <c r="K1092" s="61">
        <f t="shared" si="148"/>
        <v>44668</v>
      </c>
      <c r="L1092" s="61"/>
      <c r="M1092" s="61"/>
      <c r="N1092" s="61">
        <f t="shared" si="149"/>
        <v>0</v>
      </c>
      <c r="O1092" s="61">
        <f t="shared" si="151"/>
        <v>44668</v>
      </c>
      <c r="P1092" s="61">
        <f t="shared" si="152"/>
        <v>0</v>
      </c>
      <c r="Q1092" s="61">
        <f t="shared" si="150"/>
        <v>44668</v>
      </c>
    </row>
    <row r="1093" spans="2:17" ht="12.75">
      <c r="B1093" s="20">
        <f t="shared" si="147"/>
        <v>477</v>
      </c>
      <c r="C1093" s="10"/>
      <c r="D1093" s="10"/>
      <c r="E1093" s="10"/>
      <c r="F1093" s="30" t="s">
        <v>158</v>
      </c>
      <c r="G1093" s="10">
        <v>630</v>
      </c>
      <c r="H1093" s="10" t="s">
        <v>121</v>
      </c>
      <c r="I1093" s="61">
        <f>I1096+I1095+I1094</f>
        <v>9700</v>
      </c>
      <c r="J1093" s="61">
        <f>J1096+J1095+J1094</f>
        <v>0</v>
      </c>
      <c r="K1093" s="61">
        <f t="shared" si="148"/>
        <v>9700</v>
      </c>
      <c r="L1093" s="61"/>
      <c r="M1093" s="61"/>
      <c r="N1093" s="61">
        <f t="shared" si="149"/>
        <v>0</v>
      </c>
      <c r="O1093" s="61">
        <f t="shared" si="151"/>
        <v>9700</v>
      </c>
      <c r="P1093" s="61">
        <f t="shared" si="152"/>
        <v>0</v>
      </c>
      <c r="Q1093" s="61">
        <f t="shared" si="150"/>
        <v>9700</v>
      </c>
    </row>
    <row r="1094" spans="2:17" ht="12.75">
      <c r="B1094" s="20">
        <f t="shared" si="147"/>
        <v>478</v>
      </c>
      <c r="C1094" s="4"/>
      <c r="D1094" s="4"/>
      <c r="E1094" s="4"/>
      <c r="F1094" s="31" t="s">
        <v>158</v>
      </c>
      <c r="G1094" s="4">
        <v>632</v>
      </c>
      <c r="H1094" s="4" t="s">
        <v>134</v>
      </c>
      <c r="I1094" s="17">
        <v>4500</v>
      </c>
      <c r="J1094" s="17"/>
      <c r="K1094" s="17">
        <f t="shared" si="148"/>
        <v>4500</v>
      </c>
      <c r="L1094" s="17"/>
      <c r="M1094" s="17"/>
      <c r="N1094" s="17">
        <f t="shared" si="149"/>
        <v>0</v>
      </c>
      <c r="O1094" s="17">
        <f t="shared" si="151"/>
        <v>4500</v>
      </c>
      <c r="P1094" s="17">
        <f t="shared" si="152"/>
        <v>0</v>
      </c>
      <c r="Q1094" s="17">
        <f t="shared" si="150"/>
        <v>4500</v>
      </c>
    </row>
    <row r="1095" spans="2:17" ht="12.75">
      <c r="B1095" s="20">
        <f t="shared" si="147"/>
        <v>479</v>
      </c>
      <c r="C1095" s="4"/>
      <c r="D1095" s="4"/>
      <c r="E1095" s="4"/>
      <c r="F1095" s="31" t="s">
        <v>158</v>
      </c>
      <c r="G1095" s="4">
        <v>633</v>
      </c>
      <c r="H1095" s="4" t="s">
        <v>125</v>
      </c>
      <c r="I1095" s="17">
        <v>2100</v>
      </c>
      <c r="J1095" s="17"/>
      <c r="K1095" s="17">
        <f t="shared" si="148"/>
        <v>2100</v>
      </c>
      <c r="L1095" s="17"/>
      <c r="M1095" s="17"/>
      <c r="N1095" s="17">
        <f t="shared" si="149"/>
        <v>0</v>
      </c>
      <c r="O1095" s="17">
        <f t="shared" si="151"/>
        <v>2100</v>
      </c>
      <c r="P1095" s="17">
        <f t="shared" si="152"/>
        <v>0</v>
      </c>
      <c r="Q1095" s="17">
        <f t="shared" si="150"/>
        <v>2100</v>
      </c>
    </row>
    <row r="1096" spans="2:17" ht="12.75">
      <c r="B1096" s="20">
        <f t="shared" si="147"/>
        <v>480</v>
      </c>
      <c r="C1096" s="4"/>
      <c r="D1096" s="4"/>
      <c r="E1096" s="4"/>
      <c r="F1096" s="31" t="s">
        <v>158</v>
      </c>
      <c r="G1096" s="4">
        <v>637</v>
      </c>
      <c r="H1096" s="4" t="s">
        <v>122</v>
      </c>
      <c r="I1096" s="17">
        <v>3100</v>
      </c>
      <c r="J1096" s="17"/>
      <c r="K1096" s="17">
        <f t="shared" si="148"/>
        <v>3100</v>
      </c>
      <c r="L1096" s="17"/>
      <c r="M1096" s="17"/>
      <c r="N1096" s="17">
        <f t="shared" si="149"/>
        <v>0</v>
      </c>
      <c r="O1096" s="17">
        <f t="shared" si="151"/>
        <v>3100</v>
      </c>
      <c r="P1096" s="17">
        <f t="shared" si="152"/>
        <v>0</v>
      </c>
      <c r="Q1096" s="17">
        <f t="shared" si="150"/>
        <v>3100</v>
      </c>
    </row>
    <row r="1097" spans="2:17" ht="12.75">
      <c r="B1097" s="20">
        <f t="shared" si="147"/>
        <v>481</v>
      </c>
      <c r="C1097" s="10"/>
      <c r="D1097" s="10"/>
      <c r="E1097" s="10"/>
      <c r="F1097" s="30" t="s">
        <v>158</v>
      </c>
      <c r="G1097" s="10">
        <v>640</v>
      </c>
      <c r="H1097" s="10" t="s">
        <v>129</v>
      </c>
      <c r="I1097" s="61">
        <v>900</v>
      </c>
      <c r="J1097" s="61"/>
      <c r="K1097" s="61">
        <f t="shared" si="148"/>
        <v>900</v>
      </c>
      <c r="L1097" s="61"/>
      <c r="M1097" s="61"/>
      <c r="N1097" s="61">
        <f t="shared" si="149"/>
        <v>0</v>
      </c>
      <c r="O1097" s="61">
        <f t="shared" si="151"/>
        <v>900</v>
      </c>
      <c r="P1097" s="61">
        <f t="shared" si="152"/>
        <v>0</v>
      </c>
      <c r="Q1097" s="61">
        <f t="shared" si="150"/>
        <v>900</v>
      </c>
    </row>
    <row r="1098" spans="2:17" ht="15">
      <c r="B1098" s="20">
        <f t="shared" si="147"/>
        <v>482</v>
      </c>
      <c r="C1098" s="12"/>
      <c r="D1098" s="12"/>
      <c r="E1098" s="12">
        <v>8</v>
      </c>
      <c r="F1098" s="34"/>
      <c r="G1098" s="12"/>
      <c r="H1098" s="12" t="s">
        <v>9</v>
      </c>
      <c r="I1098" s="90">
        <f>I1099+I1100+I1101+I1106</f>
        <v>348970</v>
      </c>
      <c r="J1098" s="90">
        <f>J1099+J1100+J1101+J1106</f>
        <v>0</v>
      </c>
      <c r="K1098" s="90">
        <f t="shared" si="148"/>
        <v>348970</v>
      </c>
      <c r="L1098" s="90"/>
      <c r="M1098" s="90"/>
      <c r="N1098" s="90">
        <f t="shared" si="149"/>
        <v>0</v>
      </c>
      <c r="O1098" s="90">
        <f t="shared" si="151"/>
        <v>348970</v>
      </c>
      <c r="P1098" s="90">
        <f t="shared" si="152"/>
        <v>0</v>
      </c>
      <c r="Q1098" s="90">
        <f t="shared" si="150"/>
        <v>348970</v>
      </c>
    </row>
    <row r="1099" spans="2:17" ht="12.75">
      <c r="B1099" s="20">
        <f t="shared" si="147"/>
        <v>483</v>
      </c>
      <c r="C1099" s="10"/>
      <c r="D1099" s="10"/>
      <c r="E1099" s="10"/>
      <c r="F1099" s="30" t="s">
        <v>158</v>
      </c>
      <c r="G1099" s="10">
        <v>610</v>
      </c>
      <c r="H1099" s="10" t="s">
        <v>131</v>
      </c>
      <c r="I1099" s="61">
        <v>226284</v>
      </c>
      <c r="J1099" s="61"/>
      <c r="K1099" s="61">
        <f t="shared" si="148"/>
        <v>226284</v>
      </c>
      <c r="L1099" s="61"/>
      <c r="M1099" s="61"/>
      <c r="N1099" s="61">
        <f t="shared" si="149"/>
        <v>0</v>
      </c>
      <c r="O1099" s="61">
        <f t="shared" si="151"/>
        <v>226284</v>
      </c>
      <c r="P1099" s="61">
        <f t="shared" si="152"/>
        <v>0</v>
      </c>
      <c r="Q1099" s="61">
        <f t="shared" si="150"/>
        <v>226284</v>
      </c>
    </row>
    <row r="1100" spans="2:17" ht="12.75">
      <c r="B1100" s="20">
        <f t="shared" si="147"/>
        <v>484</v>
      </c>
      <c r="C1100" s="10"/>
      <c r="D1100" s="10"/>
      <c r="E1100" s="10"/>
      <c r="F1100" s="30" t="s">
        <v>158</v>
      </c>
      <c r="G1100" s="10">
        <v>620</v>
      </c>
      <c r="H1100" s="10" t="s">
        <v>124</v>
      </c>
      <c r="I1100" s="61">
        <v>82036</v>
      </c>
      <c r="J1100" s="61"/>
      <c r="K1100" s="61">
        <f t="shared" si="148"/>
        <v>82036</v>
      </c>
      <c r="L1100" s="61"/>
      <c r="M1100" s="61"/>
      <c r="N1100" s="61">
        <f t="shared" si="149"/>
        <v>0</v>
      </c>
      <c r="O1100" s="61">
        <f t="shared" si="151"/>
        <v>82036</v>
      </c>
      <c r="P1100" s="61">
        <f t="shared" si="152"/>
        <v>0</v>
      </c>
      <c r="Q1100" s="61">
        <f t="shared" si="150"/>
        <v>82036</v>
      </c>
    </row>
    <row r="1101" spans="2:17" ht="12.75">
      <c r="B1101" s="20">
        <f t="shared" si="147"/>
        <v>485</v>
      </c>
      <c r="C1101" s="10"/>
      <c r="D1101" s="10"/>
      <c r="E1101" s="10"/>
      <c r="F1101" s="30" t="s">
        <v>158</v>
      </c>
      <c r="G1101" s="10">
        <v>630</v>
      </c>
      <c r="H1101" s="10" t="s">
        <v>121</v>
      </c>
      <c r="I1101" s="61">
        <f>I1105+I1104+I1103+I1102</f>
        <v>39450</v>
      </c>
      <c r="J1101" s="61">
        <f>J1105+J1104+J1103+J1102</f>
        <v>0</v>
      </c>
      <c r="K1101" s="61">
        <f t="shared" si="148"/>
        <v>39450</v>
      </c>
      <c r="L1101" s="61"/>
      <c r="M1101" s="61"/>
      <c r="N1101" s="61">
        <f t="shared" si="149"/>
        <v>0</v>
      </c>
      <c r="O1101" s="61">
        <f t="shared" si="151"/>
        <v>39450</v>
      </c>
      <c r="P1101" s="61">
        <f t="shared" si="152"/>
        <v>0</v>
      </c>
      <c r="Q1101" s="61">
        <f t="shared" si="150"/>
        <v>39450</v>
      </c>
    </row>
    <row r="1102" spans="2:17" ht="12.75">
      <c r="B1102" s="20">
        <f t="shared" si="147"/>
        <v>486</v>
      </c>
      <c r="C1102" s="4"/>
      <c r="D1102" s="4"/>
      <c r="E1102" s="4"/>
      <c r="F1102" s="31" t="s">
        <v>158</v>
      </c>
      <c r="G1102" s="4">
        <v>632</v>
      </c>
      <c r="H1102" s="4" t="s">
        <v>134</v>
      </c>
      <c r="I1102" s="17">
        <v>15600</v>
      </c>
      <c r="J1102" s="17"/>
      <c r="K1102" s="17">
        <f t="shared" si="148"/>
        <v>15600</v>
      </c>
      <c r="L1102" s="17"/>
      <c r="M1102" s="17"/>
      <c r="N1102" s="17">
        <f t="shared" si="149"/>
        <v>0</v>
      </c>
      <c r="O1102" s="17">
        <f t="shared" si="151"/>
        <v>15600</v>
      </c>
      <c r="P1102" s="17">
        <f t="shared" si="152"/>
        <v>0</v>
      </c>
      <c r="Q1102" s="17">
        <f t="shared" si="150"/>
        <v>15600</v>
      </c>
    </row>
    <row r="1103" spans="2:17" ht="12.75">
      <c r="B1103" s="20">
        <f t="shared" si="147"/>
        <v>487</v>
      </c>
      <c r="C1103" s="4"/>
      <c r="D1103" s="4"/>
      <c r="E1103" s="4"/>
      <c r="F1103" s="31" t="s">
        <v>158</v>
      </c>
      <c r="G1103" s="4">
        <v>633</v>
      </c>
      <c r="H1103" s="4" t="s">
        <v>125</v>
      </c>
      <c r="I1103" s="17">
        <v>2000</v>
      </c>
      <c r="J1103" s="17"/>
      <c r="K1103" s="17">
        <f t="shared" si="148"/>
        <v>2000</v>
      </c>
      <c r="L1103" s="17"/>
      <c r="M1103" s="17"/>
      <c r="N1103" s="17">
        <f t="shared" si="149"/>
        <v>0</v>
      </c>
      <c r="O1103" s="17">
        <f t="shared" si="151"/>
        <v>2000</v>
      </c>
      <c r="P1103" s="17">
        <f t="shared" si="152"/>
        <v>0</v>
      </c>
      <c r="Q1103" s="17">
        <f t="shared" si="150"/>
        <v>2000</v>
      </c>
    </row>
    <row r="1104" spans="2:17" ht="12.75">
      <c r="B1104" s="20">
        <f t="shared" si="147"/>
        <v>488</v>
      </c>
      <c r="C1104" s="4"/>
      <c r="D1104" s="4"/>
      <c r="E1104" s="4"/>
      <c r="F1104" s="31" t="s">
        <v>158</v>
      </c>
      <c r="G1104" s="4">
        <v>635</v>
      </c>
      <c r="H1104" s="4" t="s">
        <v>133</v>
      </c>
      <c r="I1104" s="17">
        <v>12000</v>
      </c>
      <c r="J1104" s="17"/>
      <c r="K1104" s="17">
        <f t="shared" si="148"/>
        <v>12000</v>
      </c>
      <c r="L1104" s="17"/>
      <c r="M1104" s="17"/>
      <c r="N1104" s="17">
        <f t="shared" si="149"/>
        <v>0</v>
      </c>
      <c r="O1104" s="17">
        <f t="shared" si="151"/>
        <v>12000</v>
      </c>
      <c r="P1104" s="17">
        <f t="shared" si="152"/>
        <v>0</v>
      </c>
      <c r="Q1104" s="17">
        <f t="shared" si="150"/>
        <v>12000</v>
      </c>
    </row>
    <row r="1105" spans="2:17" ht="12.75">
      <c r="B1105" s="20">
        <f t="shared" si="147"/>
        <v>489</v>
      </c>
      <c r="C1105" s="4"/>
      <c r="D1105" s="4"/>
      <c r="E1105" s="4"/>
      <c r="F1105" s="31" t="s">
        <v>158</v>
      </c>
      <c r="G1105" s="4">
        <v>637</v>
      </c>
      <c r="H1105" s="4" t="s">
        <v>122</v>
      </c>
      <c r="I1105" s="17">
        <v>9850</v>
      </c>
      <c r="J1105" s="17"/>
      <c r="K1105" s="17">
        <f t="shared" si="148"/>
        <v>9850</v>
      </c>
      <c r="L1105" s="17"/>
      <c r="M1105" s="17"/>
      <c r="N1105" s="17">
        <f t="shared" si="149"/>
        <v>0</v>
      </c>
      <c r="O1105" s="17">
        <f t="shared" si="151"/>
        <v>9850</v>
      </c>
      <c r="P1105" s="17">
        <f t="shared" si="152"/>
        <v>0</v>
      </c>
      <c r="Q1105" s="17">
        <f t="shared" si="150"/>
        <v>9850</v>
      </c>
    </row>
    <row r="1106" spans="2:17" ht="12.75">
      <c r="B1106" s="20">
        <f t="shared" si="147"/>
        <v>490</v>
      </c>
      <c r="C1106" s="10"/>
      <c r="D1106" s="10"/>
      <c r="E1106" s="10"/>
      <c r="F1106" s="30" t="s">
        <v>158</v>
      </c>
      <c r="G1106" s="10">
        <v>640</v>
      </c>
      <c r="H1106" s="10" t="s">
        <v>129</v>
      </c>
      <c r="I1106" s="61">
        <v>1200</v>
      </c>
      <c r="J1106" s="61"/>
      <c r="K1106" s="61">
        <f t="shared" si="148"/>
        <v>1200</v>
      </c>
      <c r="L1106" s="61"/>
      <c r="M1106" s="61"/>
      <c r="N1106" s="61">
        <f t="shared" si="149"/>
        <v>0</v>
      </c>
      <c r="O1106" s="61">
        <f aca="true" t="shared" si="153" ref="O1106:O1137">I1106+L1106</f>
        <v>1200</v>
      </c>
      <c r="P1106" s="61">
        <f aca="true" t="shared" si="154" ref="P1106:P1137">J1106+M1106</f>
        <v>0</v>
      </c>
      <c r="Q1106" s="61">
        <f t="shared" si="150"/>
        <v>1200</v>
      </c>
    </row>
    <row r="1107" spans="2:17" ht="15">
      <c r="B1107" s="20">
        <f t="shared" si="147"/>
        <v>491</v>
      </c>
      <c r="C1107" s="12"/>
      <c r="D1107" s="12"/>
      <c r="E1107" s="12">
        <v>9</v>
      </c>
      <c r="F1107" s="34"/>
      <c r="G1107" s="12"/>
      <c r="H1107" s="12" t="s">
        <v>7</v>
      </c>
      <c r="I1107" s="90">
        <f>I1108+I1109+I1110+I1115</f>
        <v>140050</v>
      </c>
      <c r="J1107" s="90">
        <f>J1108+J1109+J1110+J1115</f>
        <v>0</v>
      </c>
      <c r="K1107" s="90">
        <f t="shared" si="148"/>
        <v>140050</v>
      </c>
      <c r="L1107" s="90"/>
      <c r="M1107" s="90"/>
      <c r="N1107" s="90">
        <f t="shared" si="149"/>
        <v>0</v>
      </c>
      <c r="O1107" s="90">
        <f t="shared" si="153"/>
        <v>140050</v>
      </c>
      <c r="P1107" s="90">
        <f t="shared" si="154"/>
        <v>0</v>
      </c>
      <c r="Q1107" s="90">
        <f t="shared" si="150"/>
        <v>140050</v>
      </c>
    </row>
    <row r="1108" spans="2:17" ht="12.75">
      <c r="B1108" s="20">
        <f t="shared" si="147"/>
        <v>492</v>
      </c>
      <c r="C1108" s="10"/>
      <c r="D1108" s="10"/>
      <c r="E1108" s="10"/>
      <c r="F1108" s="30" t="s">
        <v>158</v>
      </c>
      <c r="G1108" s="10">
        <v>610</v>
      </c>
      <c r="H1108" s="10" t="s">
        <v>131</v>
      </c>
      <c r="I1108" s="61">
        <v>86000</v>
      </c>
      <c r="J1108" s="61"/>
      <c r="K1108" s="61">
        <f t="shared" si="148"/>
        <v>86000</v>
      </c>
      <c r="L1108" s="61"/>
      <c r="M1108" s="61"/>
      <c r="N1108" s="61">
        <f t="shared" si="149"/>
        <v>0</v>
      </c>
      <c r="O1108" s="61">
        <f t="shared" si="153"/>
        <v>86000</v>
      </c>
      <c r="P1108" s="61">
        <f t="shared" si="154"/>
        <v>0</v>
      </c>
      <c r="Q1108" s="61">
        <f t="shared" si="150"/>
        <v>86000</v>
      </c>
    </row>
    <row r="1109" spans="2:17" ht="12.75">
      <c r="B1109" s="20">
        <f t="shared" si="147"/>
        <v>493</v>
      </c>
      <c r="C1109" s="10"/>
      <c r="D1109" s="10"/>
      <c r="E1109" s="10"/>
      <c r="F1109" s="30" t="s">
        <v>158</v>
      </c>
      <c r="G1109" s="10">
        <v>620</v>
      </c>
      <c r="H1109" s="10" t="s">
        <v>124</v>
      </c>
      <c r="I1109" s="61">
        <v>31000</v>
      </c>
      <c r="J1109" s="61"/>
      <c r="K1109" s="61">
        <f t="shared" si="148"/>
        <v>31000</v>
      </c>
      <c r="L1109" s="61"/>
      <c r="M1109" s="61"/>
      <c r="N1109" s="61">
        <f t="shared" si="149"/>
        <v>0</v>
      </c>
      <c r="O1109" s="61">
        <f t="shared" si="153"/>
        <v>31000</v>
      </c>
      <c r="P1109" s="61">
        <f t="shared" si="154"/>
        <v>0</v>
      </c>
      <c r="Q1109" s="61">
        <f t="shared" si="150"/>
        <v>31000</v>
      </c>
    </row>
    <row r="1110" spans="2:17" ht="12.75">
      <c r="B1110" s="20">
        <f t="shared" si="147"/>
        <v>494</v>
      </c>
      <c r="C1110" s="10"/>
      <c r="D1110" s="10"/>
      <c r="E1110" s="10"/>
      <c r="F1110" s="30" t="s">
        <v>158</v>
      </c>
      <c r="G1110" s="10">
        <v>630</v>
      </c>
      <c r="H1110" s="10" t="s">
        <v>121</v>
      </c>
      <c r="I1110" s="61">
        <f>I1114+I1113+I1112+I1111</f>
        <v>18750</v>
      </c>
      <c r="J1110" s="61">
        <f>J1114+J1113+J1112+J1111</f>
        <v>0</v>
      </c>
      <c r="K1110" s="61">
        <f t="shared" si="148"/>
        <v>18750</v>
      </c>
      <c r="L1110" s="61"/>
      <c r="M1110" s="61"/>
      <c r="N1110" s="61">
        <f t="shared" si="149"/>
        <v>0</v>
      </c>
      <c r="O1110" s="61">
        <f t="shared" si="153"/>
        <v>18750</v>
      </c>
      <c r="P1110" s="61">
        <f t="shared" si="154"/>
        <v>0</v>
      </c>
      <c r="Q1110" s="61">
        <f t="shared" si="150"/>
        <v>18750</v>
      </c>
    </row>
    <row r="1111" spans="2:17" ht="12.75">
      <c r="B1111" s="20">
        <f t="shared" si="147"/>
        <v>495</v>
      </c>
      <c r="C1111" s="4"/>
      <c r="D1111" s="4"/>
      <c r="E1111" s="4"/>
      <c r="F1111" s="31" t="s">
        <v>158</v>
      </c>
      <c r="G1111" s="4">
        <v>632</v>
      </c>
      <c r="H1111" s="4" t="s">
        <v>134</v>
      </c>
      <c r="I1111" s="17">
        <v>2220</v>
      </c>
      <c r="J1111" s="17"/>
      <c r="K1111" s="17">
        <f t="shared" si="148"/>
        <v>2220</v>
      </c>
      <c r="L1111" s="17"/>
      <c r="M1111" s="17"/>
      <c r="N1111" s="17">
        <f t="shared" si="149"/>
        <v>0</v>
      </c>
      <c r="O1111" s="17">
        <f t="shared" si="153"/>
        <v>2220</v>
      </c>
      <c r="P1111" s="17">
        <f t="shared" si="154"/>
        <v>0</v>
      </c>
      <c r="Q1111" s="17">
        <f t="shared" si="150"/>
        <v>2220</v>
      </c>
    </row>
    <row r="1112" spans="2:17" ht="12.75">
      <c r="B1112" s="20">
        <f t="shared" si="147"/>
        <v>496</v>
      </c>
      <c r="C1112" s="4"/>
      <c r="D1112" s="4"/>
      <c r="E1112" s="4"/>
      <c r="F1112" s="31" t="s">
        <v>158</v>
      </c>
      <c r="G1112" s="4">
        <v>633</v>
      </c>
      <c r="H1112" s="4" t="s">
        <v>125</v>
      </c>
      <c r="I1112" s="17">
        <v>2430</v>
      </c>
      <c r="J1112" s="17"/>
      <c r="K1112" s="17">
        <f t="shared" si="148"/>
        <v>2430</v>
      </c>
      <c r="L1112" s="17"/>
      <c r="M1112" s="17"/>
      <c r="N1112" s="17">
        <f t="shared" si="149"/>
        <v>0</v>
      </c>
      <c r="O1112" s="17">
        <f t="shared" si="153"/>
        <v>2430</v>
      </c>
      <c r="P1112" s="17">
        <f t="shared" si="154"/>
        <v>0</v>
      </c>
      <c r="Q1112" s="17">
        <f t="shared" si="150"/>
        <v>2430</v>
      </c>
    </row>
    <row r="1113" spans="2:17" ht="12.75">
      <c r="B1113" s="20">
        <f t="shared" si="147"/>
        <v>497</v>
      </c>
      <c r="C1113" s="4"/>
      <c r="D1113" s="4"/>
      <c r="E1113" s="4"/>
      <c r="F1113" s="31" t="s">
        <v>158</v>
      </c>
      <c r="G1113" s="4">
        <v>635</v>
      </c>
      <c r="H1113" s="4" t="s">
        <v>133</v>
      </c>
      <c r="I1113" s="17">
        <v>1000</v>
      </c>
      <c r="J1113" s="17"/>
      <c r="K1113" s="17">
        <f t="shared" si="148"/>
        <v>1000</v>
      </c>
      <c r="L1113" s="17"/>
      <c r="M1113" s="17"/>
      <c r="N1113" s="17">
        <f t="shared" si="149"/>
        <v>0</v>
      </c>
      <c r="O1113" s="17">
        <f t="shared" si="153"/>
        <v>1000</v>
      </c>
      <c r="P1113" s="17">
        <f t="shared" si="154"/>
        <v>0</v>
      </c>
      <c r="Q1113" s="17">
        <f t="shared" si="150"/>
        <v>1000</v>
      </c>
    </row>
    <row r="1114" spans="2:17" ht="12.75">
      <c r="B1114" s="20">
        <f t="shared" si="147"/>
        <v>498</v>
      </c>
      <c r="C1114" s="4"/>
      <c r="D1114" s="4"/>
      <c r="E1114" s="4"/>
      <c r="F1114" s="31" t="s">
        <v>158</v>
      </c>
      <c r="G1114" s="4">
        <v>637</v>
      </c>
      <c r="H1114" s="4" t="s">
        <v>122</v>
      </c>
      <c r="I1114" s="17">
        <v>13100</v>
      </c>
      <c r="J1114" s="17"/>
      <c r="K1114" s="17">
        <f t="shared" si="148"/>
        <v>13100</v>
      </c>
      <c r="L1114" s="17"/>
      <c r="M1114" s="17"/>
      <c r="N1114" s="17">
        <f t="shared" si="149"/>
        <v>0</v>
      </c>
      <c r="O1114" s="17">
        <f t="shared" si="153"/>
        <v>13100</v>
      </c>
      <c r="P1114" s="17">
        <f t="shared" si="154"/>
        <v>0</v>
      </c>
      <c r="Q1114" s="17">
        <f t="shared" si="150"/>
        <v>13100</v>
      </c>
    </row>
    <row r="1115" spans="2:17" ht="12.75">
      <c r="B1115" s="20">
        <f t="shared" si="147"/>
        <v>499</v>
      </c>
      <c r="C1115" s="10"/>
      <c r="D1115" s="10"/>
      <c r="E1115" s="10"/>
      <c r="F1115" s="30" t="s">
        <v>158</v>
      </c>
      <c r="G1115" s="10">
        <v>640</v>
      </c>
      <c r="H1115" s="10" t="s">
        <v>129</v>
      </c>
      <c r="I1115" s="61">
        <v>4300</v>
      </c>
      <c r="J1115" s="61"/>
      <c r="K1115" s="61">
        <f t="shared" si="148"/>
        <v>4300</v>
      </c>
      <c r="L1115" s="61"/>
      <c r="M1115" s="61"/>
      <c r="N1115" s="61">
        <f t="shared" si="149"/>
        <v>0</v>
      </c>
      <c r="O1115" s="61">
        <f t="shared" si="153"/>
        <v>4300</v>
      </c>
      <c r="P1115" s="61">
        <f t="shared" si="154"/>
        <v>0</v>
      </c>
      <c r="Q1115" s="61">
        <f t="shared" si="150"/>
        <v>4300</v>
      </c>
    </row>
    <row r="1116" spans="2:17" ht="15">
      <c r="B1116" s="20">
        <f t="shared" si="147"/>
        <v>500</v>
      </c>
      <c r="C1116" s="12"/>
      <c r="D1116" s="12"/>
      <c r="E1116" s="12">
        <v>10</v>
      </c>
      <c r="F1116" s="34"/>
      <c r="G1116" s="12"/>
      <c r="H1116" s="12" t="s">
        <v>2</v>
      </c>
      <c r="I1116" s="90">
        <f>I1117+I1118+I1119+I1124</f>
        <v>123467</v>
      </c>
      <c r="J1116" s="90">
        <f>J1117+J1118+J1119+J1124</f>
        <v>0</v>
      </c>
      <c r="K1116" s="90">
        <f t="shared" si="148"/>
        <v>123467</v>
      </c>
      <c r="L1116" s="90"/>
      <c r="M1116" s="90"/>
      <c r="N1116" s="90">
        <f t="shared" si="149"/>
        <v>0</v>
      </c>
      <c r="O1116" s="90">
        <f t="shared" si="153"/>
        <v>123467</v>
      </c>
      <c r="P1116" s="90">
        <f t="shared" si="154"/>
        <v>0</v>
      </c>
      <c r="Q1116" s="90">
        <f t="shared" si="150"/>
        <v>123467</v>
      </c>
    </row>
    <row r="1117" spans="2:17" ht="12.75">
      <c r="B1117" s="20">
        <f t="shared" si="147"/>
        <v>501</v>
      </c>
      <c r="C1117" s="10"/>
      <c r="D1117" s="10"/>
      <c r="E1117" s="10"/>
      <c r="F1117" s="30" t="s">
        <v>158</v>
      </c>
      <c r="G1117" s="10">
        <v>610</v>
      </c>
      <c r="H1117" s="10" t="s">
        <v>131</v>
      </c>
      <c r="I1117" s="61">
        <v>68848</v>
      </c>
      <c r="J1117" s="61"/>
      <c r="K1117" s="61">
        <f t="shared" si="148"/>
        <v>68848</v>
      </c>
      <c r="L1117" s="61"/>
      <c r="M1117" s="61"/>
      <c r="N1117" s="61">
        <f t="shared" si="149"/>
        <v>0</v>
      </c>
      <c r="O1117" s="61">
        <f t="shared" si="153"/>
        <v>68848</v>
      </c>
      <c r="P1117" s="61">
        <f t="shared" si="154"/>
        <v>0</v>
      </c>
      <c r="Q1117" s="61">
        <f t="shared" si="150"/>
        <v>68848</v>
      </c>
    </row>
    <row r="1118" spans="2:17" ht="12.75">
      <c r="B1118" s="20">
        <f t="shared" si="147"/>
        <v>502</v>
      </c>
      <c r="C1118" s="10"/>
      <c r="D1118" s="10"/>
      <c r="E1118" s="10"/>
      <c r="F1118" s="30" t="s">
        <v>158</v>
      </c>
      <c r="G1118" s="10">
        <v>620</v>
      </c>
      <c r="H1118" s="10" t="s">
        <v>124</v>
      </c>
      <c r="I1118" s="61">
        <v>24296</v>
      </c>
      <c r="J1118" s="61"/>
      <c r="K1118" s="61">
        <f t="shared" si="148"/>
        <v>24296</v>
      </c>
      <c r="L1118" s="61"/>
      <c r="M1118" s="61"/>
      <c r="N1118" s="61">
        <f t="shared" si="149"/>
        <v>0</v>
      </c>
      <c r="O1118" s="61">
        <f t="shared" si="153"/>
        <v>24296</v>
      </c>
      <c r="P1118" s="61">
        <f t="shared" si="154"/>
        <v>0</v>
      </c>
      <c r="Q1118" s="61">
        <f t="shared" si="150"/>
        <v>24296</v>
      </c>
    </row>
    <row r="1119" spans="2:17" ht="12.75">
      <c r="B1119" s="20">
        <f t="shared" si="147"/>
        <v>503</v>
      </c>
      <c r="C1119" s="10"/>
      <c r="D1119" s="10"/>
      <c r="E1119" s="10"/>
      <c r="F1119" s="30" t="s">
        <v>158</v>
      </c>
      <c r="G1119" s="10">
        <v>630</v>
      </c>
      <c r="H1119" s="10" t="s">
        <v>121</v>
      </c>
      <c r="I1119" s="61">
        <f>I1123+I1122+I1121+I1120</f>
        <v>27700</v>
      </c>
      <c r="J1119" s="61">
        <f>J1123+J1122+J1121+J1120</f>
        <v>0</v>
      </c>
      <c r="K1119" s="61">
        <f t="shared" si="148"/>
        <v>27700</v>
      </c>
      <c r="L1119" s="61"/>
      <c r="M1119" s="61"/>
      <c r="N1119" s="61">
        <f t="shared" si="149"/>
        <v>0</v>
      </c>
      <c r="O1119" s="61">
        <f t="shared" si="153"/>
        <v>27700</v>
      </c>
      <c r="P1119" s="61">
        <f t="shared" si="154"/>
        <v>0</v>
      </c>
      <c r="Q1119" s="61">
        <f t="shared" si="150"/>
        <v>27700</v>
      </c>
    </row>
    <row r="1120" spans="2:17" ht="12.75">
      <c r="B1120" s="20">
        <f t="shared" si="147"/>
        <v>504</v>
      </c>
      <c r="C1120" s="4"/>
      <c r="D1120" s="4"/>
      <c r="E1120" s="4"/>
      <c r="F1120" s="31" t="s">
        <v>158</v>
      </c>
      <c r="G1120" s="4">
        <v>632</v>
      </c>
      <c r="H1120" s="4" t="s">
        <v>134</v>
      </c>
      <c r="I1120" s="17">
        <v>4000</v>
      </c>
      <c r="J1120" s="17"/>
      <c r="K1120" s="17">
        <f t="shared" si="148"/>
        <v>4000</v>
      </c>
      <c r="L1120" s="17"/>
      <c r="M1120" s="17"/>
      <c r="N1120" s="17">
        <f t="shared" si="149"/>
        <v>0</v>
      </c>
      <c r="O1120" s="17">
        <f t="shared" si="153"/>
        <v>4000</v>
      </c>
      <c r="P1120" s="17">
        <f t="shared" si="154"/>
        <v>0</v>
      </c>
      <c r="Q1120" s="17">
        <f t="shared" si="150"/>
        <v>4000</v>
      </c>
    </row>
    <row r="1121" spans="2:17" ht="12.75">
      <c r="B1121" s="20">
        <f t="shared" si="147"/>
        <v>505</v>
      </c>
      <c r="C1121" s="4"/>
      <c r="D1121" s="4"/>
      <c r="E1121" s="4"/>
      <c r="F1121" s="31" t="s">
        <v>158</v>
      </c>
      <c r="G1121" s="4">
        <v>633</v>
      </c>
      <c r="H1121" s="4" t="s">
        <v>125</v>
      </c>
      <c r="I1121" s="17">
        <f>8500+500</f>
        <v>9000</v>
      </c>
      <c r="J1121" s="17"/>
      <c r="K1121" s="17">
        <f t="shared" si="148"/>
        <v>9000</v>
      </c>
      <c r="L1121" s="17"/>
      <c r="M1121" s="17"/>
      <c r="N1121" s="17">
        <f t="shared" si="149"/>
        <v>0</v>
      </c>
      <c r="O1121" s="17">
        <f t="shared" si="153"/>
        <v>9000</v>
      </c>
      <c r="P1121" s="17">
        <f t="shared" si="154"/>
        <v>0</v>
      </c>
      <c r="Q1121" s="17">
        <f t="shared" si="150"/>
        <v>9000</v>
      </c>
    </row>
    <row r="1122" spans="2:17" ht="12.75">
      <c r="B1122" s="20">
        <f aca="true" t="shared" si="155" ref="B1122:B1185">B1121+1</f>
        <v>506</v>
      </c>
      <c r="C1122" s="4"/>
      <c r="D1122" s="4"/>
      <c r="E1122" s="4"/>
      <c r="F1122" s="31" t="s">
        <v>158</v>
      </c>
      <c r="G1122" s="4">
        <v>635</v>
      </c>
      <c r="H1122" s="4" t="s">
        <v>133</v>
      </c>
      <c r="I1122" s="17">
        <v>9000</v>
      </c>
      <c r="J1122" s="17"/>
      <c r="K1122" s="17">
        <f t="shared" si="148"/>
        <v>9000</v>
      </c>
      <c r="L1122" s="17"/>
      <c r="M1122" s="17"/>
      <c r="N1122" s="17">
        <f t="shared" si="149"/>
        <v>0</v>
      </c>
      <c r="O1122" s="17">
        <f t="shared" si="153"/>
        <v>9000</v>
      </c>
      <c r="P1122" s="17">
        <f t="shared" si="154"/>
        <v>0</v>
      </c>
      <c r="Q1122" s="17">
        <f t="shared" si="150"/>
        <v>9000</v>
      </c>
    </row>
    <row r="1123" spans="2:17" ht="12.75">
      <c r="B1123" s="20">
        <f t="shared" si="155"/>
        <v>507</v>
      </c>
      <c r="C1123" s="4"/>
      <c r="D1123" s="4"/>
      <c r="E1123" s="4"/>
      <c r="F1123" s="31" t="s">
        <v>158</v>
      </c>
      <c r="G1123" s="4">
        <v>637</v>
      </c>
      <c r="H1123" s="4" t="s">
        <v>122</v>
      </c>
      <c r="I1123" s="17">
        <v>5700</v>
      </c>
      <c r="J1123" s="17"/>
      <c r="K1123" s="17">
        <f t="shared" si="148"/>
        <v>5700</v>
      </c>
      <c r="L1123" s="17"/>
      <c r="M1123" s="17"/>
      <c r="N1123" s="17">
        <f t="shared" si="149"/>
        <v>0</v>
      </c>
      <c r="O1123" s="17">
        <f t="shared" si="153"/>
        <v>5700</v>
      </c>
      <c r="P1123" s="17">
        <f t="shared" si="154"/>
        <v>0</v>
      </c>
      <c r="Q1123" s="17">
        <f t="shared" si="150"/>
        <v>5700</v>
      </c>
    </row>
    <row r="1124" spans="2:17" ht="12.75">
      <c r="B1124" s="20">
        <f t="shared" si="155"/>
        <v>508</v>
      </c>
      <c r="C1124" s="10"/>
      <c r="D1124" s="10"/>
      <c r="E1124" s="10"/>
      <c r="F1124" s="30" t="s">
        <v>158</v>
      </c>
      <c r="G1124" s="10">
        <v>640</v>
      </c>
      <c r="H1124" s="10" t="s">
        <v>129</v>
      </c>
      <c r="I1124" s="61">
        <v>2623</v>
      </c>
      <c r="J1124" s="61"/>
      <c r="K1124" s="61">
        <f t="shared" si="148"/>
        <v>2623</v>
      </c>
      <c r="L1124" s="61"/>
      <c r="M1124" s="61"/>
      <c r="N1124" s="61">
        <f t="shared" si="149"/>
        <v>0</v>
      </c>
      <c r="O1124" s="61">
        <f t="shared" si="153"/>
        <v>2623</v>
      </c>
      <c r="P1124" s="61">
        <f t="shared" si="154"/>
        <v>0</v>
      </c>
      <c r="Q1124" s="61">
        <f t="shared" si="150"/>
        <v>2623</v>
      </c>
    </row>
    <row r="1125" spans="2:17" ht="15">
      <c r="B1125" s="20">
        <f t="shared" si="155"/>
        <v>509</v>
      </c>
      <c r="C1125" s="12"/>
      <c r="D1125" s="12"/>
      <c r="E1125" s="12">
        <v>11</v>
      </c>
      <c r="F1125" s="34"/>
      <c r="G1125" s="12"/>
      <c r="H1125" s="12" t="s">
        <v>10</v>
      </c>
      <c r="I1125" s="90">
        <f>I1126+I1127+I1128+I1132</f>
        <v>211255</v>
      </c>
      <c r="J1125" s="90">
        <f>J1126+J1127+J1128+J1132</f>
        <v>0</v>
      </c>
      <c r="K1125" s="90">
        <f t="shared" si="148"/>
        <v>211255</v>
      </c>
      <c r="L1125" s="90"/>
      <c r="M1125" s="90"/>
      <c r="N1125" s="90">
        <f t="shared" si="149"/>
        <v>0</v>
      </c>
      <c r="O1125" s="90">
        <f t="shared" si="153"/>
        <v>211255</v>
      </c>
      <c r="P1125" s="90">
        <f t="shared" si="154"/>
        <v>0</v>
      </c>
      <c r="Q1125" s="90">
        <f t="shared" si="150"/>
        <v>211255</v>
      </c>
    </row>
    <row r="1126" spans="2:17" ht="12.75">
      <c r="B1126" s="20">
        <f t="shared" si="155"/>
        <v>510</v>
      </c>
      <c r="C1126" s="10"/>
      <c r="D1126" s="10"/>
      <c r="E1126" s="10"/>
      <c r="F1126" s="30" t="s">
        <v>158</v>
      </c>
      <c r="G1126" s="10">
        <v>610</v>
      </c>
      <c r="H1126" s="10" t="s">
        <v>131</v>
      </c>
      <c r="I1126" s="61">
        <v>142251</v>
      </c>
      <c r="J1126" s="61"/>
      <c r="K1126" s="61">
        <f t="shared" si="148"/>
        <v>142251</v>
      </c>
      <c r="L1126" s="61"/>
      <c r="M1126" s="61"/>
      <c r="N1126" s="61">
        <f t="shared" si="149"/>
        <v>0</v>
      </c>
      <c r="O1126" s="61">
        <f t="shared" si="153"/>
        <v>142251</v>
      </c>
      <c r="P1126" s="61">
        <f t="shared" si="154"/>
        <v>0</v>
      </c>
      <c r="Q1126" s="61">
        <f t="shared" si="150"/>
        <v>142251</v>
      </c>
    </row>
    <row r="1127" spans="2:17" ht="12.75">
      <c r="B1127" s="20">
        <f t="shared" si="155"/>
        <v>511</v>
      </c>
      <c r="C1127" s="10"/>
      <c r="D1127" s="10"/>
      <c r="E1127" s="10"/>
      <c r="F1127" s="30" t="s">
        <v>158</v>
      </c>
      <c r="G1127" s="10">
        <v>620</v>
      </c>
      <c r="H1127" s="10" t="s">
        <v>124</v>
      </c>
      <c r="I1127" s="61">
        <v>48404</v>
      </c>
      <c r="J1127" s="61"/>
      <c r="K1127" s="61">
        <f t="shared" si="148"/>
        <v>48404</v>
      </c>
      <c r="L1127" s="61"/>
      <c r="M1127" s="61"/>
      <c r="N1127" s="61">
        <f t="shared" si="149"/>
        <v>0</v>
      </c>
      <c r="O1127" s="61">
        <f t="shared" si="153"/>
        <v>48404</v>
      </c>
      <c r="P1127" s="61">
        <f t="shared" si="154"/>
        <v>0</v>
      </c>
      <c r="Q1127" s="61">
        <f t="shared" si="150"/>
        <v>48404</v>
      </c>
    </row>
    <row r="1128" spans="2:17" ht="12.75">
      <c r="B1128" s="20">
        <f t="shared" si="155"/>
        <v>512</v>
      </c>
      <c r="C1128" s="10"/>
      <c r="D1128" s="10"/>
      <c r="E1128" s="10"/>
      <c r="F1128" s="30" t="s">
        <v>158</v>
      </c>
      <c r="G1128" s="10">
        <v>630</v>
      </c>
      <c r="H1128" s="10" t="s">
        <v>121</v>
      </c>
      <c r="I1128" s="61">
        <f>I1131+I1130+I1129</f>
        <v>19800</v>
      </c>
      <c r="J1128" s="61">
        <f>J1131+J1130+J1129</f>
        <v>0</v>
      </c>
      <c r="K1128" s="61">
        <f aca="true" t="shared" si="156" ref="K1128:K1191">J1128+I1128</f>
        <v>19800</v>
      </c>
      <c r="L1128" s="61"/>
      <c r="M1128" s="61"/>
      <c r="N1128" s="61">
        <f aca="true" t="shared" si="157" ref="N1128:N1191">M1128+L1128</f>
        <v>0</v>
      </c>
      <c r="O1128" s="61">
        <f t="shared" si="153"/>
        <v>19800</v>
      </c>
      <c r="P1128" s="61">
        <f t="shared" si="154"/>
        <v>0</v>
      </c>
      <c r="Q1128" s="61">
        <f aca="true" t="shared" si="158" ref="Q1128:Q1171">O1128+P1128</f>
        <v>19800</v>
      </c>
    </row>
    <row r="1129" spans="2:17" ht="12.75">
      <c r="B1129" s="20">
        <f t="shared" si="155"/>
        <v>513</v>
      </c>
      <c r="C1129" s="4"/>
      <c r="D1129" s="4"/>
      <c r="E1129" s="4"/>
      <c r="F1129" s="31" t="s">
        <v>158</v>
      </c>
      <c r="G1129" s="4">
        <v>632</v>
      </c>
      <c r="H1129" s="4" t="s">
        <v>134</v>
      </c>
      <c r="I1129" s="17">
        <v>9820</v>
      </c>
      <c r="J1129" s="17"/>
      <c r="K1129" s="17">
        <f t="shared" si="156"/>
        <v>9820</v>
      </c>
      <c r="L1129" s="17"/>
      <c r="M1129" s="17"/>
      <c r="N1129" s="17">
        <f t="shared" si="157"/>
        <v>0</v>
      </c>
      <c r="O1129" s="17">
        <f t="shared" si="153"/>
        <v>9820</v>
      </c>
      <c r="P1129" s="17">
        <f t="shared" si="154"/>
        <v>0</v>
      </c>
      <c r="Q1129" s="17">
        <f t="shared" si="158"/>
        <v>9820</v>
      </c>
    </row>
    <row r="1130" spans="2:17" ht="12.75">
      <c r="B1130" s="20">
        <f t="shared" si="155"/>
        <v>514</v>
      </c>
      <c r="C1130" s="4"/>
      <c r="D1130" s="4"/>
      <c r="E1130" s="4"/>
      <c r="F1130" s="31" t="s">
        <v>158</v>
      </c>
      <c r="G1130" s="4">
        <v>633</v>
      </c>
      <c r="H1130" s="4" t="s">
        <v>125</v>
      </c>
      <c r="I1130" s="17">
        <v>6200</v>
      </c>
      <c r="J1130" s="17"/>
      <c r="K1130" s="17">
        <f t="shared" si="156"/>
        <v>6200</v>
      </c>
      <c r="L1130" s="17"/>
      <c r="M1130" s="17"/>
      <c r="N1130" s="17">
        <f t="shared" si="157"/>
        <v>0</v>
      </c>
      <c r="O1130" s="17">
        <f t="shared" si="153"/>
        <v>6200</v>
      </c>
      <c r="P1130" s="17">
        <f t="shared" si="154"/>
        <v>0</v>
      </c>
      <c r="Q1130" s="17">
        <f t="shared" si="158"/>
        <v>6200</v>
      </c>
    </row>
    <row r="1131" spans="2:17" ht="12.75">
      <c r="B1131" s="20">
        <f t="shared" si="155"/>
        <v>515</v>
      </c>
      <c r="C1131" s="4"/>
      <c r="D1131" s="4"/>
      <c r="E1131" s="4"/>
      <c r="F1131" s="31" t="s">
        <v>158</v>
      </c>
      <c r="G1131" s="4">
        <v>637</v>
      </c>
      <c r="H1131" s="4" t="s">
        <v>122</v>
      </c>
      <c r="I1131" s="17">
        <v>3780</v>
      </c>
      <c r="J1131" s="17"/>
      <c r="K1131" s="17">
        <f t="shared" si="156"/>
        <v>3780</v>
      </c>
      <c r="L1131" s="17"/>
      <c r="M1131" s="17"/>
      <c r="N1131" s="17">
        <f t="shared" si="157"/>
        <v>0</v>
      </c>
      <c r="O1131" s="17">
        <f t="shared" si="153"/>
        <v>3780</v>
      </c>
      <c r="P1131" s="17">
        <f t="shared" si="154"/>
        <v>0</v>
      </c>
      <c r="Q1131" s="17">
        <f t="shared" si="158"/>
        <v>3780</v>
      </c>
    </row>
    <row r="1132" spans="2:17" ht="12.75">
      <c r="B1132" s="20">
        <f t="shared" si="155"/>
        <v>516</v>
      </c>
      <c r="C1132" s="10"/>
      <c r="D1132" s="10"/>
      <c r="E1132" s="10"/>
      <c r="F1132" s="30" t="s">
        <v>158</v>
      </c>
      <c r="G1132" s="10">
        <v>640</v>
      </c>
      <c r="H1132" s="10" t="s">
        <v>129</v>
      </c>
      <c r="I1132" s="61">
        <v>800</v>
      </c>
      <c r="J1132" s="61"/>
      <c r="K1132" s="61">
        <f t="shared" si="156"/>
        <v>800</v>
      </c>
      <c r="L1132" s="61"/>
      <c r="M1132" s="61"/>
      <c r="N1132" s="61">
        <f t="shared" si="157"/>
        <v>0</v>
      </c>
      <c r="O1132" s="61">
        <f t="shared" si="153"/>
        <v>800</v>
      </c>
      <c r="P1132" s="61">
        <f t="shared" si="154"/>
        <v>0</v>
      </c>
      <c r="Q1132" s="61">
        <f t="shared" si="158"/>
        <v>800</v>
      </c>
    </row>
    <row r="1133" spans="2:17" ht="15">
      <c r="B1133" s="20">
        <f t="shared" si="155"/>
        <v>517</v>
      </c>
      <c r="C1133" s="12"/>
      <c r="D1133" s="12"/>
      <c r="E1133" s="12">
        <v>12</v>
      </c>
      <c r="F1133" s="34"/>
      <c r="G1133" s="12"/>
      <c r="H1133" s="12" t="s">
        <v>8</v>
      </c>
      <c r="I1133" s="90">
        <f>I1134+I1135+I1136+I1141</f>
        <v>208856</v>
      </c>
      <c r="J1133" s="90">
        <f>J1134+J1135+J1136+J1141</f>
        <v>0</v>
      </c>
      <c r="K1133" s="90">
        <f t="shared" si="156"/>
        <v>208856</v>
      </c>
      <c r="L1133" s="90"/>
      <c r="M1133" s="90"/>
      <c r="N1133" s="90">
        <f t="shared" si="157"/>
        <v>0</v>
      </c>
      <c r="O1133" s="90">
        <f t="shared" si="153"/>
        <v>208856</v>
      </c>
      <c r="P1133" s="90">
        <f t="shared" si="154"/>
        <v>0</v>
      </c>
      <c r="Q1133" s="90">
        <f t="shared" si="158"/>
        <v>208856</v>
      </c>
    </row>
    <row r="1134" spans="2:17" ht="12.75">
      <c r="B1134" s="20">
        <f t="shared" si="155"/>
        <v>518</v>
      </c>
      <c r="C1134" s="10"/>
      <c r="D1134" s="10"/>
      <c r="E1134" s="10"/>
      <c r="F1134" s="30" t="s">
        <v>158</v>
      </c>
      <c r="G1134" s="10">
        <v>610</v>
      </c>
      <c r="H1134" s="10" t="s">
        <v>131</v>
      </c>
      <c r="I1134" s="61">
        <v>137154</v>
      </c>
      <c r="J1134" s="61"/>
      <c r="K1134" s="61">
        <f t="shared" si="156"/>
        <v>137154</v>
      </c>
      <c r="L1134" s="61"/>
      <c r="M1134" s="61"/>
      <c r="N1134" s="61">
        <f t="shared" si="157"/>
        <v>0</v>
      </c>
      <c r="O1134" s="61">
        <f t="shared" si="153"/>
        <v>137154</v>
      </c>
      <c r="P1134" s="61">
        <f t="shared" si="154"/>
        <v>0</v>
      </c>
      <c r="Q1134" s="61">
        <f t="shared" si="158"/>
        <v>137154</v>
      </c>
    </row>
    <row r="1135" spans="2:17" ht="12.75">
      <c r="B1135" s="20">
        <f t="shared" si="155"/>
        <v>519</v>
      </c>
      <c r="C1135" s="10"/>
      <c r="D1135" s="10"/>
      <c r="E1135" s="10"/>
      <c r="F1135" s="30" t="s">
        <v>158</v>
      </c>
      <c r="G1135" s="10">
        <v>620</v>
      </c>
      <c r="H1135" s="10" t="s">
        <v>124</v>
      </c>
      <c r="I1135" s="61">
        <v>49552</v>
      </c>
      <c r="J1135" s="61"/>
      <c r="K1135" s="61">
        <f t="shared" si="156"/>
        <v>49552</v>
      </c>
      <c r="L1135" s="61"/>
      <c r="M1135" s="61"/>
      <c r="N1135" s="61">
        <f t="shared" si="157"/>
        <v>0</v>
      </c>
      <c r="O1135" s="61">
        <f t="shared" si="153"/>
        <v>49552</v>
      </c>
      <c r="P1135" s="61">
        <f t="shared" si="154"/>
        <v>0</v>
      </c>
      <c r="Q1135" s="61">
        <f t="shared" si="158"/>
        <v>49552</v>
      </c>
    </row>
    <row r="1136" spans="2:17" ht="12.75">
      <c r="B1136" s="20">
        <f t="shared" si="155"/>
        <v>520</v>
      </c>
      <c r="C1136" s="10"/>
      <c r="D1136" s="10"/>
      <c r="E1136" s="10"/>
      <c r="F1136" s="30" t="s">
        <v>158</v>
      </c>
      <c r="G1136" s="10">
        <v>630</v>
      </c>
      <c r="H1136" s="10" t="s">
        <v>121</v>
      </c>
      <c r="I1136" s="61">
        <f>I1140+I1139+I1138+I1137</f>
        <v>20950</v>
      </c>
      <c r="J1136" s="61">
        <f>J1140+J1139+J1138+J1137</f>
        <v>0</v>
      </c>
      <c r="K1136" s="61">
        <f t="shared" si="156"/>
        <v>20950</v>
      </c>
      <c r="L1136" s="61"/>
      <c r="M1136" s="61"/>
      <c r="N1136" s="61">
        <f t="shared" si="157"/>
        <v>0</v>
      </c>
      <c r="O1136" s="61">
        <f t="shared" si="153"/>
        <v>20950</v>
      </c>
      <c r="P1136" s="61">
        <f t="shared" si="154"/>
        <v>0</v>
      </c>
      <c r="Q1136" s="61">
        <f t="shared" si="158"/>
        <v>20950</v>
      </c>
    </row>
    <row r="1137" spans="2:17" ht="12.75">
      <c r="B1137" s="20">
        <f t="shared" si="155"/>
        <v>521</v>
      </c>
      <c r="C1137" s="4"/>
      <c r="D1137" s="4"/>
      <c r="E1137" s="4"/>
      <c r="F1137" s="31" t="s">
        <v>158</v>
      </c>
      <c r="G1137" s="4">
        <v>631</v>
      </c>
      <c r="H1137" s="4" t="s">
        <v>127</v>
      </c>
      <c r="I1137" s="17">
        <v>50</v>
      </c>
      <c r="J1137" s="17"/>
      <c r="K1137" s="17">
        <f t="shared" si="156"/>
        <v>50</v>
      </c>
      <c r="L1137" s="17"/>
      <c r="M1137" s="17"/>
      <c r="N1137" s="17">
        <f t="shared" si="157"/>
        <v>0</v>
      </c>
      <c r="O1137" s="17">
        <f t="shared" si="153"/>
        <v>50</v>
      </c>
      <c r="P1137" s="17">
        <f t="shared" si="154"/>
        <v>0</v>
      </c>
      <c r="Q1137" s="17">
        <f t="shared" si="158"/>
        <v>50</v>
      </c>
    </row>
    <row r="1138" spans="2:17" ht="12.75">
      <c r="B1138" s="20">
        <f t="shared" si="155"/>
        <v>522</v>
      </c>
      <c r="C1138" s="4"/>
      <c r="D1138" s="4"/>
      <c r="E1138" s="4"/>
      <c r="F1138" s="31" t="s">
        <v>158</v>
      </c>
      <c r="G1138" s="4">
        <v>632</v>
      </c>
      <c r="H1138" s="4" t="s">
        <v>134</v>
      </c>
      <c r="I1138" s="17">
        <v>7400</v>
      </c>
      <c r="J1138" s="17"/>
      <c r="K1138" s="17">
        <f t="shared" si="156"/>
        <v>7400</v>
      </c>
      <c r="L1138" s="17"/>
      <c r="M1138" s="17"/>
      <c r="N1138" s="17">
        <f t="shared" si="157"/>
        <v>0</v>
      </c>
      <c r="O1138" s="17">
        <f aca="true" t="shared" si="159" ref="O1138:O1171">I1138+L1138</f>
        <v>7400</v>
      </c>
      <c r="P1138" s="17">
        <f aca="true" t="shared" si="160" ref="P1138:P1171">J1138+M1138</f>
        <v>0</v>
      </c>
      <c r="Q1138" s="17">
        <f t="shared" si="158"/>
        <v>7400</v>
      </c>
    </row>
    <row r="1139" spans="2:17" ht="12.75">
      <c r="B1139" s="20">
        <f t="shared" si="155"/>
        <v>523</v>
      </c>
      <c r="C1139" s="4"/>
      <c r="D1139" s="4"/>
      <c r="E1139" s="4"/>
      <c r="F1139" s="31" t="s">
        <v>158</v>
      </c>
      <c r="G1139" s="4">
        <v>633</v>
      </c>
      <c r="H1139" s="4" t="s">
        <v>125</v>
      </c>
      <c r="I1139" s="17">
        <v>10050</v>
      </c>
      <c r="J1139" s="17"/>
      <c r="K1139" s="17">
        <f t="shared" si="156"/>
        <v>10050</v>
      </c>
      <c r="L1139" s="17"/>
      <c r="M1139" s="17"/>
      <c r="N1139" s="17">
        <f t="shared" si="157"/>
        <v>0</v>
      </c>
      <c r="O1139" s="17">
        <f t="shared" si="159"/>
        <v>10050</v>
      </c>
      <c r="P1139" s="17">
        <f t="shared" si="160"/>
        <v>0</v>
      </c>
      <c r="Q1139" s="17">
        <f t="shared" si="158"/>
        <v>10050</v>
      </c>
    </row>
    <row r="1140" spans="2:17" ht="12.75">
      <c r="B1140" s="20">
        <f t="shared" si="155"/>
        <v>524</v>
      </c>
      <c r="C1140" s="4"/>
      <c r="D1140" s="4"/>
      <c r="E1140" s="4"/>
      <c r="F1140" s="31" t="s">
        <v>158</v>
      </c>
      <c r="G1140" s="4">
        <v>637</v>
      </c>
      <c r="H1140" s="4" t="s">
        <v>122</v>
      </c>
      <c r="I1140" s="17">
        <v>3450</v>
      </c>
      <c r="J1140" s="17"/>
      <c r="K1140" s="17">
        <f t="shared" si="156"/>
        <v>3450</v>
      </c>
      <c r="L1140" s="17"/>
      <c r="M1140" s="17"/>
      <c r="N1140" s="17">
        <f t="shared" si="157"/>
        <v>0</v>
      </c>
      <c r="O1140" s="17">
        <f t="shared" si="159"/>
        <v>3450</v>
      </c>
      <c r="P1140" s="17">
        <f t="shared" si="160"/>
        <v>0</v>
      </c>
      <c r="Q1140" s="17">
        <f t="shared" si="158"/>
        <v>3450</v>
      </c>
    </row>
    <row r="1141" spans="2:17" ht="12.75">
      <c r="B1141" s="20">
        <f t="shared" si="155"/>
        <v>525</v>
      </c>
      <c r="C1141" s="4"/>
      <c r="D1141" s="4"/>
      <c r="E1141" s="4"/>
      <c r="F1141" s="30" t="s">
        <v>158</v>
      </c>
      <c r="G1141" s="10">
        <v>640</v>
      </c>
      <c r="H1141" s="10" t="s">
        <v>129</v>
      </c>
      <c r="I1141" s="61">
        <v>1200</v>
      </c>
      <c r="J1141" s="61"/>
      <c r="K1141" s="61">
        <f t="shared" si="156"/>
        <v>1200</v>
      </c>
      <c r="L1141" s="61"/>
      <c r="M1141" s="61"/>
      <c r="N1141" s="61">
        <f t="shared" si="157"/>
        <v>0</v>
      </c>
      <c r="O1141" s="61">
        <f t="shared" si="159"/>
        <v>1200</v>
      </c>
      <c r="P1141" s="61">
        <f t="shared" si="160"/>
        <v>0</v>
      </c>
      <c r="Q1141" s="61">
        <f t="shared" si="158"/>
        <v>1200</v>
      </c>
    </row>
    <row r="1142" spans="2:17" ht="15">
      <c r="B1142" s="20">
        <f t="shared" si="155"/>
        <v>526</v>
      </c>
      <c r="C1142" s="12"/>
      <c r="D1142" s="12"/>
      <c r="E1142" s="12">
        <v>13</v>
      </c>
      <c r="F1142" s="34"/>
      <c r="G1142" s="12"/>
      <c r="H1142" s="12" t="s">
        <v>17</v>
      </c>
      <c r="I1142" s="90">
        <f>I1143+I1144+I1145+I1150</f>
        <v>63700</v>
      </c>
      <c r="J1142" s="90">
        <f>J1143+J1144+J1145+J1150</f>
        <v>0</v>
      </c>
      <c r="K1142" s="90">
        <f t="shared" si="156"/>
        <v>63700</v>
      </c>
      <c r="L1142" s="90"/>
      <c r="M1142" s="90"/>
      <c r="N1142" s="90">
        <f t="shared" si="157"/>
        <v>0</v>
      </c>
      <c r="O1142" s="90">
        <f t="shared" si="159"/>
        <v>63700</v>
      </c>
      <c r="P1142" s="90">
        <f t="shared" si="160"/>
        <v>0</v>
      </c>
      <c r="Q1142" s="90">
        <f t="shared" si="158"/>
        <v>63700</v>
      </c>
    </row>
    <row r="1143" spans="2:17" ht="12.75">
      <c r="B1143" s="20">
        <f t="shared" si="155"/>
        <v>527</v>
      </c>
      <c r="C1143" s="10"/>
      <c r="D1143" s="10"/>
      <c r="E1143" s="10"/>
      <c r="F1143" s="30" t="s">
        <v>158</v>
      </c>
      <c r="G1143" s="10">
        <v>610</v>
      </c>
      <c r="H1143" s="10" t="s">
        <v>131</v>
      </c>
      <c r="I1143" s="61">
        <v>39655</v>
      </c>
      <c r="J1143" s="61"/>
      <c r="K1143" s="61">
        <f t="shared" si="156"/>
        <v>39655</v>
      </c>
      <c r="L1143" s="61"/>
      <c r="M1143" s="61"/>
      <c r="N1143" s="61">
        <f t="shared" si="157"/>
        <v>0</v>
      </c>
      <c r="O1143" s="61">
        <f t="shared" si="159"/>
        <v>39655</v>
      </c>
      <c r="P1143" s="61">
        <f t="shared" si="160"/>
        <v>0</v>
      </c>
      <c r="Q1143" s="61">
        <f t="shared" si="158"/>
        <v>39655</v>
      </c>
    </row>
    <row r="1144" spans="2:17" ht="12.75">
      <c r="B1144" s="20">
        <f t="shared" si="155"/>
        <v>528</v>
      </c>
      <c r="C1144" s="10"/>
      <c r="D1144" s="10"/>
      <c r="E1144" s="10"/>
      <c r="F1144" s="30" t="s">
        <v>158</v>
      </c>
      <c r="G1144" s="10">
        <v>620</v>
      </c>
      <c r="H1144" s="10" t="s">
        <v>124</v>
      </c>
      <c r="I1144" s="61">
        <v>13845</v>
      </c>
      <c r="J1144" s="61"/>
      <c r="K1144" s="61">
        <f t="shared" si="156"/>
        <v>13845</v>
      </c>
      <c r="L1144" s="61"/>
      <c r="M1144" s="61"/>
      <c r="N1144" s="61">
        <f t="shared" si="157"/>
        <v>0</v>
      </c>
      <c r="O1144" s="61">
        <f t="shared" si="159"/>
        <v>13845</v>
      </c>
      <c r="P1144" s="61">
        <f t="shared" si="160"/>
        <v>0</v>
      </c>
      <c r="Q1144" s="61">
        <f t="shared" si="158"/>
        <v>13845</v>
      </c>
    </row>
    <row r="1145" spans="2:17" ht="12.75">
      <c r="B1145" s="20">
        <f t="shared" si="155"/>
        <v>529</v>
      </c>
      <c r="C1145" s="10"/>
      <c r="D1145" s="10"/>
      <c r="E1145" s="10"/>
      <c r="F1145" s="30" t="s">
        <v>158</v>
      </c>
      <c r="G1145" s="10">
        <v>630</v>
      </c>
      <c r="H1145" s="10" t="s">
        <v>121</v>
      </c>
      <c r="I1145" s="61">
        <f>I1149+I1148+I1147+I1146</f>
        <v>10100</v>
      </c>
      <c r="J1145" s="61">
        <f>J1149+J1148+J1147+J1146</f>
        <v>0</v>
      </c>
      <c r="K1145" s="61">
        <f t="shared" si="156"/>
        <v>10100</v>
      </c>
      <c r="L1145" s="61"/>
      <c r="M1145" s="61"/>
      <c r="N1145" s="61">
        <f t="shared" si="157"/>
        <v>0</v>
      </c>
      <c r="O1145" s="61">
        <f t="shared" si="159"/>
        <v>10100</v>
      </c>
      <c r="P1145" s="61">
        <f t="shared" si="160"/>
        <v>0</v>
      </c>
      <c r="Q1145" s="61">
        <f t="shared" si="158"/>
        <v>10100</v>
      </c>
    </row>
    <row r="1146" spans="2:17" ht="12.75">
      <c r="B1146" s="20">
        <f t="shared" si="155"/>
        <v>530</v>
      </c>
      <c r="C1146" s="4"/>
      <c r="D1146" s="4"/>
      <c r="E1146" s="4"/>
      <c r="F1146" s="31" t="s">
        <v>158</v>
      </c>
      <c r="G1146" s="4">
        <v>632</v>
      </c>
      <c r="H1146" s="4" t="s">
        <v>134</v>
      </c>
      <c r="I1146" s="17">
        <v>5000</v>
      </c>
      <c r="J1146" s="17"/>
      <c r="K1146" s="17">
        <f t="shared" si="156"/>
        <v>5000</v>
      </c>
      <c r="L1146" s="17"/>
      <c r="M1146" s="17"/>
      <c r="N1146" s="17">
        <f t="shared" si="157"/>
        <v>0</v>
      </c>
      <c r="O1146" s="17">
        <f t="shared" si="159"/>
        <v>5000</v>
      </c>
      <c r="P1146" s="17">
        <f t="shared" si="160"/>
        <v>0</v>
      </c>
      <c r="Q1146" s="17">
        <f t="shared" si="158"/>
        <v>5000</v>
      </c>
    </row>
    <row r="1147" spans="2:17" ht="12.75">
      <c r="B1147" s="20">
        <f t="shared" si="155"/>
        <v>531</v>
      </c>
      <c r="C1147" s="4"/>
      <c r="D1147" s="4"/>
      <c r="E1147" s="4"/>
      <c r="F1147" s="31" t="s">
        <v>158</v>
      </c>
      <c r="G1147" s="4">
        <v>633</v>
      </c>
      <c r="H1147" s="4" t="s">
        <v>125</v>
      </c>
      <c r="I1147" s="17">
        <v>400</v>
      </c>
      <c r="J1147" s="17"/>
      <c r="K1147" s="17">
        <f t="shared" si="156"/>
        <v>400</v>
      </c>
      <c r="L1147" s="17"/>
      <c r="M1147" s="17"/>
      <c r="N1147" s="17">
        <f t="shared" si="157"/>
        <v>0</v>
      </c>
      <c r="O1147" s="17">
        <f t="shared" si="159"/>
        <v>400</v>
      </c>
      <c r="P1147" s="17">
        <f t="shared" si="160"/>
        <v>0</v>
      </c>
      <c r="Q1147" s="17">
        <f t="shared" si="158"/>
        <v>400</v>
      </c>
    </row>
    <row r="1148" spans="2:17" ht="12.75">
      <c r="B1148" s="20">
        <f t="shared" si="155"/>
        <v>532</v>
      </c>
      <c r="C1148" s="4"/>
      <c r="D1148" s="4"/>
      <c r="E1148" s="4"/>
      <c r="F1148" s="31" t="s">
        <v>158</v>
      </c>
      <c r="G1148" s="4">
        <v>635</v>
      </c>
      <c r="H1148" s="4" t="s">
        <v>133</v>
      </c>
      <c r="I1148" s="17">
        <v>3700</v>
      </c>
      <c r="J1148" s="17"/>
      <c r="K1148" s="17">
        <f t="shared" si="156"/>
        <v>3700</v>
      </c>
      <c r="L1148" s="17"/>
      <c r="M1148" s="17"/>
      <c r="N1148" s="17">
        <f t="shared" si="157"/>
        <v>0</v>
      </c>
      <c r="O1148" s="17">
        <f t="shared" si="159"/>
        <v>3700</v>
      </c>
      <c r="P1148" s="17">
        <f t="shared" si="160"/>
        <v>0</v>
      </c>
      <c r="Q1148" s="17">
        <f t="shared" si="158"/>
        <v>3700</v>
      </c>
    </row>
    <row r="1149" spans="2:17" ht="12.75">
      <c r="B1149" s="20">
        <f t="shared" si="155"/>
        <v>533</v>
      </c>
      <c r="C1149" s="4"/>
      <c r="D1149" s="4"/>
      <c r="E1149" s="4"/>
      <c r="F1149" s="31" t="s">
        <v>158</v>
      </c>
      <c r="G1149" s="4">
        <v>637</v>
      </c>
      <c r="H1149" s="4" t="s">
        <v>122</v>
      </c>
      <c r="I1149" s="17">
        <v>1000</v>
      </c>
      <c r="J1149" s="17"/>
      <c r="K1149" s="17">
        <f t="shared" si="156"/>
        <v>1000</v>
      </c>
      <c r="L1149" s="17"/>
      <c r="M1149" s="17"/>
      <c r="N1149" s="17">
        <f t="shared" si="157"/>
        <v>0</v>
      </c>
      <c r="O1149" s="17">
        <f t="shared" si="159"/>
        <v>1000</v>
      </c>
      <c r="P1149" s="17">
        <f t="shared" si="160"/>
        <v>0</v>
      </c>
      <c r="Q1149" s="17">
        <f t="shared" si="158"/>
        <v>1000</v>
      </c>
    </row>
    <row r="1150" spans="2:17" ht="12.75">
      <c r="B1150" s="20">
        <f t="shared" si="155"/>
        <v>534</v>
      </c>
      <c r="C1150" s="10"/>
      <c r="D1150" s="10"/>
      <c r="E1150" s="10"/>
      <c r="F1150" s="30" t="s">
        <v>158</v>
      </c>
      <c r="G1150" s="10">
        <v>640</v>
      </c>
      <c r="H1150" s="10" t="s">
        <v>129</v>
      </c>
      <c r="I1150" s="61">
        <v>100</v>
      </c>
      <c r="J1150" s="61"/>
      <c r="K1150" s="61">
        <f t="shared" si="156"/>
        <v>100</v>
      </c>
      <c r="L1150" s="61"/>
      <c r="M1150" s="61"/>
      <c r="N1150" s="61">
        <f t="shared" si="157"/>
        <v>0</v>
      </c>
      <c r="O1150" s="61">
        <f t="shared" si="159"/>
        <v>100</v>
      </c>
      <c r="P1150" s="61">
        <f t="shared" si="160"/>
        <v>0</v>
      </c>
      <c r="Q1150" s="61">
        <f t="shared" si="158"/>
        <v>100</v>
      </c>
    </row>
    <row r="1151" spans="2:17" ht="15">
      <c r="B1151" s="20">
        <f t="shared" si="155"/>
        <v>535</v>
      </c>
      <c r="C1151" s="12"/>
      <c r="D1151" s="12"/>
      <c r="E1151" s="12">
        <v>14</v>
      </c>
      <c r="F1151" s="34"/>
      <c r="G1151" s="12"/>
      <c r="H1151" s="12" t="s">
        <v>3</v>
      </c>
      <c r="I1151" s="90">
        <f>I1152+I1153+I1154+I1162</f>
        <v>1267940</v>
      </c>
      <c r="J1151" s="90">
        <f>J1152+J1153+J1154+J1162</f>
        <v>0</v>
      </c>
      <c r="K1151" s="90">
        <f t="shared" si="156"/>
        <v>1267940</v>
      </c>
      <c r="L1151" s="90"/>
      <c r="M1151" s="90"/>
      <c r="N1151" s="90">
        <f t="shared" si="157"/>
        <v>0</v>
      </c>
      <c r="O1151" s="90">
        <f t="shared" si="159"/>
        <v>1267940</v>
      </c>
      <c r="P1151" s="90">
        <f t="shared" si="160"/>
        <v>0</v>
      </c>
      <c r="Q1151" s="90">
        <f t="shared" si="158"/>
        <v>1267940</v>
      </c>
    </row>
    <row r="1152" spans="2:17" ht="12.75">
      <c r="B1152" s="20">
        <f t="shared" si="155"/>
        <v>536</v>
      </c>
      <c r="C1152" s="10"/>
      <c r="D1152" s="10"/>
      <c r="E1152" s="10"/>
      <c r="F1152" s="30" t="s">
        <v>158</v>
      </c>
      <c r="G1152" s="10">
        <v>610</v>
      </c>
      <c r="H1152" s="10" t="s">
        <v>131</v>
      </c>
      <c r="I1152" s="61">
        <f>846458+50</f>
        <v>846508</v>
      </c>
      <c r="J1152" s="61"/>
      <c r="K1152" s="61">
        <f t="shared" si="156"/>
        <v>846508</v>
      </c>
      <c r="L1152" s="61"/>
      <c r="M1152" s="61"/>
      <c r="N1152" s="61">
        <f t="shared" si="157"/>
        <v>0</v>
      </c>
      <c r="O1152" s="61">
        <f t="shared" si="159"/>
        <v>846508</v>
      </c>
      <c r="P1152" s="61">
        <f t="shared" si="160"/>
        <v>0</v>
      </c>
      <c r="Q1152" s="61">
        <f t="shared" si="158"/>
        <v>846508</v>
      </c>
    </row>
    <row r="1153" spans="2:17" ht="12.75">
      <c r="B1153" s="20">
        <f t="shared" si="155"/>
        <v>537</v>
      </c>
      <c r="C1153" s="10"/>
      <c r="D1153" s="10"/>
      <c r="E1153" s="10"/>
      <c r="F1153" s="30" t="s">
        <v>158</v>
      </c>
      <c r="G1153" s="10">
        <v>620</v>
      </c>
      <c r="H1153" s="10" t="s">
        <v>124</v>
      </c>
      <c r="I1153" s="61">
        <f>277837+18+489</f>
        <v>278344</v>
      </c>
      <c r="J1153" s="61">
        <v>-245</v>
      </c>
      <c r="K1153" s="61">
        <f t="shared" si="156"/>
        <v>278099</v>
      </c>
      <c r="L1153" s="61"/>
      <c r="M1153" s="61"/>
      <c r="N1153" s="61">
        <f t="shared" si="157"/>
        <v>0</v>
      </c>
      <c r="O1153" s="61">
        <f t="shared" si="159"/>
        <v>278344</v>
      </c>
      <c r="P1153" s="61">
        <f t="shared" si="160"/>
        <v>-245</v>
      </c>
      <c r="Q1153" s="61">
        <f t="shared" si="158"/>
        <v>278099</v>
      </c>
    </row>
    <row r="1154" spans="2:17" ht="12.75">
      <c r="B1154" s="20">
        <f t="shared" si="155"/>
        <v>538</v>
      </c>
      <c r="C1154" s="10"/>
      <c r="D1154" s="10"/>
      <c r="E1154" s="10"/>
      <c r="F1154" s="30" t="s">
        <v>158</v>
      </c>
      <c r="G1154" s="10">
        <v>630</v>
      </c>
      <c r="H1154" s="10" t="s">
        <v>121</v>
      </c>
      <c r="I1154" s="61">
        <f>SUM(I1155:I1161)</f>
        <v>131497</v>
      </c>
      <c r="J1154" s="61">
        <f>SUM(J1155:J1161)</f>
        <v>245</v>
      </c>
      <c r="K1154" s="61">
        <f t="shared" si="156"/>
        <v>131742</v>
      </c>
      <c r="L1154" s="61"/>
      <c r="M1154" s="61"/>
      <c r="N1154" s="61">
        <f t="shared" si="157"/>
        <v>0</v>
      </c>
      <c r="O1154" s="61">
        <f t="shared" si="159"/>
        <v>131497</v>
      </c>
      <c r="P1154" s="61">
        <f t="shared" si="160"/>
        <v>245</v>
      </c>
      <c r="Q1154" s="61">
        <f t="shared" si="158"/>
        <v>131742</v>
      </c>
    </row>
    <row r="1155" spans="2:17" ht="12.75">
      <c r="B1155" s="20">
        <f t="shared" si="155"/>
        <v>539</v>
      </c>
      <c r="C1155" s="4"/>
      <c r="D1155" s="4"/>
      <c r="E1155" s="4"/>
      <c r="F1155" s="31" t="s">
        <v>158</v>
      </c>
      <c r="G1155" s="4">
        <v>631</v>
      </c>
      <c r="H1155" s="4" t="s">
        <v>127</v>
      </c>
      <c r="I1155" s="17">
        <v>400</v>
      </c>
      <c r="J1155" s="17"/>
      <c r="K1155" s="17">
        <f t="shared" si="156"/>
        <v>400</v>
      </c>
      <c r="L1155" s="17"/>
      <c r="M1155" s="17"/>
      <c r="N1155" s="17">
        <f t="shared" si="157"/>
        <v>0</v>
      </c>
      <c r="O1155" s="17">
        <f t="shared" si="159"/>
        <v>400</v>
      </c>
      <c r="P1155" s="17">
        <f t="shared" si="160"/>
        <v>0</v>
      </c>
      <c r="Q1155" s="17">
        <f t="shared" si="158"/>
        <v>400</v>
      </c>
    </row>
    <row r="1156" spans="2:17" ht="12.75">
      <c r="B1156" s="20">
        <f t="shared" si="155"/>
        <v>540</v>
      </c>
      <c r="C1156" s="4"/>
      <c r="D1156" s="4"/>
      <c r="E1156" s="4"/>
      <c r="F1156" s="31" t="s">
        <v>158</v>
      </c>
      <c r="G1156" s="4">
        <v>632</v>
      </c>
      <c r="H1156" s="4" t="s">
        <v>134</v>
      </c>
      <c r="I1156" s="17">
        <v>37100</v>
      </c>
      <c r="J1156" s="17"/>
      <c r="K1156" s="17">
        <f t="shared" si="156"/>
        <v>37100</v>
      </c>
      <c r="L1156" s="17"/>
      <c r="M1156" s="17"/>
      <c r="N1156" s="17">
        <f t="shared" si="157"/>
        <v>0</v>
      </c>
      <c r="O1156" s="17">
        <f t="shared" si="159"/>
        <v>37100</v>
      </c>
      <c r="P1156" s="17">
        <f t="shared" si="160"/>
        <v>0</v>
      </c>
      <c r="Q1156" s="17">
        <f t="shared" si="158"/>
        <v>37100</v>
      </c>
    </row>
    <row r="1157" spans="2:17" ht="12.75">
      <c r="B1157" s="20">
        <f t="shared" si="155"/>
        <v>541</v>
      </c>
      <c r="C1157" s="4"/>
      <c r="D1157" s="4"/>
      <c r="E1157" s="4"/>
      <c r="F1157" s="31" t="s">
        <v>158</v>
      </c>
      <c r="G1157" s="4">
        <v>633</v>
      </c>
      <c r="H1157" s="4" t="s">
        <v>125</v>
      </c>
      <c r="I1157" s="17">
        <f>11000+1637</f>
        <v>12637</v>
      </c>
      <c r="J1157" s="17">
        <v>7245</v>
      </c>
      <c r="K1157" s="17">
        <f t="shared" si="156"/>
        <v>19882</v>
      </c>
      <c r="L1157" s="17"/>
      <c r="M1157" s="17"/>
      <c r="N1157" s="17">
        <f t="shared" si="157"/>
        <v>0</v>
      </c>
      <c r="O1157" s="17">
        <f t="shared" si="159"/>
        <v>12637</v>
      </c>
      <c r="P1157" s="17">
        <f t="shared" si="160"/>
        <v>7245</v>
      </c>
      <c r="Q1157" s="17">
        <f t="shared" si="158"/>
        <v>19882</v>
      </c>
    </row>
    <row r="1158" spans="2:17" ht="12.75">
      <c r="B1158" s="20">
        <f t="shared" si="155"/>
        <v>542</v>
      </c>
      <c r="C1158" s="4"/>
      <c r="D1158" s="4"/>
      <c r="E1158" s="4"/>
      <c r="F1158" s="31" t="s">
        <v>158</v>
      </c>
      <c r="G1158" s="4">
        <v>635</v>
      </c>
      <c r="H1158" s="4" t="s">
        <v>133</v>
      </c>
      <c r="I1158" s="17">
        <v>18100</v>
      </c>
      <c r="J1158" s="17">
        <v>-10000</v>
      </c>
      <c r="K1158" s="17">
        <f t="shared" si="156"/>
        <v>8100</v>
      </c>
      <c r="L1158" s="17"/>
      <c r="M1158" s="17"/>
      <c r="N1158" s="17">
        <f t="shared" si="157"/>
        <v>0</v>
      </c>
      <c r="O1158" s="17">
        <f t="shared" si="159"/>
        <v>18100</v>
      </c>
      <c r="P1158" s="17">
        <f t="shared" si="160"/>
        <v>-10000</v>
      </c>
      <c r="Q1158" s="17">
        <f t="shared" si="158"/>
        <v>8100</v>
      </c>
    </row>
    <row r="1159" spans="2:17" ht="12.75">
      <c r="B1159" s="20">
        <f t="shared" si="155"/>
        <v>543</v>
      </c>
      <c r="C1159" s="4"/>
      <c r="D1159" s="4"/>
      <c r="E1159" s="4"/>
      <c r="F1159" s="31" t="s">
        <v>158</v>
      </c>
      <c r="G1159" s="4">
        <v>636</v>
      </c>
      <c r="H1159" s="4" t="s">
        <v>126</v>
      </c>
      <c r="I1159" s="17">
        <v>1400</v>
      </c>
      <c r="J1159" s="17"/>
      <c r="K1159" s="17">
        <f t="shared" si="156"/>
        <v>1400</v>
      </c>
      <c r="L1159" s="17"/>
      <c r="M1159" s="17"/>
      <c r="N1159" s="17">
        <f t="shared" si="157"/>
        <v>0</v>
      </c>
      <c r="O1159" s="17">
        <f t="shared" si="159"/>
        <v>1400</v>
      </c>
      <c r="P1159" s="17">
        <f t="shared" si="160"/>
        <v>0</v>
      </c>
      <c r="Q1159" s="17">
        <f t="shared" si="158"/>
        <v>1400</v>
      </c>
    </row>
    <row r="1160" spans="2:17" ht="12.75">
      <c r="B1160" s="20">
        <f t="shared" si="155"/>
        <v>544</v>
      </c>
      <c r="C1160" s="4"/>
      <c r="D1160" s="4"/>
      <c r="E1160" s="4"/>
      <c r="F1160" s="31" t="s">
        <v>158</v>
      </c>
      <c r="G1160" s="4">
        <v>637</v>
      </c>
      <c r="H1160" s="4" t="s">
        <v>122</v>
      </c>
      <c r="I1160" s="17">
        <f>46730+2130</f>
        <v>48860</v>
      </c>
      <c r="J1160" s="17">
        <v>3000</v>
      </c>
      <c r="K1160" s="17">
        <f t="shared" si="156"/>
        <v>51860</v>
      </c>
      <c r="L1160" s="17"/>
      <c r="M1160" s="17"/>
      <c r="N1160" s="17">
        <f t="shared" si="157"/>
        <v>0</v>
      </c>
      <c r="O1160" s="17">
        <f t="shared" si="159"/>
        <v>48860</v>
      </c>
      <c r="P1160" s="17">
        <f t="shared" si="160"/>
        <v>3000</v>
      </c>
      <c r="Q1160" s="17">
        <f t="shared" si="158"/>
        <v>51860</v>
      </c>
    </row>
    <row r="1161" spans="2:17" ht="12.75">
      <c r="B1161" s="20">
        <f t="shared" si="155"/>
        <v>545</v>
      </c>
      <c r="C1161" s="4"/>
      <c r="D1161" s="4"/>
      <c r="E1161" s="4"/>
      <c r="F1161" s="33" t="s">
        <v>158</v>
      </c>
      <c r="G1161" s="4">
        <v>637</v>
      </c>
      <c r="H1161" s="24" t="s">
        <v>290</v>
      </c>
      <c r="I1161" s="17">
        <v>13000</v>
      </c>
      <c r="J1161" s="17"/>
      <c r="K1161" s="17">
        <f t="shared" si="156"/>
        <v>13000</v>
      </c>
      <c r="L1161" s="17"/>
      <c r="M1161" s="17"/>
      <c r="N1161" s="17">
        <f t="shared" si="157"/>
        <v>0</v>
      </c>
      <c r="O1161" s="17">
        <f t="shared" si="159"/>
        <v>13000</v>
      </c>
      <c r="P1161" s="17">
        <f t="shared" si="160"/>
        <v>0</v>
      </c>
      <c r="Q1161" s="17">
        <f t="shared" si="158"/>
        <v>13000</v>
      </c>
    </row>
    <row r="1162" spans="2:17" ht="12.75">
      <c r="B1162" s="20">
        <f t="shared" si="155"/>
        <v>546</v>
      </c>
      <c r="C1162" s="10"/>
      <c r="D1162" s="10"/>
      <c r="E1162" s="10"/>
      <c r="F1162" s="30" t="s">
        <v>158</v>
      </c>
      <c r="G1162" s="10">
        <v>640</v>
      </c>
      <c r="H1162" s="10" t="s">
        <v>129</v>
      </c>
      <c r="I1162" s="61">
        <f>6210+5381</f>
        <v>11591</v>
      </c>
      <c r="J1162" s="61"/>
      <c r="K1162" s="61">
        <f t="shared" si="156"/>
        <v>11591</v>
      </c>
      <c r="L1162" s="61"/>
      <c r="M1162" s="61"/>
      <c r="N1162" s="61">
        <f t="shared" si="157"/>
        <v>0</v>
      </c>
      <c r="O1162" s="61">
        <f t="shared" si="159"/>
        <v>11591</v>
      </c>
      <c r="P1162" s="61">
        <f t="shared" si="160"/>
        <v>0</v>
      </c>
      <c r="Q1162" s="61">
        <f t="shared" si="158"/>
        <v>11591</v>
      </c>
    </row>
    <row r="1163" spans="2:17" ht="15">
      <c r="B1163" s="20">
        <f t="shared" si="155"/>
        <v>547</v>
      </c>
      <c r="C1163" s="7">
        <v>4</v>
      </c>
      <c r="D1163" s="232" t="s">
        <v>161</v>
      </c>
      <c r="E1163" s="233"/>
      <c r="F1163" s="233"/>
      <c r="G1163" s="233"/>
      <c r="H1163" s="234"/>
      <c r="I1163" s="87">
        <f>I1164+I1173+I1174+I1288+I1308+I1328+I1331+I1354+I1375+I1394+I1416</f>
        <v>3572401</v>
      </c>
      <c r="J1163" s="87">
        <f>J1164+J1173+J1174+J1288+J1308+J1328+J1331+J1354+J1375+J1394+J1416</f>
        <v>5347</v>
      </c>
      <c r="K1163" s="87">
        <f t="shared" si="156"/>
        <v>3577748</v>
      </c>
      <c r="L1163" s="87">
        <f>L1164+L1174+L1288+L1308+L1331+L1354+L1375+L1394+L1416</f>
        <v>15388</v>
      </c>
      <c r="M1163" s="87">
        <f>M1164+M1174+M1288+M1308+M1331+M1354+M1375+M1394+M1416</f>
        <v>14153</v>
      </c>
      <c r="N1163" s="87">
        <f t="shared" si="157"/>
        <v>29541</v>
      </c>
      <c r="O1163" s="87">
        <f t="shared" si="159"/>
        <v>3587789</v>
      </c>
      <c r="P1163" s="87">
        <f t="shared" si="160"/>
        <v>19500</v>
      </c>
      <c r="Q1163" s="87">
        <f t="shared" si="158"/>
        <v>3607289</v>
      </c>
    </row>
    <row r="1164" spans="2:17" ht="12.75">
      <c r="B1164" s="20">
        <f t="shared" si="155"/>
        <v>548</v>
      </c>
      <c r="C1164" s="10"/>
      <c r="D1164" s="10"/>
      <c r="E1164" s="10"/>
      <c r="F1164" s="30" t="s">
        <v>160</v>
      </c>
      <c r="G1164" s="10">
        <v>640</v>
      </c>
      <c r="H1164" s="10" t="s">
        <v>129</v>
      </c>
      <c r="I1164" s="61">
        <f>I1165</f>
        <v>203998</v>
      </c>
      <c r="J1164" s="61">
        <f>J1165</f>
        <v>0</v>
      </c>
      <c r="K1164" s="61">
        <f t="shared" si="156"/>
        <v>203998</v>
      </c>
      <c r="L1164" s="61"/>
      <c r="M1164" s="61"/>
      <c r="N1164" s="61">
        <f t="shared" si="157"/>
        <v>0</v>
      </c>
      <c r="O1164" s="61">
        <f t="shared" si="159"/>
        <v>203998</v>
      </c>
      <c r="P1164" s="61">
        <f t="shared" si="160"/>
        <v>0</v>
      </c>
      <c r="Q1164" s="61">
        <f t="shared" si="158"/>
        <v>203998</v>
      </c>
    </row>
    <row r="1165" spans="2:17" ht="12.75">
      <c r="B1165" s="20">
        <f t="shared" si="155"/>
        <v>549</v>
      </c>
      <c r="C1165" s="4"/>
      <c r="D1165" s="4"/>
      <c r="E1165" s="4"/>
      <c r="F1165" s="31" t="s">
        <v>160</v>
      </c>
      <c r="G1165" s="4">
        <v>642</v>
      </c>
      <c r="H1165" s="4" t="s">
        <v>130</v>
      </c>
      <c r="I1165" s="17">
        <f>I1171+I1170+I1168+I1167+I1166+I1169</f>
        <v>203998</v>
      </c>
      <c r="J1165" s="17">
        <f>J1171+J1170+J1168+J1167+J1166+J1169</f>
        <v>0</v>
      </c>
      <c r="K1165" s="17">
        <f t="shared" si="156"/>
        <v>203998</v>
      </c>
      <c r="L1165" s="17"/>
      <c r="M1165" s="17"/>
      <c r="N1165" s="17">
        <f t="shared" si="157"/>
        <v>0</v>
      </c>
      <c r="O1165" s="17">
        <f t="shared" si="159"/>
        <v>203998</v>
      </c>
      <c r="P1165" s="17">
        <f t="shared" si="160"/>
        <v>0</v>
      </c>
      <c r="Q1165" s="17">
        <f t="shared" si="158"/>
        <v>203998</v>
      </c>
    </row>
    <row r="1166" spans="2:17" ht="12.75">
      <c r="B1166" s="20">
        <f t="shared" si="155"/>
        <v>550</v>
      </c>
      <c r="C1166" s="5"/>
      <c r="D1166" s="5"/>
      <c r="E1166" s="5"/>
      <c r="F1166" s="32"/>
      <c r="G1166" s="5"/>
      <c r="H1166" s="5" t="s">
        <v>383</v>
      </c>
      <c r="I1166" s="18">
        <f>18400+352</f>
        <v>18752</v>
      </c>
      <c r="J1166" s="18"/>
      <c r="K1166" s="18">
        <f t="shared" si="156"/>
        <v>18752</v>
      </c>
      <c r="L1166" s="18"/>
      <c r="M1166" s="18"/>
      <c r="N1166" s="18">
        <f t="shared" si="157"/>
        <v>0</v>
      </c>
      <c r="O1166" s="18">
        <f t="shared" si="159"/>
        <v>18752</v>
      </c>
      <c r="P1166" s="18">
        <f t="shared" si="160"/>
        <v>0</v>
      </c>
      <c r="Q1166" s="18">
        <f t="shared" si="158"/>
        <v>18752</v>
      </c>
    </row>
    <row r="1167" spans="2:17" ht="12.75">
      <c r="B1167" s="20">
        <f t="shared" si="155"/>
        <v>551</v>
      </c>
      <c r="C1167" s="5"/>
      <c r="D1167" s="5"/>
      <c r="E1167" s="5"/>
      <c r="F1167" s="32"/>
      <c r="G1167" s="5"/>
      <c r="H1167" s="5" t="s">
        <v>384</v>
      </c>
      <c r="I1167" s="18">
        <f>24630+471</f>
        <v>25101</v>
      </c>
      <c r="J1167" s="18"/>
      <c r="K1167" s="18">
        <f t="shared" si="156"/>
        <v>25101</v>
      </c>
      <c r="L1167" s="18"/>
      <c r="M1167" s="18"/>
      <c r="N1167" s="18">
        <f t="shared" si="157"/>
        <v>0</v>
      </c>
      <c r="O1167" s="18">
        <f t="shared" si="159"/>
        <v>25101</v>
      </c>
      <c r="P1167" s="18">
        <f t="shared" si="160"/>
        <v>0</v>
      </c>
      <c r="Q1167" s="18">
        <f t="shared" si="158"/>
        <v>25101</v>
      </c>
    </row>
    <row r="1168" spans="2:17" ht="12.75">
      <c r="B1168" s="20">
        <f t="shared" si="155"/>
        <v>552</v>
      </c>
      <c r="C1168" s="5"/>
      <c r="D1168" s="5"/>
      <c r="E1168" s="5"/>
      <c r="F1168" s="32"/>
      <c r="G1168" s="5"/>
      <c r="H1168" s="5" t="s">
        <v>385</v>
      </c>
      <c r="I1168" s="18">
        <f>19125+365</f>
        <v>19490</v>
      </c>
      <c r="J1168" s="18"/>
      <c r="K1168" s="18">
        <f t="shared" si="156"/>
        <v>19490</v>
      </c>
      <c r="L1168" s="18"/>
      <c r="M1168" s="18"/>
      <c r="N1168" s="18">
        <f t="shared" si="157"/>
        <v>0</v>
      </c>
      <c r="O1168" s="18">
        <f t="shared" si="159"/>
        <v>19490</v>
      </c>
      <c r="P1168" s="18">
        <f t="shared" si="160"/>
        <v>0</v>
      </c>
      <c r="Q1168" s="18">
        <f t="shared" si="158"/>
        <v>19490</v>
      </c>
    </row>
    <row r="1169" spans="2:17" ht="12.75">
      <c r="B1169" s="20">
        <f t="shared" si="155"/>
        <v>553</v>
      </c>
      <c r="C1169" s="5"/>
      <c r="D1169" s="5"/>
      <c r="E1169" s="5"/>
      <c r="F1169" s="32"/>
      <c r="G1169" s="5"/>
      <c r="H1169" s="5" t="s">
        <v>600</v>
      </c>
      <c r="I1169" s="18">
        <v>2658</v>
      </c>
      <c r="J1169" s="18"/>
      <c r="K1169" s="18">
        <f t="shared" si="156"/>
        <v>2658</v>
      </c>
      <c r="L1169" s="18"/>
      <c r="M1169" s="18"/>
      <c r="N1169" s="18">
        <f t="shared" si="157"/>
        <v>0</v>
      </c>
      <c r="O1169" s="18">
        <f t="shared" si="159"/>
        <v>2658</v>
      </c>
      <c r="P1169" s="18">
        <f t="shared" si="160"/>
        <v>0</v>
      </c>
      <c r="Q1169" s="18">
        <f t="shared" si="158"/>
        <v>2658</v>
      </c>
    </row>
    <row r="1170" spans="2:17" ht="12.75">
      <c r="B1170" s="20">
        <f t="shared" si="155"/>
        <v>554</v>
      </c>
      <c r="C1170" s="5"/>
      <c r="D1170" s="5"/>
      <c r="E1170" s="5"/>
      <c r="F1170" s="32"/>
      <c r="G1170" s="5"/>
      <c r="H1170" s="5" t="s">
        <v>386</v>
      </c>
      <c r="I1170" s="18">
        <f>7389+142</f>
        <v>7531</v>
      </c>
      <c r="J1170" s="18"/>
      <c r="K1170" s="18">
        <f t="shared" si="156"/>
        <v>7531</v>
      </c>
      <c r="L1170" s="18"/>
      <c r="M1170" s="18"/>
      <c r="N1170" s="18">
        <f t="shared" si="157"/>
        <v>0</v>
      </c>
      <c r="O1170" s="18">
        <f t="shared" si="159"/>
        <v>7531</v>
      </c>
      <c r="P1170" s="18">
        <f t="shared" si="160"/>
        <v>0</v>
      </c>
      <c r="Q1170" s="18">
        <f t="shared" si="158"/>
        <v>7531</v>
      </c>
    </row>
    <row r="1171" spans="2:17" ht="12.75">
      <c r="B1171" s="20">
        <f t="shared" si="155"/>
        <v>555</v>
      </c>
      <c r="C1171" s="5"/>
      <c r="D1171" s="5"/>
      <c r="E1171" s="5"/>
      <c r="F1171" s="32"/>
      <c r="G1171" s="5"/>
      <c r="H1171" s="5" t="s">
        <v>308</v>
      </c>
      <c r="I1171" s="18">
        <f>124597+5869</f>
        <v>130466</v>
      </c>
      <c r="J1171" s="18"/>
      <c r="K1171" s="18">
        <f t="shared" si="156"/>
        <v>130466</v>
      </c>
      <c r="L1171" s="18"/>
      <c r="M1171" s="18"/>
      <c r="N1171" s="18">
        <f t="shared" si="157"/>
        <v>0</v>
      </c>
      <c r="O1171" s="18">
        <f t="shared" si="159"/>
        <v>130466</v>
      </c>
      <c r="P1171" s="18">
        <f t="shared" si="160"/>
        <v>0</v>
      </c>
      <c r="Q1171" s="18">
        <f t="shared" si="158"/>
        <v>130466</v>
      </c>
    </row>
    <row r="1172" spans="2:17" ht="12.75">
      <c r="B1172" s="20">
        <f t="shared" si="155"/>
        <v>556</v>
      </c>
      <c r="C1172" s="5"/>
      <c r="D1172" s="5"/>
      <c r="E1172" s="5"/>
      <c r="F1172" s="32"/>
      <c r="G1172" s="5"/>
      <c r="H1172" s="5"/>
      <c r="I1172" s="18"/>
      <c r="J1172" s="18"/>
      <c r="K1172" s="18">
        <f t="shared" si="156"/>
        <v>0</v>
      </c>
      <c r="L1172" s="18"/>
      <c r="M1172" s="18"/>
      <c r="N1172" s="18">
        <f t="shared" si="157"/>
        <v>0</v>
      </c>
      <c r="O1172" s="18"/>
      <c r="P1172" s="18"/>
      <c r="Q1172" s="18"/>
    </row>
    <row r="1173" spans="2:17" ht="12.75">
      <c r="B1173" s="20">
        <f t="shared" si="155"/>
        <v>557</v>
      </c>
      <c r="C1173" s="5"/>
      <c r="D1173" s="5"/>
      <c r="E1173" s="5"/>
      <c r="F1173" s="32"/>
      <c r="G1173" s="124">
        <v>630</v>
      </c>
      <c r="H1173" s="124" t="s">
        <v>597</v>
      </c>
      <c r="I1173" s="184">
        <v>208529</v>
      </c>
      <c r="J1173" s="184"/>
      <c r="K1173" s="184">
        <f t="shared" si="156"/>
        <v>208529</v>
      </c>
      <c r="L1173" s="18"/>
      <c r="M1173" s="18"/>
      <c r="N1173" s="18">
        <f t="shared" si="157"/>
        <v>0</v>
      </c>
      <c r="O1173" s="184">
        <f>I1173</f>
        <v>208529</v>
      </c>
      <c r="P1173" s="184">
        <f>J1173</f>
        <v>0</v>
      </c>
      <c r="Q1173" s="184">
        <f aca="true" t="shared" si="161" ref="Q1173:Q1236">O1173+P1173</f>
        <v>208529</v>
      </c>
    </row>
    <row r="1174" spans="2:17" ht="15">
      <c r="B1174" s="20">
        <f t="shared" si="155"/>
        <v>558</v>
      </c>
      <c r="C1174" s="12"/>
      <c r="D1174" s="12"/>
      <c r="E1174" s="12">
        <v>4</v>
      </c>
      <c r="F1174" s="34"/>
      <c r="G1174" s="12"/>
      <c r="H1174" s="12" t="s">
        <v>94</v>
      </c>
      <c r="I1174" s="90">
        <f>I1175+I1183+I1191+I1199+I1207+I1215+I1223+I1231+I1239+I1247+I1255+I1263+I1271+I1279</f>
        <v>1199608</v>
      </c>
      <c r="J1174" s="90">
        <f>J1175+J1183+J1191+J1199+J1207+J1215+J1223+J1231+J1239+J1247+J1255+J1263+J1271+J1279</f>
        <v>0</v>
      </c>
      <c r="K1174" s="90">
        <f t="shared" si="156"/>
        <v>1199608</v>
      </c>
      <c r="L1174" s="90">
        <f>L1175+L1183+L1191+L1199+L1207+L1215+L1223+L1231+L1239+L1247+L1255+L1263+L1271+L1279</f>
        <v>0</v>
      </c>
      <c r="M1174" s="90">
        <f>M1175+M1183+M1191+M1199+M1207+M1215+M1223+M1231+M1239+M1247+M1255+M1263+M1271+M1279</f>
        <v>0</v>
      </c>
      <c r="N1174" s="90">
        <f t="shared" si="157"/>
        <v>0</v>
      </c>
      <c r="O1174" s="90">
        <f aca="true" t="shared" si="162" ref="O1174:O1205">I1174+L1174</f>
        <v>1199608</v>
      </c>
      <c r="P1174" s="90">
        <f aca="true" t="shared" si="163" ref="P1174:P1205">J1174+M1174</f>
        <v>0</v>
      </c>
      <c r="Q1174" s="90">
        <f t="shared" si="161"/>
        <v>1199608</v>
      </c>
    </row>
    <row r="1175" spans="2:17" ht="12.75">
      <c r="B1175" s="20">
        <f t="shared" si="155"/>
        <v>559</v>
      </c>
      <c r="C1175" s="9"/>
      <c r="D1175" s="9"/>
      <c r="E1175" s="9"/>
      <c r="F1175" s="35"/>
      <c r="G1175" s="9"/>
      <c r="H1175" s="9" t="s">
        <v>77</v>
      </c>
      <c r="I1175" s="96">
        <f>I1182+I1178+I1177+I1176</f>
        <v>70310</v>
      </c>
      <c r="J1175" s="96">
        <f>J1182+J1178+J1177+J1176</f>
        <v>0</v>
      </c>
      <c r="K1175" s="96">
        <f t="shared" si="156"/>
        <v>70310</v>
      </c>
      <c r="L1175" s="96"/>
      <c r="M1175" s="96"/>
      <c r="N1175" s="96">
        <f t="shared" si="157"/>
        <v>0</v>
      </c>
      <c r="O1175" s="96">
        <f t="shared" si="162"/>
        <v>70310</v>
      </c>
      <c r="P1175" s="96">
        <f t="shared" si="163"/>
        <v>0</v>
      </c>
      <c r="Q1175" s="96">
        <f t="shared" si="161"/>
        <v>70310</v>
      </c>
    </row>
    <row r="1176" spans="2:17" ht="12.75">
      <c r="B1176" s="20">
        <f t="shared" si="155"/>
        <v>560</v>
      </c>
      <c r="C1176" s="10"/>
      <c r="D1176" s="10"/>
      <c r="E1176" s="10"/>
      <c r="F1176" s="30" t="s">
        <v>160</v>
      </c>
      <c r="G1176" s="10">
        <v>610</v>
      </c>
      <c r="H1176" s="10" t="s">
        <v>131</v>
      </c>
      <c r="I1176" s="61">
        <v>23658</v>
      </c>
      <c r="J1176" s="61"/>
      <c r="K1176" s="61">
        <f t="shared" si="156"/>
        <v>23658</v>
      </c>
      <c r="L1176" s="61"/>
      <c r="M1176" s="61"/>
      <c r="N1176" s="61">
        <f t="shared" si="157"/>
        <v>0</v>
      </c>
      <c r="O1176" s="61">
        <f t="shared" si="162"/>
        <v>23658</v>
      </c>
      <c r="P1176" s="61">
        <f t="shared" si="163"/>
        <v>0</v>
      </c>
      <c r="Q1176" s="61">
        <f t="shared" si="161"/>
        <v>23658</v>
      </c>
    </row>
    <row r="1177" spans="2:17" ht="13.5" customHeight="1">
      <c r="B1177" s="20">
        <f t="shared" si="155"/>
        <v>561</v>
      </c>
      <c r="C1177" s="10"/>
      <c r="D1177" s="10"/>
      <c r="E1177" s="10"/>
      <c r="F1177" s="30" t="s">
        <v>160</v>
      </c>
      <c r="G1177" s="10">
        <v>620</v>
      </c>
      <c r="H1177" s="10" t="s">
        <v>124</v>
      </c>
      <c r="I1177" s="61">
        <v>7735</v>
      </c>
      <c r="J1177" s="61"/>
      <c r="K1177" s="61">
        <f t="shared" si="156"/>
        <v>7735</v>
      </c>
      <c r="L1177" s="61"/>
      <c r="M1177" s="61"/>
      <c r="N1177" s="61">
        <f t="shared" si="157"/>
        <v>0</v>
      </c>
      <c r="O1177" s="61">
        <f t="shared" si="162"/>
        <v>7735</v>
      </c>
      <c r="P1177" s="61">
        <f t="shared" si="163"/>
        <v>0</v>
      </c>
      <c r="Q1177" s="61">
        <f t="shared" si="161"/>
        <v>7735</v>
      </c>
    </row>
    <row r="1178" spans="2:17" ht="12.75" customHeight="1">
      <c r="B1178" s="20">
        <f t="shared" si="155"/>
        <v>562</v>
      </c>
      <c r="C1178" s="10"/>
      <c r="D1178" s="10"/>
      <c r="E1178" s="10"/>
      <c r="F1178" s="30" t="s">
        <v>160</v>
      </c>
      <c r="G1178" s="10">
        <v>630</v>
      </c>
      <c r="H1178" s="10" t="s">
        <v>121</v>
      </c>
      <c r="I1178" s="61">
        <f>I1181+I1180+I1179</f>
        <v>38467</v>
      </c>
      <c r="J1178" s="61">
        <f>J1181+J1180+J1179</f>
        <v>0</v>
      </c>
      <c r="K1178" s="61">
        <f t="shared" si="156"/>
        <v>38467</v>
      </c>
      <c r="L1178" s="61"/>
      <c r="M1178" s="61"/>
      <c r="N1178" s="61">
        <f t="shared" si="157"/>
        <v>0</v>
      </c>
      <c r="O1178" s="61">
        <f t="shared" si="162"/>
        <v>38467</v>
      </c>
      <c r="P1178" s="61">
        <f t="shared" si="163"/>
        <v>0</v>
      </c>
      <c r="Q1178" s="61">
        <f t="shared" si="161"/>
        <v>38467</v>
      </c>
    </row>
    <row r="1179" spans="2:17" ht="12.75">
      <c r="B1179" s="20">
        <f t="shared" si="155"/>
        <v>563</v>
      </c>
      <c r="C1179" s="4"/>
      <c r="D1179" s="4"/>
      <c r="E1179" s="4"/>
      <c r="F1179" s="31" t="s">
        <v>160</v>
      </c>
      <c r="G1179" s="4">
        <v>633</v>
      </c>
      <c r="H1179" s="4" t="s">
        <v>125</v>
      </c>
      <c r="I1179" s="17">
        <v>31337</v>
      </c>
      <c r="J1179" s="17"/>
      <c r="K1179" s="17">
        <f t="shared" si="156"/>
        <v>31337</v>
      </c>
      <c r="L1179" s="17"/>
      <c r="M1179" s="17"/>
      <c r="N1179" s="17">
        <f t="shared" si="157"/>
        <v>0</v>
      </c>
      <c r="O1179" s="17">
        <f t="shared" si="162"/>
        <v>31337</v>
      </c>
      <c r="P1179" s="17">
        <f t="shared" si="163"/>
        <v>0</v>
      </c>
      <c r="Q1179" s="17">
        <f t="shared" si="161"/>
        <v>31337</v>
      </c>
    </row>
    <row r="1180" spans="2:17" ht="12.75">
      <c r="B1180" s="20">
        <f t="shared" si="155"/>
        <v>564</v>
      </c>
      <c r="C1180" s="4"/>
      <c r="D1180" s="4"/>
      <c r="E1180" s="4"/>
      <c r="F1180" s="31" t="s">
        <v>160</v>
      </c>
      <c r="G1180" s="4">
        <v>635</v>
      </c>
      <c r="H1180" s="4" t="s">
        <v>133</v>
      </c>
      <c r="I1180" s="17">
        <v>6000</v>
      </c>
      <c r="J1180" s="17"/>
      <c r="K1180" s="17">
        <f t="shared" si="156"/>
        <v>6000</v>
      </c>
      <c r="L1180" s="17"/>
      <c r="M1180" s="17"/>
      <c r="N1180" s="17">
        <f t="shared" si="157"/>
        <v>0</v>
      </c>
      <c r="O1180" s="17">
        <f t="shared" si="162"/>
        <v>6000</v>
      </c>
      <c r="P1180" s="17">
        <f t="shared" si="163"/>
        <v>0</v>
      </c>
      <c r="Q1180" s="17">
        <f t="shared" si="161"/>
        <v>6000</v>
      </c>
    </row>
    <row r="1181" spans="2:17" ht="12.75">
      <c r="B1181" s="20">
        <f t="shared" si="155"/>
        <v>565</v>
      </c>
      <c r="C1181" s="4"/>
      <c r="D1181" s="4"/>
      <c r="E1181" s="4"/>
      <c r="F1181" s="31" t="s">
        <v>160</v>
      </c>
      <c r="G1181" s="4">
        <v>637</v>
      </c>
      <c r="H1181" s="4" t="s">
        <v>122</v>
      </c>
      <c r="I1181" s="17">
        <v>1130</v>
      </c>
      <c r="J1181" s="17"/>
      <c r="K1181" s="17">
        <f t="shared" si="156"/>
        <v>1130</v>
      </c>
      <c r="L1181" s="17"/>
      <c r="M1181" s="17"/>
      <c r="N1181" s="17">
        <f t="shared" si="157"/>
        <v>0</v>
      </c>
      <c r="O1181" s="17">
        <f t="shared" si="162"/>
        <v>1130</v>
      </c>
      <c r="P1181" s="17">
        <f t="shared" si="163"/>
        <v>0</v>
      </c>
      <c r="Q1181" s="17">
        <f t="shared" si="161"/>
        <v>1130</v>
      </c>
    </row>
    <row r="1182" spans="2:17" ht="12.75">
      <c r="B1182" s="20">
        <f t="shared" si="155"/>
        <v>566</v>
      </c>
      <c r="C1182" s="10"/>
      <c r="D1182" s="10"/>
      <c r="E1182" s="10"/>
      <c r="F1182" s="30" t="s">
        <v>160</v>
      </c>
      <c r="G1182" s="10">
        <v>640</v>
      </c>
      <c r="H1182" s="10" t="s">
        <v>129</v>
      </c>
      <c r="I1182" s="61">
        <v>450</v>
      </c>
      <c r="J1182" s="61"/>
      <c r="K1182" s="61">
        <f t="shared" si="156"/>
        <v>450</v>
      </c>
      <c r="L1182" s="61"/>
      <c r="M1182" s="61"/>
      <c r="N1182" s="61">
        <f t="shared" si="157"/>
        <v>0</v>
      </c>
      <c r="O1182" s="61">
        <f t="shared" si="162"/>
        <v>450</v>
      </c>
      <c r="P1182" s="61">
        <f t="shared" si="163"/>
        <v>0</v>
      </c>
      <c r="Q1182" s="61">
        <f t="shared" si="161"/>
        <v>450</v>
      </c>
    </row>
    <row r="1183" spans="2:17" ht="12.75">
      <c r="B1183" s="20">
        <f t="shared" si="155"/>
        <v>567</v>
      </c>
      <c r="C1183" s="9"/>
      <c r="D1183" s="9"/>
      <c r="E1183" s="9"/>
      <c r="F1183" s="35"/>
      <c r="G1183" s="9"/>
      <c r="H1183" s="9" t="s">
        <v>231</v>
      </c>
      <c r="I1183" s="96">
        <f>I1190+I1186+I1185+I1184</f>
        <v>96664</v>
      </c>
      <c r="J1183" s="96">
        <f>J1190+J1186+J1185+J1184</f>
        <v>0</v>
      </c>
      <c r="K1183" s="96">
        <f t="shared" si="156"/>
        <v>96664</v>
      </c>
      <c r="L1183" s="96"/>
      <c r="M1183" s="96"/>
      <c r="N1183" s="96">
        <f t="shared" si="157"/>
        <v>0</v>
      </c>
      <c r="O1183" s="96">
        <f t="shared" si="162"/>
        <v>96664</v>
      </c>
      <c r="P1183" s="96">
        <f t="shared" si="163"/>
        <v>0</v>
      </c>
      <c r="Q1183" s="96">
        <f t="shared" si="161"/>
        <v>96664</v>
      </c>
    </row>
    <row r="1184" spans="2:17" ht="12.75">
      <c r="B1184" s="20">
        <f t="shared" si="155"/>
        <v>568</v>
      </c>
      <c r="C1184" s="10"/>
      <c r="D1184" s="10"/>
      <c r="E1184" s="10"/>
      <c r="F1184" s="30" t="s">
        <v>160</v>
      </c>
      <c r="G1184" s="10">
        <v>610</v>
      </c>
      <c r="H1184" s="10" t="s">
        <v>131</v>
      </c>
      <c r="I1184" s="61">
        <v>34031</v>
      </c>
      <c r="J1184" s="61"/>
      <c r="K1184" s="61">
        <f t="shared" si="156"/>
        <v>34031</v>
      </c>
      <c r="L1184" s="61"/>
      <c r="M1184" s="61"/>
      <c r="N1184" s="61">
        <f t="shared" si="157"/>
        <v>0</v>
      </c>
      <c r="O1184" s="61">
        <f t="shared" si="162"/>
        <v>34031</v>
      </c>
      <c r="P1184" s="61">
        <f t="shared" si="163"/>
        <v>0</v>
      </c>
      <c r="Q1184" s="61">
        <f t="shared" si="161"/>
        <v>34031</v>
      </c>
    </row>
    <row r="1185" spans="2:17" ht="12.75">
      <c r="B1185" s="20">
        <f t="shared" si="155"/>
        <v>569</v>
      </c>
      <c r="C1185" s="10"/>
      <c r="D1185" s="10"/>
      <c r="E1185" s="10"/>
      <c r="F1185" s="30" t="s">
        <v>160</v>
      </c>
      <c r="G1185" s="10">
        <v>620</v>
      </c>
      <c r="H1185" s="10" t="s">
        <v>124</v>
      </c>
      <c r="I1185" s="61">
        <v>12832</v>
      </c>
      <c r="J1185" s="61"/>
      <c r="K1185" s="61">
        <f t="shared" si="156"/>
        <v>12832</v>
      </c>
      <c r="L1185" s="61"/>
      <c r="M1185" s="61"/>
      <c r="N1185" s="61">
        <f t="shared" si="157"/>
        <v>0</v>
      </c>
      <c r="O1185" s="61">
        <f t="shared" si="162"/>
        <v>12832</v>
      </c>
      <c r="P1185" s="61">
        <f t="shared" si="163"/>
        <v>0</v>
      </c>
      <c r="Q1185" s="61">
        <f t="shared" si="161"/>
        <v>12832</v>
      </c>
    </row>
    <row r="1186" spans="2:17" ht="12.75">
      <c r="B1186" s="20">
        <f aca="true" t="shared" si="164" ref="B1186:B1249">B1185+1</f>
        <v>570</v>
      </c>
      <c r="C1186" s="10"/>
      <c r="D1186" s="10"/>
      <c r="E1186" s="10"/>
      <c r="F1186" s="30" t="s">
        <v>160</v>
      </c>
      <c r="G1186" s="10">
        <v>630</v>
      </c>
      <c r="H1186" s="10" t="s">
        <v>121</v>
      </c>
      <c r="I1186" s="61">
        <f>I1189+I1188+I1187</f>
        <v>49351</v>
      </c>
      <c r="J1186" s="61">
        <f>J1189+J1188+J1187</f>
        <v>0</v>
      </c>
      <c r="K1186" s="61">
        <f t="shared" si="156"/>
        <v>49351</v>
      </c>
      <c r="L1186" s="61"/>
      <c r="M1186" s="61"/>
      <c r="N1186" s="61">
        <f t="shared" si="157"/>
        <v>0</v>
      </c>
      <c r="O1186" s="61">
        <f t="shared" si="162"/>
        <v>49351</v>
      </c>
      <c r="P1186" s="61">
        <f t="shared" si="163"/>
        <v>0</v>
      </c>
      <c r="Q1186" s="61">
        <f t="shared" si="161"/>
        <v>49351</v>
      </c>
    </row>
    <row r="1187" spans="2:17" ht="12.75">
      <c r="B1187" s="20">
        <f t="shared" si="164"/>
        <v>571</v>
      </c>
      <c r="C1187" s="4"/>
      <c r="D1187" s="4"/>
      <c r="E1187" s="4"/>
      <c r="F1187" s="31" t="s">
        <v>160</v>
      </c>
      <c r="G1187" s="4">
        <v>633</v>
      </c>
      <c r="H1187" s="4" t="s">
        <v>125</v>
      </c>
      <c r="I1187" s="17">
        <v>47061</v>
      </c>
      <c r="J1187" s="17"/>
      <c r="K1187" s="17">
        <f t="shared" si="156"/>
        <v>47061</v>
      </c>
      <c r="L1187" s="17"/>
      <c r="M1187" s="17"/>
      <c r="N1187" s="17">
        <f t="shared" si="157"/>
        <v>0</v>
      </c>
      <c r="O1187" s="17">
        <f t="shared" si="162"/>
        <v>47061</v>
      </c>
      <c r="P1187" s="17">
        <f t="shared" si="163"/>
        <v>0</v>
      </c>
      <c r="Q1187" s="17">
        <f t="shared" si="161"/>
        <v>47061</v>
      </c>
    </row>
    <row r="1188" spans="2:17" ht="12.75">
      <c r="B1188" s="20">
        <f t="shared" si="164"/>
        <v>572</v>
      </c>
      <c r="C1188" s="4"/>
      <c r="D1188" s="4"/>
      <c r="E1188" s="4"/>
      <c r="F1188" s="31" t="s">
        <v>160</v>
      </c>
      <c r="G1188" s="4">
        <v>635</v>
      </c>
      <c r="H1188" s="4" t="s">
        <v>133</v>
      </c>
      <c r="I1188" s="17">
        <v>800</v>
      </c>
      <c r="J1188" s="17"/>
      <c r="K1188" s="17">
        <f t="shared" si="156"/>
        <v>800</v>
      </c>
      <c r="L1188" s="17"/>
      <c r="M1188" s="17"/>
      <c r="N1188" s="17">
        <f t="shared" si="157"/>
        <v>0</v>
      </c>
      <c r="O1188" s="17">
        <f t="shared" si="162"/>
        <v>800</v>
      </c>
      <c r="P1188" s="17">
        <f t="shared" si="163"/>
        <v>0</v>
      </c>
      <c r="Q1188" s="17">
        <f t="shared" si="161"/>
        <v>800</v>
      </c>
    </row>
    <row r="1189" spans="2:17" ht="12.75">
      <c r="B1189" s="20">
        <f t="shared" si="164"/>
        <v>573</v>
      </c>
      <c r="C1189" s="4"/>
      <c r="D1189" s="4"/>
      <c r="E1189" s="4"/>
      <c r="F1189" s="31" t="s">
        <v>160</v>
      </c>
      <c r="G1189" s="4">
        <v>637</v>
      </c>
      <c r="H1189" s="4" t="s">
        <v>122</v>
      </c>
      <c r="I1189" s="17">
        <v>1490</v>
      </c>
      <c r="J1189" s="17"/>
      <c r="K1189" s="17">
        <f t="shared" si="156"/>
        <v>1490</v>
      </c>
      <c r="L1189" s="17"/>
      <c r="M1189" s="17"/>
      <c r="N1189" s="17">
        <f t="shared" si="157"/>
        <v>0</v>
      </c>
      <c r="O1189" s="17">
        <f t="shared" si="162"/>
        <v>1490</v>
      </c>
      <c r="P1189" s="17">
        <f t="shared" si="163"/>
        <v>0</v>
      </c>
      <c r="Q1189" s="17">
        <f t="shared" si="161"/>
        <v>1490</v>
      </c>
    </row>
    <row r="1190" spans="2:17" ht="12.75">
      <c r="B1190" s="20">
        <f t="shared" si="164"/>
        <v>574</v>
      </c>
      <c r="C1190" s="10"/>
      <c r="D1190" s="10"/>
      <c r="E1190" s="10"/>
      <c r="F1190" s="30" t="s">
        <v>160</v>
      </c>
      <c r="G1190" s="10">
        <v>640</v>
      </c>
      <c r="H1190" s="10" t="s">
        <v>129</v>
      </c>
      <c r="I1190" s="61">
        <v>450</v>
      </c>
      <c r="J1190" s="61"/>
      <c r="K1190" s="61">
        <f t="shared" si="156"/>
        <v>450</v>
      </c>
      <c r="L1190" s="61"/>
      <c r="M1190" s="61"/>
      <c r="N1190" s="61">
        <f t="shared" si="157"/>
        <v>0</v>
      </c>
      <c r="O1190" s="61">
        <f t="shared" si="162"/>
        <v>450</v>
      </c>
      <c r="P1190" s="61">
        <f t="shared" si="163"/>
        <v>0</v>
      </c>
      <c r="Q1190" s="61">
        <f t="shared" si="161"/>
        <v>450</v>
      </c>
    </row>
    <row r="1191" spans="2:17" ht="12.75">
      <c r="B1191" s="20">
        <f t="shared" si="164"/>
        <v>575</v>
      </c>
      <c r="C1191" s="9"/>
      <c r="D1191" s="9"/>
      <c r="E1191" s="9"/>
      <c r="F1191" s="35"/>
      <c r="G1191" s="9"/>
      <c r="H1191" s="9" t="s">
        <v>76</v>
      </c>
      <c r="I1191" s="96">
        <f>I1192+I1193+I1194+I1198</f>
        <v>75578</v>
      </c>
      <c r="J1191" s="96">
        <f>J1192+J1193+J1194+J1198</f>
        <v>0</v>
      </c>
      <c r="K1191" s="96">
        <f t="shared" si="156"/>
        <v>75578</v>
      </c>
      <c r="L1191" s="96"/>
      <c r="M1191" s="96"/>
      <c r="N1191" s="96">
        <f t="shared" si="157"/>
        <v>0</v>
      </c>
      <c r="O1191" s="96">
        <f t="shared" si="162"/>
        <v>75578</v>
      </c>
      <c r="P1191" s="96">
        <f t="shared" si="163"/>
        <v>0</v>
      </c>
      <c r="Q1191" s="96">
        <f t="shared" si="161"/>
        <v>75578</v>
      </c>
    </row>
    <row r="1192" spans="2:17" ht="12.75">
      <c r="B1192" s="20">
        <f t="shared" si="164"/>
        <v>576</v>
      </c>
      <c r="C1192" s="10"/>
      <c r="D1192" s="10"/>
      <c r="E1192" s="10"/>
      <c r="F1192" s="30" t="s">
        <v>160</v>
      </c>
      <c r="G1192" s="10">
        <v>610</v>
      </c>
      <c r="H1192" s="10" t="s">
        <v>131</v>
      </c>
      <c r="I1192" s="61">
        <v>23924</v>
      </c>
      <c r="J1192" s="61"/>
      <c r="K1192" s="61">
        <f aca="true" t="shared" si="165" ref="K1192:K1255">J1192+I1192</f>
        <v>23924</v>
      </c>
      <c r="L1192" s="61"/>
      <c r="M1192" s="61"/>
      <c r="N1192" s="61">
        <f aca="true" t="shared" si="166" ref="N1192:N1255">M1192+L1192</f>
        <v>0</v>
      </c>
      <c r="O1192" s="61">
        <f t="shared" si="162"/>
        <v>23924</v>
      </c>
      <c r="P1192" s="61">
        <f t="shared" si="163"/>
        <v>0</v>
      </c>
      <c r="Q1192" s="61">
        <f t="shared" si="161"/>
        <v>23924</v>
      </c>
    </row>
    <row r="1193" spans="2:17" ht="12.75">
      <c r="B1193" s="20">
        <f t="shared" si="164"/>
        <v>577</v>
      </c>
      <c r="C1193" s="10"/>
      <c r="D1193" s="10"/>
      <c r="E1193" s="10"/>
      <c r="F1193" s="30" t="s">
        <v>160</v>
      </c>
      <c r="G1193" s="10">
        <v>620</v>
      </c>
      <c r="H1193" s="10" t="s">
        <v>124</v>
      </c>
      <c r="I1193" s="61">
        <v>8744</v>
      </c>
      <c r="J1193" s="61"/>
      <c r="K1193" s="61">
        <f t="shared" si="165"/>
        <v>8744</v>
      </c>
      <c r="L1193" s="61"/>
      <c r="M1193" s="61"/>
      <c r="N1193" s="61">
        <f t="shared" si="166"/>
        <v>0</v>
      </c>
      <c r="O1193" s="61">
        <f t="shared" si="162"/>
        <v>8744</v>
      </c>
      <c r="P1193" s="61">
        <f t="shared" si="163"/>
        <v>0</v>
      </c>
      <c r="Q1193" s="61">
        <f t="shared" si="161"/>
        <v>8744</v>
      </c>
    </row>
    <row r="1194" spans="2:17" ht="12.75">
      <c r="B1194" s="20">
        <f t="shared" si="164"/>
        <v>578</v>
      </c>
      <c r="C1194" s="10"/>
      <c r="D1194" s="10"/>
      <c r="E1194" s="10"/>
      <c r="F1194" s="30" t="s">
        <v>160</v>
      </c>
      <c r="G1194" s="10">
        <v>630</v>
      </c>
      <c r="H1194" s="10" t="s">
        <v>121</v>
      </c>
      <c r="I1194" s="61">
        <f>I1197+I1196+I1195</f>
        <v>42460</v>
      </c>
      <c r="J1194" s="61">
        <f>J1197+J1196+J1195</f>
        <v>0</v>
      </c>
      <c r="K1194" s="61">
        <f t="shared" si="165"/>
        <v>42460</v>
      </c>
      <c r="L1194" s="61"/>
      <c r="M1194" s="61"/>
      <c r="N1194" s="61">
        <f t="shared" si="166"/>
        <v>0</v>
      </c>
      <c r="O1194" s="61">
        <f t="shared" si="162"/>
        <v>42460</v>
      </c>
      <c r="P1194" s="61">
        <f t="shared" si="163"/>
        <v>0</v>
      </c>
      <c r="Q1194" s="61">
        <f t="shared" si="161"/>
        <v>42460</v>
      </c>
    </row>
    <row r="1195" spans="2:17" ht="12.75">
      <c r="B1195" s="20">
        <f t="shared" si="164"/>
        <v>579</v>
      </c>
      <c r="C1195" s="4"/>
      <c r="D1195" s="4"/>
      <c r="E1195" s="4"/>
      <c r="F1195" s="31" t="s">
        <v>160</v>
      </c>
      <c r="G1195" s="4">
        <v>633</v>
      </c>
      <c r="H1195" s="4" t="s">
        <v>125</v>
      </c>
      <c r="I1195" s="17">
        <v>35460</v>
      </c>
      <c r="J1195" s="17"/>
      <c r="K1195" s="17">
        <f t="shared" si="165"/>
        <v>35460</v>
      </c>
      <c r="L1195" s="17"/>
      <c r="M1195" s="17"/>
      <c r="N1195" s="17">
        <f t="shared" si="166"/>
        <v>0</v>
      </c>
      <c r="O1195" s="17">
        <f t="shared" si="162"/>
        <v>35460</v>
      </c>
      <c r="P1195" s="17">
        <f t="shared" si="163"/>
        <v>0</v>
      </c>
      <c r="Q1195" s="17">
        <f t="shared" si="161"/>
        <v>35460</v>
      </c>
    </row>
    <row r="1196" spans="2:17" ht="12.75">
      <c r="B1196" s="20">
        <f t="shared" si="164"/>
        <v>580</v>
      </c>
      <c r="C1196" s="4"/>
      <c r="D1196" s="4"/>
      <c r="E1196" s="4"/>
      <c r="F1196" s="31" t="s">
        <v>160</v>
      </c>
      <c r="G1196" s="4">
        <v>635</v>
      </c>
      <c r="H1196" s="4" t="s">
        <v>133</v>
      </c>
      <c r="I1196" s="17">
        <v>6000</v>
      </c>
      <c r="J1196" s="17"/>
      <c r="K1196" s="17">
        <f t="shared" si="165"/>
        <v>6000</v>
      </c>
      <c r="L1196" s="17"/>
      <c r="M1196" s="17"/>
      <c r="N1196" s="17">
        <f t="shared" si="166"/>
        <v>0</v>
      </c>
      <c r="O1196" s="17">
        <f t="shared" si="162"/>
        <v>6000</v>
      </c>
      <c r="P1196" s="17">
        <f t="shared" si="163"/>
        <v>0</v>
      </c>
      <c r="Q1196" s="17">
        <f t="shared" si="161"/>
        <v>6000</v>
      </c>
    </row>
    <row r="1197" spans="2:17" ht="12.75">
      <c r="B1197" s="20">
        <f t="shared" si="164"/>
        <v>581</v>
      </c>
      <c r="C1197" s="4"/>
      <c r="D1197" s="4"/>
      <c r="E1197" s="4"/>
      <c r="F1197" s="31" t="s">
        <v>160</v>
      </c>
      <c r="G1197" s="4">
        <v>637</v>
      </c>
      <c r="H1197" s="4" t="s">
        <v>122</v>
      </c>
      <c r="I1197" s="17">
        <v>1000</v>
      </c>
      <c r="J1197" s="17"/>
      <c r="K1197" s="17">
        <f t="shared" si="165"/>
        <v>1000</v>
      </c>
      <c r="L1197" s="17"/>
      <c r="M1197" s="17"/>
      <c r="N1197" s="17">
        <f t="shared" si="166"/>
        <v>0</v>
      </c>
      <c r="O1197" s="17">
        <f t="shared" si="162"/>
        <v>1000</v>
      </c>
      <c r="P1197" s="17">
        <f t="shared" si="163"/>
        <v>0</v>
      </c>
      <c r="Q1197" s="17">
        <f t="shared" si="161"/>
        <v>1000</v>
      </c>
    </row>
    <row r="1198" spans="2:17" ht="12.75">
      <c r="B1198" s="20">
        <f t="shared" si="164"/>
        <v>582</v>
      </c>
      <c r="C1198" s="10"/>
      <c r="D1198" s="10"/>
      <c r="E1198" s="10"/>
      <c r="F1198" s="30" t="s">
        <v>160</v>
      </c>
      <c r="G1198" s="10">
        <v>640</v>
      </c>
      <c r="H1198" s="10" t="s">
        <v>129</v>
      </c>
      <c r="I1198" s="61">
        <v>450</v>
      </c>
      <c r="J1198" s="61"/>
      <c r="K1198" s="61">
        <f t="shared" si="165"/>
        <v>450</v>
      </c>
      <c r="L1198" s="61"/>
      <c r="M1198" s="61"/>
      <c r="N1198" s="61">
        <f t="shared" si="166"/>
        <v>0</v>
      </c>
      <c r="O1198" s="61">
        <f t="shared" si="162"/>
        <v>450</v>
      </c>
      <c r="P1198" s="61">
        <f t="shared" si="163"/>
        <v>0</v>
      </c>
      <c r="Q1198" s="61">
        <f t="shared" si="161"/>
        <v>450</v>
      </c>
    </row>
    <row r="1199" spans="2:17" ht="12.75">
      <c r="B1199" s="20">
        <f t="shared" si="164"/>
        <v>583</v>
      </c>
      <c r="C1199" s="9"/>
      <c r="D1199" s="9"/>
      <c r="E1199" s="9"/>
      <c r="F1199" s="35"/>
      <c r="G1199" s="9"/>
      <c r="H1199" s="9" t="s">
        <v>100</v>
      </c>
      <c r="I1199" s="96">
        <f>I1200+I1201+I1202+I1206</f>
        <v>79368</v>
      </c>
      <c r="J1199" s="96">
        <f>J1200+J1201+J1202+J1206</f>
        <v>0</v>
      </c>
      <c r="K1199" s="96">
        <f t="shared" si="165"/>
        <v>79368</v>
      </c>
      <c r="L1199" s="96"/>
      <c r="M1199" s="96"/>
      <c r="N1199" s="96">
        <f t="shared" si="166"/>
        <v>0</v>
      </c>
      <c r="O1199" s="96">
        <f t="shared" si="162"/>
        <v>79368</v>
      </c>
      <c r="P1199" s="96">
        <f t="shared" si="163"/>
        <v>0</v>
      </c>
      <c r="Q1199" s="96">
        <f t="shared" si="161"/>
        <v>79368</v>
      </c>
    </row>
    <row r="1200" spans="2:17" ht="12.75">
      <c r="B1200" s="20">
        <f t="shared" si="164"/>
        <v>584</v>
      </c>
      <c r="C1200" s="10"/>
      <c r="D1200" s="10"/>
      <c r="E1200" s="10"/>
      <c r="F1200" s="30" t="s">
        <v>160</v>
      </c>
      <c r="G1200" s="10">
        <v>610</v>
      </c>
      <c r="H1200" s="10" t="s">
        <v>131</v>
      </c>
      <c r="I1200" s="61">
        <v>25168</v>
      </c>
      <c r="J1200" s="61"/>
      <c r="K1200" s="61">
        <f t="shared" si="165"/>
        <v>25168</v>
      </c>
      <c r="L1200" s="61"/>
      <c r="M1200" s="61"/>
      <c r="N1200" s="61">
        <f t="shared" si="166"/>
        <v>0</v>
      </c>
      <c r="O1200" s="61">
        <f t="shared" si="162"/>
        <v>25168</v>
      </c>
      <c r="P1200" s="61">
        <f t="shared" si="163"/>
        <v>0</v>
      </c>
      <c r="Q1200" s="61">
        <f t="shared" si="161"/>
        <v>25168</v>
      </c>
    </row>
    <row r="1201" spans="2:17" ht="12.75">
      <c r="B1201" s="20">
        <f t="shared" si="164"/>
        <v>585</v>
      </c>
      <c r="C1201" s="10"/>
      <c r="D1201" s="10"/>
      <c r="E1201" s="10"/>
      <c r="F1201" s="30" t="s">
        <v>160</v>
      </c>
      <c r="G1201" s="10">
        <v>620</v>
      </c>
      <c r="H1201" s="10" t="s">
        <v>124</v>
      </c>
      <c r="I1201" s="61">
        <v>9164</v>
      </c>
      <c r="J1201" s="61"/>
      <c r="K1201" s="61">
        <f t="shared" si="165"/>
        <v>9164</v>
      </c>
      <c r="L1201" s="61"/>
      <c r="M1201" s="61"/>
      <c r="N1201" s="61">
        <f t="shared" si="166"/>
        <v>0</v>
      </c>
      <c r="O1201" s="61">
        <f t="shared" si="162"/>
        <v>9164</v>
      </c>
      <c r="P1201" s="61">
        <f t="shared" si="163"/>
        <v>0</v>
      </c>
      <c r="Q1201" s="61">
        <f t="shared" si="161"/>
        <v>9164</v>
      </c>
    </row>
    <row r="1202" spans="2:17" ht="12.75">
      <c r="B1202" s="20">
        <f t="shared" si="164"/>
        <v>586</v>
      </c>
      <c r="C1202" s="10"/>
      <c r="D1202" s="10"/>
      <c r="E1202" s="10"/>
      <c r="F1202" s="30" t="s">
        <v>160</v>
      </c>
      <c r="G1202" s="10">
        <v>630</v>
      </c>
      <c r="H1202" s="10" t="s">
        <v>121</v>
      </c>
      <c r="I1202" s="61">
        <f>I1205+I1204+I1203</f>
        <v>44586</v>
      </c>
      <c r="J1202" s="61">
        <f>J1205+J1204+J1203</f>
        <v>0</v>
      </c>
      <c r="K1202" s="61">
        <f t="shared" si="165"/>
        <v>44586</v>
      </c>
      <c r="L1202" s="61"/>
      <c r="M1202" s="61"/>
      <c r="N1202" s="61">
        <f t="shared" si="166"/>
        <v>0</v>
      </c>
      <c r="O1202" s="61">
        <f t="shared" si="162"/>
        <v>44586</v>
      </c>
      <c r="P1202" s="61">
        <f t="shared" si="163"/>
        <v>0</v>
      </c>
      <c r="Q1202" s="61">
        <f t="shared" si="161"/>
        <v>44586</v>
      </c>
    </row>
    <row r="1203" spans="2:17" ht="12.75">
      <c r="B1203" s="20">
        <f t="shared" si="164"/>
        <v>587</v>
      </c>
      <c r="C1203" s="4"/>
      <c r="D1203" s="4"/>
      <c r="E1203" s="4"/>
      <c r="F1203" s="31" t="s">
        <v>160</v>
      </c>
      <c r="G1203" s="4">
        <v>633</v>
      </c>
      <c r="H1203" s="4" t="s">
        <v>125</v>
      </c>
      <c r="I1203" s="17">
        <v>39166</v>
      </c>
      <c r="J1203" s="17"/>
      <c r="K1203" s="17">
        <f t="shared" si="165"/>
        <v>39166</v>
      </c>
      <c r="L1203" s="17"/>
      <c r="M1203" s="17"/>
      <c r="N1203" s="17">
        <f t="shared" si="166"/>
        <v>0</v>
      </c>
      <c r="O1203" s="17">
        <f t="shared" si="162"/>
        <v>39166</v>
      </c>
      <c r="P1203" s="17">
        <f t="shared" si="163"/>
        <v>0</v>
      </c>
      <c r="Q1203" s="17">
        <f t="shared" si="161"/>
        <v>39166</v>
      </c>
    </row>
    <row r="1204" spans="2:17" ht="12.75">
      <c r="B1204" s="20">
        <f t="shared" si="164"/>
        <v>588</v>
      </c>
      <c r="C1204" s="4"/>
      <c r="D1204" s="4"/>
      <c r="E1204" s="4"/>
      <c r="F1204" s="31" t="s">
        <v>160</v>
      </c>
      <c r="G1204" s="4">
        <v>635</v>
      </c>
      <c r="H1204" s="4" t="s">
        <v>133</v>
      </c>
      <c r="I1204" s="17">
        <v>4500</v>
      </c>
      <c r="J1204" s="17"/>
      <c r="K1204" s="17">
        <f t="shared" si="165"/>
        <v>4500</v>
      </c>
      <c r="L1204" s="17"/>
      <c r="M1204" s="17"/>
      <c r="N1204" s="17">
        <f t="shared" si="166"/>
        <v>0</v>
      </c>
      <c r="O1204" s="17">
        <f t="shared" si="162"/>
        <v>4500</v>
      </c>
      <c r="P1204" s="17">
        <f t="shared" si="163"/>
        <v>0</v>
      </c>
      <c r="Q1204" s="17">
        <f t="shared" si="161"/>
        <v>4500</v>
      </c>
    </row>
    <row r="1205" spans="2:17" ht="12.75">
      <c r="B1205" s="20">
        <f t="shared" si="164"/>
        <v>589</v>
      </c>
      <c r="C1205" s="4"/>
      <c r="D1205" s="4"/>
      <c r="E1205" s="4"/>
      <c r="F1205" s="31" t="s">
        <v>160</v>
      </c>
      <c r="G1205" s="4">
        <v>637</v>
      </c>
      <c r="H1205" s="4" t="s">
        <v>122</v>
      </c>
      <c r="I1205" s="17">
        <v>920</v>
      </c>
      <c r="J1205" s="17"/>
      <c r="K1205" s="17">
        <f t="shared" si="165"/>
        <v>920</v>
      </c>
      <c r="L1205" s="17"/>
      <c r="M1205" s="17"/>
      <c r="N1205" s="17">
        <f t="shared" si="166"/>
        <v>0</v>
      </c>
      <c r="O1205" s="17">
        <f t="shared" si="162"/>
        <v>920</v>
      </c>
      <c r="P1205" s="17">
        <f t="shared" si="163"/>
        <v>0</v>
      </c>
      <c r="Q1205" s="17">
        <f t="shared" si="161"/>
        <v>920</v>
      </c>
    </row>
    <row r="1206" spans="2:17" ht="12.75">
      <c r="B1206" s="20">
        <f t="shared" si="164"/>
        <v>590</v>
      </c>
      <c r="C1206" s="10"/>
      <c r="D1206" s="10"/>
      <c r="E1206" s="10"/>
      <c r="F1206" s="30" t="s">
        <v>160</v>
      </c>
      <c r="G1206" s="10">
        <v>640</v>
      </c>
      <c r="H1206" s="10" t="s">
        <v>129</v>
      </c>
      <c r="I1206" s="61">
        <v>450</v>
      </c>
      <c r="J1206" s="61"/>
      <c r="K1206" s="61">
        <f t="shared" si="165"/>
        <v>450</v>
      </c>
      <c r="L1206" s="61"/>
      <c r="M1206" s="61"/>
      <c r="N1206" s="61">
        <f t="shared" si="166"/>
        <v>0</v>
      </c>
      <c r="O1206" s="61">
        <f aca="true" t="shared" si="167" ref="O1206:O1237">I1206+L1206</f>
        <v>450</v>
      </c>
      <c r="P1206" s="61">
        <f aca="true" t="shared" si="168" ref="P1206:P1237">J1206+M1206</f>
        <v>0</v>
      </c>
      <c r="Q1206" s="61">
        <f t="shared" si="161"/>
        <v>450</v>
      </c>
    </row>
    <row r="1207" spans="2:17" ht="12.75">
      <c r="B1207" s="20">
        <f t="shared" si="164"/>
        <v>591</v>
      </c>
      <c r="C1207" s="9"/>
      <c r="D1207" s="9"/>
      <c r="E1207" s="9"/>
      <c r="F1207" s="35"/>
      <c r="G1207" s="9"/>
      <c r="H1207" s="9" t="s">
        <v>101</v>
      </c>
      <c r="I1207" s="96">
        <f>I1208+I1209+I1210+I1214</f>
        <v>72678</v>
      </c>
      <c r="J1207" s="96">
        <f>J1208+J1209+J1210+J1214</f>
        <v>0</v>
      </c>
      <c r="K1207" s="96">
        <f t="shared" si="165"/>
        <v>72678</v>
      </c>
      <c r="L1207" s="96"/>
      <c r="M1207" s="96"/>
      <c r="N1207" s="96">
        <f t="shared" si="166"/>
        <v>0</v>
      </c>
      <c r="O1207" s="96">
        <f t="shared" si="167"/>
        <v>72678</v>
      </c>
      <c r="P1207" s="96">
        <f t="shared" si="168"/>
        <v>0</v>
      </c>
      <c r="Q1207" s="96">
        <f t="shared" si="161"/>
        <v>72678</v>
      </c>
    </row>
    <row r="1208" spans="2:17" ht="12.75">
      <c r="B1208" s="20">
        <f t="shared" si="164"/>
        <v>592</v>
      </c>
      <c r="C1208" s="10"/>
      <c r="D1208" s="10"/>
      <c r="E1208" s="10"/>
      <c r="F1208" s="30" t="s">
        <v>160</v>
      </c>
      <c r="G1208" s="10">
        <v>610</v>
      </c>
      <c r="H1208" s="10" t="s">
        <v>131</v>
      </c>
      <c r="I1208" s="61">
        <v>27482</v>
      </c>
      <c r="J1208" s="61"/>
      <c r="K1208" s="61">
        <f t="shared" si="165"/>
        <v>27482</v>
      </c>
      <c r="L1208" s="61"/>
      <c r="M1208" s="61"/>
      <c r="N1208" s="61">
        <f t="shared" si="166"/>
        <v>0</v>
      </c>
      <c r="O1208" s="61">
        <f t="shared" si="167"/>
        <v>27482</v>
      </c>
      <c r="P1208" s="61">
        <f t="shared" si="168"/>
        <v>0</v>
      </c>
      <c r="Q1208" s="61">
        <f t="shared" si="161"/>
        <v>27482</v>
      </c>
    </row>
    <row r="1209" spans="2:17" ht="12.75">
      <c r="B1209" s="20">
        <f t="shared" si="164"/>
        <v>593</v>
      </c>
      <c r="C1209" s="10"/>
      <c r="D1209" s="10"/>
      <c r="E1209" s="10"/>
      <c r="F1209" s="30" t="s">
        <v>160</v>
      </c>
      <c r="G1209" s="10">
        <v>620</v>
      </c>
      <c r="H1209" s="10" t="s">
        <v>124</v>
      </c>
      <c r="I1209" s="61">
        <v>10121</v>
      </c>
      <c r="J1209" s="61"/>
      <c r="K1209" s="61">
        <f t="shared" si="165"/>
        <v>10121</v>
      </c>
      <c r="L1209" s="61"/>
      <c r="M1209" s="61"/>
      <c r="N1209" s="61">
        <f t="shared" si="166"/>
        <v>0</v>
      </c>
      <c r="O1209" s="61">
        <f t="shared" si="167"/>
        <v>10121</v>
      </c>
      <c r="P1209" s="61">
        <f t="shared" si="168"/>
        <v>0</v>
      </c>
      <c r="Q1209" s="61">
        <f t="shared" si="161"/>
        <v>10121</v>
      </c>
    </row>
    <row r="1210" spans="2:17" ht="12.75">
      <c r="B1210" s="20">
        <f t="shared" si="164"/>
        <v>594</v>
      </c>
      <c r="C1210" s="10"/>
      <c r="D1210" s="10"/>
      <c r="E1210" s="10"/>
      <c r="F1210" s="30" t="s">
        <v>160</v>
      </c>
      <c r="G1210" s="10">
        <v>630</v>
      </c>
      <c r="H1210" s="10" t="s">
        <v>121</v>
      </c>
      <c r="I1210" s="61">
        <f>I1213+I1212+I1211</f>
        <v>34625</v>
      </c>
      <c r="J1210" s="61">
        <f>J1213+J1212+J1211</f>
        <v>0</v>
      </c>
      <c r="K1210" s="61">
        <f t="shared" si="165"/>
        <v>34625</v>
      </c>
      <c r="L1210" s="61"/>
      <c r="M1210" s="61"/>
      <c r="N1210" s="61">
        <f t="shared" si="166"/>
        <v>0</v>
      </c>
      <c r="O1210" s="61">
        <f t="shared" si="167"/>
        <v>34625</v>
      </c>
      <c r="P1210" s="61">
        <f t="shared" si="168"/>
        <v>0</v>
      </c>
      <c r="Q1210" s="61">
        <f t="shared" si="161"/>
        <v>34625</v>
      </c>
    </row>
    <row r="1211" spans="2:17" ht="12.75">
      <c r="B1211" s="20">
        <f t="shared" si="164"/>
        <v>595</v>
      </c>
      <c r="C1211" s="4"/>
      <c r="D1211" s="4"/>
      <c r="E1211" s="4"/>
      <c r="F1211" s="31" t="s">
        <v>160</v>
      </c>
      <c r="G1211" s="4">
        <v>633</v>
      </c>
      <c r="H1211" s="4" t="s">
        <v>125</v>
      </c>
      <c r="I1211" s="17">
        <v>30675</v>
      </c>
      <c r="J1211" s="17">
        <v>-300</v>
      </c>
      <c r="K1211" s="17">
        <f t="shared" si="165"/>
        <v>30375</v>
      </c>
      <c r="L1211" s="17"/>
      <c r="M1211" s="17"/>
      <c r="N1211" s="17">
        <f t="shared" si="166"/>
        <v>0</v>
      </c>
      <c r="O1211" s="17">
        <f t="shared" si="167"/>
        <v>30675</v>
      </c>
      <c r="P1211" s="17">
        <f t="shared" si="168"/>
        <v>-300</v>
      </c>
      <c r="Q1211" s="17">
        <f t="shared" si="161"/>
        <v>30375</v>
      </c>
    </row>
    <row r="1212" spans="2:17" ht="12.75">
      <c r="B1212" s="20">
        <f t="shared" si="164"/>
        <v>596</v>
      </c>
      <c r="C1212" s="4"/>
      <c r="D1212" s="4"/>
      <c r="E1212" s="4"/>
      <c r="F1212" s="31" t="s">
        <v>160</v>
      </c>
      <c r="G1212" s="4">
        <v>635</v>
      </c>
      <c r="H1212" s="4" t="s">
        <v>133</v>
      </c>
      <c r="I1212" s="17">
        <v>2900</v>
      </c>
      <c r="J1212" s="17">
        <v>300</v>
      </c>
      <c r="K1212" s="17">
        <f t="shared" si="165"/>
        <v>3200</v>
      </c>
      <c r="L1212" s="17"/>
      <c r="M1212" s="17"/>
      <c r="N1212" s="17">
        <f t="shared" si="166"/>
        <v>0</v>
      </c>
      <c r="O1212" s="17">
        <f t="shared" si="167"/>
        <v>2900</v>
      </c>
      <c r="P1212" s="17">
        <f t="shared" si="168"/>
        <v>300</v>
      </c>
      <c r="Q1212" s="17">
        <f t="shared" si="161"/>
        <v>3200</v>
      </c>
    </row>
    <row r="1213" spans="2:17" ht="12.75">
      <c r="B1213" s="20">
        <f t="shared" si="164"/>
        <v>597</v>
      </c>
      <c r="C1213" s="4"/>
      <c r="D1213" s="4"/>
      <c r="E1213" s="4"/>
      <c r="F1213" s="31" t="s">
        <v>160</v>
      </c>
      <c r="G1213" s="4">
        <v>637</v>
      </c>
      <c r="H1213" s="4" t="s">
        <v>122</v>
      </c>
      <c r="I1213" s="17">
        <v>1050</v>
      </c>
      <c r="J1213" s="17"/>
      <c r="K1213" s="17">
        <f t="shared" si="165"/>
        <v>1050</v>
      </c>
      <c r="L1213" s="17"/>
      <c r="M1213" s="17"/>
      <c r="N1213" s="17">
        <f t="shared" si="166"/>
        <v>0</v>
      </c>
      <c r="O1213" s="17">
        <f t="shared" si="167"/>
        <v>1050</v>
      </c>
      <c r="P1213" s="17">
        <f t="shared" si="168"/>
        <v>0</v>
      </c>
      <c r="Q1213" s="17">
        <f t="shared" si="161"/>
        <v>1050</v>
      </c>
    </row>
    <row r="1214" spans="2:17" ht="12.75">
      <c r="B1214" s="20">
        <f t="shared" si="164"/>
        <v>598</v>
      </c>
      <c r="C1214" s="10"/>
      <c r="D1214" s="10"/>
      <c r="E1214" s="10"/>
      <c r="F1214" s="30" t="s">
        <v>160</v>
      </c>
      <c r="G1214" s="10">
        <v>640</v>
      </c>
      <c r="H1214" s="10" t="s">
        <v>129</v>
      </c>
      <c r="I1214" s="61">
        <v>450</v>
      </c>
      <c r="J1214" s="61"/>
      <c r="K1214" s="61">
        <f t="shared" si="165"/>
        <v>450</v>
      </c>
      <c r="L1214" s="61"/>
      <c r="M1214" s="61"/>
      <c r="N1214" s="61">
        <f t="shared" si="166"/>
        <v>0</v>
      </c>
      <c r="O1214" s="61">
        <f t="shared" si="167"/>
        <v>450</v>
      </c>
      <c r="P1214" s="61">
        <f t="shared" si="168"/>
        <v>0</v>
      </c>
      <c r="Q1214" s="61">
        <f t="shared" si="161"/>
        <v>450</v>
      </c>
    </row>
    <row r="1215" spans="2:17" ht="12.75">
      <c r="B1215" s="20">
        <f t="shared" si="164"/>
        <v>599</v>
      </c>
      <c r="C1215" s="9"/>
      <c r="D1215" s="9"/>
      <c r="E1215" s="9"/>
      <c r="F1215" s="35"/>
      <c r="G1215" s="9"/>
      <c r="H1215" s="9" t="s">
        <v>95</v>
      </c>
      <c r="I1215" s="96">
        <f>I1216+I1217+I1218+I1222</f>
        <v>117386</v>
      </c>
      <c r="J1215" s="96">
        <f>J1216+J1217+J1218+J1222</f>
        <v>0</v>
      </c>
      <c r="K1215" s="96">
        <f t="shared" si="165"/>
        <v>117386</v>
      </c>
      <c r="L1215" s="96"/>
      <c r="M1215" s="96"/>
      <c r="N1215" s="96">
        <f t="shared" si="166"/>
        <v>0</v>
      </c>
      <c r="O1215" s="96">
        <f t="shared" si="167"/>
        <v>117386</v>
      </c>
      <c r="P1215" s="96">
        <f t="shared" si="168"/>
        <v>0</v>
      </c>
      <c r="Q1215" s="96">
        <f t="shared" si="161"/>
        <v>117386</v>
      </c>
    </row>
    <row r="1216" spans="2:17" ht="12.75">
      <c r="B1216" s="20">
        <f t="shared" si="164"/>
        <v>600</v>
      </c>
      <c r="C1216" s="10"/>
      <c r="D1216" s="10"/>
      <c r="E1216" s="10"/>
      <c r="F1216" s="30" t="s">
        <v>160</v>
      </c>
      <c r="G1216" s="10">
        <v>610</v>
      </c>
      <c r="H1216" s="10" t="s">
        <v>131</v>
      </c>
      <c r="I1216" s="61">
        <v>45227</v>
      </c>
      <c r="J1216" s="61"/>
      <c r="K1216" s="61">
        <f t="shared" si="165"/>
        <v>45227</v>
      </c>
      <c r="L1216" s="61"/>
      <c r="M1216" s="61"/>
      <c r="N1216" s="61">
        <f t="shared" si="166"/>
        <v>0</v>
      </c>
      <c r="O1216" s="61">
        <f t="shared" si="167"/>
        <v>45227</v>
      </c>
      <c r="P1216" s="61">
        <f t="shared" si="168"/>
        <v>0</v>
      </c>
      <c r="Q1216" s="61">
        <f t="shared" si="161"/>
        <v>45227</v>
      </c>
    </row>
    <row r="1217" spans="2:17" ht="12.75">
      <c r="B1217" s="20">
        <f t="shared" si="164"/>
        <v>601</v>
      </c>
      <c r="C1217" s="10"/>
      <c r="D1217" s="10"/>
      <c r="E1217" s="10"/>
      <c r="F1217" s="30" t="s">
        <v>160</v>
      </c>
      <c r="G1217" s="10">
        <v>620</v>
      </c>
      <c r="H1217" s="10" t="s">
        <v>124</v>
      </c>
      <c r="I1217" s="61">
        <v>16214</v>
      </c>
      <c r="J1217" s="61"/>
      <c r="K1217" s="61">
        <f t="shared" si="165"/>
        <v>16214</v>
      </c>
      <c r="L1217" s="61"/>
      <c r="M1217" s="61"/>
      <c r="N1217" s="61">
        <f t="shared" si="166"/>
        <v>0</v>
      </c>
      <c r="O1217" s="61">
        <f t="shared" si="167"/>
        <v>16214</v>
      </c>
      <c r="P1217" s="61">
        <f t="shared" si="168"/>
        <v>0</v>
      </c>
      <c r="Q1217" s="61">
        <f t="shared" si="161"/>
        <v>16214</v>
      </c>
    </row>
    <row r="1218" spans="2:17" ht="12.75">
      <c r="B1218" s="20">
        <f t="shared" si="164"/>
        <v>602</v>
      </c>
      <c r="C1218" s="10"/>
      <c r="D1218" s="10"/>
      <c r="E1218" s="10"/>
      <c r="F1218" s="30" t="s">
        <v>160</v>
      </c>
      <c r="G1218" s="10">
        <v>630</v>
      </c>
      <c r="H1218" s="10" t="s">
        <v>121</v>
      </c>
      <c r="I1218" s="61">
        <f>I1221+I1220+I1219</f>
        <v>54529</v>
      </c>
      <c r="J1218" s="61">
        <f>J1221+J1220+J1219</f>
        <v>0</v>
      </c>
      <c r="K1218" s="61">
        <f t="shared" si="165"/>
        <v>54529</v>
      </c>
      <c r="L1218" s="61"/>
      <c r="M1218" s="61"/>
      <c r="N1218" s="61">
        <f t="shared" si="166"/>
        <v>0</v>
      </c>
      <c r="O1218" s="61">
        <f t="shared" si="167"/>
        <v>54529</v>
      </c>
      <c r="P1218" s="61">
        <f t="shared" si="168"/>
        <v>0</v>
      </c>
      <c r="Q1218" s="61">
        <f t="shared" si="161"/>
        <v>54529</v>
      </c>
    </row>
    <row r="1219" spans="2:17" ht="12.75">
      <c r="B1219" s="20">
        <f t="shared" si="164"/>
        <v>603</v>
      </c>
      <c r="C1219" s="4"/>
      <c r="D1219" s="4"/>
      <c r="E1219" s="4"/>
      <c r="F1219" s="31" t="s">
        <v>160</v>
      </c>
      <c r="G1219" s="4">
        <v>633</v>
      </c>
      <c r="H1219" s="4" t="s">
        <v>125</v>
      </c>
      <c r="I1219" s="17">
        <v>48269</v>
      </c>
      <c r="J1219" s="17"/>
      <c r="K1219" s="17">
        <f t="shared" si="165"/>
        <v>48269</v>
      </c>
      <c r="L1219" s="17"/>
      <c r="M1219" s="17"/>
      <c r="N1219" s="17">
        <f t="shared" si="166"/>
        <v>0</v>
      </c>
      <c r="O1219" s="17">
        <f t="shared" si="167"/>
        <v>48269</v>
      </c>
      <c r="P1219" s="17">
        <f t="shared" si="168"/>
        <v>0</v>
      </c>
      <c r="Q1219" s="17">
        <f t="shared" si="161"/>
        <v>48269</v>
      </c>
    </row>
    <row r="1220" spans="2:17" ht="12.75">
      <c r="B1220" s="20">
        <f t="shared" si="164"/>
        <v>604</v>
      </c>
      <c r="C1220" s="4"/>
      <c r="D1220" s="4"/>
      <c r="E1220" s="4"/>
      <c r="F1220" s="31" t="s">
        <v>160</v>
      </c>
      <c r="G1220" s="4">
        <v>635</v>
      </c>
      <c r="H1220" s="4" t="s">
        <v>133</v>
      </c>
      <c r="I1220" s="17">
        <v>5000</v>
      </c>
      <c r="J1220" s="17"/>
      <c r="K1220" s="17">
        <f t="shared" si="165"/>
        <v>5000</v>
      </c>
      <c r="L1220" s="17"/>
      <c r="M1220" s="17"/>
      <c r="N1220" s="17">
        <f t="shared" si="166"/>
        <v>0</v>
      </c>
      <c r="O1220" s="17">
        <f t="shared" si="167"/>
        <v>5000</v>
      </c>
      <c r="P1220" s="17">
        <f t="shared" si="168"/>
        <v>0</v>
      </c>
      <c r="Q1220" s="17">
        <f t="shared" si="161"/>
        <v>5000</v>
      </c>
    </row>
    <row r="1221" spans="2:17" ht="12.75">
      <c r="B1221" s="20">
        <f t="shared" si="164"/>
        <v>605</v>
      </c>
      <c r="C1221" s="4"/>
      <c r="D1221" s="4"/>
      <c r="E1221" s="4"/>
      <c r="F1221" s="31" t="s">
        <v>160</v>
      </c>
      <c r="G1221" s="4">
        <v>637</v>
      </c>
      <c r="H1221" s="4" t="s">
        <v>122</v>
      </c>
      <c r="I1221" s="17">
        <v>1260</v>
      </c>
      <c r="J1221" s="17"/>
      <c r="K1221" s="17">
        <f t="shared" si="165"/>
        <v>1260</v>
      </c>
      <c r="L1221" s="17"/>
      <c r="M1221" s="17"/>
      <c r="N1221" s="17">
        <f t="shared" si="166"/>
        <v>0</v>
      </c>
      <c r="O1221" s="17">
        <f t="shared" si="167"/>
        <v>1260</v>
      </c>
      <c r="P1221" s="17">
        <f t="shared" si="168"/>
        <v>0</v>
      </c>
      <c r="Q1221" s="17">
        <f t="shared" si="161"/>
        <v>1260</v>
      </c>
    </row>
    <row r="1222" spans="2:17" ht="12.75">
      <c r="B1222" s="20">
        <f t="shared" si="164"/>
        <v>606</v>
      </c>
      <c r="C1222" s="10"/>
      <c r="D1222" s="10"/>
      <c r="E1222" s="10"/>
      <c r="F1222" s="30" t="s">
        <v>160</v>
      </c>
      <c r="G1222" s="10">
        <v>640</v>
      </c>
      <c r="H1222" s="10" t="s">
        <v>129</v>
      </c>
      <c r="I1222" s="61">
        <v>1416</v>
      </c>
      <c r="J1222" s="61"/>
      <c r="K1222" s="61">
        <f t="shared" si="165"/>
        <v>1416</v>
      </c>
      <c r="L1222" s="61"/>
      <c r="M1222" s="61"/>
      <c r="N1222" s="61">
        <f t="shared" si="166"/>
        <v>0</v>
      </c>
      <c r="O1222" s="61">
        <f t="shared" si="167"/>
        <v>1416</v>
      </c>
      <c r="P1222" s="61">
        <f t="shared" si="168"/>
        <v>0</v>
      </c>
      <c r="Q1222" s="61">
        <f t="shared" si="161"/>
        <v>1416</v>
      </c>
    </row>
    <row r="1223" spans="2:17" ht="12.75">
      <c r="B1223" s="20">
        <f t="shared" si="164"/>
        <v>607</v>
      </c>
      <c r="C1223" s="9"/>
      <c r="D1223" s="9"/>
      <c r="E1223" s="9"/>
      <c r="F1223" s="35"/>
      <c r="G1223" s="9"/>
      <c r="H1223" s="9" t="s">
        <v>93</v>
      </c>
      <c r="I1223" s="96">
        <f>I1224+I1225+I1226+I1230</f>
        <v>116767</v>
      </c>
      <c r="J1223" s="96">
        <f>J1224+J1225+J1226+J1230</f>
        <v>0</v>
      </c>
      <c r="K1223" s="96">
        <f t="shared" si="165"/>
        <v>116767</v>
      </c>
      <c r="L1223" s="96"/>
      <c r="M1223" s="96"/>
      <c r="N1223" s="96">
        <f t="shared" si="166"/>
        <v>0</v>
      </c>
      <c r="O1223" s="96">
        <f t="shared" si="167"/>
        <v>116767</v>
      </c>
      <c r="P1223" s="96">
        <f t="shared" si="168"/>
        <v>0</v>
      </c>
      <c r="Q1223" s="96">
        <f t="shared" si="161"/>
        <v>116767</v>
      </c>
    </row>
    <row r="1224" spans="2:17" ht="12.75">
      <c r="B1224" s="20">
        <f t="shared" si="164"/>
        <v>608</v>
      </c>
      <c r="C1224" s="10"/>
      <c r="D1224" s="10"/>
      <c r="E1224" s="10"/>
      <c r="F1224" s="30" t="s">
        <v>160</v>
      </c>
      <c r="G1224" s="10">
        <v>610</v>
      </c>
      <c r="H1224" s="10" t="s">
        <v>131</v>
      </c>
      <c r="I1224" s="61">
        <v>41957</v>
      </c>
      <c r="J1224" s="61"/>
      <c r="K1224" s="61">
        <f t="shared" si="165"/>
        <v>41957</v>
      </c>
      <c r="L1224" s="61"/>
      <c r="M1224" s="61"/>
      <c r="N1224" s="61">
        <f t="shared" si="166"/>
        <v>0</v>
      </c>
      <c r="O1224" s="61">
        <f t="shared" si="167"/>
        <v>41957</v>
      </c>
      <c r="P1224" s="61">
        <f t="shared" si="168"/>
        <v>0</v>
      </c>
      <c r="Q1224" s="61">
        <f t="shared" si="161"/>
        <v>41957</v>
      </c>
    </row>
    <row r="1225" spans="2:17" ht="12.75">
      <c r="B1225" s="20">
        <f t="shared" si="164"/>
        <v>609</v>
      </c>
      <c r="C1225" s="10"/>
      <c r="D1225" s="10"/>
      <c r="E1225" s="10"/>
      <c r="F1225" s="30" t="s">
        <v>160</v>
      </c>
      <c r="G1225" s="10">
        <v>620</v>
      </c>
      <c r="H1225" s="10" t="s">
        <v>124</v>
      </c>
      <c r="I1225" s="61">
        <v>15067</v>
      </c>
      <c r="J1225" s="61"/>
      <c r="K1225" s="61">
        <f t="shared" si="165"/>
        <v>15067</v>
      </c>
      <c r="L1225" s="61"/>
      <c r="M1225" s="61"/>
      <c r="N1225" s="61">
        <f t="shared" si="166"/>
        <v>0</v>
      </c>
      <c r="O1225" s="61">
        <f t="shared" si="167"/>
        <v>15067</v>
      </c>
      <c r="P1225" s="61">
        <f t="shared" si="168"/>
        <v>0</v>
      </c>
      <c r="Q1225" s="61">
        <f t="shared" si="161"/>
        <v>15067</v>
      </c>
    </row>
    <row r="1226" spans="2:17" ht="12.75">
      <c r="B1226" s="20">
        <f t="shared" si="164"/>
        <v>610</v>
      </c>
      <c r="C1226" s="10"/>
      <c r="D1226" s="10"/>
      <c r="E1226" s="10"/>
      <c r="F1226" s="30" t="s">
        <v>160</v>
      </c>
      <c r="G1226" s="10">
        <v>630</v>
      </c>
      <c r="H1226" s="10" t="s">
        <v>121</v>
      </c>
      <c r="I1226" s="61">
        <f>I1229+I1228+I1227</f>
        <v>59293</v>
      </c>
      <c r="J1226" s="61">
        <f>J1229+J1228+J1227</f>
        <v>0</v>
      </c>
      <c r="K1226" s="61">
        <f t="shared" si="165"/>
        <v>59293</v>
      </c>
      <c r="L1226" s="61"/>
      <c r="M1226" s="61"/>
      <c r="N1226" s="61">
        <f t="shared" si="166"/>
        <v>0</v>
      </c>
      <c r="O1226" s="61">
        <f t="shared" si="167"/>
        <v>59293</v>
      </c>
      <c r="P1226" s="61">
        <f t="shared" si="168"/>
        <v>0</v>
      </c>
      <c r="Q1226" s="61">
        <f t="shared" si="161"/>
        <v>59293</v>
      </c>
    </row>
    <row r="1227" spans="2:17" ht="12.75">
      <c r="B1227" s="20">
        <f t="shared" si="164"/>
        <v>611</v>
      </c>
      <c r="C1227" s="4"/>
      <c r="D1227" s="4"/>
      <c r="E1227" s="4"/>
      <c r="F1227" s="31" t="s">
        <v>160</v>
      </c>
      <c r="G1227" s="4">
        <v>633</v>
      </c>
      <c r="H1227" s="4" t="s">
        <v>125</v>
      </c>
      <c r="I1227" s="17">
        <f>56560-1200</f>
        <v>55360</v>
      </c>
      <c r="J1227" s="17"/>
      <c r="K1227" s="17">
        <f t="shared" si="165"/>
        <v>55360</v>
      </c>
      <c r="L1227" s="17"/>
      <c r="M1227" s="17"/>
      <c r="N1227" s="17">
        <f t="shared" si="166"/>
        <v>0</v>
      </c>
      <c r="O1227" s="17">
        <f t="shared" si="167"/>
        <v>55360</v>
      </c>
      <c r="P1227" s="17">
        <f t="shared" si="168"/>
        <v>0</v>
      </c>
      <c r="Q1227" s="17">
        <f t="shared" si="161"/>
        <v>55360</v>
      </c>
    </row>
    <row r="1228" spans="2:17" ht="12.75">
      <c r="B1228" s="20">
        <f t="shared" si="164"/>
        <v>612</v>
      </c>
      <c r="C1228" s="4"/>
      <c r="D1228" s="4"/>
      <c r="E1228" s="4"/>
      <c r="F1228" s="31" t="s">
        <v>160</v>
      </c>
      <c r="G1228" s="4">
        <v>635</v>
      </c>
      <c r="H1228" s="4" t="s">
        <v>133</v>
      </c>
      <c r="I1228" s="17">
        <f>1150+1200</f>
        <v>2350</v>
      </c>
      <c r="J1228" s="17"/>
      <c r="K1228" s="17">
        <f t="shared" si="165"/>
        <v>2350</v>
      </c>
      <c r="L1228" s="17"/>
      <c r="M1228" s="17"/>
      <c r="N1228" s="17">
        <f t="shared" si="166"/>
        <v>0</v>
      </c>
      <c r="O1228" s="17">
        <f t="shared" si="167"/>
        <v>2350</v>
      </c>
      <c r="P1228" s="17">
        <f t="shared" si="168"/>
        <v>0</v>
      </c>
      <c r="Q1228" s="17">
        <f t="shared" si="161"/>
        <v>2350</v>
      </c>
    </row>
    <row r="1229" spans="2:17" ht="12.75">
      <c r="B1229" s="20">
        <f t="shared" si="164"/>
        <v>613</v>
      </c>
      <c r="C1229" s="4"/>
      <c r="D1229" s="4"/>
      <c r="E1229" s="4"/>
      <c r="F1229" s="31" t="s">
        <v>160</v>
      </c>
      <c r="G1229" s="4">
        <v>637</v>
      </c>
      <c r="H1229" s="4" t="s">
        <v>122</v>
      </c>
      <c r="I1229" s="17">
        <v>1583</v>
      </c>
      <c r="J1229" s="17"/>
      <c r="K1229" s="17">
        <f t="shared" si="165"/>
        <v>1583</v>
      </c>
      <c r="L1229" s="17"/>
      <c r="M1229" s="17"/>
      <c r="N1229" s="17">
        <f t="shared" si="166"/>
        <v>0</v>
      </c>
      <c r="O1229" s="17">
        <f t="shared" si="167"/>
        <v>1583</v>
      </c>
      <c r="P1229" s="17">
        <f t="shared" si="168"/>
        <v>0</v>
      </c>
      <c r="Q1229" s="17">
        <f t="shared" si="161"/>
        <v>1583</v>
      </c>
    </row>
    <row r="1230" spans="2:17" ht="12.75">
      <c r="B1230" s="20">
        <f t="shared" si="164"/>
        <v>614</v>
      </c>
      <c r="C1230" s="10"/>
      <c r="D1230" s="10"/>
      <c r="E1230" s="10"/>
      <c r="F1230" s="30" t="s">
        <v>160</v>
      </c>
      <c r="G1230" s="10">
        <v>640</v>
      </c>
      <c r="H1230" s="10" t="s">
        <v>129</v>
      </c>
      <c r="I1230" s="61">
        <v>450</v>
      </c>
      <c r="J1230" s="61"/>
      <c r="K1230" s="61">
        <f t="shared" si="165"/>
        <v>450</v>
      </c>
      <c r="L1230" s="61"/>
      <c r="M1230" s="61"/>
      <c r="N1230" s="61">
        <f t="shared" si="166"/>
        <v>0</v>
      </c>
      <c r="O1230" s="61">
        <f t="shared" si="167"/>
        <v>450</v>
      </c>
      <c r="P1230" s="61">
        <f t="shared" si="168"/>
        <v>0</v>
      </c>
      <c r="Q1230" s="61">
        <f t="shared" si="161"/>
        <v>450</v>
      </c>
    </row>
    <row r="1231" spans="2:17" ht="12.75">
      <c r="B1231" s="20">
        <f t="shared" si="164"/>
        <v>615</v>
      </c>
      <c r="C1231" s="9"/>
      <c r="D1231" s="9"/>
      <c r="E1231" s="9"/>
      <c r="F1231" s="35"/>
      <c r="G1231" s="9"/>
      <c r="H1231" s="9" t="s">
        <v>102</v>
      </c>
      <c r="I1231" s="96">
        <f>I1232+I1233+I1234+I1238</f>
        <v>71913</v>
      </c>
      <c r="J1231" s="96">
        <f>J1232+J1233+J1234+J1238</f>
        <v>0</v>
      </c>
      <c r="K1231" s="96">
        <f t="shared" si="165"/>
        <v>71913</v>
      </c>
      <c r="L1231" s="96"/>
      <c r="M1231" s="96"/>
      <c r="N1231" s="96">
        <f t="shared" si="166"/>
        <v>0</v>
      </c>
      <c r="O1231" s="96">
        <f t="shared" si="167"/>
        <v>71913</v>
      </c>
      <c r="P1231" s="96">
        <f t="shared" si="168"/>
        <v>0</v>
      </c>
      <c r="Q1231" s="96">
        <f t="shared" si="161"/>
        <v>71913</v>
      </c>
    </row>
    <row r="1232" spans="2:17" ht="12.75">
      <c r="B1232" s="20">
        <f t="shared" si="164"/>
        <v>616</v>
      </c>
      <c r="C1232" s="10"/>
      <c r="D1232" s="10"/>
      <c r="E1232" s="10"/>
      <c r="F1232" s="30" t="s">
        <v>160</v>
      </c>
      <c r="G1232" s="10">
        <v>610</v>
      </c>
      <c r="H1232" s="10" t="s">
        <v>131</v>
      </c>
      <c r="I1232" s="61">
        <v>25695</v>
      </c>
      <c r="J1232" s="61"/>
      <c r="K1232" s="61">
        <f t="shared" si="165"/>
        <v>25695</v>
      </c>
      <c r="L1232" s="61"/>
      <c r="M1232" s="61"/>
      <c r="N1232" s="61">
        <f t="shared" si="166"/>
        <v>0</v>
      </c>
      <c r="O1232" s="61">
        <f t="shared" si="167"/>
        <v>25695</v>
      </c>
      <c r="P1232" s="61">
        <f t="shared" si="168"/>
        <v>0</v>
      </c>
      <c r="Q1232" s="61">
        <f t="shared" si="161"/>
        <v>25695</v>
      </c>
    </row>
    <row r="1233" spans="2:17" ht="12.75">
      <c r="B1233" s="20">
        <f t="shared" si="164"/>
        <v>617</v>
      </c>
      <c r="C1233" s="10"/>
      <c r="D1233" s="10"/>
      <c r="E1233" s="10"/>
      <c r="F1233" s="30" t="s">
        <v>160</v>
      </c>
      <c r="G1233" s="10">
        <v>620</v>
      </c>
      <c r="H1233" s="10" t="s">
        <v>124</v>
      </c>
      <c r="I1233" s="61">
        <v>10433</v>
      </c>
      <c r="J1233" s="61"/>
      <c r="K1233" s="61">
        <f t="shared" si="165"/>
        <v>10433</v>
      </c>
      <c r="L1233" s="61"/>
      <c r="M1233" s="61"/>
      <c r="N1233" s="61">
        <f t="shared" si="166"/>
        <v>0</v>
      </c>
      <c r="O1233" s="61">
        <f t="shared" si="167"/>
        <v>10433</v>
      </c>
      <c r="P1233" s="61">
        <f t="shared" si="168"/>
        <v>0</v>
      </c>
      <c r="Q1233" s="61">
        <f t="shared" si="161"/>
        <v>10433</v>
      </c>
    </row>
    <row r="1234" spans="2:17" ht="12.75">
      <c r="B1234" s="20">
        <f t="shared" si="164"/>
        <v>618</v>
      </c>
      <c r="C1234" s="10"/>
      <c r="D1234" s="10"/>
      <c r="E1234" s="10"/>
      <c r="F1234" s="30" t="s">
        <v>160</v>
      </c>
      <c r="G1234" s="10">
        <v>630</v>
      </c>
      <c r="H1234" s="10" t="s">
        <v>121</v>
      </c>
      <c r="I1234" s="61">
        <f>I1237+I1236+I1235</f>
        <v>35335</v>
      </c>
      <c r="J1234" s="61">
        <f>J1237+J1236+J1235</f>
        <v>0</v>
      </c>
      <c r="K1234" s="61">
        <f t="shared" si="165"/>
        <v>35335</v>
      </c>
      <c r="L1234" s="61"/>
      <c r="M1234" s="61"/>
      <c r="N1234" s="61">
        <f t="shared" si="166"/>
        <v>0</v>
      </c>
      <c r="O1234" s="61">
        <f t="shared" si="167"/>
        <v>35335</v>
      </c>
      <c r="P1234" s="61">
        <f t="shared" si="168"/>
        <v>0</v>
      </c>
      <c r="Q1234" s="61">
        <f t="shared" si="161"/>
        <v>35335</v>
      </c>
    </row>
    <row r="1235" spans="2:17" ht="12.75">
      <c r="B1235" s="20">
        <f t="shared" si="164"/>
        <v>619</v>
      </c>
      <c r="C1235" s="4"/>
      <c r="D1235" s="4"/>
      <c r="E1235" s="4"/>
      <c r="F1235" s="31" t="s">
        <v>160</v>
      </c>
      <c r="G1235" s="4">
        <v>633</v>
      </c>
      <c r="H1235" s="4" t="s">
        <v>125</v>
      </c>
      <c r="I1235" s="17">
        <v>31575</v>
      </c>
      <c r="J1235" s="17"/>
      <c r="K1235" s="17">
        <f t="shared" si="165"/>
        <v>31575</v>
      </c>
      <c r="L1235" s="17"/>
      <c r="M1235" s="17"/>
      <c r="N1235" s="17">
        <f t="shared" si="166"/>
        <v>0</v>
      </c>
      <c r="O1235" s="17">
        <f t="shared" si="167"/>
        <v>31575</v>
      </c>
      <c r="P1235" s="17">
        <f t="shared" si="168"/>
        <v>0</v>
      </c>
      <c r="Q1235" s="17">
        <f t="shared" si="161"/>
        <v>31575</v>
      </c>
    </row>
    <row r="1236" spans="2:17" ht="12.75">
      <c r="B1236" s="20">
        <f t="shared" si="164"/>
        <v>620</v>
      </c>
      <c r="C1236" s="4"/>
      <c r="D1236" s="4"/>
      <c r="E1236" s="4"/>
      <c r="F1236" s="31" t="s">
        <v>160</v>
      </c>
      <c r="G1236" s="4">
        <v>635</v>
      </c>
      <c r="H1236" s="4" t="s">
        <v>133</v>
      </c>
      <c r="I1236" s="17">
        <v>2500</v>
      </c>
      <c r="J1236" s="17"/>
      <c r="K1236" s="17">
        <f t="shared" si="165"/>
        <v>2500</v>
      </c>
      <c r="L1236" s="17"/>
      <c r="M1236" s="17"/>
      <c r="N1236" s="17">
        <f t="shared" si="166"/>
        <v>0</v>
      </c>
      <c r="O1236" s="17">
        <f t="shared" si="167"/>
        <v>2500</v>
      </c>
      <c r="P1236" s="17">
        <f t="shared" si="168"/>
        <v>0</v>
      </c>
      <c r="Q1236" s="17">
        <f t="shared" si="161"/>
        <v>2500</v>
      </c>
    </row>
    <row r="1237" spans="2:17" ht="12.75">
      <c r="B1237" s="20">
        <f t="shared" si="164"/>
        <v>621</v>
      </c>
      <c r="C1237" s="4"/>
      <c r="D1237" s="4"/>
      <c r="E1237" s="4"/>
      <c r="F1237" s="31" t="s">
        <v>160</v>
      </c>
      <c r="G1237" s="4">
        <v>637</v>
      </c>
      <c r="H1237" s="4" t="s">
        <v>122</v>
      </c>
      <c r="I1237" s="17">
        <v>1260</v>
      </c>
      <c r="J1237" s="17"/>
      <c r="K1237" s="17">
        <f t="shared" si="165"/>
        <v>1260</v>
      </c>
      <c r="L1237" s="17"/>
      <c r="M1237" s="17"/>
      <c r="N1237" s="17">
        <f t="shared" si="166"/>
        <v>0</v>
      </c>
      <c r="O1237" s="17">
        <f t="shared" si="167"/>
        <v>1260</v>
      </c>
      <c r="P1237" s="17">
        <f t="shared" si="168"/>
        <v>0</v>
      </c>
      <c r="Q1237" s="17">
        <f aca="true" t="shared" si="169" ref="Q1237:Q1300">O1237+P1237</f>
        <v>1260</v>
      </c>
    </row>
    <row r="1238" spans="2:17" ht="12.75">
      <c r="B1238" s="20">
        <f t="shared" si="164"/>
        <v>622</v>
      </c>
      <c r="C1238" s="10"/>
      <c r="D1238" s="10"/>
      <c r="E1238" s="10"/>
      <c r="F1238" s="30" t="s">
        <v>160</v>
      </c>
      <c r="G1238" s="10">
        <v>640</v>
      </c>
      <c r="H1238" s="10" t="s">
        <v>129</v>
      </c>
      <c r="I1238" s="61">
        <v>450</v>
      </c>
      <c r="J1238" s="61"/>
      <c r="K1238" s="61">
        <f t="shared" si="165"/>
        <v>450</v>
      </c>
      <c r="L1238" s="61"/>
      <c r="M1238" s="61"/>
      <c r="N1238" s="61">
        <f t="shared" si="166"/>
        <v>0</v>
      </c>
      <c r="O1238" s="61">
        <f aca="true" t="shared" si="170" ref="O1238:O1269">I1238+L1238</f>
        <v>450</v>
      </c>
      <c r="P1238" s="61">
        <f aca="true" t="shared" si="171" ref="P1238:P1269">J1238+M1238</f>
        <v>0</v>
      </c>
      <c r="Q1238" s="61">
        <f t="shared" si="169"/>
        <v>450</v>
      </c>
    </row>
    <row r="1239" spans="2:17" ht="12.75">
      <c r="B1239" s="20">
        <f t="shared" si="164"/>
        <v>623</v>
      </c>
      <c r="C1239" s="9"/>
      <c r="D1239" s="9"/>
      <c r="E1239" s="9"/>
      <c r="F1239" s="35"/>
      <c r="G1239" s="9"/>
      <c r="H1239" s="9" t="s">
        <v>72</v>
      </c>
      <c r="I1239" s="96">
        <f>I1240+I1241+I1242+I1246</f>
        <v>90551</v>
      </c>
      <c r="J1239" s="96"/>
      <c r="K1239" s="96">
        <f t="shared" si="165"/>
        <v>90551</v>
      </c>
      <c r="L1239" s="96"/>
      <c r="M1239" s="96"/>
      <c r="N1239" s="96">
        <f t="shared" si="166"/>
        <v>0</v>
      </c>
      <c r="O1239" s="96">
        <f t="shared" si="170"/>
        <v>90551</v>
      </c>
      <c r="P1239" s="96">
        <f t="shared" si="171"/>
        <v>0</v>
      </c>
      <c r="Q1239" s="96">
        <f t="shared" si="169"/>
        <v>90551</v>
      </c>
    </row>
    <row r="1240" spans="2:17" ht="12.75">
      <c r="B1240" s="20">
        <f t="shared" si="164"/>
        <v>624</v>
      </c>
      <c r="C1240" s="10"/>
      <c r="D1240" s="10"/>
      <c r="E1240" s="10"/>
      <c r="F1240" s="30" t="s">
        <v>160</v>
      </c>
      <c r="G1240" s="10">
        <v>610</v>
      </c>
      <c r="H1240" s="10" t="s">
        <v>131</v>
      </c>
      <c r="I1240" s="61">
        <v>29840</v>
      </c>
      <c r="J1240" s="61"/>
      <c r="K1240" s="61">
        <f t="shared" si="165"/>
        <v>29840</v>
      </c>
      <c r="L1240" s="61"/>
      <c r="M1240" s="61"/>
      <c r="N1240" s="61">
        <f t="shared" si="166"/>
        <v>0</v>
      </c>
      <c r="O1240" s="61">
        <f t="shared" si="170"/>
        <v>29840</v>
      </c>
      <c r="P1240" s="61">
        <f t="shared" si="171"/>
        <v>0</v>
      </c>
      <c r="Q1240" s="61">
        <f t="shared" si="169"/>
        <v>29840</v>
      </c>
    </row>
    <row r="1241" spans="2:17" ht="12.75">
      <c r="B1241" s="20">
        <f t="shared" si="164"/>
        <v>625</v>
      </c>
      <c r="C1241" s="10"/>
      <c r="D1241" s="10"/>
      <c r="E1241" s="10"/>
      <c r="F1241" s="30" t="s">
        <v>160</v>
      </c>
      <c r="G1241" s="10">
        <v>620</v>
      </c>
      <c r="H1241" s="10" t="s">
        <v>124</v>
      </c>
      <c r="I1241" s="61">
        <v>10996</v>
      </c>
      <c r="J1241" s="61"/>
      <c r="K1241" s="61">
        <f t="shared" si="165"/>
        <v>10996</v>
      </c>
      <c r="L1241" s="61"/>
      <c r="M1241" s="61"/>
      <c r="N1241" s="61">
        <f t="shared" si="166"/>
        <v>0</v>
      </c>
      <c r="O1241" s="61">
        <f t="shared" si="170"/>
        <v>10996</v>
      </c>
      <c r="P1241" s="61">
        <f t="shared" si="171"/>
        <v>0</v>
      </c>
      <c r="Q1241" s="61">
        <f t="shared" si="169"/>
        <v>10996</v>
      </c>
    </row>
    <row r="1242" spans="2:17" ht="12.75">
      <c r="B1242" s="20">
        <f t="shared" si="164"/>
        <v>626</v>
      </c>
      <c r="C1242" s="10"/>
      <c r="D1242" s="10"/>
      <c r="E1242" s="10"/>
      <c r="F1242" s="30" t="s">
        <v>160</v>
      </c>
      <c r="G1242" s="10">
        <v>630</v>
      </c>
      <c r="H1242" s="10" t="s">
        <v>121</v>
      </c>
      <c r="I1242" s="61">
        <f>I1245+I1244+I1243</f>
        <v>49265</v>
      </c>
      <c r="J1242" s="61">
        <f>J1245+J1244+J1243</f>
        <v>0</v>
      </c>
      <c r="K1242" s="61">
        <f t="shared" si="165"/>
        <v>49265</v>
      </c>
      <c r="L1242" s="61"/>
      <c r="M1242" s="61"/>
      <c r="N1242" s="61">
        <f t="shared" si="166"/>
        <v>0</v>
      </c>
      <c r="O1242" s="61">
        <f t="shared" si="170"/>
        <v>49265</v>
      </c>
      <c r="P1242" s="61">
        <f t="shared" si="171"/>
        <v>0</v>
      </c>
      <c r="Q1242" s="61">
        <f t="shared" si="169"/>
        <v>49265</v>
      </c>
    </row>
    <row r="1243" spans="2:17" ht="12.75">
      <c r="B1243" s="20">
        <f t="shared" si="164"/>
        <v>627</v>
      </c>
      <c r="C1243" s="4"/>
      <c r="D1243" s="4"/>
      <c r="E1243" s="4"/>
      <c r="F1243" s="31" t="s">
        <v>160</v>
      </c>
      <c r="G1243" s="4">
        <v>633</v>
      </c>
      <c r="H1243" s="4" t="s">
        <v>125</v>
      </c>
      <c r="I1243" s="17">
        <v>46565</v>
      </c>
      <c r="J1243" s="17"/>
      <c r="K1243" s="17">
        <f t="shared" si="165"/>
        <v>46565</v>
      </c>
      <c r="L1243" s="17"/>
      <c r="M1243" s="17"/>
      <c r="N1243" s="17">
        <f t="shared" si="166"/>
        <v>0</v>
      </c>
      <c r="O1243" s="17">
        <f t="shared" si="170"/>
        <v>46565</v>
      </c>
      <c r="P1243" s="17">
        <f t="shared" si="171"/>
        <v>0</v>
      </c>
      <c r="Q1243" s="17">
        <f t="shared" si="169"/>
        <v>46565</v>
      </c>
    </row>
    <row r="1244" spans="2:17" ht="12.75">
      <c r="B1244" s="20">
        <f t="shared" si="164"/>
        <v>628</v>
      </c>
      <c r="C1244" s="4"/>
      <c r="D1244" s="4"/>
      <c r="E1244" s="4"/>
      <c r="F1244" s="31" t="s">
        <v>160</v>
      </c>
      <c r="G1244" s="4">
        <v>635</v>
      </c>
      <c r="H1244" s="4" t="s">
        <v>133</v>
      </c>
      <c r="I1244" s="17">
        <v>1500</v>
      </c>
      <c r="J1244" s="17"/>
      <c r="K1244" s="17">
        <f t="shared" si="165"/>
        <v>1500</v>
      </c>
      <c r="L1244" s="17"/>
      <c r="M1244" s="17"/>
      <c r="N1244" s="17">
        <f t="shared" si="166"/>
        <v>0</v>
      </c>
      <c r="O1244" s="17">
        <f t="shared" si="170"/>
        <v>1500</v>
      </c>
      <c r="P1244" s="17">
        <f t="shared" si="171"/>
        <v>0</v>
      </c>
      <c r="Q1244" s="17">
        <f t="shared" si="169"/>
        <v>1500</v>
      </c>
    </row>
    <row r="1245" spans="2:17" ht="12.75">
      <c r="B1245" s="20">
        <f t="shared" si="164"/>
        <v>629</v>
      </c>
      <c r="C1245" s="4"/>
      <c r="D1245" s="4"/>
      <c r="E1245" s="4"/>
      <c r="F1245" s="31" t="s">
        <v>160</v>
      </c>
      <c r="G1245" s="4">
        <v>637</v>
      </c>
      <c r="H1245" s="4" t="s">
        <v>122</v>
      </c>
      <c r="I1245" s="17">
        <v>1200</v>
      </c>
      <c r="J1245" s="17"/>
      <c r="K1245" s="17">
        <f t="shared" si="165"/>
        <v>1200</v>
      </c>
      <c r="L1245" s="17"/>
      <c r="M1245" s="17"/>
      <c r="N1245" s="17">
        <f t="shared" si="166"/>
        <v>0</v>
      </c>
      <c r="O1245" s="17">
        <f t="shared" si="170"/>
        <v>1200</v>
      </c>
      <c r="P1245" s="17">
        <f t="shared" si="171"/>
        <v>0</v>
      </c>
      <c r="Q1245" s="17">
        <f t="shared" si="169"/>
        <v>1200</v>
      </c>
    </row>
    <row r="1246" spans="2:17" ht="12.75">
      <c r="B1246" s="20">
        <f t="shared" si="164"/>
        <v>630</v>
      </c>
      <c r="C1246" s="10"/>
      <c r="D1246" s="10"/>
      <c r="E1246" s="10"/>
      <c r="F1246" s="30" t="s">
        <v>160</v>
      </c>
      <c r="G1246" s="10">
        <v>640</v>
      </c>
      <c r="H1246" s="10" t="s">
        <v>129</v>
      </c>
      <c r="I1246" s="61">
        <v>450</v>
      </c>
      <c r="J1246" s="61"/>
      <c r="K1246" s="61">
        <f t="shared" si="165"/>
        <v>450</v>
      </c>
      <c r="L1246" s="61"/>
      <c r="M1246" s="61"/>
      <c r="N1246" s="61">
        <f t="shared" si="166"/>
        <v>0</v>
      </c>
      <c r="O1246" s="61">
        <f t="shared" si="170"/>
        <v>450</v>
      </c>
      <c r="P1246" s="61">
        <f t="shared" si="171"/>
        <v>0</v>
      </c>
      <c r="Q1246" s="61">
        <f t="shared" si="169"/>
        <v>450</v>
      </c>
    </row>
    <row r="1247" spans="2:17" ht="12.75">
      <c r="B1247" s="20">
        <f t="shared" si="164"/>
        <v>631</v>
      </c>
      <c r="C1247" s="9"/>
      <c r="D1247" s="9"/>
      <c r="E1247" s="9"/>
      <c r="F1247" s="35"/>
      <c r="G1247" s="9"/>
      <c r="H1247" s="9" t="s">
        <v>78</v>
      </c>
      <c r="I1247" s="96">
        <f>I1248+I1249+I1250+I1254</f>
        <v>102377</v>
      </c>
      <c r="J1247" s="96">
        <f>J1248+J1249+J1250+J1254</f>
        <v>0</v>
      </c>
      <c r="K1247" s="96">
        <f t="shared" si="165"/>
        <v>102377</v>
      </c>
      <c r="L1247" s="96"/>
      <c r="M1247" s="96"/>
      <c r="N1247" s="96">
        <f t="shared" si="166"/>
        <v>0</v>
      </c>
      <c r="O1247" s="96">
        <f t="shared" si="170"/>
        <v>102377</v>
      </c>
      <c r="P1247" s="96">
        <f t="shared" si="171"/>
        <v>0</v>
      </c>
      <c r="Q1247" s="96">
        <f t="shared" si="169"/>
        <v>102377</v>
      </c>
    </row>
    <row r="1248" spans="2:17" ht="12.75">
      <c r="B1248" s="20">
        <f t="shared" si="164"/>
        <v>632</v>
      </c>
      <c r="C1248" s="10"/>
      <c r="D1248" s="10"/>
      <c r="E1248" s="10"/>
      <c r="F1248" s="30" t="s">
        <v>160</v>
      </c>
      <c r="G1248" s="10">
        <v>610</v>
      </c>
      <c r="H1248" s="10" t="s">
        <v>131</v>
      </c>
      <c r="I1248" s="61">
        <v>37954</v>
      </c>
      <c r="J1248" s="61"/>
      <c r="K1248" s="61">
        <f t="shared" si="165"/>
        <v>37954</v>
      </c>
      <c r="L1248" s="61"/>
      <c r="M1248" s="61"/>
      <c r="N1248" s="61">
        <f t="shared" si="166"/>
        <v>0</v>
      </c>
      <c r="O1248" s="61">
        <f t="shared" si="170"/>
        <v>37954</v>
      </c>
      <c r="P1248" s="61">
        <f t="shared" si="171"/>
        <v>0</v>
      </c>
      <c r="Q1248" s="61">
        <f t="shared" si="169"/>
        <v>37954</v>
      </c>
    </row>
    <row r="1249" spans="2:17" ht="12.75">
      <c r="B1249" s="20">
        <f t="shared" si="164"/>
        <v>633</v>
      </c>
      <c r="C1249" s="10"/>
      <c r="D1249" s="10"/>
      <c r="E1249" s="10"/>
      <c r="F1249" s="30" t="s">
        <v>160</v>
      </c>
      <c r="G1249" s="10">
        <v>620</v>
      </c>
      <c r="H1249" s="10" t="s">
        <v>124</v>
      </c>
      <c r="I1249" s="61">
        <v>14073</v>
      </c>
      <c r="J1249" s="61"/>
      <c r="K1249" s="61">
        <f t="shared" si="165"/>
        <v>14073</v>
      </c>
      <c r="L1249" s="61"/>
      <c r="M1249" s="61"/>
      <c r="N1249" s="61">
        <f t="shared" si="166"/>
        <v>0</v>
      </c>
      <c r="O1249" s="61">
        <f t="shared" si="170"/>
        <v>14073</v>
      </c>
      <c r="P1249" s="61">
        <f t="shared" si="171"/>
        <v>0</v>
      </c>
      <c r="Q1249" s="61">
        <f t="shared" si="169"/>
        <v>14073</v>
      </c>
    </row>
    <row r="1250" spans="2:17" ht="12.75">
      <c r="B1250" s="20">
        <f aca="true" t="shared" si="172" ref="B1250:B1316">B1249+1</f>
        <v>634</v>
      </c>
      <c r="C1250" s="10"/>
      <c r="D1250" s="10"/>
      <c r="E1250" s="10"/>
      <c r="F1250" s="30" t="s">
        <v>160</v>
      </c>
      <c r="G1250" s="10">
        <v>630</v>
      </c>
      <c r="H1250" s="10" t="s">
        <v>121</v>
      </c>
      <c r="I1250" s="61">
        <f>I1253+I1252+I1251</f>
        <v>49900</v>
      </c>
      <c r="J1250" s="61">
        <f>J1253+J1252+J1251</f>
        <v>0</v>
      </c>
      <c r="K1250" s="61">
        <f t="shared" si="165"/>
        <v>49900</v>
      </c>
      <c r="L1250" s="61"/>
      <c r="M1250" s="61"/>
      <c r="N1250" s="61">
        <f t="shared" si="166"/>
        <v>0</v>
      </c>
      <c r="O1250" s="61">
        <f t="shared" si="170"/>
        <v>49900</v>
      </c>
      <c r="P1250" s="61">
        <f t="shared" si="171"/>
        <v>0</v>
      </c>
      <c r="Q1250" s="61">
        <f t="shared" si="169"/>
        <v>49900</v>
      </c>
    </row>
    <row r="1251" spans="2:17" ht="12.75">
      <c r="B1251" s="20">
        <f t="shared" si="172"/>
        <v>635</v>
      </c>
      <c r="C1251" s="4"/>
      <c r="D1251" s="4"/>
      <c r="E1251" s="4"/>
      <c r="F1251" s="31" t="s">
        <v>160</v>
      </c>
      <c r="G1251" s="4">
        <v>633</v>
      </c>
      <c r="H1251" s="4" t="s">
        <v>125</v>
      </c>
      <c r="I1251" s="17">
        <v>47440</v>
      </c>
      <c r="J1251" s="17"/>
      <c r="K1251" s="17">
        <f t="shared" si="165"/>
        <v>47440</v>
      </c>
      <c r="L1251" s="17"/>
      <c r="M1251" s="17"/>
      <c r="N1251" s="17">
        <f t="shared" si="166"/>
        <v>0</v>
      </c>
      <c r="O1251" s="17">
        <f t="shared" si="170"/>
        <v>47440</v>
      </c>
      <c r="P1251" s="17">
        <f t="shared" si="171"/>
        <v>0</v>
      </c>
      <c r="Q1251" s="17">
        <f t="shared" si="169"/>
        <v>47440</v>
      </c>
    </row>
    <row r="1252" spans="2:17" ht="12.75">
      <c r="B1252" s="20">
        <f t="shared" si="172"/>
        <v>636</v>
      </c>
      <c r="C1252" s="4"/>
      <c r="D1252" s="4"/>
      <c r="E1252" s="4"/>
      <c r="F1252" s="31" t="s">
        <v>160</v>
      </c>
      <c r="G1252" s="4">
        <v>635</v>
      </c>
      <c r="H1252" s="4" t="s">
        <v>133</v>
      </c>
      <c r="I1252" s="17">
        <v>1000</v>
      </c>
      <c r="J1252" s="17"/>
      <c r="K1252" s="17">
        <f t="shared" si="165"/>
        <v>1000</v>
      </c>
      <c r="L1252" s="17"/>
      <c r="M1252" s="17"/>
      <c r="N1252" s="17">
        <f t="shared" si="166"/>
        <v>0</v>
      </c>
      <c r="O1252" s="17">
        <f t="shared" si="170"/>
        <v>1000</v>
      </c>
      <c r="P1252" s="17">
        <f t="shared" si="171"/>
        <v>0</v>
      </c>
      <c r="Q1252" s="17">
        <f t="shared" si="169"/>
        <v>1000</v>
      </c>
    </row>
    <row r="1253" spans="2:17" ht="12.75">
      <c r="B1253" s="20">
        <f t="shared" si="172"/>
        <v>637</v>
      </c>
      <c r="C1253" s="4"/>
      <c r="D1253" s="4"/>
      <c r="E1253" s="4"/>
      <c r="F1253" s="31" t="s">
        <v>160</v>
      </c>
      <c r="G1253" s="4">
        <v>637</v>
      </c>
      <c r="H1253" s="4" t="s">
        <v>122</v>
      </c>
      <c r="I1253" s="17">
        <v>1460</v>
      </c>
      <c r="J1253" s="17"/>
      <c r="K1253" s="17">
        <f t="shared" si="165"/>
        <v>1460</v>
      </c>
      <c r="L1253" s="17"/>
      <c r="M1253" s="17"/>
      <c r="N1253" s="17">
        <f t="shared" si="166"/>
        <v>0</v>
      </c>
      <c r="O1253" s="17">
        <f t="shared" si="170"/>
        <v>1460</v>
      </c>
      <c r="P1253" s="17">
        <f t="shared" si="171"/>
        <v>0</v>
      </c>
      <c r="Q1253" s="17">
        <f t="shared" si="169"/>
        <v>1460</v>
      </c>
    </row>
    <row r="1254" spans="2:17" ht="12.75">
      <c r="B1254" s="20">
        <f t="shared" si="172"/>
        <v>638</v>
      </c>
      <c r="C1254" s="10"/>
      <c r="D1254" s="10"/>
      <c r="E1254" s="10"/>
      <c r="F1254" s="30" t="s">
        <v>160</v>
      </c>
      <c r="G1254" s="10">
        <v>640</v>
      </c>
      <c r="H1254" s="10" t="s">
        <v>129</v>
      </c>
      <c r="I1254" s="61">
        <v>450</v>
      </c>
      <c r="J1254" s="61"/>
      <c r="K1254" s="61">
        <f t="shared" si="165"/>
        <v>450</v>
      </c>
      <c r="L1254" s="61"/>
      <c r="M1254" s="61"/>
      <c r="N1254" s="61">
        <f t="shared" si="166"/>
        <v>0</v>
      </c>
      <c r="O1254" s="61">
        <f t="shared" si="170"/>
        <v>450</v>
      </c>
      <c r="P1254" s="61">
        <f t="shared" si="171"/>
        <v>0</v>
      </c>
      <c r="Q1254" s="61">
        <f t="shared" si="169"/>
        <v>450</v>
      </c>
    </row>
    <row r="1255" spans="2:17" ht="12.75">
      <c r="B1255" s="20">
        <f t="shared" si="172"/>
        <v>639</v>
      </c>
      <c r="C1255" s="9"/>
      <c r="D1255" s="9"/>
      <c r="E1255" s="9"/>
      <c r="F1255" s="35"/>
      <c r="G1255" s="9"/>
      <c r="H1255" s="9" t="s">
        <v>79</v>
      </c>
      <c r="I1255" s="96">
        <f>I1256+I1257+I1258+I1262</f>
        <v>72606</v>
      </c>
      <c r="J1255" s="96">
        <f>J1256+J1257+J1258+J1262</f>
        <v>0</v>
      </c>
      <c r="K1255" s="96">
        <f t="shared" si="165"/>
        <v>72606</v>
      </c>
      <c r="L1255" s="96"/>
      <c r="M1255" s="96"/>
      <c r="N1255" s="96">
        <f t="shared" si="166"/>
        <v>0</v>
      </c>
      <c r="O1255" s="96">
        <f t="shared" si="170"/>
        <v>72606</v>
      </c>
      <c r="P1255" s="96">
        <f t="shared" si="171"/>
        <v>0</v>
      </c>
      <c r="Q1255" s="96">
        <f t="shared" si="169"/>
        <v>72606</v>
      </c>
    </row>
    <row r="1256" spans="2:17" ht="12.75">
      <c r="B1256" s="20">
        <f t="shared" si="172"/>
        <v>640</v>
      </c>
      <c r="C1256" s="10"/>
      <c r="D1256" s="10"/>
      <c r="E1256" s="10"/>
      <c r="F1256" s="30" t="s">
        <v>160</v>
      </c>
      <c r="G1256" s="10">
        <v>610</v>
      </c>
      <c r="H1256" s="10" t="s">
        <v>131</v>
      </c>
      <c r="I1256" s="61">
        <v>27974</v>
      </c>
      <c r="J1256" s="61"/>
      <c r="K1256" s="61">
        <f aca="true" t="shared" si="173" ref="K1256:K1322">J1256+I1256</f>
        <v>27974</v>
      </c>
      <c r="L1256" s="61"/>
      <c r="M1256" s="61"/>
      <c r="N1256" s="61">
        <f aca="true" t="shared" si="174" ref="N1256:N1322">M1256+L1256</f>
        <v>0</v>
      </c>
      <c r="O1256" s="61">
        <f t="shared" si="170"/>
        <v>27974</v>
      </c>
      <c r="P1256" s="61">
        <f t="shared" si="171"/>
        <v>0</v>
      </c>
      <c r="Q1256" s="61">
        <f t="shared" si="169"/>
        <v>27974</v>
      </c>
    </row>
    <row r="1257" spans="2:17" ht="12.75">
      <c r="B1257" s="20">
        <f t="shared" si="172"/>
        <v>641</v>
      </c>
      <c r="C1257" s="10"/>
      <c r="D1257" s="10"/>
      <c r="E1257" s="10"/>
      <c r="F1257" s="30" t="s">
        <v>160</v>
      </c>
      <c r="G1257" s="10">
        <v>620</v>
      </c>
      <c r="H1257" s="10" t="s">
        <v>124</v>
      </c>
      <c r="I1257" s="61">
        <v>10191</v>
      </c>
      <c r="J1257" s="61"/>
      <c r="K1257" s="61">
        <f t="shared" si="173"/>
        <v>10191</v>
      </c>
      <c r="L1257" s="61"/>
      <c r="M1257" s="61"/>
      <c r="N1257" s="61">
        <f t="shared" si="174"/>
        <v>0</v>
      </c>
      <c r="O1257" s="61">
        <f t="shared" si="170"/>
        <v>10191</v>
      </c>
      <c r="P1257" s="61">
        <f t="shared" si="171"/>
        <v>0</v>
      </c>
      <c r="Q1257" s="61">
        <f t="shared" si="169"/>
        <v>10191</v>
      </c>
    </row>
    <row r="1258" spans="2:17" ht="12.75">
      <c r="B1258" s="20">
        <f t="shared" si="172"/>
        <v>642</v>
      </c>
      <c r="C1258" s="10"/>
      <c r="D1258" s="10"/>
      <c r="E1258" s="10"/>
      <c r="F1258" s="30" t="s">
        <v>160</v>
      </c>
      <c r="G1258" s="10">
        <v>630</v>
      </c>
      <c r="H1258" s="10" t="s">
        <v>121</v>
      </c>
      <c r="I1258" s="61">
        <f>I1261+I1260+I1259</f>
        <v>33991</v>
      </c>
      <c r="J1258" s="61">
        <f>J1261+J1260+J1259</f>
        <v>0</v>
      </c>
      <c r="K1258" s="61">
        <f t="shared" si="173"/>
        <v>33991</v>
      </c>
      <c r="L1258" s="61"/>
      <c r="M1258" s="61"/>
      <c r="N1258" s="61">
        <f t="shared" si="174"/>
        <v>0</v>
      </c>
      <c r="O1258" s="61">
        <f t="shared" si="170"/>
        <v>33991</v>
      </c>
      <c r="P1258" s="61">
        <f t="shared" si="171"/>
        <v>0</v>
      </c>
      <c r="Q1258" s="61">
        <f t="shared" si="169"/>
        <v>33991</v>
      </c>
    </row>
    <row r="1259" spans="2:17" ht="12.75">
      <c r="B1259" s="20">
        <f t="shared" si="172"/>
        <v>643</v>
      </c>
      <c r="C1259" s="4"/>
      <c r="D1259" s="4"/>
      <c r="E1259" s="4"/>
      <c r="F1259" s="31" t="s">
        <v>160</v>
      </c>
      <c r="G1259" s="4">
        <v>633</v>
      </c>
      <c r="H1259" s="4" t="s">
        <v>125</v>
      </c>
      <c r="I1259" s="17">
        <f>32431-1000</f>
        <v>31431</v>
      </c>
      <c r="J1259" s="17"/>
      <c r="K1259" s="17">
        <f t="shared" si="173"/>
        <v>31431</v>
      </c>
      <c r="L1259" s="17"/>
      <c r="M1259" s="17"/>
      <c r="N1259" s="17">
        <f t="shared" si="174"/>
        <v>0</v>
      </c>
      <c r="O1259" s="17">
        <f t="shared" si="170"/>
        <v>31431</v>
      </c>
      <c r="P1259" s="17">
        <f t="shared" si="171"/>
        <v>0</v>
      </c>
      <c r="Q1259" s="17">
        <f t="shared" si="169"/>
        <v>31431</v>
      </c>
    </row>
    <row r="1260" spans="2:17" ht="12.75">
      <c r="B1260" s="20">
        <f t="shared" si="172"/>
        <v>644</v>
      </c>
      <c r="C1260" s="4"/>
      <c r="D1260" s="4"/>
      <c r="E1260" s="4"/>
      <c r="F1260" s="31" t="s">
        <v>160</v>
      </c>
      <c r="G1260" s="4">
        <v>635</v>
      </c>
      <c r="H1260" s="4" t="s">
        <v>133</v>
      </c>
      <c r="I1260" s="17">
        <f>500+1000</f>
        <v>1500</v>
      </c>
      <c r="J1260" s="17"/>
      <c r="K1260" s="17">
        <f t="shared" si="173"/>
        <v>1500</v>
      </c>
      <c r="L1260" s="17"/>
      <c r="M1260" s="17"/>
      <c r="N1260" s="17">
        <f t="shared" si="174"/>
        <v>0</v>
      </c>
      <c r="O1260" s="17">
        <f t="shared" si="170"/>
        <v>1500</v>
      </c>
      <c r="P1260" s="17">
        <f t="shared" si="171"/>
        <v>0</v>
      </c>
      <c r="Q1260" s="17">
        <f t="shared" si="169"/>
        <v>1500</v>
      </c>
    </row>
    <row r="1261" spans="2:17" ht="12.75">
      <c r="B1261" s="20">
        <f t="shared" si="172"/>
        <v>645</v>
      </c>
      <c r="C1261" s="4"/>
      <c r="D1261" s="4"/>
      <c r="E1261" s="4"/>
      <c r="F1261" s="31" t="s">
        <v>160</v>
      </c>
      <c r="G1261" s="4">
        <v>637</v>
      </c>
      <c r="H1261" s="4" t="s">
        <v>122</v>
      </c>
      <c r="I1261" s="17">
        <v>1060</v>
      </c>
      <c r="J1261" s="17"/>
      <c r="K1261" s="17">
        <f t="shared" si="173"/>
        <v>1060</v>
      </c>
      <c r="L1261" s="17"/>
      <c r="M1261" s="17"/>
      <c r="N1261" s="17">
        <f t="shared" si="174"/>
        <v>0</v>
      </c>
      <c r="O1261" s="17">
        <f t="shared" si="170"/>
        <v>1060</v>
      </c>
      <c r="P1261" s="17">
        <f t="shared" si="171"/>
        <v>0</v>
      </c>
      <c r="Q1261" s="17">
        <f t="shared" si="169"/>
        <v>1060</v>
      </c>
    </row>
    <row r="1262" spans="2:17" ht="12.75">
      <c r="B1262" s="20">
        <f t="shared" si="172"/>
        <v>646</v>
      </c>
      <c r="C1262" s="10"/>
      <c r="D1262" s="10"/>
      <c r="E1262" s="10"/>
      <c r="F1262" s="30" t="s">
        <v>160</v>
      </c>
      <c r="G1262" s="10">
        <v>640</v>
      </c>
      <c r="H1262" s="10" t="s">
        <v>129</v>
      </c>
      <c r="I1262" s="61">
        <v>450</v>
      </c>
      <c r="J1262" s="61"/>
      <c r="K1262" s="61">
        <f t="shared" si="173"/>
        <v>450</v>
      </c>
      <c r="L1262" s="61"/>
      <c r="M1262" s="61"/>
      <c r="N1262" s="61">
        <f t="shared" si="174"/>
        <v>0</v>
      </c>
      <c r="O1262" s="61">
        <f t="shared" si="170"/>
        <v>450</v>
      </c>
      <c r="P1262" s="61">
        <f t="shared" si="171"/>
        <v>0</v>
      </c>
      <c r="Q1262" s="61">
        <f t="shared" si="169"/>
        <v>450</v>
      </c>
    </row>
    <row r="1263" spans="2:17" ht="12.75">
      <c r="B1263" s="20">
        <f t="shared" si="172"/>
        <v>647</v>
      </c>
      <c r="C1263" s="9"/>
      <c r="D1263" s="9"/>
      <c r="E1263" s="9"/>
      <c r="F1263" s="35"/>
      <c r="G1263" s="9"/>
      <c r="H1263" s="9" t="s">
        <v>99</v>
      </c>
      <c r="I1263" s="96">
        <f>I1264+I1265+I1266+I1270</f>
        <v>42975</v>
      </c>
      <c r="J1263" s="96">
        <f>J1264+J1265+J1266+J1270</f>
        <v>0</v>
      </c>
      <c r="K1263" s="96">
        <f t="shared" si="173"/>
        <v>42975</v>
      </c>
      <c r="L1263" s="96"/>
      <c r="M1263" s="96"/>
      <c r="N1263" s="96">
        <f t="shared" si="174"/>
        <v>0</v>
      </c>
      <c r="O1263" s="96">
        <f t="shared" si="170"/>
        <v>42975</v>
      </c>
      <c r="P1263" s="96">
        <f t="shared" si="171"/>
        <v>0</v>
      </c>
      <c r="Q1263" s="96">
        <f t="shared" si="169"/>
        <v>42975</v>
      </c>
    </row>
    <row r="1264" spans="2:17" ht="12.75">
      <c r="B1264" s="20">
        <f t="shared" si="172"/>
        <v>648</v>
      </c>
      <c r="C1264" s="10"/>
      <c r="D1264" s="10"/>
      <c r="E1264" s="10"/>
      <c r="F1264" s="30" t="s">
        <v>160</v>
      </c>
      <c r="G1264" s="10">
        <v>610</v>
      </c>
      <c r="H1264" s="10" t="s">
        <v>131</v>
      </c>
      <c r="I1264" s="61">
        <v>16018</v>
      </c>
      <c r="J1264" s="61"/>
      <c r="K1264" s="61">
        <f t="shared" si="173"/>
        <v>16018</v>
      </c>
      <c r="L1264" s="61"/>
      <c r="M1264" s="61"/>
      <c r="N1264" s="61">
        <f t="shared" si="174"/>
        <v>0</v>
      </c>
      <c r="O1264" s="61">
        <f t="shared" si="170"/>
        <v>16018</v>
      </c>
      <c r="P1264" s="61">
        <f t="shared" si="171"/>
        <v>0</v>
      </c>
      <c r="Q1264" s="61">
        <f t="shared" si="169"/>
        <v>16018</v>
      </c>
    </row>
    <row r="1265" spans="2:17" ht="12.75">
      <c r="B1265" s="20">
        <f t="shared" si="172"/>
        <v>649</v>
      </c>
      <c r="C1265" s="10"/>
      <c r="D1265" s="10"/>
      <c r="E1265" s="10"/>
      <c r="F1265" s="30" t="s">
        <v>160</v>
      </c>
      <c r="G1265" s="10">
        <v>620</v>
      </c>
      <c r="H1265" s="10" t="s">
        <v>124</v>
      </c>
      <c r="I1265" s="61">
        <v>5693</v>
      </c>
      <c r="J1265" s="61"/>
      <c r="K1265" s="61">
        <f t="shared" si="173"/>
        <v>5693</v>
      </c>
      <c r="L1265" s="61"/>
      <c r="M1265" s="61"/>
      <c r="N1265" s="61">
        <f t="shared" si="174"/>
        <v>0</v>
      </c>
      <c r="O1265" s="61">
        <f t="shared" si="170"/>
        <v>5693</v>
      </c>
      <c r="P1265" s="61">
        <f t="shared" si="171"/>
        <v>0</v>
      </c>
      <c r="Q1265" s="61">
        <f t="shared" si="169"/>
        <v>5693</v>
      </c>
    </row>
    <row r="1266" spans="2:17" ht="12.75">
      <c r="B1266" s="20">
        <f t="shared" si="172"/>
        <v>650</v>
      </c>
      <c r="C1266" s="10"/>
      <c r="D1266" s="10"/>
      <c r="E1266" s="10"/>
      <c r="F1266" s="30" t="s">
        <v>160</v>
      </c>
      <c r="G1266" s="10">
        <v>630</v>
      </c>
      <c r="H1266" s="10" t="s">
        <v>121</v>
      </c>
      <c r="I1266" s="61">
        <f>I1269+I1268+I1267</f>
        <v>19312</v>
      </c>
      <c r="J1266" s="61">
        <f>J1269+J1268+J1267</f>
        <v>0</v>
      </c>
      <c r="K1266" s="61">
        <f t="shared" si="173"/>
        <v>19312</v>
      </c>
      <c r="L1266" s="61"/>
      <c r="M1266" s="61"/>
      <c r="N1266" s="61">
        <f t="shared" si="174"/>
        <v>0</v>
      </c>
      <c r="O1266" s="61">
        <f t="shared" si="170"/>
        <v>19312</v>
      </c>
      <c r="P1266" s="61">
        <f t="shared" si="171"/>
        <v>0</v>
      </c>
      <c r="Q1266" s="61">
        <f t="shared" si="169"/>
        <v>19312</v>
      </c>
    </row>
    <row r="1267" spans="2:17" ht="12.75">
      <c r="B1267" s="20">
        <f t="shared" si="172"/>
        <v>651</v>
      </c>
      <c r="C1267" s="4"/>
      <c r="D1267" s="4"/>
      <c r="E1267" s="4"/>
      <c r="F1267" s="31" t="s">
        <v>160</v>
      </c>
      <c r="G1267" s="4">
        <v>633</v>
      </c>
      <c r="H1267" s="4" t="s">
        <v>125</v>
      </c>
      <c r="I1267" s="17">
        <v>16722</v>
      </c>
      <c r="J1267" s="17"/>
      <c r="K1267" s="17">
        <f t="shared" si="173"/>
        <v>16722</v>
      </c>
      <c r="L1267" s="17"/>
      <c r="M1267" s="17"/>
      <c r="N1267" s="17">
        <f t="shared" si="174"/>
        <v>0</v>
      </c>
      <c r="O1267" s="17">
        <f t="shared" si="170"/>
        <v>16722</v>
      </c>
      <c r="P1267" s="17">
        <f t="shared" si="171"/>
        <v>0</v>
      </c>
      <c r="Q1267" s="17">
        <f t="shared" si="169"/>
        <v>16722</v>
      </c>
    </row>
    <row r="1268" spans="2:17" ht="12.75">
      <c r="B1268" s="20">
        <f t="shared" si="172"/>
        <v>652</v>
      </c>
      <c r="C1268" s="4"/>
      <c r="D1268" s="4"/>
      <c r="E1268" s="4"/>
      <c r="F1268" s="31" t="s">
        <v>160</v>
      </c>
      <c r="G1268" s="4">
        <v>635</v>
      </c>
      <c r="H1268" s="4" t="s">
        <v>133</v>
      </c>
      <c r="I1268" s="17">
        <v>1700</v>
      </c>
      <c r="J1268" s="17"/>
      <c r="K1268" s="17">
        <f t="shared" si="173"/>
        <v>1700</v>
      </c>
      <c r="L1268" s="17"/>
      <c r="M1268" s="17"/>
      <c r="N1268" s="17">
        <f t="shared" si="174"/>
        <v>0</v>
      </c>
      <c r="O1268" s="17">
        <f t="shared" si="170"/>
        <v>1700</v>
      </c>
      <c r="P1268" s="17">
        <f t="shared" si="171"/>
        <v>0</v>
      </c>
      <c r="Q1268" s="17">
        <f t="shared" si="169"/>
        <v>1700</v>
      </c>
    </row>
    <row r="1269" spans="2:17" ht="12.75">
      <c r="B1269" s="20">
        <f t="shared" si="172"/>
        <v>653</v>
      </c>
      <c r="C1269" s="4"/>
      <c r="D1269" s="4"/>
      <c r="E1269" s="4"/>
      <c r="F1269" s="31" t="s">
        <v>160</v>
      </c>
      <c r="G1269" s="4">
        <v>637</v>
      </c>
      <c r="H1269" s="4" t="s">
        <v>122</v>
      </c>
      <c r="I1269" s="17">
        <v>890</v>
      </c>
      <c r="J1269" s="17"/>
      <c r="K1269" s="17">
        <f t="shared" si="173"/>
        <v>890</v>
      </c>
      <c r="L1269" s="17"/>
      <c r="M1269" s="17"/>
      <c r="N1269" s="17">
        <f t="shared" si="174"/>
        <v>0</v>
      </c>
      <c r="O1269" s="17">
        <f t="shared" si="170"/>
        <v>890</v>
      </c>
      <c r="P1269" s="17">
        <f t="shared" si="171"/>
        <v>0</v>
      </c>
      <c r="Q1269" s="17">
        <f t="shared" si="169"/>
        <v>890</v>
      </c>
    </row>
    <row r="1270" spans="2:17" ht="12.75">
      <c r="B1270" s="20">
        <f t="shared" si="172"/>
        <v>654</v>
      </c>
      <c r="C1270" s="10"/>
      <c r="D1270" s="10"/>
      <c r="E1270" s="10"/>
      <c r="F1270" s="30" t="s">
        <v>160</v>
      </c>
      <c r="G1270" s="10">
        <v>640</v>
      </c>
      <c r="H1270" s="10" t="s">
        <v>129</v>
      </c>
      <c r="I1270" s="61">
        <v>1952</v>
      </c>
      <c r="J1270" s="61"/>
      <c r="K1270" s="61">
        <f t="shared" si="173"/>
        <v>1952</v>
      </c>
      <c r="L1270" s="61"/>
      <c r="M1270" s="61"/>
      <c r="N1270" s="61">
        <f t="shared" si="174"/>
        <v>0</v>
      </c>
      <c r="O1270" s="61">
        <f aca="true" t="shared" si="175" ref="O1270:O1301">I1270+L1270</f>
        <v>1952</v>
      </c>
      <c r="P1270" s="61">
        <f aca="true" t="shared" si="176" ref="P1270:P1301">J1270+M1270</f>
        <v>0</v>
      </c>
      <c r="Q1270" s="61">
        <f t="shared" si="169"/>
        <v>1952</v>
      </c>
    </row>
    <row r="1271" spans="2:17" ht="12.75">
      <c r="B1271" s="20">
        <f t="shared" si="172"/>
        <v>655</v>
      </c>
      <c r="C1271" s="9"/>
      <c r="D1271" s="9"/>
      <c r="E1271" s="9"/>
      <c r="F1271" s="35"/>
      <c r="G1271" s="9"/>
      <c r="H1271" s="9" t="s">
        <v>200</v>
      </c>
      <c r="I1271" s="96">
        <f>I1272+I1273+I1274+I1278</f>
        <v>66975</v>
      </c>
      <c r="J1271" s="96">
        <f>J1272+J1273+J1274+J1278</f>
        <v>0</v>
      </c>
      <c r="K1271" s="96">
        <f t="shared" si="173"/>
        <v>66975</v>
      </c>
      <c r="L1271" s="96"/>
      <c r="M1271" s="96"/>
      <c r="N1271" s="96">
        <f t="shared" si="174"/>
        <v>0</v>
      </c>
      <c r="O1271" s="96">
        <f t="shared" si="175"/>
        <v>66975</v>
      </c>
      <c r="P1271" s="96">
        <f t="shared" si="176"/>
        <v>0</v>
      </c>
      <c r="Q1271" s="96">
        <f t="shared" si="169"/>
        <v>66975</v>
      </c>
    </row>
    <row r="1272" spans="2:17" s="106" customFormat="1" ht="12.75">
      <c r="B1272" s="20">
        <f t="shared" si="172"/>
        <v>656</v>
      </c>
      <c r="C1272" s="10"/>
      <c r="D1272" s="10"/>
      <c r="E1272" s="10"/>
      <c r="F1272" s="30" t="s">
        <v>160</v>
      </c>
      <c r="G1272" s="10">
        <v>610</v>
      </c>
      <c r="H1272" s="10" t="s">
        <v>131</v>
      </c>
      <c r="I1272" s="61">
        <v>22206</v>
      </c>
      <c r="J1272" s="61"/>
      <c r="K1272" s="61">
        <f t="shared" si="173"/>
        <v>22206</v>
      </c>
      <c r="L1272" s="61"/>
      <c r="M1272" s="61"/>
      <c r="N1272" s="61">
        <f t="shared" si="174"/>
        <v>0</v>
      </c>
      <c r="O1272" s="61">
        <f t="shared" si="175"/>
        <v>22206</v>
      </c>
      <c r="P1272" s="61">
        <f t="shared" si="176"/>
        <v>0</v>
      </c>
      <c r="Q1272" s="61">
        <f t="shared" si="169"/>
        <v>22206</v>
      </c>
    </row>
    <row r="1273" spans="2:17" ht="12.75">
      <c r="B1273" s="20">
        <f t="shared" si="172"/>
        <v>657</v>
      </c>
      <c r="C1273" s="10"/>
      <c r="D1273" s="10"/>
      <c r="E1273" s="10"/>
      <c r="F1273" s="30" t="s">
        <v>160</v>
      </c>
      <c r="G1273" s="10">
        <v>620</v>
      </c>
      <c r="H1273" s="10" t="s">
        <v>124</v>
      </c>
      <c r="I1273" s="61">
        <v>8047</v>
      </c>
      <c r="J1273" s="61"/>
      <c r="K1273" s="61">
        <f t="shared" si="173"/>
        <v>8047</v>
      </c>
      <c r="L1273" s="61"/>
      <c r="M1273" s="61"/>
      <c r="N1273" s="61">
        <f t="shared" si="174"/>
        <v>0</v>
      </c>
      <c r="O1273" s="61">
        <f t="shared" si="175"/>
        <v>8047</v>
      </c>
      <c r="P1273" s="61">
        <f t="shared" si="176"/>
        <v>0</v>
      </c>
      <c r="Q1273" s="61">
        <f t="shared" si="169"/>
        <v>8047</v>
      </c>
    </row>
    <row r="1274" spans="2:17" ht="12.75">
      <c r="B1274" s="20">
        <f t="shared" si="172"/>
        <v>658</v>
      </c>
      <c r="C1274" s="10"/>
      <c r="D1274" s="10"/>
      <c r="E1274" s="10"/>
      <c r="F1274" s="30" t="s">
        <v>160</v>
      </c>
      <c r="G1274" s="10">
        <v>630</v>
      </c>
      <c r="H1274" s="10" t="s">
        <v>121</v>
      </c>
      <c r="I1274" s="61">
        <f>I1277+I1276+I1275</f>
        <v>34899</v>
      </c>
      <c r="J1274" s="61">
        <f>J1277+J1276+J1275</f>
        <v>0</v>
      </c>
      <c r="K1274" s="61">
        <f t="shared" si="173"/>
        <v>34899</v>
      </c>
      <c r="L1274" s="61"/>
      <c r="M1274" s="61"/>
      <c r="N1274" s="61">
        <f t="shared" si="174"/>
        <v>0</v>
      </c>
      <c r="O1274" s="61">
        <f t="shared" si="175"/>
        <v>34899</v>
      </c>
      <c r="P1274" s="61">
        <f t="shared" si="176"/>
        <v>0</v>
      </c>
      <c r="Q1274" s="61">
        <f t="shared" si="169"/>
        <v>34899</v>
      </c>
    </row>
    <row r="1275" spans="2:17" ht="12.75">
      <c r="B1275" s="20">
        <f t="shared" si="172"/>
        <v>659</v>
      </c>
      <c r="C1275" s="4"/>
      <c r="D1275" s="4"/>
      <c r="E1275" s="4"/>
      <c r="F1275" s="31" t="s">
        <v>160</v>
      </c>
      <c r="G1275" s="4">
        <v>633</v>
      </c>
      <c r="H1275" s="4" t="s">
        <v>125</v>
      </c>
      <c r="I1275" s="17">
        <v>31949</v>
      </c>
      <c r="J1275" s="17"/>
      <c r="K1275" s="17">
        <f t="shared" si="173"/>
        <v>31949</v>
      </c>
      <c r="L1275" s="17"/>
      <c r="M1275" s="17"/>
      <c r="N1275" s="17">
        <f t="shared" si="174"/>
        <v>0</v>
      </c>
      <c r="O1275" s="17">
        <f t="shared" si="175"/>
        <v>31949</v>
      </c>
      <c r="P1275" s="17">
        <f t="shared" si="176"/>
        <v>0</v>
      </c>
      <c r="Q1275" s="17">
        <f t="shared" si="169"/>
        <v>31949</v>
      </c>
    </row>
    <row r="1276" spans="2:17" ht="12.75">
      <c r="B1276" s="20">
        <f t="shared" si="172"/>
        <v>660</v>
      </c>
      <c r="C1276" s="4"/>
      <c r="D1276" s="4"/>
      <c r="E1276" s="4"/>
      <c r="F1276" s="31" t="s">
        <v>160</v>
      </c>
      <c r="G1276" s="4">
        <v>635</v>
      </c>
      <c r="H1276" s="4" t="s">
        <v>133</v>
      </c>
      <c r="I1276" s="17">
        <v>2000</v>
      </c>
      <c r="J1276" s="17"/>
      <c r="K1276" s="17">
        <f t="shared" si="173"/>
        <v>2000</v>
      </c>
      <c r="L1276" s="17"/>
      <c r="M1276" s="17"/>
      <c r="N1276" s="17">
        <f t="shared" si="174"/>
        <v>0</v>
      </c>
      <c r="O1276" s="17">
        <f t="shared" si="175"/>
        <v>2000</v>
      </c>
      <c r="P1276" s="17">
        <f t="shared" si="176"/>
        <v>0</v>
      </c>
      <c r="Q1276" s="17">
        <f t="shared" si="169"/>
        <v>2000</v>
      </c>
    </row>
    <row r="1277" spans="2:17" ht="12.75">
      <c r="B1277" s="20">
        <f t="shared" si="172"/>
        <v>661</v>
      </c>
      <c r="C1277" s="4"/>
      <c r="D1277" s="4"/>
      <c r="E1277" s="4"/>
      <c r="F1277" s="31" t="s">
        <v>160</v>
      </c>
      <c r="G1277" s="4">
        <v>637</v>
      </c>
      <c r="H1277" s="4" t="s">
        <v>122</v>
      </c>
      <c r="I1277" s="17">
        <v>950</v>
      </c>
      <c r="J1277" s="17"/>
      <c r="K1277" s="17">
        <f t="shared" si="173"/>
        <v>950</v>
      </c>
      <c r="L1277" s="17"/>
      <c r="M1277" s="17"/>
      <c r="N1277" s="17">
        <f t="shared" si="174"/>
        <v>0</v>
      </c>
      <c r="O1277" s="17">
        <f t="shared" si="175"/>
        <v>950</v>
      </c>
      <c r="P1277" s="17">
        <f t="shared" si="176"/>
        <v>0</v>
      </c>
      <c r="Q1277" s="17">
        <f t="shared" si="169"/>
        <v>950</v>
      </c>
    </row>
    <row r="1278" spans="2:17" ht="12.75">
      <c r="B1278" s="20">
        <f t="shared" si="172"/>
        <v>662</v>
      </c>
      <c r="C1278" s="10"/>
      <c r="D1278" s="10"/>
      <c r="E1278" s="10"/>
      <c r="F1278" s="30" t="s">
        <v>160</v>
      </c>
      <c r="G1278" s="10">
        <v>640</v>
      </c>
      <c r="H1278" s="10" t="s">
        <v>129</v>
      </c>
      <c r="I1278" s="61">
        <v>1823</v>
      </c>
      <c r="J1278" s="61"/>
      <c r="K1278" s="61">
        <f t="shared" si="173"/>
        <v>1823</v>
      </c>
      <c r="L1278" s="61"/>
      <c r="M1278" s="61"/>
      <c r="N1278" s="61">
        <f t="shared" si="174"/>
        <v>0</v>
      </c>
      <c r="O1278" s="61">
        <f t="shared" si="175"/>
        <v>1823</v>
      </c>
      <c r="P1278" s="61">
        <f t="shared" si="176"/>
        <v>0</v>
      </c>
      <c r="Q1278" s="61">
        <f t="shared" si="169"/>
        <v>1823</v>
      </c>
    </row>
    <row r="1279" spans="2:17" ht="12.75">
      <c r="B1279" s="20">
        <f t="shared" si="172"/>
        <v>663</v>
      </c>
      <c r="C1279" s="9"/>
      <c r="D1279" s="9"/>
      <c r="E1279" s="9"/>
      <c r="F1279" s="35"/>
      <c r="G1279" s="9"/>
      <c r="H1279" s="9" t="s">
        <v>96</v>
      </c>
      <c r="I1279" s="96">
        <f>I1280+I1281+I1282+I1287</f>
        <v>123460</v>
      </c>
      <c r="J1279" s="96">
        <f>J1280+J1281+J1282+J1287</f>
        <v>0</v>
      </c>
      <c r="K1279" s="96">
        <f t="shared" si="173"/>
        <v>123460</v>
      </c>
      <c r="L1279" s="96"/>
      <c r="M1279" s="96"/>
      <c r="N1279" s="96">
        <f t="shared" si="174"/>
        <v>0</v>
      </c>
      <c r="O1279" s="96">
        <f t="shared" si="175"/>
        <v>123460</v>
      </c>
      <c r="P1279" s="96">
        <f t="shared" si="176"/>
        <v>0</v>
      </c>
      <c r="Q1279" s="96">
        <f t="shared" si="169"/>
        <v>123460</v>
      </c>
    </row>
    <row r="1280" spans="2:17" ht="12.75">
      <c r="B1280" s="20">
        <f t="shared" si="172"/>
        <v>664</v>
      </c>
      <c r="C1280" s="10"/>
      <c r="D1280" s="10"/>
      <c r="E1280" s="10"/>
      <c r="F1280" s="30" t="s">
        <v>160</v>
      </c>
      <c r="G1280" s="10">
        <v>610</v>
      </c>
      <c r="H1280" s="10" t="s">
        <v>131</v>
      </c>
      <c r="I1280" s="61">
        <v>45877</v>
      </c>
      <c r="J1280" s="61"/>
      <c r="K1280" s="61">
        <f t="shared" si="173"/>
        <v>45877</v>
      </c>
      <c r="L1280" s="61"/>
      <c r="M1280" s="61"/>
      <c r="N1280" s="61">
        <f t="shared" si="174"/>
        <v>0</v>
      </c>
      <c r="O1280" s="61">
        <f t="shared" si="175"/>
        <v>45877</v>
      </c>
      <c r="P1280" s="61">
        <f t="shared" si="176"/>
        <v>0</v>
      </c>
      <c r="Q1280" s="61">
        <f t="shared" si="169"/>
        <v>45877</v>
      </c>
    </row>
    <row r="1281" spans="2:17" ht="12.75">
      <c r="B1281" s="20">
        <f t="shared" si="172"/>
        <v>665</v>
      </c>
      <c r="C1281" s="10"/>
      <c r="D1281" s="10"/>
      <c r="E1281" s="10"/>
      <c r="F1281" s="30" t="s">
        <v>160</v>
      </c>
      <c r="G1281" s="10">
        <v>620</v>
      </c>
      <c r="H1281" s="10" t="s">
        <v>124</v>
      </c>
      <c r="I1281" s="61">
        <v>16682</v>
      </c>
      <c r="J1281" s="61"/>
      <c r="K1281" s="61">
        <f t="shared" si="173"/>
        <v>16682</v>
      </c>
      <c r="L1281" s="61"/>
      <c r="M1281" s="61"/>
      <c r="N1281" s="61">
        <f t="shared" si="174"/>
        <v>0</v>
      </c>
      <c r="O1281" s="61">
        <f t="shared" si="175"/>
        <v>16682</v>
      </c>
      <c r="P1281" s="61">
        <f t="shared" si="176"/>
        <v>0</v>
      </c>
      <c r="Q1281" s="61">
        <f t="shared" si="169"/>
        <v>16682</v>
      </c>
    </row>
    <row r="1282" spans="2:17" ht="12.75">
      <c r="B1282" s="20">
        <f t="shared" si="172"/>
        <v>666</v>
      </c>
      <c r="C1282" s="10"/>
      <c r="D1282" s="10"/>
      <c r="E1282" s="10"/>
      <c r="F1282" s="30" t="s">
        <v>160</v>
      </c>
      <c r="G1282" s="10">
        <v>630</v>
      </c>
      <c r="H1282" s="10" t="s">
        <v>121</v>
      </c>
      <c r="I1282" s="61">
        <f>I1286+I1285+I1284+I1283</f>
        <v>59485</v>
      </c>
      <c r="J1282" s="61">
        <f>J1286+J1285+J1284+J1283</f>
        <v>0</v>
      </c>
      <c r="K1282" s="61">
        <f t="shared" si="173"/>
        <v>59485</v>
      </c>
      <c r="L1282" s="61"/>
      <c r="M1282" s="61"/>
      <c r="N1282" s="61">
        <f t="shared" si="174"/>
        <v>0</v>
      </c>
      <c r="O1282" s="61">
        <f t="shared" si="175"/>
        <v>59485</v>
      </c>
      <c r="P1282" s="61">
        <f t="shared" si="176"/>
        <v>0</v>
      </c>
      <c r="Q1282" s="61">
        <f t="shared" si="169"/>
        <v>59485</v>
      </c>
    </row>
    <row r="1283" spans="2:17" ht="12.75">
      <c r="B1283" s="20">
        <f t="shared" si="172"/>
        <v>667</v>
      </c>
      <c r="C1283" s="4"/>
      <c r="D1283" s="4"/>
      <c r="E1283" s="4"/>
      <c r="F1283" s="31" t="s">
        <v>160</v>
      </c>
      <c r="G1283" s="4">
        <v>632</v>
      </c>
      <c r="H1283" s="4" t="s">
        <v>134</v>
      </c>
      <c r="I1283" s="17">
        <v>430</v>
      </c>
      <c r="J1283" s="17"/>
      <c r="K1283" s="17">
        <f t="shared" si="173"/>
        <v>430</v>
      </c>
      <c r="L1283" s="17"/>
      <c r="M1283" s="17"/>
      <c r="N1283" s="17">
        <f t="shared" si="174"/>
        <v>0</v>
      </c>
      <c r="O1283" s="17">
        <f t="shared" si="175"/>
        <v>430</v>
      </c>
      <c r="P1283" s="17">
        <f t="shared" si="176"/>
        <v>0</v>
      </c>
      <c r="Q1283" s="17">
        <f t="shared" si="169"/>
        <v>430</v>
      </c>
    </row>
    <row r="1284" spans="2:17" ht="12.75">
      <c r="B1284" s="20">
        <f t="shared" si="172"/>
        <v>668</v>
      </c>
      <c r="C1284" s="4"/>
      <c r="D1284" s="4"/>
      <c r="E1284" s="4"/>
      <c r="F1284" s="31" t="s">
        <v>160</v>
      </c>
      <c r="G1284" s="4">
        <v>633</v>
      </c>
      <c r="H1284" s="4" t="s">
        <v>125</v>
      </c>
      <c r="I1284" s="17">
        <v>51699</v>
      </c>
      <c r="J1284" s="17"/>
      <c r="K1284" s="17">
        <f t="shared" si="173"/>
        <v>51699</v>
      </c>
      <c r="L1284" s="17"/>
      <c r="M1284" s="17"/>
      <c r="N1284" s="17">
        <f t="shared" si="174"/>
        <v>0</v>
      </c>
      <c r="O1284" s="17">
        <f t="shared" si="175"/>
        <v>51699</v>
      </c>
      <c r="P1284" s="17">
        <f t="shared" si="176"/>
        <v>0</v>
      </c>
      <c r="Q1284" s="17">
        <f t="shared" si="169"/>
        <v>51699</v>
      </c>
    </row>
    <row r="1285" spans="2:17" ht="12.75">
      <c r="B1285" s="20">
        <f t="shared" si="172"/>
        <v>669</v>
      </c>
      <c r="C1285" s="4"/>
      <c r="D1285" s="4"/>
      <c r="E1285" s="4"/>
      <c r="F1285" s="31" t="s">
        <v>160</v>
      </c>
      <c r="G1285" s="4">
        <v>635</v>
      </c>
      <c r="H1285" s="4" t="s">
        <v>133</v>
      </c>
      <c r="I1285" s="17">
        <v>4000</v>
      </c>
      <c r="J1285" s="17"/>
      <c r="K1285" s="17">
        <f t="shared" si="173"/>
        <v>4000</v>
      </c>
      <c r="L1285" s="17"/>
      <c r="M1285" s="17"/>
      <c r="N1285" s="17">
        <f t="shared" si="174"/>
        <v>0</v>
      </c>
      <c r="O1285" s="17">
        <f t="shared" si="175"/>
        <v>4000</v>
      </c>
      <c r="P1285" s="17">
        <f t="shared" si="176"/>
        <v>0</v>
      </c>
      <c r="Q1285" s="17">
        <f t="shared" si="169"/>
        <v>4000</v>
      </c>
    </row>
    <row r="1286" spans="2:17" ht="13.5" customHeight="1">
      <c r="B1286" s="20">
        <f t="shared" si="172"/>
        <v>670</v>
      </c>
      <c r="C1286" s="4"/>
      <c r="D1286" s="4"/>
      <c r="E1286" s="4"/>
      <c r="F1286" s="31" t="s">
        <v>160</v>
      </c>
      <c r="G1286" s="4">
        <v>637</v>
      </c>
      <c r="H1286" s="4" t="s">
        <v>122</v>
      </c>
      <c r="I1286" s="17">
        <v>3356</v>
      </c>
      <c r="J1286" s="17"/>
      <c r="K1286" s="17">
        <f t="shared" si="173"/>
        <v>3356</v>
      </c>
      <c r="L1286" s="17"/>
      <c r="M1286" s="17"/>
      <c r="N1286" s="17">
        <f t="shared" si="174"/>
        <v>0</v>
      </c>
      <c r="O1286" s="17">
        <f t="shared" si="175"/>
        <v>3356</v>
      </c>
      <c r="P1286" s="17">
        <f t="shared" si="176"/>
        <v>0</v>
      </c>
      <c r="Q1286" s="17">
        <f t="shared" si="169"/>
        <v>3356</v>
      </c>
    </row>
    <row r="1287" spans="2:17" ht="12.75" customHeight="1">
      <c r="B1287" s="20">
        <f t="shared" si="172"/>
        <v>671</v>
      </c>
      <c r="C1287" s="10"/>
      <c r="D1287" s="10"/>
      <c r="E1287" s="10"/>
      <c r="F1287" s="30" t="s">
        <v>160</v>
      </c>
      <c r="G1287" s="10">
        <v>640</v>
      </c>
      <c r="H1287" s="10" t="s">
        <v>129</v>
      </c>
      <c r="I1287" s="61">
        <v>1416</v>
      </c>
      <c r="J1287" s="61"/>
      <c r="K1287" s="61">
        <f t="shared" si="173"/>
        <v>1416</v>
      </c>
      <c r="L1287" s="61"/>
      <c r="M1287" s="61"/>
      <c r="N1287" s="61">
        <f t="shared" si="174"/>
        <v>0</v>
      </c>
      <c r="O1287" s="61">
        <f t="shared" si="175"/>
        <v>1416</v>
      </c>
      <c r="P1287" s="61">
        <f t="shared" si="176"/>
        <v>0</v>
      </c>
      <c r="Q1287" s="61">
        <f t="shared" si="169"/>
        <v>1416</v>
      </c>
    </row>
    <row r="1288" spans="2:17" ht="15">
      <c r="B1288" s="20">
        <f t="shared" si="172"/>
        <v>672</v>
      </c>
      <c r="C1288" s="12"/>
      <c r="D1288" s="12"/>
      <c r="E1288" s="12">
        <v>6</v>
      </c>
      <c r="F1288" s="34"/>
      <c r="G1288" s="12"/>
      <c r="H1288" s="12" t="s">
        <v>11</v>
      </c>
      <c r="I1288" s="90">
        <f>I1289+I1290+I1291+I1296+I1297+I1298+I1299+I1304</f>
        <v>179008</v>
      </c>
      <c r="J1288" s="90">
        <f>J1289+J1290+J1291+J1296+J1297+J1298+J1299+J1304</f>
        <v>0</v>
      </c>
      <c r="K1288" s="90">
        <f t="shared" si="173"/>
        <v>179008</v>
      </c>
      <c r="L1288" s="90"/>
      <c r="M1288" s="90">
        <f>M1305</f>
        <v>4700</v>
      </c>
      <c r="N1288" s="90">
        <f t="shared" si="174"/>
        <v>4700</v>
      </c>
      <c r="O1288" s="90">
        <f t="shared" si="175"/>
        <v>179008</v>
      </c>
      <c r="P1288" s="90">
        <f t="shared" si="176"/>
        <v>4700</v>
      </c>
      <c r="Q1288" s="90">
        <f t="shared" si="169"/>
        <v>183708</v>
      </c>
    </row>
    <row r="1289" spans="2:17" ht="12.75">
      <c r="B1289" s="20">
        <f t="shared" si="172"/>
        <v>673</v>
      </c>
      <c r="C1289" s="10"/>
      <c r="D1289" s="10"/>
      <c r="E1289" s="10"/>
      <c r="F1289" s="30" t="s">
        <v>92</v>
      </c>
      <c r="G1289" s="10">
        <v>610</v>
      </c>
      <c r="H1289" s="10" t="s">
        <v>131</v>
      </c>
      <c r="I1289" s="61">
        <v>39515</v>
      </c>
      <c r="J1289" s="61"/>
      <c r="K1289" s="61">
        <f t="shared" si="173"/>
        <v>39515</v>
      </c>
      <c r="L1289" s="61"/>
      <c r="M1289" s="61"/>
      <c r="N1289" s="61">
        <f t="shared" si="174"/>
        <v>0</v>
      </c>
      <c r="O1289" s="61">
        <f t="shared" si="175"/>
        <v>39515</v>
      </c>
      <c r="P1289" s="61">
        <f t="shared" si="176"/>
        <v>0</v>
      </c>
      <c r="Q1289" s="61">
        <f t="shared" si="169"/>
        <v>39515</v>
      </c>
    </row>
    <row r="1290" spans="2:17" ht="12.75">
      <c r="B1290" s="20">
        <f t="shared" si="172"/>
        <v>674</v>
      </c>
      <c r="C1290" s="10"/>
      <c r="D1290" s="10"/>
      <c r="E1290" s="10"/>
      <c r="F1290" s="30" t="s">
        <v>92</v>
      </c>
      <c r="G1290" s="10">
        <v>620</v>
      </c>
      <c r="H1290" s="10" t="s">
        <v>124</v>
      </c>
      <c r="I1290" s="61">
        <v>14610</v>
      </c>
      <c r="J1290" s="61"/>
      <c r="K1290" s="61">
        <f t="shared" si="173"/>
        <v>14610</v>
      </c>
      <c r="L1290" s="61"/>
      <c r="M1290" s="61"/>
      <c r="N1290" s="61">
        <f t="shared" si="174"/>
        <v>0</v>
      </c>
      <c r="O1290" s="61">
        <f t="shared" si="175"/>
        <v>14610</v>
      </c>
      <c r="P1290" s="61">
        <f t="shared" si="176"/>
        <v>0</v>
      </c>
      <c r="Q1290" s="61">
        <f t="shared" si="169"/>
        <v>14610</v>
      </c>
    </row>
    <row r="1291" spans="2:17" ht="12.75">
      <c r="B1291" s="20">
        <f t="shared" si="172"/>
        <v>675</v>
      </c>
      <c r="C1291" s="10"/>
      <c r="D1291" s="10"/>
      <c r="E1291" s="10"/>
      <c r="F1291" s="30" t="s">
        <v>92</v>
      </c>
      <c r="G1291" s="10">
        <v>630</v>
      </c>
      <c r="H1291" s="10" t="s">
        <v>121</v>
      </c>
      <c r="I1291" s="61">
        <f>I1295+I1294+I1293+I1292</f>
        <v>35826</v>
      </c>
      <c r="J1291" s="61">
        <f>J1295+J1294+J1293+J1292</f>
        <v>0</v>
      </c>
      <c r="K1291" s="61">
        <f t="shared" si="173"/>
        <v>35826</v>
      </c>
      <c r="L1291" s="61"/>
      <c r="M1291" s="61"/>
      <c r="N1291" s="61">
        <f t="shared" si="174"/>
        <v>0</v>
      </c>
      <c r="O1291" s="61">
        <f t="shared" si="175"/>
        <v>35826</v>
      </c>
      <c r="P1291" s="61">
        <f t="shared" si="176"/>
        <v>0</v>
      </c>
      <c r="Q1291" s="61">
        <f t="shared" si="169"/>
        <v>35826</v>
      </c>
    </row>
    <row r="1292" spans="2:17" ht="12.75">
      <c r="B1292" s="20">
        <f t="shared" si="172"/>
        <v>676</v>
      </c>
      <c r="C1292" s="4"/>
      <c r="D1292" s="4"/>
      <c r="E1292" s="4"/>
      <c r="F1292" s="31" t="s">
        <v>92</v>
      </c>
      <c r="G1292" s="4">
        <v>632</v>
      </c>
      <c r="H1292" s="4" t="s">
        <v>134</v>
      </c>
      <c r="I1292" s="17">
        <v>5770</v>
      </c>
      <c r="J1292" s="17"/>
      <c r="K1292" s="17">
        <f t="shared" si="173"/>
        <v>5770</v>
      </c>
      <c r="L1292" s="17"/>
      <c r="M1292" s="17"/>
      <c r="N1292" s="17">
        <f t="shared" si="174"/>
        <v>0</v>
      </c>
      <c r="O1292" s="17">
        <f t="shared" si="175"/>
        <v>5770</v>
      </c>
      <c r="P1292" s="17">
        <f t="shared" si="176"/>
        <v>0</v>
      </c>
      <c r="Q1292" s="17">
        <f t="shared" si="169"/>
        <v>5770</v>
      </c>
    </row>
    <row r="1293" spans="2:17" ht="12.75">
      <c r="B1293" s="20">
        <f t="shared" si="172"/>
        <v>677</v>
      </c>
      <c r="C1293" s="4"/>
      <c r="D1293" s="4"/>
      <c r="E1293" s="4"/>
      <c r="F1293" s="31" t="s">
        <v>92</v>
      </c>
      <c r="G1293" s="4">
        <v>633</v>
      </c>
      <c r="H1293" s="4" t="s">
        <v>125</v>
      </c>
      <c r="I1293" s="17">
        <f>48329-23588</f>
        <v>24741</v>
      </c>
      <c r="J1293" s="17"/>
      <c r="K1293" s="17">
        <f t="shared" si="173"/>
        <v>24741</v>
      </c>
      <c r="L1293" s="17"/>
      <c r="M1293" s="17"/>
      <c r="N1293" s="17">
        <f t="shared" si="174"/>
        <v>0</v>
      </c>
      <c r="O1293" s="17">
        <f t="shared" si="175"/>
        <v>24741</v>
      </c>
      <c r="P1293" s="17">
        <f t="shared" si="176"/>
        <v>0</v>
      </c>
      <c r="Q1293" s="17">
        <f t="shared" si="169"/>
        <v>24741</v>
      </c>
    </row>
    <row r="1294" spans="2:17" ht="12.75">
      <c r="B1294" s="20">
        <f t="shared" si="172"/>
        <v>678</v>
      </c>
      <c r="C1294" s="4"/>
      <c r="D1294" s="4"/>
      <c r="E1294" s="4"/>
      <c r="F1294" s="31" t="s">
        <v>92</v>
      </c>
      <c r="G1294" s="4">
        <v>635</v>
      </c>
      <c r="H1294" s="4" t="s">
        <v>133</v>
      </c>
      <c r="I1294" s="17">
        <v>3500</v>
      </c>
      <c r="J1294" s="17"/>
      <c r="K1294" s="17">
        <f t="shared" si="173"/>
        <v>3500</v>
      </c>
      <c r="L1294" s="17"/>
      <c r="M1294" s="17"/>
      <c r="N1294" s="17">
        <f t="shared" si="174"/>
        <v>0</v>
      </c>
      <c r="O1294" s="17">
        <f t="shared" si="175"/>
        <v>3500</v>
      </c>
      <c r="P1294" s="17">
        <f t="shared" si="176"/>
        <v>0</v>
      </c>
      <c r="Q1294" s="17">
        <f t="shared" si="169"/>
        <v>3500</v>
      </c>
    </row>
    <row r="1295" spans="2:17" ht="12.75">
      <c r="B1295" s="20">
        <f t="shared" si="172"/>
        <v>679</v>
      </c>
      <c r="C1295" s="4"/>
      <c r="D1295" s="4"/>
      <c r="E1295" s="4"/>
      <c r="F1295" s="31" t="s">
        <v>92</v>
      </c>
      <c r="G1295" s="4">
        <v>637</v>
      </c>
      <c r="H1295" s="4" t="s">
        <v>122</v>
      </c>
      <c r="I1295" s="17">
        <v>1815</v>
      </c>
      <c r="J1295" s="17"/>
      <c r="K1295" s="17">
        <f t="shared" si="173"/>
        <v>1815</v>
      </c>
      <c r="L1295" s="17"/>
      <c r="M1295" s="17"/>
      <c r="N1295" s="17">
        <f t="shared" si="174"/>
        <v>0</v>
      </c>
      <c r="O1295" s="17">
        <f t="shared" si="175"/>
        <v>1815</v>
      </c>
      <c r="P1295" s="17">
        <f t="shared" si="176"/>
        <v>0</v>
      </c>
      <c r="Q1295" s="17">
        <f t="shared" si="169"/>
        <v>1815</v>
      </c>
    </row>
    <row r="1296" spans="2:17" ht="12.75">
      <c r="B1296" s="20">
        <f t="shared" si="172"/>
        <v>680</v>
      </c>
      <c r="C1296" s="10"/>
      <c r="D1296" s="10"/>
      <c r="E1296" s="10"/>
      <c r="F1296" s="30" t="s">
        <v>92</v>
      </c>
      <c r="G1296" s="10">
        <v>640</v>
      </c>
      <c r="H1296" s="10" t="s">
        <v>129</v>
      </c>
      <c r="I1296" s="61">
        <v>157</v>
      </c>
      <c r="J1296" s="61"/>
      <c r="K1296" s="61">
        <f t="shared" si="173"/>
        <v>157</v>
      </c>
      <c r="L1296" s="61"/>
      <c r="M1296" s="61"/>
      <c r="N1296" s="61">
        <f t="shared" si="174"/>
        <v>0</v>
      </c>
      <c r="O1296" s="61">
        <f t="shared" si="175"/>
        <v>157</v>
      </c>
      <c r="P1296" s="61">
        <f t="shared" si="176"/>
        <v>0</v>
      </c>
      <c r="Q1296" s="61">
        <f t="shared" si="169"/>
        <v>157</v>
      </c>
    </row>
    <row r="1297" spans="2:17" ht="12.75">
      <c r="B1297" s="20">
        <f t="shared" si="172"/>
        <v>681</v>
      </c>
      <c r="C1297" s="10"/>
      <c r="D1297" s="10"/>
      <c r="E1297" s="10"/>
      <c r="F1297" s="30" t="s">
        <v>61</v>
      </c>
      <c r="G1297" s="10">
        <v>610</v>
      </c>
      <c r="H1297" s="10" t="s">
        <v>131</v>
      </c>
      <c r="I1297" s="61">
        <v>38639</v>
      </c>
      <c r="J1297" s="61"/>
      <c r="K1297" s="61">
        <f t="shared" si="173"/>
        <v>38639</v>
      </c>
      <c r="L1297" s="61"/>
      <c r="M1297" s="61"/>
      <c r="N1297" s="61">
        <f t="shared" si="174"/>
        <v>0</v>
      </c>
      <c r="O1297" s="61">
        <f t="shared" si="175"/>
        <v>38639</v>
      </c>
      <c r="P1297" s="61">
        <f t="shared" si="176"/>
        <v>0</v>
      </c>
      <c r="Q1297" s="61">
        <f t="shared" si="169"/>
        <v>38639</v>
      </c>
    </row>
    <row r="1298" spans="2:17" ht="12.75">
      <c r="B1298" s="20">
        <f t="shared" si="172"/>
        <v>682</v>
      </c>
      <c r="C1298" s="10"/>
      <c r="D1298" s="10"/>
      <c r="E1298" s="10"/>
      <c r="F1298" s="30" t="s">
        <v>61</v>
      </c>
      <c r="G1298" s="10">
        <v>620</v>
      </c>
      <c r="H1298" s="10" t="s">
        <v>124</v>
      </c>
      <c r="I1298" s="61">
        <v>14277</v>
      </c>
      <c r="J1298" s="61"/>
      <c r="K1298" s="61">
        <f t="shared" si="173"/>
        <v>14277</v>
      </c>
      <c r="L1298" s="61"/>
      <c r="M1298" s="61"/>
      <c r="N1298" s="61">
        <f t="shared" si="174"/>
        <v>0</v>
      </c>
      <c r="O1298" s="61">
        <f t="shared" si="175"/>
        <v>14277</v>
      </c>
      <c r="P1298" s="61">
        <f t="shared" si="176"/>
        <v>0</v>
      </c>
      <c r="Q1298" s="61">
        <f t="shared" si="169"/>
        <v>14277</v>
      </c>
    </row>
    <row r="1299" spans="2:17" ht="12.75">
      <c r="B1299" s="20">
        <f t="shared" si="172"/>
        <v>683</v>
      </c>
      <c r="C1299" s="10"/>
      <c r="D1299" s="10"/>
      <c r="E1299" s="10"/>
      <c r="F1299" s="30" t="s">
        <v>61</v>
      </c>
      <c r="G1299" s="10">
        <v>630</v>
      </c>
      <c r="H1299" s="10" t="s">
        <v>121</v>
      </c>
      <c r="I1299" s="61">
        <f>I1303+I1302+I1301+I1300</f>
        <v>35827</v>
      </c>
      <c r="J1299" s="61">
        <f>J1303+J1302+J1301+J1300</f>
        <v>0</v>
      </c>
      <c r="K1299" s="61">
        <f t="shared" si="173"/>
        <v>35827</v>
      </c>
      <c r="L1299" s="61"/>
      <c r="M1299" s="61"/>
      <c r="N1299" s="61">
        <f t="shared" si="174"/>
        <v>0</v>
      </c>
      <c r="O1299" s="61">
        <f t="shared" si="175"/>
        <v>35827</v>
      </c>
      <c r="P1299" s="61">
        <f t="shared" si="176"/>
        <v>0</v>
      </c>
      <c r="Q1299" s="61">
        <f t="shared" si="169"/>
        <v>35827</v>
      </c>
    </row>
    <row r="1300" spans="2:17" ht="12.75">
      <c r="B1300" s="20">
        <f t="shared" si="172"/>
        <v>684</v>
      </c>
      <c r="C1300" s="4"/>
      <c r="D1300" s="4"/>
      <c r="E1300" s="4"/>
      <c r="F1300" s="31" t="s">
        <v>61</v>
      </c>
      <c r="G1300" s="4">
        <v>632</v>
      </c>
      <c r="H1300" s="4" t="s">
        <v>134</v>
      </c>
      <c r="I1300" s="17">
        <v>5770</v>
      </c>
      <c r="J1300" s="17"/>
      <c r="K1300" s="17">
        <f t="shared" si="173"/>
        <v>5770</v>
      </c>
      <c r="L1300" s="17"/>
      <c r="M1300" s="17"/>
      <c r="N1300" s="17">
        <f t="shared" si="174"/>
        <v>0</v>
      </c>
      <c r="O1300" s="17">
        <f t="shared" si="175"/>
        <v>5770</v>
      </c>
      <c r="P1300" s="17">
        <f t="shared" si="176"/>
        <v>0</v>
      </c>
      <c r="Q1300" s="17">
        <f t="shared" si="169"/>
        <v>5770</v>
      </c>
    </row>
    <row r="1301" spans="2:17" ht="12.75">
      <c r="B1301" s="20">
        <f t="shared" si="172"/>
        <v>685</v>
      </c>
      <c r="C1301" s="4"/>
      <c r="D1301" s="4"/>
      <c r="E1301" s="4"/>
      <c r="F1301" s="31" t="s">
        <v>61</v>
      </c>
      <c r="G1301" s="4">
        <v>633</v>
      </c>
      <c r="H1301" s="4" t="s">
        <v>125</v>
      </c>
      <c r="I1301" s="17">
        <f>48330-23588</f>
        <v>24742</v>
      </c>
      <c r="J1301" s="17"/>
      <c r="K1301" s="17">
        <f t="shared" si="173"/>
        <v>24742</v>
      </c>
      <c r="L1301" s="17"/>
      <c r="M1301" s="17"/>
      <c r="N1301" s="17">
        <f t="shared" si="174"/>
        <v>0</v>
      </c>
      <c r="O1301" s="17">
        <f t="shared" si="175"/>
        <v>24742</v>
      </c>
      <c r="P1301" s="17">
        <f t="shared" si="176"/>
        <v>0</v>
      </c>
      <c r="Q1301" s="17">
        <f aca="true" t="shared" si="177" ref="Q1301:Q1370">O1301+P1301</f>
        <v>24742</v>
      </c>
    </row>
    <row r="1302" spans="2:17" ht="12.75">
      <c r="B1302" s="20">
        <f t="shared" si="172"/>
        <v>686</v>
      </c>
      <c r="C1302" s="4"/>
      <c r="D1302" s="4"/>
      <c r="E1302" s="4"/>
      <c r="F1302" s="31" t="s">
        <v>61</v>
      </c>
      <c r="G1302" s="4">
        <v>635</v>
      </c>
      <c r="H1302" s="4" t="s">
        <v>133</v>
      </c>
      <c r="I1302" s="17">
        <v>3500</v>
      </c>
      <c r="J1302" s="17"/>
      <c r="K1302" s="17">
        <f t="shared" si="173"/>
        <v>3500</v>
      </c>
      <c r="L1302" s="17"/>
      <c r="M1302" s="17"/>
      <c r="N1302" s="17">
        <f t="shared" si="174"/>
        <v>0</v>
      </c>
      <c r="O1302" s="17">
        <f aca="true" t="shared" si="178" ref="O1302:O1327">I1302+L1302</f>
        <v>3500</v>
      </c>
      <c r="P1302" s="17">
        <f aca="true" t="shared" si="179" ref="P1302:P1327">J1302+M1302</f>
        <v>0</v>
      </c>
      <c r="Q1302" s="17">
        <f t="shared" si="177"/>
        <v>3500</v>
      </c>
    </row>
    <row r="1303" spans="2:17" ht="12.75">
      <c r="B1303" s="20">
        <f t="shared" si="172"/>
        <v>687</v>
      </c>
      <c r="C1303" s="4"/>
      <c r="D1303" s="4"/>
      <c r="E1303" s="4"/>
      <c r="F1303" s="31" t="s">
        <v>61</v>
      </c>
      <c r="G1303" s="4">
        <v>637</v>
      </c>
      <c r="H1303" s="4" t="s">
        <v>122</v>
      </c>
      <c r="I1303" s="17">
        <v>1815</v>
      </c>
      <c r="J1303" s="17"/>
      <c r="K1303" s="17">
        <f t="shared" si="173"/>
        <v>1815</v>
      </c>
      <c r="L1303" s="17"/>
      <c r="M1303" s="17"/>
      <c r="N1303" s="17">
        <f t="shared" si="174"/>
        <v>0</v>
      </c>
      <c r="O1303" s="17">
        <f t="shared" si="178"/>
        <v>1815</v>
      </c>
      <c r="P1303" s="17">
        <f t="shared" si="179"/>
        <v>0</v>
      </c>
      <c r="Q1303" s="17">
        <f t="shared" si="177"/>
        <v>1815</v>
      </c>
    </row>
    <row r="1304" spans="2:17" ht="12.75">
      <c r="B1304" s="20">
        <f t="shared" si="172"/>
        <v>688</v>
      </c>
      <c r="C1304" s="10"/>
      <c r="D1304" s="10"/>
      <c r="E1304" s="10"/>
      <c r="F1304" s="30" t="s">
        <v>61</v>
      </c>
      <c r="G1304" s="10">
        <v>640</v>
      </c>
      <c r="H1304" s="10" t="s">
        <v>129</v>
      </c>
      <c r="I1304" s="61">
        <v>157</v>
      </c>
      <c r="J1304" s="61"/>
      <c r="K1304" s="61">
        <f t="shared" si="173"/>
        <v>157</v>
      </c>
      <c r="L1304" s="61"/>
      <c r="M1304" s="61"/>
      <c r="N1304" s="61">
        <f t="shared" si="174"/>
        <v>0</v>
      </c>
      <c r="O1304" s="61">
        <f t="shared" si="178"/>
        <v>157</v>
      </c>
      <c r="P1304" s="61">
        <f t="shared" si="179"/>
        <v>0</v>
      </c>
      <c r="Q1304" s="61">
        <f t="shared" si="177"/>
        <v>157</v>
      </c>
    </row>
    <row r="1305" spans="2:17" ht="12.75">
      <c r="B1305" s="20">
        <f t="shared" si="172"/>
        <v>689</v>
      </c>
      <c r="C1305" s="10"/>
      <c r="D1305" s="10"/>
      <c r="E1305" s="10"/>
      <c r="F1305" s="30" t="s">
        <v>61</v>
      </c>
      <c r="G1305" s="10">
        <v>710</v>
      </c>
      <c r="H1305" s="10" t="s">
        <v>176</v>
      </c>
      <c r="I1305" s="61"/>
      <c r="J1305" s="61"/>
      <c r="K1305" s="61">
        <f t="shared" si="173"/>
        <v>0</v>
      </c>
      <c r="L1305" s="61">
        <f>L1306</f>
        <v>0</v>
      </c>
      <c r="M1305" s="61">
        <f>M1306</f>
        <v>4700</v>
      </c>
      <c r="N1305" s="61">
        <f t="shared" si="174"/>
        <v>4700</v>
      </c>
      <c r="O1305" s="61">
        <f t="shared" si="178"/>
        <v>0</v>
      </c>
      <c r="P1305" s="61">
        <f t="shared" si="179"/>
        <v>4700</v>
      </c>
      <c r="Q1305" s="61">
        <f t="shared" si="177"/>
        <v>4700</v>
      </c>
    </row>
    <row r="1306" spans="2:17" ht="12.75">
      <c r="B1306" s="20">
        <f t="shared" si="172"/>
        <v>690</v>
      </c>
      <c r="C1306" s="10"/>
      <c r="D1306" s="10"/>
      <c r="E1306" s="10"/>
      <c r="F1306" s="31" t="s">
        <v>61</v>
      </c>
      <c r="G1306" s="4">
        <v>713</v>
      </c>
      <c r="H1306" s="4" t="s">
        <v>225</v>
      </c>
      <c r="I1306" s="61"/>
      <c r="J1306" s="61"/>
      <c r="K1306" s="61">
        <f t="shared" si="173"/>
        <v>0</v>
      </c>
      <c r="L1306" s="103">
        <f>L1307</f>
        <v>0</v>
      </c>
      <c r="M1306" s="103">
        <f>M1307</f>
        <v>4700</v>
      </c>
      <c r="N1306" s="103">
        <f t="shared" si="174"/>
        <v>4700</v>
      </c>
      <c r="O1306" s="103">
        <f t="shared" si="178"/>
        <v>0</v>
      </c>
      <c r="P1306" s="103">
        <f t="shared" si="179"/>
        <v>4700</v>
      </c>
      <c r="Q1306" s="103">
        <f t="shared" si="177"/>
        <v>4700</v>
      </c>
    </row>
    <row r="1307" spans="2:17" ht="12.75">
      <c r="B1307" s="20">
        <f t="shared" si="172"/>
        <v>691</v>
      </c>
      <c r="C1307" s="10"/>
      <c r="D1307" s="10"/>
      <c r="E1307" s="10"/>
      <c r="F1307" s="31"/>
      <c r="G1307" s="4"/>
      <c r="H1307" s="43" t="s">
        <v>658</v>
      </c>
      <c r="I1307" s="61"/>
      <c r="J1307" s="61"/>
      <c r="K1307" s="61">
        <f t="shared" si="173"/>
        <v>0</v>
      </c>
      <c r="L1307" s="95">
        <v>0</v>
      </c>
      <c r="M1307" s="95">
        <v>4700</v>
      </c>
      <c r="N1307" s="95">
        <f t="shared" si="174"/>
        <v>4700</v>
      </c>
      <c r="O1307" s="95">
        <f t="shared" si="178"/>
        <v>0</v>
      </c>
      <c r="P1307" s="95">
        <f t="shared" si="179"/>
        <v>4700</v>
      </c>
      <c r="Q1307" s="95">
        <f t="shared" si="177"/>
        <v>4700</v>
      </c>
    </row>
    <row r="1308" spans="2:17" ht="15">
      <c r="B1308" s="20">
        <f t="shared" si="172"/>
        <v>692</v>
      </c>
      <c r="C1308" s="12"/>
      <c r="D1308" s="12"/>
      <c r="E1308" s="12">
        <v>7</v>
      </c>
      <c r="F1308" s="34"/>
      <c r="G1308" s="12"/>
      <c r="H1308" s="12" t="s">
        <v>12</v>
      </c>
      <c r="I1308" s="90">
        <f>I1309+I1310+I1311+I1316+I1317+I1318+I1319+I1324</f>
        <v>286299</v>
      </c>
      <c r="J1308" s="90">
        <f>J1309+J1310+J1311+J1316+J1317+J1318+J1319+J1324</f>
        <v>0</v>
      </c>
      <c r="K1308" s="90">
        <f t="shared" si="173"/>
        <v>286299</v>
      </c>
      <c r="L1308" s="90">
        <f>L1325</f>
        <v>5388</v>
      </c>
      <c r="M1308" s="90">
        <f>M1325</f>
        <v>0</v>
      </c>
      <c r="N1308" s="90">
        <f t="shared" si="174"/>
        <v>5388</v>
      </c>
      <c r="O1308" s="90">
        <f t="shared" si="178"/>
        <v>291687</v>
      </c>
      <c r="P1308" s="90">
        <f t="shared" si="179"/>
        <v>0</v>
      </c>
      <c r="Q1308" s="90">
        <f t="shared" si="177"/>
        <v>291687</v>
      </c>
    </row>
    <row r="1309" spans="2:17" ht="12.75">
      <c r="B1309" s="20">
        <f t="shared" si="172"/>
        <v>693</v>
      </c>
      <c r="C1309" s="10"/>
      <c r="D1309" s="10"/>
      <c r="E1309" s="10"/>
      <c r="F1309" s="30" t="s">
        <v>92</v>
      </c>
      <c r="G1309" s="10">
        <v>610</v>
      </c>
      <c r="H1309" s="10" t="s">
        <v>131</v>
      </c>
      <c r="I1309" s="61">
        <v>54108</v>
      </c>
      <c r="J1309" s="61"/>
      <c r="K1309" s="61">
        <f t="shared" si="173"/>
        <v>54108</v>
      </c>
      <c r="L1309" s="61"/>
      <c r="M1309" s="61"/>
      <c r="N1309" s="61">
        <f t="shared" si="174"/>
        <v>0</v>
      </c>
      <c r="O1309" s="61">
        <f t="shared" si="178"/>
        <v>54108</v>
      </c>
      <c r="P1309" s="61">
        <f t="shared" si="179"/>
        <v>0</v>
      </c>
      <c r="Q1309" s="61">
        <f t="shared" si="177"/>
        <v>54108</v>
      </c>
    </row>
    <row r="1310" spans="2:17" ht="12.75">
      <c r="B1310" s="20">
        <f t="shared" si="172"/>
        <v>694</v>
      </c>
      <c r="C1310" s="10"/>
      <c r="D1310" s="10"/>
      <c r="E1310" s="10"/>
      <c r="F1310" s="30" t="s">
        <v>92</v>
      </c>
      <c r="G1310" s="10">
        <v>620</v>
      </c>
      <c r="H1310" s="10" t="s">
        <v>124</v>
      </c>
      <c r="I1310" s="61">
        <v>19021</v>
      </c>
      <c r="J1310" s="61"/>
      <c r="K1310" s="61">
        <f t="shared" si="173"/>
        <v>19021</v>
      </c>
      <c r="L1310" s="61"/>
      <c r="M1310" s="61"/>
      <c r="N1310" s="61">
        <f t="shared" si="174"/>
        <v>0</v>
      </c>
      <c r="O1310" s="61">
        <f t="shared" si="178"/>
        <v>19021</v>
      </c>
      <c r="P1310" s="61">
        <f t="shared" si="179"/>
        <v>0</v>
      </c>
      <c r="Q1310" s="61">
        <f t="shared" si="177"/>
        <v>19021</v>
      </c>
    </row>
    <row r="1311" spans="2:17" ht="12.75">
      <c r="B1311" s="20">
        <f t="shared" si="172"/>
        <v>695</v>
      </c>
      <c r="C1311" s="10"/>
      <c r="D1311" s="10"/>
      <c r="E1311" s="10"/>
      <c r="F1311" s="30" t="s">
        <v>92</v>
      </c>
      <c r="G1311" s="10">
        <v>630</v>
      </c>
      <c r="H1311" s="10" t="s">
        <v>121</v>
      </c>
      <c r="I1311" s="61">
        <f>I1315+I1314+I1313+I1312</f>
        <v>50646</v>
      </c>
      <c r="J1311" s="61">
        <f>J1315+J1314+J1313+J1312</f>
        <v>0</v>
      </c>
      <c r="K1311" s="61">
        <f t="shared" si="173"/>
        <v>50646</v>
      </c>
      <c r="L1311" s="61"/>
      <c r="M1311" s="61"/>
      <c r="N1311" s="61">
        <f t="shared" si="174"/>
        <v>0</v>
      </c>
      <c r="O1311" s="61">
        <f t="shared" si="178"/>
        <v>50646</v>
      </c>
      <c r="P1311" s="61">
        <f t="shared" si="179"/>
        <v>0</v>
      </c>
      <c r="Q1311" s="61">
        <f t="shared" si="177"/>
        <v>50646</v>
      </c>
    </row>
    <row r="1312" spans="2:17" ht="12.75">
      <c r="B1312" s="20">
        <f t="shared" si="172"/>
        <v>696</v>
      </c>
      <c r="C1312" s="4"/>
      <c r="D1312" s="4"/>
      <c r="E1312" s="4"/>
      <c r="F1312" s="31" t="s">
        <v>92</v>
      </c>
      <c r="G1312" s="4">
        <v>632</v>
      </c>
      <c r="H1312" s="4" t="s">
        <v>134</v>
      </c>
      <c r="I1312" s="17">
        <v>1500</v>
      </c>
      <c r="J1312" s="17"/>
      <c r="K1312" s="17">
        <f t="shared" si="173"/>
        <v>1500</v>
      </c>
      <c r="L1312" s="17"/>
      <c r="M1312" s="17"/>
      <c r="N1312" s="17">
        <f t="shared" si="174"/>
        <v>0</v>
      </c>
      <c r="O1312" s="17">
        <f t="shared" si="178"/>
        <v>1500</v>
      </c>
      <c r="P1312" s="17">
        <f t="shared" si="179"/>
        <v>0</v>
      </c>
      <c r="Q1312" s="17">
        <f t="shared" si="177"/>
        <v>1500</v>
      </c>
    </row>
    <row r="1313" spans="2:17" ht="12.75">
      <c r="B1313" s="20">
        <f t="shared" si="172"/>
        <v>697</v>
      </c>
      <c r="C1313" s="4"/>
      <c r="D1313" s="4"/>
      <c r="E1313" s="4"/>
      <c r="F1313" s="31" t="s">
        <v>92</v>
      </c>
      <c r="G1313" s="4">
        <v>633</v>
      </c>
      <c r="H1313" s="4" t="s">
        <v>125</v>
      </c>
      <c r="I1313" s="17">
        <f>63000-21254</f>
        <v>41746</v>
      </c>
      <c r="J1313" s="17"/>
      <c r="K1313" s="17">
        <f t="shared" si="173"/>
        <v>41746</v>
      </c>
      <c r="L1313" s="17"/>
      <c r="M1313" s="17"/>
      <c r="N1313" s="17">
        <f t="shared" si="174"/>
        <v>0</v>
      </c>
      <c r="O1313" s="17">
        <f t="shared" si="178"/>
        <v>41746</v>
      </c>
      <c r="P1313" s="17">
        <f t="shared" si="179"/>
        <v>0</v>
      </c>
      <c r="Q1313" s="17">
        <f t="shared" si="177"/>
        <v>41746</v>
      </c>
    </row>
    <row r="1314" spans="2:17" ht="12.75">
      <c r="B1314" s="20">
        <f t="shared" si="172"/>
        <v>698</v>
      </c>
      <c r="C1314" s="4"/>
      <c r="D1314" s="4"/>
      <c r="E1314" s="4"/>
      <c r="F1314" s="31" t="s">
        <v>92</v>
      </c>
      <c r="G1314" s="4">
        <v>635</v>
      </c>
      <c r="H1314" s="4" t="s">
        <v>133</v>
      </c>
      <c r="I1314" s="17">
        <v>2200</v>
      </c>
      <c r="J1314" s="17"/>
      <c r="K1314" s="17">
        <f t="shared" si="173"/>
        <v>2200</v>
      </c>
      <c r="L1314" s="17"/>
      <c r="M1314" s="17"/>
      <c r="N1314" s="17">
        <f t="shared" si="174"/>
        <v>0</v>
      </c>
      <c r="O1314" s="17">
        <f t="shared" si="178"/>
        <v>2200</v>
      </c>
      <c r="P1314" s="17">
        <f t="shared" si="179"/>
        <v>0</v>
      </c>
      <c r="Q1314" s="17">
        <f t="shared" si="177"/>
        <v>2200</v>
      </c>
    </row>
    <row r="1315" spans="2:17" ht="12.75">
      <c r="B1315" s="20">
        <f t="shared" si="172"/>
        <v>699</v>
      </c>
      <c r="C1315" s="4"/>
      <c r="D1315" s="4"/>
      <c r="E1315" s="4"/>
      <c r="F1315" s="31" t="s">
        <v>92</v>
      </c>
      <c r="G1315" s="4">
        <v>637</v>
      </c>
      <c r="H1315" s="4" t="s">
        <v>122</v>
      </c>
      <c r="I1315" s="17">
        <v>5200</v>
      </c>
      <c r="J1315" s="17"/>
      <c r="K1315" s="17">
        <f t="shared" si="173"/>
        <v>5200</v>
      </c>
      <c r="L1315" s="17"/>
      <c r="M1315" s="17"/>
      <c r="N1315" s="17">
        <f t="shared" si="174"/>
        <v>0</v>
      </c>
      <c r="O1315" s="17">
        <f t="shared" si="178"/>
        <v>5200</v>
      </c>
      <c r="P1315" s="17">
        <f t="shared" si="179"/>
        <v>0</v>
      </c>
      <c r="Q1315" s="17">
        <f t="shared" si="177"/>
        <v>5200</v>
      </c>
    </row>
    <row r="1316" spans="2:17" ht="12.75">
      <c r="B1316" s="20">
        <f t="shared" si="172"/>
        <v>700</v>
      </c>
      <c r="C1316" s="10"/>
      <c r="D1316" s="10"/>
      <c r="E1316" s="10"/>
      <c r="F1316" s="30" t="s">
        <v>92</v>
      </c>
      <c r="G1316" s="10">
        <v>640</v>
      </c>
      <c r="H1316" s="10" t="s">
        <v>129</v>
      </c>
      <c r="I1316" s="61">
        <v>500</v>
      </c>
      <c r="J1316" s="61"/>
      <c r="K1316" s="61">
        <f t="shared" si="173"/>
        <v>500</v>
      </c>
      <c r="L1316" s="61"/>
      <c r="M1316" s="61"/>
      <c r="N1316" s="61">
        <f t="shared" si="174"/>
        <v>0</v>
      </c>
      <c r="O1316" s="61">
        <f t="shared" si="178"/>
        <v>500</v>
      </c>
      <c r="P1316" s="61">
        <f t="shared" si="179"/>
        <v>0</v>
      </c>
      <c r="Q1316" s="61">
        <f t="shared" si="177"/>
        <v>500</v>
      </c>
    </row>
    <row r="1317" spans="2:17" ht="12.75">
      <c r="B1317" s="20">
        <f aca="true" t="shared" si="180" ref="B1317:B1383">B1316+1</f>
        <v>701</v>
      </c>
      <c r="C1317" s="10"/>
      <c r="D1317" s="10"/>
      <c r="E1317" s="10"/>
      <c r="F1317" s="30" t="s">
        <v>61</v>
      </c>
      <c r="G1317" s="10">
        <v>610</v>
      </c>
      <c r="H1317" s="10" t="s">
        <v>131</v>
      </c>
      <c r="I1317" s="61">
        <v>66107</v>
      </c>
      <c r="J1317" s="61"/>
      <c r="K1317" s="61">
        <f t="shared" si="173"/>
        <v>66107</v>
      </c>
      <c r="L1317" s="61"/>
      <c r="M1317" s="61"/>
      <c r="N1317" s="61">
        <f t="shared" si="174"/>
        <v>0</v>
      </c>
      <c r="O1317" s="61">
        <f t="shared" si="178"/>
        <v>66107</v>
      </c>
      <c r="P1317" s="61">
        <f t="shared" si="179"/>
        <v>0</v>
      </c>
      <c r="Q1317" s="61">
        <f t="shared" si="177"/>
        <v>66107</v>
      </c>
    </row>
    <row r="1318" spans="2:17" ht="12.75">
      <c r="B1318" s="20">
        <f t="shared" si="180"/>
        <v>702</v>
      </c>
      <c r="C1318" s="10"/>
      <c r="D1318" s="10"/>
      <c r="E1318" s="10"/>
      <c r="F1318" s="30" t="s">
        <v>61</v>
      </c>
      <c r="G1318" s="10">
        <v>620</v>
      </c>
      <c r="H1318" s="10" t="s">
        <v>124</v>
      </c>
      <c r="I1318" s="61">
        <v>23821</v>
      </c>
      <c r="J1318" s="61"/>
      <c r="K1318" s="61">
        <f t="shared" si="173"/>
        <v>23821</v>
      </c>
      <c r="L1318" s="61"/>
      <c r="M1318" s="61"/>
      <c r="N1318" s="61">
        <f t="shared" si="174"/>
        <v>0</v>
      </c>
      <c r="O1318" s="61">
        <f t="shared" si="178"/>
        <v>23821</v>
      </c>
      <c r="P1318" s="61">
        <f t="shared" si="179"/>
        <v>0</v>
      </c>
      <c r="Q1318" s="61">
        <f t="shared" si="177"/>
        <v>23821</v>
      </c>
    </row>
    <row r="1319" spans="2:17" ht="12.75">
      <c r="B1319" s="20">
        <f t="shared" si="180"/>
        <v>703</v>
      </c>
      <c r="C1319" s="10"/>
      <c r="D1319" s="10"/>
      <c r="E1319" s="10"/>
      <c r="F1319" s="30" t="s">
        <v>61</v>
      </c>
      <c r="G1319" s="10">
        <v>630</v>
      </c>
      <c r="H1319" s="10" t="s">
        <v>121</v>
      </c>
      <c r="I1319" s="61">
        <f>I1323+I1322+I1321+I1320</f>
        <v>67346</v>
      </c>
      <c r="J1319" s="61">
        <f>J1323+J1322+J1321+J1320</f>
        <v>0</v>
      </c>
      <c r="K1319" s="61">
        <f t="shared" si="173"/>
        <v>67346</v>
      </c>
      <c r="L1319" s="61"/>
      <c r="M1319" s="61"/>
      <c r="N1319" s="61">
        <f t="shared" si="174"/>
        <v>0</v>
      </c>
      <c r="O1319" s="61">
        <f t="shared" si="178"/>
        <v>67346</v>
      </c>
      <c r="P1319" s="61">
        <f t="shared" si="179"/>
        <v>0</v>
      </c>
      <c r="Q1319" s="61">
        <f t="shared" si="177"/>
        <v>67346</v>
      </c>
    </row>
    <row r="1320" spans="2:17" ht="12.75">
      <c r="B1320" s="20">
        <f t="shared" si="180"/>
        <v>704</v>
      </c>
      <c r="C1320" s="4"/>
      <c r="D1320" s="4"/>
      <c r="E1320" s="4"/>
      <c r="F1320" s="31" t="s">
        <v>61</v>
      </c>
      <c r="G1320" s="4">
        <v>632</v>
      </c>
      <c r="H1320" s="4" t="s">
        <v>134</v>
      </c>
      <c r="I1320" s="17">
        <v>1800</v>
      </c>
      <c r="J1320" s="17"/>
      <c r="K1320" s="17">
        <f t="shared" si="173"/>
        <v>1800</v>
      </c>
      <c r="L1320" s="17"/>
      <c r="M1320" s="17"/>
      <c r="N1320" s="17">
        <f t="shared" si="174"/>
        <v>0</v>
      </c>
      <c r="O1320" s="17">
        <f t="shared" si="178"/>
        <v>1800</v>
      </c>
      <c r="P1320" s="17">
        <f t="shared" si="179"/>
        <v>0</v>
      </c>
      <c r="Q1320" s="17">
        <f t="shared" si="177"/>
        <v>1800</v>
      </c>
    </row>
    <row r="1321" spans="2:17" ht="12.75">
      <c r="B1321" s="20">
        <f t="shared" si="180"/>
        <v>705</v>
      </c>
      <c r="C1321" s="4"/>
      <c r="D1321" s="4"/>
      <c r="E1321" s="4"/>
      <c r="F1321" s="31" t="s">
        <v>61</v>
      </c>
      <c r="G1321" s="4">
        <v>633</v>
      </c>
      <c r="H1321" s="4" t="s">
        <v>125</v>
      </c>
      <c r="I1321" s="17">
        <f>80400-21254</f>
        <v>59146</v>
      </c>
      <c r="J1321" s="17"/>
      <c r="K1321" s="17">
        <f t="shared" si="173"/>
        <v>59146</v>
      </c>
      <c r="L1321" s="17"/>
      <c r="M1321" s="17"/>
      <c r="N1321" s="17">
        <f t="shared" si="174"/>
        <v>0</v>
      </c>
      <c r="O1321" s="17">
        <f t="shared" si="178"/>
        <v>59146</v>
      </c>
      <c r="P1321" s="17">
        <f t="shared" si="179"/>
        <v>0</v>
      </c>
      <c r="Q1321" s="17">
        <f t="shared" si="177"/>
        <v>59146</v>
      </c>
    </row>
    <row r="1322" spans="2:17" ht="12.75">
      <c r="B1322" s="20">
        <f t="shared" si="180"/>
        <v>706</v>
      </c>
      <c r="C1322" s="4"/>
      <c r="D1322" s="4"/>
      <c r="E1322" s="4"/>
      <c r="F1322" s="31" t="s">
        <v>61</v>
      </c>
      <c r="G1322" s="4">
        <v>635</v>
      </c>
      <c r="H1322" s="4" t="s">
        <v>133</v>
      </c>
      <c r="I1322" s="17">
        <v>1700</v>
      </c>
      <c r="J1322" s="17"/>
      <c r="K1322" s="17">
        <f t="shared" si="173"/>
        <v>1700</v>
      </c>
      <c r="L1322" s="17"/>
      <c r="M1322" s="17"/>
      <c r="N1322" s="17">
        <f t="shared" si="174"/>
        <v>0</v>
      </c>
      <c r="O1322" s="17">
        <f t="shared" si="178"/>
        <v>1700</v>
      </c>
      <c r="P1322" s="17">
        <f t="shared" si="179"/>
        <v>0</v>
      </c>
      <c r="Q1322" s="17">
        <f t="shared" si="177"/>
        <v>1700</v>
      </c>
    </row>
    <row r="1323" spans="2:17" ht="12.75">
      <c r="B1323" s="20">
        <f t="shared" si="180"/>
        <v>707</v>
      </c>
      <c r="C1323" s="4"/>
      <c r="D1323" s="4"/>
      <c r="E1323" s="4"/>
      <c r="F1323" s="31" t="s">
        <v>61</v>
      </c>
      <c r="G1323" s="4">
        <v>637</v>
      </c>
      <c r="H1323" s="4" t="s">
        <v>122</v>
      </c>
      <c r="I1323" s="17">
        <v>4700</v>
      </c>
      <c r="J1323" s="17"/>
      <c r="K1323" s="17">
        <f aca="true" t="shared" si="181" ref="K1323:K1389">J1323+I1323</f>
        <v>4700</v>
      </c>
      <c r="L1323" s="17"/>
      <c r="M1323" s="17"/>
      <c r="N1323" s="17">
        <f aca="true" t="shared" si="182" ref="N1323:N1389">M1323+L1323</f>
        <v>0</v>
      </c>
      <c r="O1323" s="17">
        <f t="shared" si="178"/>
        <v>4700</v>
      </c>
      <c r="P1323" s="17">
        <f t="shared" si="179"/>
        <v>0</v>
      </c>
      <c r="Q1323" s="17">
        <f t="shared" si="177"/>
        <v>4700</v>
      </c>
    </row>
    <row r="1324" spans="2:17" ht="12.75">
      <c r="B1324" s="20">
        <f t="shared" si="180"/>
        <v>708</v>
      </c>
      <c r="C1324" s="10"/>
      <c r="D1324" s="10"/>
      <c r="E1324" s="10"/>
      <c r="F1324" s="30" t="s">
        <v>61</v>
      </c>
      <c r="G1324" s="10">
        <v>640</v>
      </c>
      <c r="H1324" s="10" t="s">
        <v>129</v>
      </c>
      <c r="I1324" s="61">
        <v>4750</v>
      </c>
      <c r="J1324" s="61"/>
      <c r="K1324" s="61">
        <f t="shared" si="181"/>
        <v>4750</v>
      </c>
      <c r="L1324" s="61"/>
      <c r="M1324" s="61"/>
      <c r="N1324" s="61">
        <f t="shared" si="182"/>
        <v>0</v>
      </c>
      <c r="O1324" s="61">
        <f t="shared" si="178"/>
        <v>4750</v>
      </c>
      <c r="P1324" s="61">
        <f t="shared" si="179"/>
        <v>0</v>
      </c>
      <c r="Q1324" s="61">
        <f t="shared" si="177"/>
        <v>4750</v>
      </c>
    </row>
    <row r="1325" spans="2:17" ht="12.75">
      <c r="B1325" s="20">
        <f t="shared" si="180"/>
        <v>709</v>
      </c>
      <c r="C1325" s="10"/>
      <c r="D1325" s="10"/>
      <c r="E1325" s="10"/>
      <c r="F1325" s="30" t="s">
        <v>61</v>
      </c>
      <c r="G1325" s="10">
        <v>710</v>
      </c>
      <c r="H1325" s="10" t="s">
        <v>176</v>
      </c>
      <c r="I1325" s="61"/>
      <c r="J1325" s="61"/>
      <c r="K1325" s="61">
        <f t="shared" si="181"/>
        <v>0</v>
      </c>
      <c r="L1325" s="61">
        <f>L1326</f>
        <v>5388</v>
      </c>
      <c r="M1325" s="61">
        <f>M1326</f>
        <v>0</v>
      </c>
      <c r="N1325" s="61">
        <f t="shared" si="182"/>
        <v>5388</v>
      </c>
      <c r="O1325" s="61">
        <f t="shared" si="178"/>
        <v>5388</v>
      </c>
      <c r="P1325" s="61">
        <f t="shared" si="179"/>
        <v>0</v>
      </c>
      <c r="Q1325" s="61">
        <f t="shared" si="177"/>
        <v>5388</v>
      </c>
    </row>
    <row r="1326" spans="2:17" ht="12.75">
      <c r="B1326" s="20">
        <f t="shared" si="180"/>
        <v>710</v>
      </c>
      <c r="C1326" s="10"/>
      <c r="D1326" s="10"/>
      <c r="E1326" s="10"/>
      <c r="F1326" s="31" t="s">
        <v>61</v>
      </c>
      <c r="G1326" s="4">
        <v>713</v>
      </c>
      <c r="H1326" s="4" t="s">
        <v>225</v>
      </c>
      <c r="I1326" s="17"/>
      <c r="J1326" s="17"/>
      <c r="K1326" s="17">
        <f t="shared" si="181"/>
        <v>0</v>
      </c>
      <c r="L1326" s="17">
        <f>L1327</f>
        <v>5388</v>
      </c>
      <c r="M1326" s="17">
        <f>M1327</f>
        <v>0</v>
      </c>
      <c r="N1326" s="17">
        <f t="shared" si="182"/>
        <v>5388</v>
      </c>
      <c r="O1326" s="17">
        <f t="shared" si="178"/>
        <v>5388</v>
      </c>
      <c r="P1326" s="17">
        <f t="shared" si="179"/>
        <v>0</v>
      </c>
      <c r="Q1326" s="17">
        <f t="shared" si="177"/>
        <v>5388</v>
      </c>
    </row>
    <row r="1327" spans="2:17" ht="12.75">
      <c r="B1327" s="20">
        <f t="shared" si="180"/>
        <v>711</v>
      </c>
      <c r="C1327" s="10"/>
      <c r="D1327" s="10"/>
      <c r="E1327" s="10"/>
      <c r="F1327" s="31"/>
      <c r="G1327" s="4"/>
      <c r="H1327" s="5" t="s">
        <v>559</v>
      </c>
      <c r="I1327" s="18"/>
      <c r="J1327" s="18"/>
      <c r="K1327" s="18">
        <f t="shared" si="181"/>
        <v>0</v>
      </c>
      <c r="L1327" s="18">
        <v>5388</v>
      </c>
      <c r="M1327" s="18"/>
      <c r="N1327" s="18">
        <f t="shared" si="182"/>
        <v>5388</v>
      </c>
      <c r="O1327" s="18">
        <f t="shared" si="178"/>
        <v>5388</v>
      </c>
      <c r="P1327" s="18">
        <f t="shared" si="179"/>
        <v>0</v>
      </c>
      <c r="Q1327" s="18">
        <f t="shared" si="177"/>
        <v>5388</v>
      </c>
    </row>
    <row r="1328" spans="2:17" ht="15">
      <c r="B1328" s="20">
        <f t="shared" si="180"/>
        <v>712</v>
      </c>
      <c r="C1328" s="12"/>
      <c r="D1328" s="12"/>
      <c r="E1328" s="12">
        <v>8</v>
      </c>
      <c r="F1328" s="34"/>
      <c r="G1328" s="12"/>
      <c r="H1328" s="12" t="s">
        <v>9</v>
      </c>
      <c r="I1328" s="90">
        <f>I1329</f>
        <v>110250</v>
      </c>
      <c r="J1328" s="90">
        <f>J1329</f>
        <v>0</v>
      </c>
      <c r="K1328" s="90">
        <f t="shared" si="181"/>
        <v>110250</v>
      </c>
      <c r="L1328" s="90">
        <f>L1329</f>
        <v>0</v>
      </c>
      <c r="M1328" s="90">
        <f>M1329</f>
        <v>0</v>
      </c>
      <c r="N1328" s="90">
        <f t="shared" si="182"/>
        <v>0</v>
      </c>
      <c r="O1328" s="90">
        <f>O1329</f>
        <v>110250</v>
      </c>
      <c r="P1328" s="90">
        <f>P1329</f>
        <v>0</v>
      </c>
      <c r="Q1328" s="90">
        <f t="shared" si="177"/>
        <v>110250</v>
      </c>
    </row>
    <row r="1329" spans="2:17" ht="12.75">
      <c r="B1329" s="20">
        <f t="shared" si="180"/>
        <v>713</v>
      </c>
      <c r="C1329" s="3"/>
      <c r="D1329" s="3"/>
      <c r="E1329" s="3"/>
      <c r="F1329" s="52" t="s">
        <v>61</v>
      </c>
      <c r="G1329" s="3">
        <v>630</v>
      </c>
      <c r="H1329" s="3" t="s">
        <v>121</v>
      </c>
      <c r="I1329" s="16">
        <f>I1330</f>
        <v>110250</v>
      </c>
      <c r="J1329" s="16">
        <f>J1330</f>
        <v>0</v>
      </c>
      <c r="K1329" s="16">
        <f t="shared" si="181"/>
        <v>110250</v>
      </c>
      <c r="L1329" s="18"/>
      <c r="M1329" s="18"/>
      <c r="N1329" s="18">
        <f t="shared" si="182"/>
        <v>0</v>
      </c>
      <c r="O1329" s="184">
        <f aca="true" t="shared" si="183" ref="O1329:O1360">I1329+L1329</f>
        <v>110250</v>
      </c>
      <c r="P1329" s="184">
        <f aca="true" t="shared" si="184" ref="P1329:P1360">J1329+M1329</f>
        <v>0</v>
      </c>
      <c r="Q1329" s="184">
        <f t="shared" si="177"/>
        <v>110250</v>
      </c>
    </row>
    <row r="1330" spans="2:17" ht="12.75">
      <c r="B1330" s="20">
        <f t="shared" si="180"/>
        <v>714</v>
      </c>
      <c r="C1330" s="3"/>
      <c r="D1330" s="3"/>
      <c r="E1330" s="3"/>
      <c r="F1330" s="31" t="s">
        <v>61</v>
      </c>
      <c r="G1330" s="4">
        <v>637</v>
      </c>
      <c r="H1330" s="4" t="s">
        <v>122</v>
      </c>
      <c r="I1330" s="17">
        <v>110250</v>
      </c>
      <c r="J1330" s="17"/>
      <c r="K1330" s="17">
        <f t="shared" si="181"/>
        <v>110250</v>
      </c>
      <c r="L1330" s="18"/>
      <c r="M1330" s="18"/>
      <c r="N1330" s="18">
        <f t="shared" si="182"/>
        <v>0</v>
      </c>
      <c r="O1330" s="105">
        <f t="shared" si="183"/>
        <v>110250</v>
      </c>
      <c r="P1330" s="105">
        <f t="shared" si="184"/>
        <v>0</v>
      </c>
      <c r="Q1330" s="105">
        <f t="shared" si="177"/>
        <v>110250</v>
      </c>
    </row>
    <row r="1331" spans="2:17" ht="15">
      <c r="B1331" s="20">
        <f t="shared" si="180"/>
        <v>715</v>
      </c>
      <c r="C1331" s="12"/>
      <c r="D1331" s="12"/>
      <c r="E1331" s="12">
        <v>9</v>
      </c>
      <c r="F1331" s="34"/>
      <c r="G1331" s="12"/>
      <c r="H1331" s="12" t="s">
        <v>7</v>
      </c>
      <c r="I1331" s="90">
        <f>I1332+I1333+I1334+I1339+I1340+I1341+I1342+I1348</f>
        <v>208598</v>
      </c>
      <c r="J1331" s="90">
        <f>J1332+J1333+J1334+J1339+J1340+J1341+J1342+J1348</f>
        <v>2650</v>
      </c>
      <c r="K1331" s="90">
        <f t="shared" si="181"/>
        <v>211248</v>
      </c>
      <c r="L1331" s="90">
        <f>L1349</f>
        <v>10000</v>
      </c>
      <c r="M1331" s="90">
        <f>M1349</f>
        <v>2350</v>
      </c>
      <c r="N1331" s="90">
        <f t="shared" si="182"/>
        <v>12350</v>
      </c>
      <c r="O1331" s="90">
        <f t="shared" si="183"/>
        <v>218598</v>
      </c>
      <c r="P1331" s="90">
        <f t="shared" si="184"/>
        <v>5000</v>
      </c>
      <c r="Q1331" s="90">
        <f t="shared" si="177"/>
        <v>223598</v>
      </c>
    </row>
    <row r="1332" spans="2:17" ht="12.75">
      <c r="B1332" s="20">
        <f t="shared" si="180"/>
        <v>716</v>
      </c>
      <c r="C1332" s="10"/>
      <c r="D1332" s="10"/>
      <c r="E1332" s="10"/>
      <c r="F1332" s="30" t="s">
        <v>92</v>
      </c>
      <c r="G1332" s="10">
        <v>610</v>
      </c>
      <c r="H1332" s="10" t="s">
        <v>131</v>
      </c>
      <c r="I1332" s="61">
        <v>31500</v>
      </c>
      <c r="J1332" s="61"/>
      <c r="K1332" s="61">
        <f t="shared" si="181"/>
        <v>31500</v>
      </c>
      <c r="L1332" s="61"/>
      <c r="M1332" s="61"/>
      <c r="N1332" s="61">
        <f t="shared" si="182"/>
        <v>0</v>
      </c>
      <c r="O1332" s="61">
        <f t="shared" si="183"/>
        <v>31500</v>
      </c>
      <c r="P1332" s="61">
        <f t="shared" si="184"/>
        <v>0</v>
      </c>
      <c r="Q1332" s="61">
        <f t="shared" si="177"/>
        <v>31500</v>
      </c>
    </row>
    <row r="1333" spans="2:17" ht="12.75">
      <c r="B1333" s="20">
        <f t="shared" si="180"/>
        <v>717</v>
      </c>
      <c r="C1333" s="10"/>
      <c r="D1333" s="10"/>
      <c r="E1333" s="10"/>
      <c r="F1333" s="30" t="s">
        <v>92</v>
      </c>
      <c r="G1333" s="10">
        <v>620</v>
      </c>
      <c r="H1333" s="10" t="s">
        <v>124</v>
      </c>
      <c r="I1333" s="61">
        <v>11410</v>
      </c>
      <c r="J1333" s="61"/>
      <c r="K1333" s="61">
        <f t="shared" si="181"/>
        <v>11410</v>
      </c>
      <c r="L1333" s="61"/>
      <c r="M1333" s="61"/>
      <c r="N1333" s="61">
        <f t="shared" si="182"/>
        <v>0</v>
      </c>
      <c r="O1333" s="61">
        <f t="shared" si="183"/>
        <v>11410</v>
      </c>
      <c r="P1333" s="61">
        <f t="shared" si="184"/>
        <v>0</v>
      </c>
      <c r="Q1333" s="61">
        <f t="shared" si="177"/>
        <v>11410</v>
      </c>
    </row>
    <row r="1334" spans="2:17" ht="12.75">
      <c r="B1334" s="20">
        <f t="shared" si="180"/>
        <v>718</v>
      </c>
      <c r="C1334" s="10"/>
      <c r="D1334" s="10"/>
      <c r="E1334" s="10"/>
      <c r="F1334" s="30" t="s">
        <v>92</v>
      </c>
      <c r="G1334" s="10">
        <v>630</v>
      </c>
      <c r="H1334" s="10" t="s">
        <v>121</v>
      </c>
      <c r="I1334" s="61">
        <f>I1338+I1337+I1336+I1335</f>
        <v>55022</v>
      </c>
      <c r="J1334" s="61">
        <f>J1338+J1337+J1336+J1335</f>
        <v>0</v>
      </c>
      <c r="K1334" s="61">
        <f t="shared" si="181"/>
        <v>55022</v>
      </c>
      <c r="L1334" s="61"/>
      <c r="M1334" s="61"/>
      <c r="N1334" s="61">
        <f t="shared" si="182"/>
        <v>0</v>
      </c>
      <c r="O1334" s="61">
        <f t="shared" si="183"/>
        <v>55022</v>
      </c>
      <c r="P1334" s="61">
        <f t="shared" si="184"/>
        <v>0</v>
      </c>
      <c r="Q1334" s="61">
        <f t="shared" si="177"/>
        <v>55022</v>
      </c>
    </row>
    <row r="1335" spans="2:17" ht="12.75">
      <c r="B1335" s="20">
        <f t="shared" si="180"/>
        <v>719</v>
      </c>
      <c r="C1335" s="4"/>
      <c r="D1335" s="4"/>
      <c r="E1335" s="4"/>
      <c r="F1335" s="31" t="s">
        <v>92</v>
      </c>
      <c r="G1335" s="4">
        <v>632</v>
      </c>
      <c r="H1335" s="4" t="s">
        <v>134</v>
      </c>
      <c r="I1335" s="17">
        <v>14700</v>
      </c>
      <c r="J1335" s="17"/>
      <c r="K1335" s="17">
        <f t="shared" si="181"/>
        <v>14700</v>
      </c>
      <c r="L1335" s="17"/>
      <c r="M1335" s="17"/>
      <c r="N1335" s="17">
        <f t="shared" si="182"/>
        <v>0</v>
      </c>
      <c r="O1335" s="17">
        <f t="shared" si="183"/>
        <v>14700</v>
      </c>
      <c r="P1335" s="17">
        <f t="shared" si="184"/>
        <v>0</v>
      </c>
      <c r="Q1335" s="17">
        <f t="shared" si="177"/>
        <v>14700</v>
      </c>
    </row>
    <row r="1336" spans="2:17" ht="12.75">
      <c r="B1336" s="20">
        <f t="shared" si="180"/>
        <v>720</v>
      </c>
      <c r="C1336" s="4"/>
      <c r="D1336" s="4"/>
      <c r="E1336" s="4"/>
      <c r="F1336" s="31" t="s">
        <v>92</v>
      </c>
      <c r="G1336" s="4">
        <v>633</v>
      </c>
      <c r="H1336" s="4" t="s">
        <v>125</v>
      </c>
      <c r="I1336" s="17">
        <f>50568-20356</f>
        <v>30212</v>
      </c>
      <c r="J1336" s="17"/>
      <c r="K1336" s="17">
        <f t="shared" si="181"/>
        <v>30212</v>
      </c>
      <c r="L1336" s="17"/>
      <c r="M1336" s="17"/>
      <c r="N1336" s="17">
        <f t="shared" si="182"/>
        <v>0</v>
      </c>
      <c r="O1336" s="17">
        <f t="shared" si="183"/>
        <v>30212</v>
      </c>
      <c r="P1336" s="17">
        <f t="shared" si="184"/>
        <v>0</v>
      </c>
      <c r="Q1336" s="17">
        <f t="shared" si="177"/>
        <v>30212</v>
      </c>
    </row>
    <row r="1337" spans="2:17" ht="12.75">
      <c r="B1337" s="20">
        <f t="shared" si="180"/>
        <v>721</v>
      </c>
      <c r="C1337" s="4"/>
      <c r="D1337" s="4"/>
      <c r="E1337" s="4"/>
      <c r="F1337" s="31" t="s">
        <v>92</v>
      </c>
      <c r="G1337" s="4">
        <v>635</v>
      </c>
      <c r="H1337" s="4" t="s">
        <v>133</v>
      </c>
      <c r="I1337" s="17">
        <v>5200</v>
      </c>
      <c r="J1337" s="17"/>
      <c r="K1337" s="17">
        <f t="shared" si="181"/>
        <v>5200</v>
      </c>
      <c r="L1337" s="17"/>
      <c r="M1337" s="17"/>
      <c r="N1337" s="17">
        <f t="shared" si="182"/>
        <v>0</v>
      </c>
      <c r="O1337" s="17">
        <f t="shared" si="183"/>
        <v>5200</v>
      </c>
      <c r="P1337" s="17">
        <f t="shared" si="184"/>
        <v>0</v>
      </c>
      <c r="Q1337" s="17">
        <f t="shared" si="177"/>
        <v>5200</v>
      </c>
    </row>
    <row r="1338" spans="2:17" ht="12.75">
      <c r="B1338" s="20">
        <f t="shared" si="180"/>
        <v>722</v>
      </c>
      <c r="C1338" s="4"/>
      <c r="D1338" s="4"/>
      <c r="E1338" s="4"/>
      <c r="F1338" s="31" t="s">
        <v>92</v>
      </c>
      <c r="G1338" s="4">
        <v>637</v>
      </c>
      <c r="H1338" s="4" t="s">
        <v>122</v>
      </c>
      <c r="I1338" s="17">
        <v>4910</v>
      </c>
      <c r="J1338" s="17"/>
      <c r="K1338" s="17">
        <f t="shared" si="181"/>
        <v>4910</v>
      </c>
      <c r="L1338" s="17"/>
      <c r="M1338" s="17"/>
      <c r="N1338" s="17">
        <f t="shared" si="182"/>
        <v>0</v>
      </c>
      <c r="O1338" s="17">
        <f t="shared" si="183"/>
        <v>4910</v>
      </c>
      <c r="P1338" s="17">
        <f t="shared" si="184"/>
        <v>0</v>
      </c>
      <c r="Q1338" s="17">
        <f t="shared" si="177"/>
        <v>4910</v>
      </c>
    </row>
    <row r="1339" spans="2:17" ht="12.75">
      <c r="B1339" s="20">
        <f t="shared" si="180"/>
        <v>723</v>
      </c>
      <c r="C1339" s="10"/>
      <c r="D1339" s="10"/>
      <c r="E1339" s="10"/>
      <c r="F1339" s="30" t="s">
        <v>92</v>
      </c>
      <c r="G1339" s="10">
        <v>640</v>
      </c>
      <c r="H1339" s="10" t="s">
        <v>129</v>
      </c>
      <c r="I1339" s="61">
        <v>2280</v>
      </c>
      <c r="J1339" s="61"/>
      <c r="K1339" s="61">
        <f t="shared" si="181"/>
        <v>2280</v>
      </c>
      <c r="L1339" s="61"/>
      <c r="M1339" s="61"/>
      <c r="N1339" s="61">
        <f t="shared" si="182"/>
        <v>0</v>
      </c>
      <c r="O1339" s="61">
        <f t="shared" si="183"/>
        <v>2280</v>
      </c>
      <c r="P1339" s="61">
        <f t="shared" si="184"/>
        <v>0</v>
      </c>
      <c r="Q1339" s="61">
        <f t="shared" si="177"/>
        <v>2280</v>
      </c>
    </row>
    <row r="1340" spans="2:17" ht="12.75">
      <c r="B1340" s="20">
        <f t="shared" si="180"/>
        <v>724</v>
      </c>
      <c r="C1340" s="10"/>
      <c r="D1340" s="10"/>
      <c r="E1340" s="10"/>
      <c r="F1340" s="30" t="s">
        <v>61</v>
      </c>
      <c r="G1340" s="10">
        <v>610</v>
      </c>
      <c r="H1340" s="10" t="s">
        <v>131</v>
      </c>
      <c r="I1340" s="61">
        <v>31500</v>
      </c>
      <c r="J1340" s="61"/>
      <c r="K1340" s="61">
        <f t="shared" si="181"/>
        <v>31500</v>
      </c>
      <c r="L1340" s="61"/>
      <c r="M1340" s="61"/>
      <c r="N1340" s="61">
        <f t="shared" si="182"/>
        <v>0</v>
      </c>
      <c r="O1340" s="61">
        <f t="shared" si="183"/>
        <v>31500</v>
      </c>
      <c r="P1340" s="61">
        <f t="shared" si="184"/>
        <v>0</v>
      </c>
      <c r="Q1340" s="61">
        <f t="shared" si="177"/>
        <v>31500</v>
      </c>
    </row>
    <row r="1341" spans="2:17" ht="12.75">
      <c r="B1341" s="20">
        <f t="shared" si="180"/>
        <v>725</v>
      </c>
      <c r="C1341" s="10"/>
      <c r="D1341" s="10"/>
      <c r="E1341" s="10"/>
      <c r="F1341" s="30" t="s">
        <v>61</v>
      </c>
      <c r="G1341" s="10">
        <v>620</v>
      </c>
      <c r="H1341" s="10" t="s">
        <v>124</v>
      </c>
      <c r="I1341" s="61">
        <v>11410</v>
      </c>
      <c r="J1341" s="61"/>
      <c r="K1341" s="61">
        <f t="shared" si="181"/>
        <v>11410</v>
      </c>
      <c r="L1341" s="61"/>
      <c r="M1341" s="61"/>
      <c r="N1341" s="61">
        <f t="shared" si="182"/>
        <v>0</v>
      </c>
      <c r="O1341" s="61">
        <f t="shared" si="183"/>
        <v>11410</v>
      </c>
      <c r="P1341" s="61">
        <f t="shared" si="184"/>
        <v>0</v>
      </c>
      <c r="Q1341" s="61">
        <f t="shared" si="177"/>
        <v>11410</v>
      </c>
    </row>
    <row r="1342" spans="2:17" ht="12.75">
      <c r="B1342" s="20">
        <f t="shared" si="180"/>
        <v>726</v>
      </c>
      <c r="C1342" s="10"/>
      <c r="D1342" s="10"/>
      <c r="E1342" s="10"/>
      <c r="F1342" s="30" t="s">
        <v>61</v>
      </c>
      <c r="G1342" s="10">
        <v>630</v>
      </c>
      <c r="H1342" s="10" t="s">
        <v>121</v>
      </c>
      <c r="I1342" s="61">
        <f>I1347+I1346+I1344+I1343</f>
        <v>63196</v>
      </c>
      <c r="J1342" s="61">
        <f>SUM(J1343:J1347)</f>
        <v>2650</v>
      </c>
      <c r="K1342" s="61">
        <f t="shared" si="181"/>
        <v>65846</v>
      </c>
      <c r="L1342" s="61"/>
      <c r="M1342" s="61"/>
      <c r="N1342" s="61">
        <f t="shared" si="182"/>
        <v>0</v>
      </c>
      <c r="O1342" s="61">
        <f t="shared" si="183"/>
        <v>63196</v>
      </c>
      <c r="P1342" s="61">
        <f t="shared" si="184"/>
        <v>2650</v>
      </c>
      <c r="Q1342" s="61">
        <f t="shared" si="177"/>
        <v>65846</v>
      </c>
    </row>
    <row r="1343" spans="2:17" ht="12.75">
      <c r="B1343" s="20">
        <f t="shared" si="180"/>
        <v>727</v>
      </c>
      <c r="C1343" s="4"/>
      <c r="D1343" s="4"/>
      <c r="E1343" s="4"/>
      <c r="F1343" s="31" t="s">
        <v>61</v>
      </c>
      <c r="G1343" s="4">
        <v>632</v>
      </c>
      <c r="H1343" s="4" t="s">
        <v>134</v>
      </c>
      <c r="I1343" s="17">
        <v>14700</v>
      </c>
      <c r="J1343" s="17"/>
      <c r="K1343" s="17">
        <f t="shared" si="181"/>
        <v>14700</v>
      </c>
      <c r="L1343" s="17"/>
      <c r="M1343" s="17"/>
      <c r="N1343" s="17">
        <f t="shared" si="182"/>
        <v>0</v>
      </c>
      <c r="O1343" s="17">
        <f t="shared" si="183"/>
        <v>14700</v>
      </c>
      <c r="P1343" s="17">
        <f t="shared" si="184"/>
        <v>0</v>
      </c>
      <c r="Q1343" s="17">
        <f t="shared" si="177"/>
        <v>14700</v>
      </c>
    </row>
    <row r="1344" spans="2:17" ht="12.75">
      <c r="B1344" s="20">
        <f t="shared" si="180"/>
        <v>728</v>
      </c>
      <c r="C1344" s="4"/>
      <c r="D1344" s="4"/>
      <c r="E1344" s="4"/>
      <c r="F1344" s="31" t="s">
        <v>61</v>
      </c>
      <c r="G1344" s="4">
        <v>633</v>
      </c>
      <c r="H1344" s="4" t="s">
        <v>125</v>
      </c>
      <c r="I1344" s="17">
        <f>58743-20357</f>
        <v>38386</v>
      </c>
      <c r="J1344" s="17"/>
      <c r="K1344" s="17">
        <f t="shared" si="181"/>
        <v>38386</v>
      </c>
      <c r="L1344" s="17"/>
      <c r="M1344" s="17"/>
      <c r="N1344" s="17">
        <f t="shared" si="182"/>
        <v>0</v>
      </c>
      <c r="O1344" s="17">
        <f t="shared" si="183"/>
        <v>38386</v>
      </c>
      <c r="P1344" s="17">
        <f t="shared" si="184"/>
        <v>0</v>
      </c>
      <c r="Q1344" s="17">
        <f t="shared" si="177"/>
        <v>38386</v>
      </c>
    </row>
    <row r="1345" spans="2:17" ht="12.75">
      <c r="B1345" s="20">
        <f t="shared" si="180"/>
        <v>729</v>
      </c>
      <c r="C1345" s="4"/>
      <c r="D1345" s="4"/>
      <c r="E1345" s="4"/>
      <c r="F1345" s="31" t="s">
        <v>61</v>
      </c>
      <c r="G1345" s="4">
        <v>633</v>
      </c>
      <c r="H1345" s="4" t="s">
        <v>659</v>
      </c>
      <c r="I1345" s="17">
        <v>0</v>
      </c>
      <c r="J1345" s="17">
        <v>2650</v>
      </c>
      <c r="K1345" s="17">
        <f t="shared" si="181"/>
        <v>2650</v>
      </c>
      <c r="L1345" s="17"/>
      <c r="M1345" s="17"/>
      <c r="N1345" s="17">
        <f>M1345+L1345</f>
        <v>0</v>
      </c>
      <c r="O1345" s="17">
        <f t="shared" si="183"/>
        <v>0</v>
      </c>
      <c r="P1345" s="17">
        <f t="shared" si="184"/>
        <v>2650</v>
      </c>
      <c r="Q1345" s="17">
        <f>O1345+P1345</f>
        <v>2650</v>
      </c>
    </row>
    <row r="1346" spans="2:17" ht="12.75">
      <c r="B1346" s="20">
        <f t="shared" si="180"/>
        <v>730</v>
      </c>
      <c r="C1346" s="4"/>
      <c r="D1346" s="4"/>
      <c r="E1346" s="4"/>
      <c r="F1346" s="31" t="s">
        <v>61</v>
      </c>
      <c r="G1346" s="4">
        <v>635</v>
      </c>
      <c r="H1346" s="4" t="s">
        <v>133</v>
      </c>
      <c r="I1346" s="17">
        <v>5200</v>
      </c>
      <c r="J1346" s="17"/>
      <c r="K1346" s="17">
        <f t="shared" si="181"/>
        <v>5200</v>
      </c>
      <c r="L1346" s="17"/>
      <c r="M1346" s="17"/>
      <c r="N1346" s="17">
        <f t="shared" si="182"/>
        <v>0</v>
      </c>
      <c r="O1346" s="17">
        <f t="shared" si="183"/>
        <v>5200</v>
      </c>
      <c r="P1346" s="17">
        <f t="shared" si="184"/>
        <v>0</v>
      </c>
      <c r="Q1346" s="17">
        <f t="shared" si="177"/>
        <v>5200</v>
      </c>
    </row>
    <row r="1347" spans="2:17" ht="12.75">
      <c r="B1347" s="20">
        <f t="shared" si="180"/>
        <v>731</v>
      </c>
      <c r="C1347" s="4"/>
      <c r="D1347" s="4"/>
      <c r="E1347" s="4"/>
      <c r="F1347" s="31" t="s">
        <v>61</v>
      </c>
      <c r="G1347" s="4">
        <v>637</v>
      </c>
      <c r="H1347" s="4" t="s">
        <v>122</v>
      </c>
      <c r="I1347" s="17">
        <v>4910</v>
      </c>
      <c r="J1347" s="17"/>
      <c r="K1347" s="17">
        <f t="shared" si="181"/>
        <v>4910</v>
      </c>
      <c r="L1347" s="17"/>
      <c r="M1347" s="17"/>
      <c r="N1347" s="17">
        <f t="shared" si="182"/>
        <v>0</v>
      </c>
      <c r="O1347" s="17">
        <f t="shared" si="183"/>
        <v>4910</v>
      </c>
      <c r="P1347" s="17">
        <f t="shared" si="184"/>
        <v>0</v>
      </c>
      <c r="Q1347" s="17">
        <f t="shared" si="177"/>
        <v>4910</v>
      </c>
    </row>
    <row r="1348" spans="2:17" s="13" customFormat="1" ht="12.75">
      <c r="B1348" s="20">
        <f t="shared" si="180"/>
        <v>732</v>
      </c>
      <c r="C1348" s="10"/>
      <c r="D1348" s="10"/>
      <c r="E1348" s="10"/>
      <c r="F1348" s="30" t="s">
        <v>61</v>
      </c>
      <c r="G1348" s="10">
        <v>640</v>
      </c>
      <c r="H1348" s="10" t="s">
        <v>129</v>
      </c>
      <c r="I1348" s="61">
        <v>2280</v>
      </c>
      <c r="J1348" s="61"/>
      <c r="K1348" s="61">
        <f t="shared" si="181"/>
        <v>2280</v>
      </c>
      <c r="L1348" s="61"/>
      <c r="M1348" s="61"/>
      <c r="N1348" s="61">
        <f t="shared" si="182"/>
        <v>0</v>
      </c>
      <c r="O1348" s="61">
        <f t="shared" si="183"/>
        <v>2280</v>
      </c>
      <c r="P1348" s="61">
        <f t="shared" si="184"/>
        <v>0</v>
      </c>
      <c r="Q1348" s="61">
        <f t="shared" si="177"/>
        <v>2280</v>
      </c>
    </row>
    <row r="1349" spans="2:17" ht="12.75">
      <c r="B1349" s="20">
        <f t="shared" si="180"/>
        <v>733</v>
      </c>
      <c r="C1349" s="10"/>
      <c r="D1349" s="10"/>
      <c r="E1349" s="10"/>
      <c r="F1349" s="52" t="s">
        <v>61</v>
      </c>
      <c r="G1349" s="3">
        <v>710</v>
      </c>
      <c r="H1349" s="3" t="s">
        <v>176</v>
      </c>
      <c r="I1349" s="16"/>
      <c r="J1349" s="16"/>
      <c r="K1349" s="16">
        <f t="shared" si="181"/>
        <v>0</v>
      </c>
      <c r="L1349" s="16">
        <f>L1352</f>
        <v>10000</v>
      </c>
      <c r="M1349" s="16">
        <f>M1350+M1352</f>
        <v>2350</v>
      </c>
      <c r="N1349" s="16">
        <f t="shared" si="182"/>
        <v>12350</v>
      </c>
      <c r="O1349" s="61">
        <f t="shared" si="183"/>
        <v>10000</v>
      </c>
      <c r="P1349" s="61">
        <f t="shared" si="184"/>
        <v>2350</v>
      </c>
      <c r="Q1349" s="61">
        <f t="shared" si="177"/>
        <v>12350</v>
      </c>
    </row>
    <row r="1350" spans="2:17" ht="12.75">
      <c r="B1350" s="20">
        <f t="shared" si="180"/>
        <v>734</v>
      </c>
      <c r="C1350" s="10"/>
      <c r="D1350" s="10"/>
      <c r="E1350" s="10"/>
      <c r="F1350" s="31" t="s">
        <v>61</v>
      </c>
      <c r="G1350" s="4">
        <v>713</v>
      </c>
      <c r="H1350" s="4" t="s">
        <v>225</v>
      </c>
      <c r="I1350" s="61"/>
      <c r="J1350" s="61"/>
      <c r="K1350" s="61">
        <f t="shared" si="181"/>
        <v>0</v>
      </c>
      <c r="L1350" s="103">
        <f>L1351</f>
        <v>0</v>
      </c>
      <c r="M1350" s="103">
        <f>M1351</f>
        <v>2350</v>
      </c>
      <c r="N1350" s="103">
        <f t="shared" si="182"/>
        <v>2350</v>
      </c>
      <c r="O1350" s="103">
        <f t="shared" si="183"/>
        <v>0</v>
      </c>
      <c r="P1350" s="103">
        <f t="shared" si="184"/>
        <v>2350</v>
      </c>
      <c r="Q1350" s="103">
        <f t="shared" si="177"/>
        <v>2350</v>
      </c>
    </row>
    <row r="1351" spans="2:17" ht="12.75">
      <c r="B1351" s="20">
        <f t="shared" si="180"/>
        <v>735</v>
      </c>
      <c r="C1351" s="10"/>
      <c r="D1351" s="10"/>
      <c r="E1351" s="10"/>
      <c r="F1351" s="31"/>
      <c r="G1351" s="4"/>
      <c r="H1351" s="43" t="s">
        <v>658</v>
      </c>
      <c r="I1351" s="61"/>
      <c r="J1351" s="61"/>
      <c r="K1351" s="61">
        <f t="shared" si="181"/>
        <v>0</v>
      </c>
      <c r="L1351" s="95">
        <v>0</v>
      </c>
      <c r="M1351" s="95">
        <v>2350</v>
      </c>
      <c r="N1351" s="95">
        <f t="shared" si="182"/>
        <v>2350</v>
      </c>
      <c r="O1351" s="95">
        <f t="shared" si="183"/>
        <v>0</v>
      </c>
      <c r="P1351" s="95">
        <f t="shared" si="184"/>
        <v>2350</v>
      </c>
      <c r="Q1351" s="95">
        <f t="shared" si="177"/>
        <v>2350</v>
      </c>
    </row>
    <row r="1352" spans="2:17" ht="12.75">
      <c r="B1352" s="20">
        <f t="shared" si="180"/>
        <v>736</v>
      </c>
      <c r="C1352" s="10"/>
      <c r="D1352" s="10"/>
      <c r="E1352" s="10"/>
      <c r="F1352" s="31" t="s">
        <v>61</v>
      </c>
      <c r="G1352" s="4">
        <v>717</v>
      </c>
      <c r="H1352" s="4" t="s">
        <v>186</v>
      </c>
      <c r="I1352" s="17"/>
      <c r="J1352" s="17"/>
      <c r="K1352" s="17">
        <f t="shared" si="181"/>
        <v>0</v>
      </c>
      <c r="L1352" s="17">
        <f>L1353</f>
        <v>10000</v>
      </c>
      <c r="M1352" s="17">
        <f>M1353</f>
        <v>0</v>
      </c>
      <c r="N1352" s="17">
        <f t="shared" si="182"/>
        <v>10000</v>
      </c>
      <c r="O1352" s="103">
        <f t="shared" si="183"/>
        <v>10000</v>
      </c>
      <c r="P1352" s="103">
        <f t="shared" si="184"/>
        <v>0</v>
      </c>
      <c r="Q1352" s="103">
        <f t="shared" si="177"/>
        <v>10000</v>
      </c>
    </row>
    <row r="1353" spans="2:17" ht="12.75">
      <c r="B1353" s="20">
        <f t="shared" si="180"/>
        <v>737</v>
      </c>
      <c r="C1353" s="10"/>
      <c r="D1353" s="10"/>
      <c r="E1353" s="10"/>
      <c r="F1353" s="31"/>
      <c r="G1353" s="4"/>
      <c r="H1353" s="5" t="s">
        <v>601</v>
      </c>
      <c r="I1353" s="18"/>
      <c r="J1353" s="18"/>
      <c r="K1353" s="18">
        <f t="shared" si="181"/>
        <v>0</v>
      </c>
      <c r="L1353" s="18">
        <v>10000</v>
      </c>
      <c r="M1353" s="18"/>
      <c r="N1353" s="18">
        <f t="shared" si="182"/>
        <v>10000</v>
      </c>
      <c r="O1353" s="170">
        <f t="shared" si="183"/>
        <v>10000</v>
      </c>
      <c r="P1353" s="170">
        <f t="shared" si="184"/>
        <v>0</v>
      </c>
      <c r="Q1353" s="170">
        <f t="shared" si="177"/>
        <v>10000</v>
      </c>
    </row>
    <row r="1354" spans="2:17" ht="15">
      <c r="B1354" s="20">
        <f t="shared" si="180"/>
        <v>738</v>
      </c>
      <c r="C1354" s="12"/>
      <c r="D1354" s="12"/>
      <c r="E1354" s="12">
        <v>10</v>
      </c>
      <c r="F1354" s="34"/>
      <c r="G1354" s="12"/>
      <c r="H1354" s="12" t="s">
        <v>2</v>
      </c>
      <c r="I1354" s="90">
        <f>I1355+I1357+I1358+I1359+I1365+I1367+I1366+I1368+I1374</f>
        <v>299799</v>
      </c>
      <c r="J1354" s="90">
        <f>J1355+J1357+J1358+J1359+J1365+J1367+J1366+J1368+J1374</f>
        <v>0</v>
      </c>
      <c r="K1354" s="90">
        <f t="shared" si="181"/>
        <v>299799</v>
      </c>
      <c r="L1354" s="90">
        <f>L1355+L1357+L1358+L1359+L1365+L1367+L1366+L1368+L1374</f>
        <v>0</v>
      </c>
      <c r="M1354" s="90">
        <f>M1355+M1357+M1358+M1359+M1365+M1367+M1366+M1368+M1374</f>
        <v>0</v>
      </c>
      <c r="N1354" s="90">
        <f t="shared" si="182"/>
        <v>0</v>
      </c>
      <c r="O1354" s="90">
        <f t="shared" si="183"/>
        <v>299799</v>
      </c>
      <c r="P1354" s="90">
        <f t="shared" si="184"/>
        <v>0</v>
      </c>
      <c r="Q1354" s="90">
        <f t="shared" si="177"/>
        <v>299799</v>
      </c>
    </row>
    <row r="1355" spans="2:17" ht="12.75">
      <c r="B1355" s="20">
        <f t="shared" si="180"/>
        <v>739</v>
      </c>
      <c r="C1355" s="10"/>
      <c r="D1355" s="10"/>
      <c r="E1355" s="10"/>
      <c r="F1355" s="30" t="s">
        <v>160</v>
      </c>
      <c r="G1355" s="10">
        <v>630</v>
      </c>
      <c r="H1355" s="10" t="s">
        <v>121</v>
      </c>
      <c r="I1355" s="61">
        <f>I1356</f>
        <v>46767</v>
      </c>
      <c r="J1355" s="61">
        <f>J1356</f>
        <v>0</v>
      </c>
      <c r="K1355" s="61">
        <f t="shared" si="181"/>
        <v>46767</v>
      </c>
      <c r="L1355" s="61">
        <f>L1356</f>
        <v>0</v>
      </c>
      <c r="M1355" s="61">
        <f>M1356</f>
        <v>0</v>
      </c>
      <c r="N1355" s="61">
        <f t="shared" si="182"/>
        <v>0</v>
      </c>
      <c r="O1355" s="61">
        <f t="shared" si="183"/>
        <v>46767</v>
      </c>
      <c r="P1355" s="61">
        <f t="shared" si="184"/>
        <v>0</v>
      </c>
      <c r="Q1355" s="61">
        <f t="shared" si="177"/>
        <v>46767</v>
      </c>
    </row>
    <row r="1356" spans="2:17" ht="12.75">
      <c r="B1356" s="20">
        <f t="shared" si="180"/>
        <v>740</v>
      </c>
      <c r="C1356" s="4"/>
      <c r="D1356" s="4"/>
      <c r="E1356" s="4"/>
      <c r="F1356" s="31" t="s">
        <v>160</v>
      </c>
      <c r="G1356" s="4">
        <v>633</v>
      </c>
      <c r="H1356" s="4" t="s">
        <v>125</v>
      </c>
      <c r="I1356" s="17">
        <v>46767</v>
      </c>
      <c r="J1356" s="17"/>
      <c r="K1356" s="17">
        <f t="shared" si="181"/>
        <v>46767</v>
      </c>
      <c r="L1356" s="17"/>
      <c r="M1356" s="17"/>
      <c r="N1356" s="17">
        <f t="shared" si="182"/>
        <v>0</v>
      </c>
      <c r="O1356" s="17">
        <f t="shared" si="183"/>
        <v>46767</v>
      </c>
      <c r="P1356" s="17">
        <f t="shared" si="184"/>
        <v>0</v>
      </c>
      <c r="Q1356" s="17">
        <f t="shared" si="177"/>
        <v>46767</v>
      </c>
    </row>
    <row r="1357" spans="2:17" ht="12.75">
      <c r="B1357" s="20">
        <f t="shared" si="180"/>
        <v>741</v>
      </c>
      <c r="C1357" s="10"/>
      <c r="D1357" s="10"/>
      <c r="E1357" s="10"/>
      <c r="F1357" s="30" t="s">
        <v>92</v>
      </c>
      <c r="G1357" s="10">
        <v>610</v>
      </c>
      <c r="H1357" s="10" t="s">
        <v>131</v>
      </c>
      <c r="I1357" s="61">
        <v>37072</v>
      </c>
      <c r="J1357" s="61"/>
      <c r="K1357" s="61">
        <f t="shared" si="181"/>
        <v>37072</v>
      </c>
      <c r="L1357" s="61"/>
      <c r="M1357" s="61"/>
      <c r="N1357" s="61">
        <f t="shared" si="182"/>
        <v>0</v>
      </c>
      <c r="O1357" s="61">
        <f t="shared" si="183"/>
        <v>37072</v>
      </c>
      <c r="P1357" s="61">
        <f t="shared" si="184"/>
        <v>0</v>
      </c>
      <c r="Q1357" s="61">
        <f t="shared" si="177"/>
        <v>37072</v>
      </c>
    </row>
    <row r="1358" spans="2:17" ht="12.75">
      <c r="B1358" s="20">
        <f t="shared" si="180"/>
        <v>742</v>
      </c>
      <c r="C1358" s="10"/>
      <c r="D1358" s="10"/>
      <c r="E1358" s="10"/>
      <c r="F1358" s="30" t="s">
        <v>92</v>
      </c>
      <c r="G1358" s="10">
        <v>620</v>
      </c>
      <c r="H1358" s="10" t="s">
        <v>124</v>
      </c>
      <c r="I1358" s="61">
        <v>13300</v>
      </c>
      <c r="J1358" s="61"/>
      <c r="K1358" s="61">
        <f t="shared" si="181"/>
        <v>13300</v>
      </c>
      <c r="L1358" s="61"/>
      <c r="M1358" s="61"/>
      <c r="N1358" s="61">
        <f t="shared" si="182"/>
        <v>0</v>
      </c>
      <c r="O1358" s="61">
        <f t="shared" si="183"/>
        <v>13300</v>
      </c>
      <c r="P1358" s="61">
        <f t="shared" si="184"/>
        <v>0</v>
      </c>
      <c r="Q1358" s="61">
        <f t="shared" si="177"/>
        <v>13300</v>
      </c>
    </row>
    <row r="1359" spans="2:17" ht="12.75">
      <c r="B1359" s="20">
        <f t="shared" si="180"/>
        <v>743</v>
      </c>
      <c r="C1359" s="10"/>
      <c r="D1359" s="10"/>
      <c r="E1359" s="10"/>
      <c r="F1359" s="30" t="s">
        <v>92</v>
      </c>
      <c r="G1359" s="10">
        <v>630</v>
      </c>
      <c r="H1359" s="10" t="s">
        <v>121</v>
      </c>
      <c r="I1359" s="61">
        <f>I1364+I1363+I1362+I1361+I1360</f>
        <v>58416</v>
      </c>
      <c r="J1359" s="61">
        <f>J1364+J1363+J1362+J1361+J1360</f>
        <v>0</v>
      </c>
      <c r="K1359" s="61">
        <f t="shared" si="181"/>
        <v>58416</v>
      </c>
      <c r="L1359" s="61"/>
      <c r="M1359" s="61"/>
      <c r="N1359" s="61">
        <f t="shared" si="182"/>
        <v>0</v>
      </c>
      <c r="O1359" s="61">
        <f t="shared" si="183"/>
        <v>58416</v>
      </c>
      <c r="P1359" s="61">
        <f t="shared" si="184"/>
        <v>0</v>
      </c>
      <c r="Q1359" s="61">
        <f t="shared" si="177"/>
        <v>58416</v>
      </c>
    </row>
    <row r="1360" spans="2:17" ht="12.75">
      <c r="B1360" s="20">
        <f t="shared" si="180"/>
        <v>744</v>
      </c>
      <c r="C1360" s="4"/>
      <c r="D1360" s="4"/>
      <c r="E1360" s="4"/>
      <c r="F1360" s="31" t="s">
        <v>92</v>
      </c>
      <c r="G1360" s="4">
        <v>632</v>
      </c>
      <c r="H1360" s="4" t="s">
        <v>134</v>
      </c>
      <c r="I1360" s="17">
        <v>12000</v>
      </c>
      <c r="J1360" s="17"/>
      <c r="K1360" s="17">
        <f t="shared" si="181"/>
        <v>12000</v>
      </c>
      <c r="L1360" s="17"/>
      <c r="M1360" s="17"/>
      <c r="N1360" s="17">
        <f t="shared" si="182"/>
        <v>0</v>
      </c>
      <c r="O1360" s="17">
        <f t="shared" si="183"/>
        <v>12000</v>
      </c>
      <c r="P1360" s="17">
        <f t="shared" si="184"/>
        <v>0</v>
      </c>
      <c r="Q1360" s="17">
        <f t="shared" si="177"/>
        <v>12000</v>
      </c>
    </row>
    <row r="1361" spans="2:17" ht="12.75">
      <c r="B1361" s="20">
        <f t="shared" si="180"/>
        <v>745</v>
      </c>
      <c r="C1361" s="4"/>
      <c r="D1361" s="4"/>
      <c r="E1361" s="4"/>
      <c r="F1361" s="31" t="s">
        <v>92</v>
      </c>
      <c r="G1361" s="4">
        <v>633</v>
      </c>
      <c r="H1361" s="4" t="s">
        <v>125</v>
      </c>
      <c r="I1361" s="17">
        <f>42846-8500</f>
        <v>34346</v>
      </c>
      <c r="J1361" s="17"/>
      <c r="K1361" s="17">
        <f t="shared" si="181"/>
        <v>34346</v>
      </c>
      <c r="L1361" s="17"/>
      <c r="M1361" s="17"/>
      <c r="N1361" s="17">
        <f t="shared" si="182"/>
        <v>0</v>
      </c>
      <c r="O1361" s="17">
        <f aca="true" t="shared" si="185" ref="O1361:O1392">I1361+L1361</f>
        <v>34346</v>
      </c>
      <c r="P1361" s="17">
        <f aca="true" t="shared" si="186" ref="P1361:P1392">J1361+M1361</f>
        <v>0</v>
      </c>
      <c r="Q1361" s="17">
        <f t="shared" si="177"/>
        <v>34346</v>
      </c>
    </row>
    <row r="1362" spans="2:17" ht="12.75">
      <c r="B1362" s="20">
        <f t="shared" si="180"/>
        <v>746</v>
      </c>
      <c r="C1362" s="4"/>
      <c r="D1362" s="4"/>
      <c r="E1362" s="4"/>
      <c r="F1362" s="31" t="s">
        <v>92</v>
      </c>
      <c r="G1362" s="4">
        <v>635</v>
      </c>
      <c r="H1362" s="4" t="s">
        <v>133</v>
      </c>
      <c r="I1362" s="17">
        <v>6120</v>
      </c>
      <c r="J1362" s="17"/>
      <c r="K1362" s="17">
        <f t="shared" si="181"/>
        <v>6120</v>
      </c>
      <c r="L1362" s="17"/>
      <c r="M1362" s="17"/>
      <c r="N1362" s="17">
        <f t="shared" si="182"/>
        <v>0</v>
      </c>
      <c r="O1362" s="17">
        <f t="shared" si="185"/>
        <v>6120</v>
      </c>
      <c r="P1362" s="17">
        <f t="shared" si="186"/>
        <v>0</v>
      </c>
      <c r="Q1362" s="17">
        <f t="shared" si="177"/>
        <v>6120</v>
      </c>
    </row>
    <row r="1363" spans="2:17" ht="12.75">
      <c r="B1363" s="20">
        <f t="shared" si="180"/>
        <v>747</v>
      </c>
      <c r="C1363" s="4"/>
      <c r="D1363" s="4"/>
      <c r="E1363" s="4"/>
      <c r="F1363" s="31" t="s">
        <v>92</v>
      </c>
      <c r="G1363" s="4">
        <v>636</v>
      </c>
      <c r="H1363" s="4" t="s">
        <v>126</v>
      </c>
      <c r="I1363" s="17">
        <v>200</v>
      </c>
      <c r="J1363" s="17"/>
      <c r="K1363" s="17">
        <f t="shared" si="181"/>
        <v>200</v>
      </c>
      <c r="L1363" s="17"/>
      <c r="M1363" s="17"/>
      <c r="N1363" s="17">
        <f t="shared" si="182"/>
        <v>0</v>
      </c>
      <c r="O1363" s="17">
        <f t="shared" si="185"/>
        <v>200</v>
      </c>
      <c r="P1363" s="17">
        <f t="shared" si="186"/>
        <v>0</v>
      </c>
      <c r="Q1363" s="17">
        <f t="shared" si="177"/>
        <v>200</v>
      </c>
    </row>
    <row r="1364" spans="2:17" ht="12.75">
      <c r="B1364" s="20">
        <f t="shared" si="180"/>
        <v>748</v>
      </c>
      <c r="C1364" s="4"/>
      <c r="D1364" s="4"/>
      <c r="E1364" s="4"/>
      <c r="F1364" s="31" t="s">
        <v>92</v>
      </c>
      <c r="G1364" s="4">
        <v>637</v>
      </c>
      <c r="H1364" s="4" t="s">
        <v>122</v>
      </c>
      <c r="I1364" s="17">
        <v>5750</v>
      </c>
      <c r="J1364" s="17"/>
      <c r="K1364" s="17">
        <f t="shared" si="181"/>
        <v>5750</v>
      </c>
      <c r="L1364" s="17"/>
      <c r="M1364" s="17"/>
      <c r="N1364" s="17">
        <f t="shared" si="182"/>
        <v>0</v>
      </c>
      <c r="O1364" s="17">
        <f t="shared" si="185"/>
        <v>5750</v>
      </c>
      <c r="P1364" s="17">
        <f t="shared" si="186"/>
        <v>0</v>
      </c>
      <c r="Q1364" s="17">
        <f t="shared" si="177"/>
        <v>5750</v>
      </c>
    </row>
    <row r="1365" spans="2:17" ht="12.75">
      <c r="B1365" s="20">
        <f t="shared" si="180"/>
        <v>749</v>
      </c>
      <c r="C1365" s="10"/>
      <c r="D1365" s="10"/>
      <c r="E1365" s="10"/>
      <c r="F1365" s="30" t="s">
        <v>92</v>
      </c>
      <c r="G1365" s="10">
        <v>640</v>
      </c>
      <c r="H1365" s="10" t="s">
        <v>129</v>
      </c>
      <c r="I1365" s="61">
        <v>500</v>
      </c>
      <c r="J1365" s="61"/>
      <c r="K1365" s="61">
        <f t="shared" si="181"/>
        <v>500</v>
      </c>
      <c r="L1365" s="61"/>
      <c r="M1365" s="61"/>
      <c r="N1365" s="61">
        <f t="shared" si="182"/>
        <v>0</v>
      </c>
      <c r="O1365" s="61">
        <f t="shared" si="185"/>
        <v>500</v>
      </c>
      <c r="P1365" s="61">
        <f t="shared" si="186"/>
        <v>0</v>
      </c>
      <c r="Q1365" s="61">
        <f t="shared" si="177"/>
        <v>500</v>
      </c>
    </row>
    <row r="1366" spans="2:17" ht="12.75">
      <c r="B1366" s="20">
        <f t="shared" si="180"/>
        <v>750</v>
      </c>
      <c r="C1366" s="10"/>
      <c r="D1366" s="10"/>
      <c r="E1366" s="10"/>
      <c r="F1366" s="30" t="s">
        <v>61</v>
      </c>
      <c r="G1366" s="10">
        <v>610</v>
      </c>
      <c r="H1366" s="10" t="s">
        <v>131</v>
      </c>
      <c r="I1366" s="61">
        <v>38288</v>
      </c>
      <c r="J1366" s="61"/>
      <c r="K1366" s="61">
        <f t="shared" si="181"/>
        <v>38288</v>
      </c>
      <c r="L1366" s="61"/>
      <c r="M1366" s="61"/>
      <c r="N1366" s="61">
        <f t="shared" si="182"/>
        <v>0</v>
      </c>
      <c r="O1366" s="61">
        <f t="shared" si="185"/>
        <v>38288</v>
      </c>
      <c r="P1366" s="61">
        <f t="shared" si="186"/>
        <v>0</v>
      </c>
      <c r="Q1366" s="61">
        <f t="shared" si="177"/>
        <v>38288</v>
      </c>
    </row>
    <row r="1367" spans="2:17" ht="12.75">
      <c r="B1367" s="20">
        <f t="shared" si="180"/>
        <v>751</v>
      </c>
      <c r="C1367" s="10"/>
      <c r="D1367" s="10"/>
      <c r="E1367" s="10"/>
      <c r="F1367" s="30" t="s">
        <v>61</v>
      </c>
      <c r="G1367" s="10">
        <v>620</v>
      </c>
      <c r="H1367" s="10" t="s">
        <v>124</v>
      </c>
      <c r="I1367" s="61">
        <v>13386</v>
      </c>
      <c r="J1367" s="61"/>
      <c r="K1367" s="61">
        <f t="shared" si="181"/>
        <v>13386</v>
      </c>
      <c r="L1367" s="61"/>
      <c r="M1367" s="61"/>
      <c r="N1367" s="61">
        <f t="shared" si="182"/>
        <v>0</v>
      </c>
      <c r="O1367" s="61">
        <f t="shared" si="185"/>
        <v>13386</v>
      </c>
      <c r="P1367" s="61">
        <f t="shared" si="186"/>
        <v>0</v>
      </c>
      <c r="Q1367" s="61">
        <f t="shared" si="177"/>
        <v>13386</v>
      </c>
    </row>
    <row r="1368" spans="2:17" ht="12.75">
      <c r="B1368" s="20">
        <f t="shared" si="180"/>
        <v>752</v>
      </c>
      <c r="C1368" s="10"/>
      <c r="D1368" s="10"/>
      <c r="E1368" s="10"/>
      <c r="F1368" s="30" t="s">
        <v>61</v>
      </c>
      <c r="G1368" s="10">
        <v>630</v>
      </c>
      <c r="H1368" s="10" t="s">
        <v>121</v>
      </c>
      <c r="I1368" s="61">
        <f>I1373+I1372+I1371+I1370+I1369</f>
        <v>91570</v>
      </c>
      <c r="J1368" s="61">
        <f>J1373+J1372+J1371+J1370+J1369</f>
        <v>0</v>
      </c>
      <c r="K1368" s="61">
        <f t="shared" si="181"/>
        <v>91570</v>
      </c>
      <c r="L1368" s="61"/>
      <c r="M1368" s="61"/>
      <c r="N1368" s="61">
        <f t="shared" si="182"/>
        <v>0</v>
      </c>
      <c r="O1368" s="61">
        <f t="shared" si="185"/>
        <v>91570</v>
      </c>
      <c r="P1368" s="61">
        <f t="shared" si="186"/>
        <v>0</v>
      </c>
      <c r="Q1368" s="61">
        <f t="shared" si="177"/>
        <v>91570</v>
      </c>
    </row>
    <row r="1369" spans="2:17" ht="12.75">
      <c r="B1369" s="20">
        <f t="shared" si="180"/>
        <v>753</v>
      </c>
      <c r="C1369" s="4"/>
      <c r="D1369" s="4"/>
      <c r="E1369" s="4"/>
      <c r="F1369" s="31" t="s">
        <v>61</v>
      </c>
      <c r="G1369" s="4">
        <v>632</v>
      </c>
      <c r="H1369" s="4" t="s">
        <v>134</v>
      </c>
      <c r="I1369" s="17">
        <v>12000</v>
      </c>
      <c r="J1369" s="17"/>
      <c r="K1369" s="17">
        <f t="shared" si="181"/>
        <v>12000</v>
      </c>
      <c r="L1369" s="17"/>
      <c r="M1369" s="17"/>
      <c r="N1369" s="17">
        <f t="shared" si="182"/>
        <v>0</v>
      </c>
      <c r="O1369" s="17">
        <f t="shared" si="185"/>
        <v>12000</v>
      </c>
      <c r="P1369" s="17">
        <f t="shared" si="186"/>
        <v>0</v>
      </c>
      <c r="Q1369" s="17">
        <f t="shared" si="177"/>
        <v>12000</v>
      </c>
    </row>
    <row r="1370" spans="2:17" ht="12.75">
      <c r="B1370" s="20">
        <f t="shared" si="180"/>
        <v>754</v>
      </c>
      <c r="C1370" s="4"/>
      <c r="D1370" s="4"/>
      <c r="E1370" s="4"/>
      <c r="F1370" s="31" t="s">
        <v>61</v>
      </c>
      <c r="G1370" s="4">
        <v>633</v>
      </c>
      <c r="H1370" s="4" t="s">
        <v>125</v>
      </c>
      <c r="I1370" s="17">
        <f>61000-8500</f>
        <v>52500</v>
      </c>
      <c r="J1370" s="17"/>
      <c r="K1370" s="17">
        <f t="shared" si="181"/>
        <v>52500</v>
      </c>
      <c r="L1370" s="17"/>
      <c r="M1370" s="17"/>
      <c r="N1370" s="17">
        <f t="shared" si="182"/>
        <v>0</v>
      </c>
      <c r="O1370" s="17">
        <f t="shared" si="185"/>
        <v>52500</v>
      </c>
      <c r="P1370" s="17">
        <f t="shared" si="186"/>
        <v>0</v>
      </c>
      <c r="Q1370" s="17">
        <f t="shared" si="177"/>
        <v>52500</v>
      </c>
    </row>
    <row r="1371" spans="2:17" ht="12.75">
      <c r="B1371" s="20">
        <f t="shared" si="180"/>
        <v>755</v>
      </c>
      <c r="C1371" s="4"/>
      <c r="D1371" s="4"/>
      <c r="E1371" s="4"/>
      <c r="F1371" s="31" t="s">
        <v>61</v>
      </c>
      <c r="G1371" s="4">
        <v>635</v>
      </c>
      <c r="H1371" s="4" t="s">
        <v>133</v>
      </c>
      <c r="I1371" s="17">
        <v>21120</v>
      </c>
      <c r="J1371" s="17"/>
      <c r="K1371" s="17">
        <f t="shared" si="181"/>
        <v>21120</v>
      </c>
      <c r="L1371" s="17"/>
      <c r="M1371" s="17"/>
      <c r="N1371" s="17">
        <f t="shared" si="182"/>
        <v>0</v>
      </c>
      <c r="O1371" s="17">
        <f t="shared" si="185"/>
        <v>21120</v>
      </c>
      <c r="P1371" s="17">
        <f t="shared" si="186"/>
        <v>0</v>
      </c>
      <c r="Q1371" s="17">
        <f aca="true" t="shared" si="187" ref="Q1371:Q1441">O1371+P1371</f>
        <v>21120</v>
      </c>
    </row>
    <row r="1372" spans="2:17" ht="12.75">
      <c r="B1372" s="20">
        <f t="shared" si="180"/>
        <v>756</v>
      </c>
      <c r="C1372" s="4"/>
      <c r="D1372" s="4"/>
      <c r="E1372" s="4"/>
      <c r="F1372" s="31" t="s">
        <v>61</v>
      </c>
      <c r="G1372" s="4">
        <v>636</v>
      </c>
      <c r="H1372" s="4" t="s">
        <v>126</v>
      </c>
      <c r="I1372" s="17">
        <v>200</v>
      </c>
      <c r="J1372" s="17"/>
      <c r="K1372" s="17">
        <f t="shared" si="181"/>
        <v>200</v>
      </c>
      <c r="L1372" s="17"/>
      <c r="M1372" s="17"/>
      <c r="N1372" s="17">
        <f t="shared" si="182"/>
        <v>0</v>
      </c>
      <c r="O1372" s="17">
        <f t="shared" si="185"/>
        <v>200</v>
      </c>
      <c r="P1372" s="17">
        <f t="shared" si="186"/>
        <v>0</v>
      </c>
      <c r="Q1372" s="17">
        <f t="shared" si="187"/>
        <v>200</v>
      </c>
    </row>
    <row r="1373" spans="2:17" ht="12.75">
      <c r="B1373" s="20">
        <f t="shared" si="180"/>
        <v>757</v>
      </c>
      <c r="C1373" s="4"/>
      <c r="D1373" s="4"/>
      <c r="E1373" s="4"/>
      <c r="F1373" s="31" t="s">
        <v>61</v>
      </c>
      <c r="G1373" s="4">
        <v>637</v>
      </c>
      <c r="H1373" s="4" t="s">
        <v>122</v>
      </c>
      <c r="I1373" s="17">
        <v>5750</v>
      </c>
      <c r="J1373" s="17"/>
      <c r="K1373" s="17">
        <f t="shared" si="181"/>
        <v>5750</v>
      </c>
      <c r="L1373" s="17"/>
      <c r="M1373" s="17"/>
      <c r="N1373" s="17">
        <f t="shared" si="182"/>
        <v>0</v>
      </c>
      <c r="O1373" s="17">
        <f t="shared" si="185"/>
        <v>5750</v>
      </c>
      <c r="P1373" s="17">
        <f t="shared" si="186"/>
        <v>0</v>
      </c>
      <c r="Q1373" s="17">
        <f t="shared" si="187"/>
        <v>5750</v>
      </c>
    </row>
    <row r="1374" spans="2:17" ht="12.75">
      <c r="B1374" s="20">
        <f t="shared" si="180"/>
        <v>758</v>
      </c>
      <c r="C1374" s="10"/>
      <c r="D1374" s="10"/>
      <c r="E1374" s="10"/>
      <c r="F1374" s="30" t="s">
        <v>61</v>
      </c>
      <c r="G1374" s="10">
        <v>640</v>
      </c>
      <c r="H1374" s="10" t="s">
        <v>129</v>
      </c>
      <c r="I1374" s="61">
        <v>500</v>
      </c>
      <c r="J1374" s="61"/>
      <c r="K1374" s="61">
        <f t="shared" si="181"/>
        <v>500</v>
      </c>
      <c r="L1374" s="61"/>
      <c r="M1374" s="61"/>
      <c r="N1374" s="61">
        <f t="shared" si="182"/>
        <v>0</v>
      </c>
      <c r="O1374" s="61">
        <f t="shared" si="185"/>
        <v>500</v>
      </c>
      <c r="P1374" s="61">
        <f t="shared" si="186"/>
        <v>0</v>
      </c>
      <c r="Q1374" s="61">
        <f t="shared" si="187"/>
        <v>500</v>
      </c>
    </row>
    <row r="1375" spans="2:17" ht="15">
      <c r="B1375" s="20">
        <f t="shared" si="180"/>
        <v>759</v>
      </c>
      <c r="C1375" s="12"/>
      <c r="D1375" s="12"/>
      <c r="E1375" s="12">
        <v>11</v>
      </c>
      <c r="F1375" s="34"/>
      <c r="G1375" s="12"/>
      <c r="H1375" s="12" t="s">
        <v>10</v>
      </c>
      <c r="I1375" s="90">
        <f>I1376+I1377+I1378+I1384+I1386+I1385+I1387+I1393</f>
        <v>369078</v>
      </c>
      <c r="J1375" s="90">
        <f>J1376+J1377+J1378+J1384+J1386+J1385+J1387+J1393</f>
        <v>0</v>
      </c>
      <c r="K1375" s="90">
        <f t="shared" si="181"/>
        <v>369078</v>
      </c>
      <c r="L1375" s="90"/>
      <c r="M1375" s="90"/>
      <c r="N1375" s="90">
        <f t="shared" si="182"/>
        <v>0</v>
      </c>
      <c r="O1375" s="90">
        <f t="shared" si="185"/>
        <v>369078</v>
      </c>
      <c r="P1375" s="90">
        <f t="shared" si="186"/>
        <v>0</v>
      </c>
      <c r="Q1375" s="90">
        <f t="shared" si="187"/>
        <v>369078</v>
      </c>
    </row>
    <row r="1376" spans="2:17" ht="12.75">
      <c r="B1376" s="20">
        <f t="shared" si="180"/>
        <v>760</v>
      </c>
      <c r="C1376" s="10"/>
      <c r="D1376" s="10"/>
      <c r="E1376" s="10"/>
      <c r="F1376" s="30" t="s">
        <v>92</v>
      </c>
      <c r="G1376" s="10">
        <v>610</v>
      </c>
      <c r="H1376" s="10" t="s">
        <v>131</v>
      </c>
      <c r="I1376" s="61">
        <v>54913</v>
      </c>
      <c r="J1376" s="61"/>
      <c r="K1376" s="61">
        <f t="shared" si="181"/>
        <v>54913</v>
      </c>
      <c r="L1376" s="61"/>
      <c r="M1376" s="61"/>
      <c r="N1376" s="61">
        <f t="shared" si="182"/>
        <v>0</v>
      </c>
      <c r="O1376" s="61">
        <f t="shared" si="185"/>
        <v>54913</v>
      </c>
      <c r="P1376" s="61">
        <f t="shared" si="186"/>
        <v>0</v>
      </c>
      <c r="Q1376" s="61">
        <f t="shared" si="187"/>
        <v>54913</v>
      </c>
    </row>
    <row r="1377" spans="2:17" ht="12.75">
      <c r="B1377" s="20">
        <f t="shared" si="180"/>
        <v>761</v>
      </c>
      <c r="C1377" s="10"/>
      <c r="D1377" s="10"/>
      <c r="E1377" s="10"/>
      <c r="F1377" s="30" t="s">
        <v>92</v>
      </c>
      <c r="G1377" s="10">
        <v>620</v>
      </c>
      <c r="H1377" s="10" t="s">
        <v>124</v>
      </c>
      <c r="I1377" s="61">
        <v>19200</v>
      </c>
      <c r="J1377" s="61"/>
      <c r="K1377" s="61">
        <f t="shared" si="181"/>
        <v>19200</v>
      </c>
      <c r="L1377" s="61"/>
      <c r="M1377" s="61"/>
      <c r="N1377" s="61">
        <f t="shared" si="182"/>
        <v>0</v>
      </c>
      <c r="O1377" s="61">
        <f t="shared" si="185"/>
        <v>19200</v>
      </c>
      <c r="P1377" s="61">
        <f t="shared" si="186"/>
        <v>0</v>
      </c>
      <c r="Q1377" s="61">
        <f t="shared" si="187"/>
        <v>19200</v>
      </c>
    </row>
    <row r="1378" spans="2:17" ht="12.75">
      <c r="B1378" s="20">
        <f t="shared" si="180"/>
        <v>762</v>
      </c>
      <c r="C1378" s="10"/>
      <c r="D1378" s="10"/>
      <c r="E1378" s="10"/>
      <c r="F1378" s="30" t="s">
        <v>92</v>
      </c>
      <c r="G1378" s="10">
        <v>630</v>
      </c>
      <c r="H1378" s="10" t="s">
        <v>121</v>
      </c>
      <c r="I1378" s="61">
        <f>I1383+I1382+I1381+I1380+I1379</f>
        <v>15690</v>
      </c>
      <c r="J1378" s="61">
        <f>J1383+J1382+J1381+J1380+J1379</f>
        <v>0</v>
      </c>
      <c r="K1378" s="61">
        <f t="shared" si="181"/>
        <v>15690</v>
      </c>
      <c r="L1378" s="61"/>
      <c r="M1378" s="61"/>
      <c r="N1378" s="61">
        <f t="shared" si="182"/>
        <v>0</v>
      </c>
      <c r="O1378" s="61">
        <f t="shared" si="185"/>
        <v>15690</v>
      </c>
      <c r="P1378" s="61">
        <f t="shared" si="186"/>
        <v>0</v>
      </c>
      <c r="Q1378" s="61">
        <f t="shared" si="187"/>
        <v>15690</v>
      </c>
    </row>
    <row r="1379" spans="2:17" ht="12.75">
      <c r="B1379" s="20">
        <f t="shared" si="180"/>
        <v>763</v>
      </c>
      <c r="C1379" s="4"/>
      <c r="D1379" s="4"/>
      <c r="E1379" s="4"/>
      <c r="F1379" s="31" t="s">
        <v>92</v>
      </c>
      <c r="G1379" s="4">
        <v>631</v>
      </c>
      <c r="H1379" s="4" t="s">
        <v>127</v>
      </c>
      <c r="I1379" s="103">
        <v>5</v>
      </c>
      <c r="J1379" s="103"/>
      <c r="K1379" s="103">
        <f t="shared" si="181"/>
        <v>5</v>
      </c>
      <c r="L1379" s="17"/>
      <c r="M1379" s="17"/>
      <c r="N1379" s="17">
        <f t="shared" si="182"/>
        <v>0</v>
      </c>
      <c r="O1379" s="17">
        <f t="shared" si="185"/>
        <v>5</v>
      </c>
      <c r="P1379" s="17">
        <f t="shared" si="186"/>
        <v>0</v>
      </c>
      <c r="Q1379" s="17">
        <f t="shared" si="187"/>
        <v>5</v>
      </c>
    </row>
    <row r="1380" spans="2:17" ht="12.75">
      <c r="B1380" s="20">
        <f t="shared" si="180"/>
        <v>764</v>
      </c>
      <c r="C1380" s="4"/>
      <c r="D1380" s="4"/>
      <c r="E1380" s="4"/>
      <c r="F1380" s="31" t="s">
        <v>92</v>
      </c>
      <c r="G1380" s="4">
        <v>632</v>
      </c>
      <c r="H1380" s="4" t="s">
        <v>134</v>
      </c>
      <c r="I1380" s="103">
        <v>7320</v>
      </c>
      <c r="J1380" s="103"/>
      <c r="K1380" s="103">
        <f t="shared" si="181"/>
        <v>7320</v>
      </c>
      <c r="L1380" s="17"/>
      <c r="M1380" s="17"/>
      <c r="N1380" s="17">
        <f t="shared" si="182"/>
        <v>0</v>
      </c>
      <c r="O1380" s="17">
        <f t="shared" si="185"/>
        <v>7320</v>
      </c>
      <c r="P1380" s="17">
        <f t="shared" si="186"/>
        <v>0</v>
      </c>
      <c r="Q1380" s="17">
        <f t="shared" si="187"/>
        <v>7320</v>
      </c>
    </row>
    <row r="1381" spans="2:17" ht="12.75">
      <c r="B1381" s="20">
        <f t="shared" si="180"/>
        <v>765</v>
      </c>
      <c r="C1381" s="4"/>
      <c r="D1381" s="4"/>
      <c r="E1381" s="4"/>
      <c r="F1381" s="31" t="s">
        <v>92</v>
      </c>
      <c r="G1381" s="4">
        <v>633</v>
      </c>
      <c r="H1381" s="4" t="s">
        <v>125</v>
      </c>
      <c r="I1381" s="103">
        <v>3870</v>
      </c>
      <c r="J1381" s="103"/>
      <c r="K1381" s="103">
        <f t="shared" si="181"/>
        <v>3870</v>
      </c>
      <c r="L1381" s="17"/>
      <c r="M1381" s="17"/>
      <c r="N1381" s="17">
        <f t="shared" si="182"/>
        <v>0</v>
      </c>
      <c r="O1381" s="17">
        <f t="shared" si="185"/>
        <v>3870</v>
      </c>
      <c r="P1381" s="17">
        <f t="shared" si="186"/>
        <v>0</v>
      </c>
      <c r="Q1381" s="17">
        <f t="shared" si="187"/>
        <v>3870</v>
      </c>
    </row>
    <row r="1382" spans="2:17" ht="12.75">
      <c r="B1382" s="20">
        <f t="shared" si="180"/>
        <v>766</v>
      </c>
      <c r="C1382" s="4"/>
      <c r="D1382" s="4"/>
      <c r="E1382" s="4"/>
      <c r="F1382" s="31" t="s">
        <v>92</v>
      </c>
      <c r="G1382" s="4">
        <v>635</v>
      </c>
      <c r="H1382" s="4" t="s">
        <v>133</v>
      </c>
      <c r="I1382" s="103">
        <v>820</v>
      </c>
      <c r="J1382" s="103"/>
      <c r="K1382" s="103">
        <f t="shared" si="181"/>
        <v>820</v>
      </c>
      <c r="L1382" s="17"/>
      <c r="M1382" s="17"/>
      <c r="N1382" s="17">
        <f t="shared" si="182"/>
        <v>0</v>
      </c>
      <c r="O1382" s="17">
        <f t="shared" si="185"/>
        <v>820</v>
      </c>
      <c r="P1382" s="17">
        <f t="shared" si="186"/>
        <v>0</v>
      </c>
      <c r="Q1382" s="17">
        <f t="shared" si="187"/>
        <v>820</v>
      </c>
    </row>
    <row r="1383" spans="2:17" ht="12.75">
      <c r="B1383" s="20">
        <f t="shared" si="180"/>
        <v>767</v>
      </c>
      <c r="C1383" s="4"/>
      <c r="D1383" s="4"/>
      <c r="E1383" s="4"/>
      <c r="F1383" s="31" t="s">
        <v>92</v>
      </c>
      <c r="G1383" s="4">
        <v>637</v>
      </c>
      <c r="H1383" s="4" t="s">
        <v>122</v>
      </c>
      <c r="I1383" s="103">
        <v>3675</v>
      </c>
      <c r="J1383" s="103"/>
      <c r="K1383" s="103">
        <f t="shared" si="181"/>
        <v>3675</v>
      </c>
      <c r="L1383" s="17"/>
      <c r="M1383" s="17"/>
      <c r="N1383" s="17">
        <f t="shared" si="182"/>
        <v>0</v>
      </c>
      <c r="O1383" s="17">
        <f t="shared" si="185"/>
        <v>3675</v>
      </c>
      <c r="P1383" s="17">
        <f t="shared" si="186"/>
        <v>0</v>
      </c>
      <c r="Q1383" s="17">
        <f t="shared" si="187"/>
        <v>3675</v>
      </c>
    </row>
    <row r="1384" spans="2:17" ht="12.75">
      <c r="B1384" s="20">
        <f aca="true" t="shared" si="188" ref="B1384:B1454">B1383+1</f>
        <v>768</v>
      </c>
      <c r="C1384" s="10"/>
      <c r="D1384" s="10"/>
      <c r="E1384" s="10"/>
      <c r="F1384" s="30" t="s">
        <v>92</v>
      </c>
      <c r="G1384" s="10">
        <v>640</v>
      </c>
      <c r="H1384" s="10" t="s">
        <v>129</v>
      </c>
      <c r="I1384" s="61">
        <v>150</v>
      </c>
      <c r="J1384" s="61"/>
      <c r="K1384" s="61">
        <f t="shared" si="181"/>
        <v>150</v>
      </c>
      <c r="L1384" s="61"/>
      <c r="M1384" s="61"/>
      <c r="N1384" s="61">
        <f t="shared" si="182"/>
        <v>0</v>
      </c>
      <c r="O1384" s="61">
        <f t="shared" si="185"/>
        <v>150</v>
      </c>
      <c r="P1384" s="61">
        <f t="shared" si="186"/>
        <v>0</v>
      </c>
      <c r="Q1384" s="61">
        <f t="shared" si="187"/>
        <v>150</v>
      </c>
    </row>
    <row r="1385" spans="2:17" ht="12.75">
      <c r="B1385" s="20">
        <f t="shared" si="188"/>
        <v>769</v>
      </c>
      <c r="C1385" s="10"/>
      <c r="D1385" s="10"/>
      <c r="E1385" s="10"/>
      <c r="F1385" s="30" t="s">
        <v>61</v>
      </c>
      <c r="G1385" s="10">
        <v>610</v>
      </c>
      <c r="H1385" s="10" t="s">
        <v>131</v>
      </c>
      <c r="I1385" s="61">
        <v>82847</v>
      </c>
      <c r="J1385" s="61"/>
      <c r="K1385" s="61">
        <f t="shared" si="181"/>
        <v>82847</v>
      </c>
      <c r="L1385" s="61"/>
      <c r="M1385" s="61"/>
      <c r="N1385" s="61">
        <f t="shared" si="182"/>
        <v>0</v>
      </c>
      <c r="O1385" s="61">
        <f t="shared" si="185"/>
        <v>82847</v>
      </c>
      <c r="P1385" s="61">
        <f t="shared" si="186"/>
        <v>0</v>
      </c>
      <c r="Q1385" s="61">
        <f t="shared" si="187"/>
        <v>82847</v>
      </c>
    </row>
    <row r="1386" spans="2:17" ht="12.75">
      <c r="B1386" s="20">
        <f t="shared" si="188"/>
        <v>770</v>
      </c>
      <c r="C1386" s="10"/>
      <c r="D1386" s="10"/>
      <c r="E1386" s="10"/>
      <c r="F1386" s="30" t="s">
        <v>61</v>
      </c>
      <c r="G1386" s="10">
        <v>620</v>
      </c>
      <c r="H1386" s="10" t="s">
        <v>124</v>
      </c>
      <c r="I1386" s="61">
        <v>29846</v>
      </c>
      <c r="J1386" s="61"/>
      <c r="K1386" s="61">
        <f t="shared" si="181"/>
        <v>29846</v>
      </c>
      <c r="L1386" s="61"/>
      <c r="M1386" s="61"/>
      <c r="N1386" s="61">
        <f t="shared" si="182"/>
        <v>0</v>
      </c>
      <c r="O1386" s="61">
        <f t="shared" si="185"/>
        <v>29846</v>
      </c>
      <c r="P1386" s="61">
        <f t="shared" si="186"/>
        <v>0</v>
      </c>
      <c r="Q1386" s="61">
        <f t="shared" si="187"/>
        <v>29846</v>
      </c>
    </row>
    <row r="1387" spans="2:17" s="13" customFormat="1" ht="12.75">
      <c r="B1387" s="20">
        <f t="shared" si="188"/>
        <v>771</v>
      </c>
      <c r="C1387" s="10"/>
      <c r="D1387" s="10"/>
      <c r="E1387" s="10"/>
      <c r="F1387" s="30" t="s">
        <v>61</v>
      </c>
      <c r="G1387" s="10">
        <v>630</v>
      </c>
      <c r="H1387" s="10" t="s">
        <v>121</v>
      </c>
      <c r="I1387" s="61">
        <f>I1392+I1391+I1390+I1389+I1388</f>
        <v>166042</v>
      </c>
      <c r="J1387" s="61">
        <f>J1392+J1391+J1390+J1389+J1388</f>
        <v>0</v>
      </c>
      <c r="K1387" s="61">
        <f t="shared" si="181"/>
        <v>166042</v>
      </c>
      <c r="L1387" s="61"/>
      <c r="M1387" s="61"/>
      <c r="N1387" s="61">
        <f t="shared" si="182"/>
        <v>0</v>
      </c>
      <c r="O1387" s="61">
        <f t="shared" si="185"/>
        <v>166042</v>
      </c>
      <c r="P1387" s="61">
        <f t="shared" si="186"/>
        <v>0</v>
      </c>
      <c r="Q1387" s="61">
        <f t="shared" si="187"/>
        <v>166042</v>
      </c>
    </row>
    <row r="1388" spans="2:17" s="13" customFormat="1" ht="12.75">
      <c r="B1388" s="20">
        <f t="shared" si="188"/>
        <v>772</v>
      </c>
      <c r="C1388" s="4"/>
      <c r="D1388" s="4"/>
      <c r="E1388" s="4"/>
      <c r="F1388" s="31" t="s">
        <v>61</v>
      </c>
      <c r="G1388" s="4">
        <v>631</v>
      </c>
      <c r="H1388" s="4" t="s">
        <v>127</v>
      </c>
      <c r="I1388" s="103">
        <v>8</v>
      </c>
      <c r="J1388" s="103"/>
      <c r="K1388" s="103">
        <f t="shared" si="181"/>
        <v>8</v>
      </c>
      <c r="L1388" s="17"/>
      <c r="M1388" s="17"/>
      <c r="N1388" s="17">
        <f t="shared" si="182"/>
        <v>0</v>
      </c>
      <c r="O1388" s="17">
        <f t="shared" si="185"/>
        <v>8</v>
      </c>
      <c r="P1388" s="17">
        <f t="shared" si="186"/>
        <v>0</v>
      </c>
      <c r="Q1388" s="17">
        <f t="shared" si="187"/>
        <v>8</v>
      </c>
    </row>
    <row r="1389" spans="2:17" s="13" customFormat="1" ht="12.75">
      <c r="B1389" s="20">
        <f t="shared" si="188"/>
        <v>773</v>
      </c>
      <c r="C1389" s="4"/>
      <c r="D1389" s="4"/>
      <c r="E1389" s="4"/>
      <c r="F1389" s="31" t="s">
        <v>61</v>
      </c>
      <c r="G1389" s="4">
        <v>632</v>
      </c>
      <c r="H1389" s="4" t="s">
        <v>134</v>
      </c>
      <c r="I1389" s="17">
        <v>10973</v>
      </c>
      <c r="J1389" s="17"/>
      <c r="K1389" s="17">
        <f t="shared" si="181"/>
        <v>10973</v>
      </c>
      <c r="L1389" s="17"/>
      <c r="M1389" s="17"/>
      <c r="N1389" s="17">
        <f t="shared" si="182"/>
        <v>0</v>
      </c>
      <c r="O1389" s="17">
        <f t="shared" si="185"/>
        <v>10973</v>
      </c>
      <c r="P1389" s="17">
        <f t="shared" si="186"/>
        <v>0</v>
      </c>
      <c r="Q1389" s="17">
        <f t="shared" si="187"/>
        <v>10973</v>
      </c>
    </row>
    <row r="1390" spans="2:17" ht="12.75">
      <c r="B1390" s="20">
        <f t="shared" si="188"/>
        <v>774</v>
      </c>
      <c r="C1390" s="4"/>
      <c r="D1390" s="4"/>
      <c r="E1390" s="4"/>
      <c r="F1390" s="31" t="s">
        <v>61</v>
      </c>
      <c r="G1390" s="4">
        <v>633</v>
      </c>
      <c r="H1390" s="4" t="s">
        <v>125</v>
      </c>
      <c r="I1390" s="17">
        <f>141309-14284</f>
        <v>127025</v>
      </c>
      <c r="J1390" s="17"/>
      <c r="K1390" s="17">
        <f aca="true" t="shared" si="189" ref="K1390:K1460">J1390+I1390</f>
        <v>127025</v>
      </c>
      <c r="L1390" s="17"/>
      <c r="M1390" s="17"/>
      <c r="N1390" s="17">
        <f aca="true" t="shared" si="190" ref="N1390:N1460">M1390+L1390</f>
        <v>0</v>
      </c>
      <c r="O1390" s="17">
        <f t="shared" si="185"/>
        <v>127025</v>
      </c>
      <c r="P1390" s="17">
        <f t="shared" si="186"/>
        <v>0</v>
      </c>
      <c r="Q1390" s="17">
        <f t="shared" si="187"/>
        <v>127025</v>
      </c>
    </row>
    <row r="1391" spans="2:17" ht="12.75">
      <c r="B1391" s="20">
        <f t="shared" si="188"/>
        <v>775</v>
      </c>
      <c r="C1391" s="4"/>
      <c r="D1391" s="4"/>
      <c r="E1391" s="4"/>
      <c r="F1391" s="31" t="s">
        <v>61</v>
      </c>
      <c r="G1391" s="4">
        <v>635</v>
      </c>
      <c r="H1391" s="4" t="s">
        <v>133</v>
      </c>
      <c r="I1391" s="17">
        <v>1230</v>
      </c>
      <c r="J1391" s="17"/>
      <c r="K1391" s="17">
        <f t="shared" si="189"/>
        <v>1230</v>
      </c>
      <c r="L1391" s="17"/>
      <c r="M1391" s="17"/>
      <c r="N1391" s="17">
        <f t="shared" si="190"/>
        <v>0</v>
      </c>
      <c r="O1391" s="17">
        <f t="shared" si="185"/>
        <v>1230</v>
      </c>
      <c r="P1391" s="17">
        <f t="shared" si="186"/>
        <v>0</v>
      </c>
      <c r="Q1391" s="17">
        <f t="shared" si="187"/>
        <v>1230</v>
      </c>
    </row>
    <row r="1392" spans="2:17" ht="12.75">
      <c r="B1392" s="20">
        <f t="shared" si="188"/>
        <v>776</v>
      </c>
      <c r="C1392" s="4"/>
      <c r="D1392" s="4"/>
      <c r="E1392" s="4"/>
      <c r="F1392" s="31" t="s">
        <v>61</v>
      </c>
      <c r="G1392" s="4">
        <v>637</v>
      </c>
      <c r="H1392" s="4" t="s">
        <v>122</v>
      </c>
      <c r="I1392" s="17">
        <v>26806</v>
      </c>
      <c r="J1392" s="17"/>
      <c r="K1392" s="17">
        <f t="shared" si="189"/>
        <v>26806</v>
      </c>
      <c r="L1392" s="17"/>
      <c r="M1392" s="17"/>
      <c r="N1392" s="17">
        <f t="shared" si="190"/>
        <v>0</v>
      </c>
      <c r="O1392" s="17">
        <f t="shared" si="185"/>
        <v>26806</v>
      </c>
      <c r="P1392" s="17">
        <f t="shared" si="186"/>
        <v>0</v>
      </c>
      <c r="Q1392" s="17">
        <f t="shared" si="187"/>
        <v>26806</v>
      </c>
    </row>
    <row r="1393" spans="2:17" ht="12.75">
      <c r="B1393" s="20">
        <f t="shared" si="188"/>
        <v>777</v>
      </c>
      <c r="C1393" s="10"/>
      <c r="D1393" s="10"/>
      <c r="E1393" s="10"/>
      <c r="F1393" s="30" t="s">
        <v>61</v>
      </c>
      <c r="G1393" s="10">
        <v>640</v>
      </c>
      <c r="H1393" s="10" t="s">
        <v>129</v>
      </c>
      <c r="I1393" s="61">
        <v>390</v>
      </c>
      <c r="J1393" s="61"/>
      <c r="K1393" s="61">
        <f t="shared" si="189"/>
        <v>390</v>
      </c>
      <c r="L1393" s="61"/>
      <c r="M1393" s="61"/>
      <c r="N1393" s="61">
        <f t="shared" si="190"/>
        <v>0</v>
      </c>
      <c r="O1393" s="61">
        <f aca="true" t="shared" si="191" ref="O1393:O1424">I1393+L1393</f>
        <v>390</v>
      </c>
      <c r="P1393" s="61">
        <f aca="true" t="shared" si="192" ref="P1393:P1424">J1393+M1393</f>
        <v>0</v>
      </c>
      <c r="Q1393" s="61">
        <f t="shared" si="187"/>
        <v>390</v>
      </c>
    </row>
    <row r="1394" spans="2:17" ht="15">
      <c r="B1394" s="20">
        <f t="shared" si="188"/>
        <v>778</v>
      </c>
      <c r="C1394" s="12"/>
      <c r="D1394" s="12"/>
      <c r="E1394" s="12">
        <v>12</v>
      </c>
      <c r="F1394" s="34"/>
      <c r="G1394" s="12"/>
      <c r="H1394" s="12" t="s">
        <v>8</v>
      </c>
      <c r="I1394" s="90">
        <f>I1395+I1396+I1397+I1402+I1403+I1404+I1405+I1412</f>
        <v>338080</v>
      </c>
      <c r="J1394" s="90">
        <f>J1395+J1396+J1397+J1402+J1403+J1404+J1405+J1412</f>
        <v>2697</v>
      </c>
      <c r="K1394" s="90">
        <f t="shared" si="189"/>
        <v>340777</v>
      </c>
      <c r="L1394" s="90"/>
      <c r="M1394" s="90">
        <f>M1413</f>
        <v>2303</v>
      </c>
      <c r="N1394" s="90">
        <f t="shared" si="190"/>
        <v>2303</v>
      </c>
      <c r="O1394" s="90">
        <f t="shared" si="191"/>
        <v>338080</v>
      </c>
      <c r="P1394" s="90">
        <f t="shared" si="192"/>
        <v>5000</v>
      </c>
      <c r="Q1394" s="90">
        <f t="shared" si="187"/>
        <v>343080</v>
      </c>
    </row>
    <row r="1395" spans="2:17" ht="12.75">
      <c r="B1395" s="20">
        <f t="shared" si="188"/>
        <v>779</v>
      </c>
      <c r="C1395" s="10"/>
      <c r="D1395" s="10"/>
      <c r="E1395" s="10"/>
      <c r="F1395" s="30" t="s">
        <v>92</v>
      </c>
      <c r="G1395" s="10">
        <v>610</v>
      </c>
      <c r="H1395" s="10" t="s">
        <v>131</v>
      </c>
      <c r="I1395" s="61">
        <v>51620</v>
      </c>
      <c r="J1395" s="61"/>
      <c r="K1395" s="61">
        <f t="shared" si="189"/>
        <v>51620</v>
      </c>
      <c r="L1395" s="61"/>
      <c r="M1395" s="61"/>
      <c r="N1395" s="61">
        <f t="shared" si="190"/>
        <v>0</v>
      </c>
      <c r="O1395" s="61">
        <f t="shared" si="191"/>
        <v>51620</v>
      </c>
      <c r="P1395" s="61">
        <f t="shared" si="192"/>
        <v>0</v>
      </c>
      <c r="Q1395" s="61">
        <f t="shared" si="187"/>
        <v>51620</v>
      </c>
    </row>
    <row r="1396" spans="2:17" ht="12.75">
      <c r="B1396" s="20">
        <f t="shared" si="188"/>
        <v>780</v>
      </c>
      <c r="C1396" s="10"/>
      <c r="D1396" s="10"/>
      <c r="E1396" s="10"/>
      <c r="F1396" s="30" t="s">
        <v>92</v>
      </c>
      <c r="G1396" s="10">
        <v>620</v>
      </c>
      <c r="H1396" s="10" t="s">
        <v>124</v>
      </c>
      <c r="I1396" s="61">
        <v>18473</v>
      </c>
      <c r="J1396" s="61"/>
      <c r="K1396" s="61">
        <f t="shared" si="189"/>
        <v>18473</v>
      </c>
      <c r="L1396" s="61"/>
      <c r="M1396" s="61"/>
      <c r="N1396" s="61">
        <f t="shared" si="190"/>
        <v>0</v>
      </c>
      <c r="O1396" s="61">
        <f t="shared" si="191"/>
        <v>18473</v>
      </c>
      <c r="P1396" s="61">
        <f t="shared" si="192"/>
        <v>0</v>
      </c>
      <c r="Q1396" s="61">
        <f t="shared" si="187"/>
        <v>18473</v>
      </c>
    </row>
    <row r="1397" spans="2:17" ht="12.75">
      <c r="B1397" s="20">
        <f t="shared" si="188"/>
        <v>781</v>
      </c>
      <c r="C1397" s="10"/>
      <c r="D1397" s="10"/>
      <c r="E1397" s="10"/>
      <c r="F1397" s="30" t="s">
        <v>92</v>
      </c>
      <c r="G1397" s="10">
        <v>630</v>
      </c>
      <c r="H1397" s="10" t="s">
        <v>121</v>
      </c>
      <c r="I1397" s="61">
        <f>I1401+I1400+I1399+I1398</f>
        <v>95135</v>
      </c>
      <c r="J1397" s="61">
        <f>J1401+J1400+J1399+J1398</f>
        <v>0</v>
      </c>
      <c r="K1397" s="61">
        <f t="shared" si="189"/>
        <v>95135</v>
      </c>
      <c r="L1397" s="61"/>
      <c r="M1397" s="61"/>
      <c r="N1397" s="61">
        <f t="shared" si="190"/>
        <v>0</v>
      </c>
      <c r="O1397" s="61">
        <f t="shared" si="191"/>
        <v>95135</v>
      </c>
      <c r="P1397" s="61">
        <f t="shared" si="192"/>
        <v>0</v>
      </c>
      <c r="Q1397" s="61">
        <f t="shared" si="187"/>
        <v>95135</v>
      </c>
    </row>
    <row r="1398" spans="2:17" ht="12.75">
      <c r="B1398" s="20">
        <f t="shared" si="188"/>
        <v>782</v>
      </c>
      <c r="C1398" s="4"/>
      <c r="D1398" s="4"/>
      <c r="E1398" s="4"/>
      <c r="F1398" s="31" t="s">
        <v>92</v>
      </c>
      <c r="G1398" s="4">
        <v>632</v>
      </c>
      <c r="H1398" s="4" t="s">
        <v>134</v>
      </c>
      <c r="I1398" s="17">
        <v>8500</v>
      </c>
      <c r="J1398" s="17"/>
      <c r="K1398" s="17">
        <f t="shared" si="189"/>
        <v>8500</v>
      </c>
      <c r="L1398" s="17"/>
      <c r="M1398" s="17"/>
      <c r="N1398" s="17">
        <f t="shared" si="190"/>
        <v>0</v>
      </c>
      <c r="O1398" s="17">
        <f t="shared" si="191"/>
        <v>8500</v>
      </c>
      <c r="P1398" s="17">
        <f t="shared" si="192"/>
        <v>0</v>
      </c>
      <c r="Q1398" s="17">
        <f t="shared" si="187"/>
        <v>8500</v>
      </c>
    </row>
    <row r="1399" spans="2:17" ht="12.75">
      <c r="B1399" s="20">
        <f t="shared" si="188"/>
        <v>783</v>
      </c>
      <c r="C1399" s="4"/>
      <c r="D1399" s="4"/>
      <c r="E1399" s="4"/>
      <c r="F1399" s="31" t="s">
        <v>92</v>
      </c>
      <c r="G1399" s="4">
        <v>633</v>
      </c>
      <c r="H1399" s="4" t="s">
        <v>125</v>
      </c>
      <c r="I1399" s="17">
        <f>76900-16000</f>
        <v>60900</v>
      </c>
      <c r="J1399" s="17"/>
      <c r="K1399" s="17">
        <f t="shared" si="189"/>
        <v>60900</v>
      </c>
      <c r="L1399" s="17"/>
      <c r="M1399" s="17"/>
      <c r="N1399" s="17">
        <f t="shared" si="190"/>
        <v>0</v>
      </c>
      <c r="O1399" s="17">
        <f t="shared" si="191"/>
        <v>60900</v>
      </c>
      <c r="P1399" s="17">
        <f t="shared" si="192"/>
        <v>0</v>
      </c>
      <c r="Q1399" s="17">
        <f t="shared" si="187"/>
        <v>60900</v>
      </c>
    </row>
    <row r="1400" spans="2:17" ht="12.75">
      <c r="B1400" s="20">
        <f t="shared" si="188"/>
        <v>784</v>
      </c>
      <c r="C1400" s="4"/>
      <c r="D1400" s="4"/>
      <c r="E1400" s="4"/>
      <c r="F1400" s="31" t="s">
        <v>92</v>
      </c>
      <c r="G1400" s="4">
        <v>635</v>
      </c>
      <c r="H1400" s="4" t="s">
        <v>133</v>
      </c>
      <c r="I1400" s="17">
        <v>2000</v>
      </c>
      <c r="J1400" s="17"/>
      <c r="K1400" s="17">
        <f t="shared" si="189"/>
        <v>2000</v>
      </c>
      <c r="L1400" s="17"/>
      <c r="M1400" s="17"/>
      <c r="N1400" s="17">
        <f t="shared" si="190"/>
        <v>0</v>
      </c>
      <c r="O1400" s="17">
        <f t="shared" si="191"/>
        <v>2000</v>
      </c>
      <c r="P1400" s="17">
        <f t="shared" si="192"/>
        <v>0</v>
      </c>
      <c r="Q1400" s="17">
        <f t="shared" si="187"/>
        <v>2000</v>
      </c>
    </row>
    <row r="1401" spans="2:17" ht="12.75">
      <c r="B1401" s="20">
        <f t="shared" si="188"/>
        <v>785</v>
      </c>
      <c r="C1401" s="4"/>
      <c r="D1401" s="4"/>
      <c r="E1401" s="4"/>
      <c r="F1401" s="31" t="s">
        <v>92</v>
      </c>
      <c r="G1401" s="4">
        <v>637</v>
      </c>
      <c r="H1401" s="4" t="s">
        <v>122</v>
      </c>
      <c r="I1401" s="17">
        <v>23735</v>
      </c>
      <c r="J1401" s="17"/>
      <c r="K1401" s="17">
        <f t="shared" si="189"/>
        <v>23735</v>
      </c>
      <c r="L1401" s="17"/>
      <c r="M1401" s="17"/>
      <c r="N1401" s="17">
        <f t="shared" si="190"/>
        <v>0</v>
      </c>
      <c r="O1401" s="17">
        <f t="shared" si="191"/>
        <v>23735</v>
      </c>
      <c r="P1401" s="17">
        <f t="shared" si="192"/>
        <v>0</v>
      </c>
      <c r="Q1401" s="17">
        <f t="shared" si="187"/>
        <v>23735</v>
      </c>
    </row>
    <row r="1402" spans="2:17" ht="12.75">
      <c r="B1402" s="20">
        <f t="shared" si="188"/>
        <v>786</v>
      </c>
      <c r="C1402" s="10"/>
      <c r="D1402" s="10"/>
      <c r="E1402" s="10"/>
      <c r="F1402" s="30" t="s">
        <v>92</v>
      </c>
      <c r="G1402" s="10">
        <v>640</v>
      </c>
      <c r="H1402" s="10" t="s">
        <v>129</v>
      </c>
      <c r="I1402" s="61">
        <v>1200</v>
      </c>
      <c r="J1402" s="61"/>
      <c r="K1402" s="61">
        <f t="shared" si="189"/>
        <v>1200</v>
      </c>
      <c r="L1402" s="61"/>
      <c r="M1402" s="61"/>
      <c r="N1402" s="61">
        <f t="shared" si="190"/>
        <v>0</v>
      </c>
      <c r="O1402" s="61">
        <f t="shared" si="191"/>
        <v>1200</v>
      </c>
      <c r="P1402" s="61">
        <f t="shared" si="192"/>
        <v>0</v>
      </c>
      <c r="Q1402" s="61">
        <f t="shared" si="187"/>
        <v>1200</v>
      </c>
    </row>
    <row r="1403" spans="2:17" ht="12.75">
      <c r="B1403" s="20">
        <f t="shared" si="188"/>
        <v>787</v>
      </c>
      <c r="C1403" s="10"/>
      <c r="D1403" s="10"/>
      <c r="E1403" s="10"/>
      <c r="F1403" s="30" t="s">
        <v>61</v>
      </c>
      <c r="G1403" s="10">
        <v>610</v>
      </c>
      <c r="H1403" s="10" t="s">
        <v>131</v>
      </c>
      <c r="I1403" s="61">
        <v>49919</v>
      </c>
      <c r="J1403" s="61"/>
      <c r="K1403" s="61">
        <f t="shared" si="189"/>
        <v>49919</v>
      </c>
      <c r="L1403" s="61"/>
      <c r="M1403" s="61"/>
      <c r="N1403" s="61">
        <f t="shared" si="190"/>
        <v>0</v>
      </c>
      <c r="O1403" s="61">
        <f t="shared" si="191"/>
        <v>49919</v>
      </c>
      <c r="P1403" s="61">
        <f t="shared" si="192"/>
        <v>0</v>
      </c>
      <c r="Q1403" s="61">
        <f t="shared" si="187"/>
        <v>49919</v>
      </c>
    </row>
    <row r="1404" spans="2:17" ht="12.75">
      <c r="B1404" s="20">
        <f t="shared" si="188"/>
        <v>788</v>
      </c>
      <c r="C1404" s="10"/>
      <c r="D1404" s="10"/>
      <c r="E1404" s="10"/>
      <c r="F1404" s="30" t="s">
        <v>61</v>
      </c>
      <c r="G1404" s="10">
        <v>620</v>
      </c>
      <c r="H1404" s="10" t="s">
        <v>124</v>
      </c>
      <c r="I1404" s="61">
        <v>18478</v>
      </c>
      <c r="J1404" s="61"/>
      <c r="K1404" s="61">
        <f t="shared" si="189"/>
        <v>18478</v>
      </c>
      <c r="L1404" s="61"/>
      <c r="M1404" s="61"/>
      <c r="N1404" s="61">
        <f t="shared" si="190"/>
        <v>0</v>
      </c>
      <c r="O1404" s="61">
        <f t="shared" si="191"/>
        <v>18478</v>
      </c>
      <c r="P1404" s="61">
        <f t="shared" si="192"/>
        <v>0</v>
      </c>
      <c r="Q1404" s="61">
        <f t="shared" si="187"/>
        <v>18478</v>
      </c>
    </row>
    <row r="1405" spans="2:17" ht="12.75">
      <c r="B1405" s="20">
        <f t="shared" si="188"/>
        <v>789</v>
      </c>
      <c r="C1405" s="10"/>
      <c r="D1405" s="10"/>
      <c r="E1405" s="10"/>
      <c r="F1405" s="30" t="s">
        <v>61</v>
      </c>
      <c r="G1405" s="10">
        <v>630</v>
      </c>
      <c r="H1405" s="10" t="s">
        <v>121</v>
      </c>
      <c r="I1405" s="61">
        <f>I1411+I1410+I1408+I1407+I1406</f>
        <v>98755</v>
      </c>
      <c r="J1405" s="61">
        <f>SUM(J1406:J1411)</f>
        <v>2697</v>
      </c>
      <c r="K1405" s="61">
        <f t="shared" si="189"/>
        <v>101452</v>
      </c>
      <c r="L1405" s="61"/>
      <c r="M1405" s="61"/>
      <c r="N1405" s="61">
        <f t="shared" si="190"/>
        <v>0</v>
      </c>
      <c r="O1405" s="61">
        <f t="shared" si="191"/>
        <v>98755</v>
      </c>
      <c r="P1405" s="61">
        <f t="shared" si="192"/>
        <v>2697</v>
      </c>
      <c r="Q1405" s="61">
        <f t="shared" si="187"/>
        <v>101452</v>
      </c>
    </row>
    <row r="1406" spans="2:17" ht="12.75">
      <c r="B1406" s="20">
        <f t="shared" si="188"/>
        <v>790</v>
      </c>
      <c r="C1406" s="4"/>
      <c r="D1406" s="4"/>
      <c r="E1406" s="4"/>
      <c r="F1406" s="31" t="s">
        <v>61</v>
      </c>
      <c r="G1406" s="4">
        <v>631</v>
      </c>
      <c r="H1406" s="4" t="s">
        <v>127</v>
      </c>
      <c r="I1406" s="17">
        <v>50</v>
      </c>
      <c r="J1406" s="17"/>
      <c r="K1406" s="17">
        <f t="shared" si="189"/>
        <v>50</v>
      </c>
      <c r="L1406" s="17"/>
      <c r="M1406" s="17"/>
      <c r="N1406" s="17">
        <f t="shared" si="190"/>
        <v>0</v>
      </c>
      <c r="O1406" s="17">
        <f t="shared" si="191"/>
        <v>50</v>
      </c>
      <c r="P1406" s="17">
        <f t="shared" si="192"/>
        <v>0</v>
      </c>
      <c r="Q1406" s="17">
        <f t="shared" si="187"/>
        <v>50</v>
      </c>
    </row>
    <row r="1407" spans="2:17" ht="12.75">
      <c r="B1407" s="20">
        <f t="shared" si="188"/>
        <v>791</v>
      </c>
      <c r="C1407" s="4"/>
      <c r="D1407" s="4"/>
      <c r="E1407" s="4"/>
      <c r="F1407" s="31" t="s">
        <v>61</v>
      </c>
      <c r="G1407" s="4">
        <v>632</v>
      </c>
      <c r="H1407" s="4" t="s">
        <v>134</v>
      </c>
      <c r="I1407" s="17">
        <v>9650</v>
      </c>
      <c r="J1407" s="17"/>
      <c r="K1407" s="17">
        <f t="shared" si="189"/>
        <v>9650</v>
      </c>
      <c r="L1407" s="17"/>
      <c r="M1407" s="17"/>
      <c r="N1407" s="17">
        <f t="shared" si="190"/>
        <v>0</v>
      </c>
      <c r="O1407" s="17">
        <f t="shared" si="191"/>
        <v>9650</v>
      </c>
      <c r="P1407" s="17">
        <f t="shared" si="192"/>
        <v>0</v>
      </c>
      <c r="Q1407" s="17">
        <f t="shared" si="187"/>
        <v>9650</v>
      </c>
    </row>
    <row r="1408" spans="2:17" ht="13.5" customHeight="1">
      <c r="B1408" s="20">
        <f t="shared" si="188"/>
        <v>792</v>
      </c>
      <c r="C1408" s="4"/>
      <c r="D1408" s="4"/>
      <c r="E1408" s="4"/>
      <c r="F1408" s="31" t="s">
        <v>61</v>
      </c>
      <c r="G1408" s="4">
        <v>633</v>
      </c>
      <c r="H1408" s="4" t="s">
        <v>125</v>
      </c>
      <c r="I1408" s="17">
        <f>97000-16000</f>
        <v>81000</v>
      </c>
      <c r="J1408" s="17"/>
      <c r="K1408" s="17">
        <f t="shared" si="189"/>
        <v>81000</v>
      </c>
      <c r="L1408" s="17"/>
      <c r="M1408" s="17"/>
      <c r="N1408" s="17">
        <f t="shared" si="190"/>
        <v>0</v>
      </c>
      <c r="O1408" s="17">
        <f t="shared" si="191"/>
        <v>81000</v>
      </c>
      <c r="P1408" s="17">
        <f t="shared" si="192"/>
        <v>0</v>
      </c>
      <c r="Q1408" s="17">
        <f t="shared" si="187"/>
        <v>81000</v>
      </c>
    </row>
    <row r="1409" spans="2:17" ht="13.5" customHeight="1">
      <c r="B1409" s="20">
        <f t="shared" si="188"/>
        <v>793</v>
      </c>
      <c r="C1409" s="4"/>
      <c r="D1409" s="4"/>
      <c r="E1409" s="4"/>
      <c r="F1409" s="31" t="s">
        <v>61</v>
      </c>
      <c r="G1409" s="4">
        <v>633</v>
      </c>
      <c r="H1409" s="4" t="s">
        <v>659</v>
      </c>
      <c r="I1409" s="17">
        <v>0</v>
      </c>
      <c r="J1409" s="17">
        <v>2697</v>
      </c>
      <c r="K1409" s="17">
        <f t="shared" si="189"/>
        <v>2697</v>
      </c>
      <c r="L1409" s="17"/>
      <c r="M1409" s="17"/>
      <c r="N1409" s="17">
        <f>M1409+L1409</f>
        <v>0</v>
      </c>
      <c r="O1409" s="17">
        <f t="shared" si="191"/>
        <v>0</v>
      </c>
      <c r="P1409" s="17">
        <f t="shared" si="192"/>
        <v>2697</v>
      </c>
      <c r="Q1409" s="17">
        <f>O1409+P1409</f>
        <v>2697</v>
      </c>
    </row>
    <row r="1410" spans="2:17" ht="12.75" customHeight="1">
      <c r="B1410" s="20">
        <f t="shared" si="188"/>
        <v>794</v>
      </c>
      <c r="C1410" s="4"/>
      <c r="D1410" s="4"/>
      <c r="E1410" s="4"/>
      <c r="F1410" s="31" t="s">
        <v>61</v>
      </c>
      <c r="G1410" s="4">
        <v>635</v>
      </c>
      <c r="H1410" s="4" t="s">
        <v>133</v>
      </c>
      <c r="I1410" s="17">
        <v>4150</v>
      </c>
      <c r="J1410" s="17">
        <v>-3000</v>
      </c>
      <c r="K1410" s="17">
        <f t="shared" si="189"/>
        <v>1150</v>
      </c>
      <c r="L1410" s="17"/>
      <c r="M1410" s="17"/>
      <c r="N1410" s="17">
        <f t="shared" si="190"/>
        <v>0</v>
      </c>
      <c r="O1410" s="17">
        <f t="shared" si="191"/>
        <v>4150</v>
      </c>
      <c r="P1410" s="17">
        <f t="shared" si="192"/>
        <v>-3000</v>
      </c>
      <c r="Q1410" s="17">
        <f t="shared" si="187"/>
        <v>1150</v>
      </c>
    </row>
    <row r="1411" spans="2:17" ht="12.75">
      <c r="B1411" s="20">
        <f t="shared" si="188"/>
        <v>795</v>
      </c>
      <c r="C1411" s="4"/>
      <c r="D1411" s="4"/>
      <c r="E1411" s="4"/>
      <c r="F1411" s="31" t="s">
        <v>61</v>
      </c>
      <c r="G1411" s="4">
        <v>637</v>
      </c>
      <c r="H1411" s="4" t="s">
        <v>122</v>
      </c>
      <c r="I1411" s="17">
        <v>3905</v>
      </c>
      <c r="J1411" s="17">
        <v>3000</v>
      </c>
      <c r="K1411" s="17">
        <f t="shared" si="189"/>
        <v>6905</v>
      </c>
      <c r="L1411" s="17"/>
      <c r="M1411" s="17"/>
      <c r="N1411" s="17">
        <f t="shared" si="190"/>
        <v>0</v>
      </c>
      <c r="O1411" s="17">
        <f t="shared" si="191"/>
        <v>3905</v>
      </c>
      <c r="P1411" s="17">
        <f t="shared" si="192"/>
        <v>3000</v>
      </c>
      <c r="Q1411" s="17">
        <f t="shared" si="187"/>
        <v>6905</v>
      </c>
    </row>
    <row r="1412" spans="2:17" ht="12.75">
      <c r="B1412" s="20">
        <f t="shared" si="188"/>
        <v>796</v>
      </c>
      <c r="C1412" s="10"/>
      <c r="D1412" s="10"/>
      <c r="E1412" s="10"/>
      <c r="F1412" s="30" t="s">
        <v>61</v>
      </c>
      <c r="G1412" s="10">
        <v>640</v>
      </c>
      <c r="H1412" s="10" t="s">
        <v>129</v>
      </c>
      <c r="I1412" s="61">
        <v>4500</v>
      </c>
      <c r="J1412" s="61"/>
      <c r="K1412" s="61">
        <f t="shared" si="189"/>
        <v>4500</v>
      </c>
      <c r="L1412" s="61"/>
      <c r="M1412" s="61"/>
      <c r="N1412" s="61">
        <f t="shared" si="190"/>
        <v>0</v>
      </c>
      <c r="O1412" s="61">
        <f t="shared" si="191"/>
        <v>4500</v>
      </c>
      <c r="P1412" s="61">
        <f t="shared" si="192"/>
        <v>0</v>
      </c>
      <c r="Q1412" s="61">
        <f t="shared" si="187"/>
        <v>4500</v>
      </c>
    </row>
    <row r="1413" spans="2:17" ht="12.75">
      <c r="B1413" s="20">
        <f t="shared" si="188"/>
        <v>797</v>
      </c>
      <c r="C1413" s="10"/>
      <c r="D1413" s="10"/>
      <c r="E1413" s="10"/>
      <c r="F1413" s="30" t="s">
        <v>61</v>
      </c>
      <c r="G1413" s="10">
        <v>710</v>
      </c>
      <c r="H1413" s="10" t="s">
        <v>176</v>
      </c>
      <c r="I1413" s="61"/>
      <c r="J1413" s="61"/>
      <c r="K1413" s="61">
        <f>J1413+I1413</f>
        <v>0</v>
      </c>
      <c r="L1413" s="61">
        <f>L1414</f>
        <v>0</v>
      </c>
      <c r="M1413" s="61">
        <f>M1414</f>
        <v>2303</v>
      </c>
      <c r="N1413" s="61">
        <f>M1413+L1413</f>
        <v>2303</v>
      </c>
      <c r="O1413" s="61">
        <f t="shared" si="191"/>
        <v>0</v>
      </c>
      <c r="P1413" s="61">
        <f t="shared" si="192"/>
        <v>2303</v>
      </c>
      <c r="Q1413" s="61">
        <f>O1413+P1413</f>
        <v>2303</v>
      </c>
    </row>
    <row r="1414" spans="2:17" ht="12.75">
      <c r="B1414" s="20">
        <f t="shared" si="188"/>
        <v>798</v>
      </c>
      <c r="C1414" s="10"/>
      <c r="D1414" s="10"/>
      <c r="E1414" s="10"/>
      <c r="F1414" s="31" t="s">
        <v>61</v>
      </c>
      <c r="G1414" s="4">
        <v>713</v>
      </c>
      <c r="H1414" s="4" t="s">
        <v>225</v>
      </c>
      <c r="I1414" s="61"/>
      <c r="J1414" s="61"/>
      <c r="K1414" s="61">
        <f>J1414+I1414</f>
        <v>0</v>
      </c>
      <c r="L1414" s="103">
        <f>L1415</f>
        <v>0</v>
      </c>
      <c r="M1414" s="103">
        <f>M1415</f>
        <v>2303</v>
      </c>
      <c r="N1414" s="103">
        <f>M1414+L1414</f>
        <v>2303</v>
      </c>
      <c r="O1414" s="103">
        <f t="shared" si="191"/>
        <v>0</v>
      </c>
      <c r="P1414" s="103">
        <f t="shared" si="192"/>
        <v>2303</v>
      </c>
      <c r="Q1414" s="103">
        <f>O1414+P1414</f>
        <v>2303</v>
      </c>
    </row>
    <row r="1415" spans="2:17" ht="12.75">
      <c r="B1415" s="20">
        <f t="shared" si="188"/>
        <v>799</v>
      </c>
      <c r="C1415" s="10"/>
      <c r="D1415" s="10"/>
      <c r="E1415" s="10"/>
      <c r="F1415" s="31"/>
      <c r="G1415" s="4"/>
      <c r="H1415" s="43" t="s">
        <v>658</v>
      </c>
      <c r="I1415" s="61"/>
      <c r="J1415" s="61"/>
      <c r="K1415" s="61">
        <f>J1415+I1415</f>
        <v>0</v>
      </c>
      <c r="L1415" s="95">
        <v>0</v>
      </c>
      <c r="M1415" s="95">
        <v>2303</v>
      </c>
      <c r="N1415" s="95">
        <f>M1415+L1415</f>
        <v>2303</v>
      </c>
      <c r="O1415" s="95">
        <f t="shared" si="191"/>
        <v>0</v>
      </c>
      <c r="P1415" s="95">
        <f t="shared" si="192"/>
        <v>2303</v>
      </c>
      <c r="Q1415" s="95">
        <f>O1415+P1415</f>
        <v>2303</v>
      </c>
    </row>
    <row r="1416" spans="2:17" ht="15">
      <c r="B1416" s="20">
        <f t="shared" si="188"/>
        <v>800</v>
      </c>
      <c r="C1416" s="12"/>
      <c r="D1416" s="12"/>
      <c r="E1416" s="12">
        <v>13</v>
      </c>
      <c r="F1416" s="34"/>
      <c r="G1416" s="12"/>
      <c r="H1416" s="12" t="s">
        <v>17</v>
      </c>
      <c r="I1416" s="90">
        <f>I1417+I1419+I1420+I1421+I1426+I1427+I1428+I1429+I1434</f>
        <v>169154</v>
      </c>
      <c r="J1416" s="90">
        <f>J1417+J1419+J1420+J1421+J1426+J1427+J1428+J1429+J1434</f>
        <v>0</v>
      </c>
      <c r="K1416" s="90">
        <f t="shared" si="189"/>
        <v>169154</v>
      </c>
      <c r="L1416" s="90"/>
      <c r="M1416" s="90">
        <f>M1435</f>
        <v>4800</v>
      </c>
      <c r="N1416" s="90">
        <f t="shared" si="190"/>
        <v>4800</v>
      </c>
      <c r="O1416" s="90">
        <f t="shared" si="191"/>
        <v>169154</v>
      </c>
      <c r="P1416" s="90">
        <f t="shared" si="192"/>
        <v>4800</v>
      </c>
      <c r="Q1416" s="90">
        <f t="shared" si="187"/>
        <v>173954</v>
      </c>
    </row>
    <row r="1417" spans="2:17" ht="12.75">
      <c r="B1417" s="20">
        <f t="shared" si="188"/>
        <v>801</v>
      </c>
      <c r="C1417" s="10"/>
      <c r="D1417" s="10"/>
      <c r="E1417" s="10"/>
      <c r="F1417" s="30" t="s">
        <v>160</v>
      </c>
      <c r="G1417" s="10">
        <v>630</v>
      </c>
      <c r="H1417" s="10" t="s">
        <v>121</v>
      </c>
      <c r="I1417" s="61">
        <f>I1418</f>
        <v>21772</v>
      </c>
      <c r="J1417" s="61">
        <f>J1418</f>
        <v>0</v>
      </c>
      <c r="K1417" s="61">
        <f t="shared" si="189"/>
        <v>21772</v>
      </c>
      <c r="L1417" s="61"/>
      <c r="M1417" s="61"/>
      <c r="N1417" s="61">
        <f t="shared" si="190"/>
        <v>0</v>
      </c>
      <c r="O1417" s="61">
        <f t="shared" si="191"/>
        <v>21772</v>
      </c>
      <c r="P1417" s="61">
        <f t="shared" si="192"/>
        <v>0</v>
      </c>
      <c r="Q1417" s="61">
        <f t="shared" si="187"/>
        <v>21772</v>
      </c>
    </row>
    <row r="1418" spans="2:17" ht="12.75">
      <c r="B1418" s="20">
        <f t="shared" si="188"/>
        <v>802</v>
      </c>
      <c r="C1418" s="4"/>
      <c r="D1418" s="4"/>
      <c r="E1418" s="4"/>
      <c r="F1418" s="31" t="s">
        <v>160</v>
      </c>
      <c r="G1418" s="4">
        <v>633</v>
      </c>
      <c r="H1418" s="4" t="s">
        <v>125</v>
      </c>
      <c r="I1418" s="17">
        <v>21772</v>
      </c>
      <c r="J1418" s="17"/>
      <c r="K1418" s="17">
        <f t="shared" si="189"/>
        <v>21772</v>
      </c>
      <c r="L1418" s="17"/>
      <c r="M1418" s="17"/>
      <c r="N1418" s="17">
        <f t="shared" si="190"/>
        <v>0</v>
      </c>
      <c r="O1418" s="17">
        <f t="shared" si="191"/>
        <v>21772</v>
      </c>
      <c r="P1418" s="17">
        <f t="shared" si="192"/>
        <v>0</v>
      </c>
      <c r="Q1418" s="17">
        <f t="shared" si="187"/>
        <v>21772</v>
      </c>
    </row>
    <row r="1419" spans="2:17" ht="13.5" customHeight="1">
      <c r="B1419" s="20">
        <f t="shared" si="188"/>
        <v>803</v>
      </c>
      <c r="C1419" s="10"/>
      <c r="D1419" s="10"/>
      <c r="E1419" s="10"/>
      <c r="F1419" s="30" t="s">
        <v>92</v>
      </c>
      <c r="G1419" s="10">
        <v>610</v>
      </c>
      <c r="H1419" s="10" t="s">
        <v>131</v>
      </c>
      <c r="I1419" s="61">
        <v>27790</v>
      </c>
      <c r="J1419" s="61"/>
      <c r="K1419" s="61">
        <f t="shared" si="189"/>
        <v>27790</v>
      </c>
      <c r="L1419" s="61"/>
      <c r="M1419" s="61"/>
      <c r="N1419" s="61">
        <f t="shared" si="190"/>
        <v>0</v>
      </c>
      <c r="O1419" s="61">
        <f t="shared" si="191"/>
        <v>27790</v>
      </c>
      <c r="P1419" s="61">
        <f t="shared" si="192"/>
        <v>0</v>
      </c>
      <c r="Q1419" s="61">
        <f t="shared" si="187"/>
        <v>27790</v>
      </c>
    </row>
    <row r="1420" spans="2:17" ht="12.75" customHeight="1">
      <c r="B1420" s="20">
        <f t="shared" si="188"/>
        <v>804</v>
      </c>
      <c r="C1420" s="10"/>
      <c r="D1420" s="10"/>
      <c r="E1420" s="10"/>
      <c r="F1420" s="30" t="s">
        <v>92</v>
      </c>
      <c r="G1420" s="10">
        <v>620</v>
      </c>
      <c r="H1420" s="10" t="s">
        <v>124</v>
      </c>
      <c r="I1420" s="61">
        <v>9713</v>
      </c>
      <c r="J1420" s="61"/>
      <c r="K1420" s="61">
        <f t="shared" si="189"/>
        <v>9713</v>
      </c>
      <c r="L1420" s="61"/>
      <c r="M1420" s="61"/>
      <c r="N1420" s="61">
        <f t="shared" si="190"/>
        <v>0</v>
      </c>
      <c r="O1420" s="61">
        <f t="shared" si="191"/>
        <v>9713</v>
      </c>
      <c r="P1420" s="61">
        <f t="shared" si="192"/>
        <v>0</v>
      </c>
      <c r="Q1420" s="61">
        <f t="shared" si="187"/>
        <v>9713</v>
      </c>
    </row>
    <row r="1421" spans="2:17" ht="12.75">
      <c r="B1421" s="20">
        <f t="shared" si="188"/>
        <v>805</v>
      </c>
      <c r="C1421" s="10"/>
      <c r="D1421" s="10"/>
      <c r="E1421" s="10"/>
      <c r="F1421" s="30" t="s">
        <v>92</v>
      </c>
      <c r="G1421" s="10">
        <v>630</v>
      </c>
      <c r="H1421" s="10" t="s">
        <v>121</v>
      </c>
      <c r="I1421" s="61">
        <f>I1425+I1424+I1423+I1422</f>
        <v>24812</v>
      </c>
      <c r="J1421" s="61">
        <f>J1425+J1424+J1423+J1422</f>
        <v>0</v>
      </c>
      <c r="K1421" s="61">
        <f t="shared" si="189"/>
        <v>24812</v>
      </c>
      <c r="L1421" s="61"/>
      <c r="M1421" s="61"/>
      <c r="N1421" s="61">
        <f t="shared" si="190"/>
        <v>0</v>
      </c>
      <c r="O1421" s="61">
        <f t="shared" si="191"/>
        <v>24812</v>
      </c>
      <c r="P1421" s="61">
        <f t="shared" si="192"/>
        <v>0</v>
      </c>
      <c r="Q1421" s="61">
        <f t="shared" si="187"/>
        <v>24812</v>
      </c>
    </row>
    <row r="1422" spans="2:17" ht="12.75">
      <c r="B1422" s="20">
        <f t="shared" si="188"/>
        <v>806</v>
      </c>
      <c r="C1422" s="4"/>
      <c r="D1422" s="4"/>
      <c r="E1422" s="4"/>
      <c r="F1422" s="31" t="s">
        <v>92</v>
      </c>
      <c r="G1422" s="4">
        <v>632</v>
      </c>
      <c r="H1422" s="4" t="s">
        <v>134</v>
      </c>
      <c r="I1422" s="17">
        <v>8000</v>
      </c>
      <c r="J1422" s="17"/>
      <c r="K1422" s="17">
        <f t="shared" si="189"/>
        <v>8000</v>
      </c>
      <c r="L1422" s="17"/>
      <c r="M1422" s="17"/>
      <c r="N1422" s="17">
        <f t="shared" si="190"/>
        <v>0</v>
      </c>
      <c r="O1422" s="17">
        <f t="shared" si="191"/>
        <v>8000</v>
      </c>
      <c r="P1422" s="17">
        <f t="shared" si="192"/>
        <v>0</v>
      </c>
      <c r="Q1422" s="17">
        <f t="shared" si="187"/>
        <v>8000</v>
      </c>
    </row>
    <row r="1423" spans="2:17" ht="12.75">
      <c r="B1423" s="20">
        <f t="shared" si="188"/>
        <v>807</v>
      </c>
      <c r="C1423" s="4"/>
      <c r="D1423" s="4"/>
      <c r="E1423" s="4"/>
      <c r="F1423" s="31" t="s">
        <v>92</v>
      </c>
      <c r="G1423" s="4">
        <v>633</v>
      </c>
      <c r="H1423" s="4" t="s">
        <v>125</v>
      </c>
      <c r="I1423" s="17">
        <f>27212-14400</f>
        <v>12812</v>
      </c>
      <c r="J1423" s="17"/>
      <c r="K1423" s="17">
        <f t="shared" si="189"/>
        <v>12812</v>
      </c>
      <c r="L1423" s="17"/>
      <c r="M1423" s="17"/>
      <c r="N1423" s="17">
        <f t="shared" si="190"/>
        <v>0</v>
      </c>
      <c r="O1423" s="17">
        <f t="shared" si="191"/>
        <v>12812</v>
      </c>
      <c r="P1423" s="17">
        <f t="shared" si="192"/>
        <v>0</v>
      </c>
      <c r="Q1423" s="17">
        <f t="shared" si="187"/>
        <v>12812</v>
      </c>
    </row>
    <row r="1424" spans="2:17" ht="12.75">
      <c r="B1424" s="20">
        <f t="shared" si="188"/>
        <v>808</v>
      </c>
      <c r="C1424" s="4"/>
      <c r="D1424" s="4"/>
      <c r="E1424" s="4"/>
      <c r="F1424" s="31" t="s">
        <v>92</v>
      </c>
      <c r="G1424" s="4">
        <v>635</v>
      </c>
      <c r="H1424" s="4" t="s">
        <v>133</v>
      </c>
      <c r="I1424" s="17">
        <v>1000</v>
      </c>
      <c r="J1424" s="17"/>
      <c r="K1424" s="17">
        <f t="shared" si="189"/>
        <v>1000</v>
      </c>
      <c r="L1424" s="17"/>
      <c r="M1424" s="17"/>
      <c r="N1424" s="17">
        <f t="shared" si="190"/>
        <v>0</v>
      </c>
      <c r="O1424" s="17">
        <f t="shared" si="191"/>
        <v>1000</v>
      </c>
      <c r="P1424" s="17">
        <f t="shared" si="192"/>
        <v>0</v>
      </c>
      <c r="Q1424" s="17">
        <f t="shared" si="187"/>
        <v>1000</v>
      </c>
    </row>
    <row r="1425" spans="2:17" ht="12.75">
      <c r="B1425" s="20">
        <f t="shared" si="188"/>
        <v>809</v>
      </c>
      <c r="C1425" s="4"/>
      <c r="D1425" s="4"/>
      <c r="E1425" s="4"/>
      <c r="F1425" s="31" t="s">
        <v>92</v>
      </c>
      <c r="G1425" s="4">
        <v>637</v>
      </c>
      <c r="H1425" s="4" t="s">
        <v>122</v>
      </c>
      <c r="I1425" s="17">
        <v>3000</v>
      </c>
      <c r="J1425" s="17"/>
      <c r="K1425" s="17">
        <f t="shared" si="189"/>
        <v>3000</v>
      </c>
      <c r="L1425" s="17"/>
      <c r="M1425" s="17"/>
      <c r="N1425" s="17">
        <f t="shared" si="190"/>
        <v>0</v>
      </c>
      <c r="O1425" s="17">
        <f aca="true" t="shared" si="193" ref="O1425:O1456">I1425+L1425</f>
        <v>3000</v>
      </c>
      <c r="P1425" s="17">
        <f aca="true" t="shared" si="194" ref="P1425:P1456">J1425+M1425</f>
        <v>0</v>
      </c>
      <c r="Q1425" s="17">
        <f t="shared" si="187"/>
        <v>3000</v>
      </c>
    </row>
    <row r="1426" spans="2:17" ht="12.75">
      <c r="B1426" s="20">
        <f t="shared" si="188"/>
        <v>810</v>
      </c>
      <c r="C1426" s="10"/>
      <c r="D1426" s="10"/>
      <c r="E1426" s="10"/>
      <c r="F1426" s="30" t="s">
        <v>92</v>
      </c>
      <c r="G1426" s="10">
        <v>640</v>
      </c>
      <c r="H1426" s="10" t="s">
        <v>129</v>
      </c>
      <c r="I1426" s="61">
        <v>1673</v>
      </c>
      <c r="J1426" s="61"/>
      <c r="K1426" s="61">
        <f t="shared" si="189"/>
        <v>1673</v>
      </c>
      <c r="L1426" s="61"/>
      <c r="M1426" s="61"/>
      <c r="N1426" s="61">
        <f t="shared" si="190"/>
        <v>0</v>
      </c>
      <c r="O1426" s="61">
        <f t="shared" si="193"/>
        <v>1673</v>
      </c>
      <c r="P1426" s="61">
        <f t="shared" si="194"/>
        <v>0</v>
      </c>
      <c r="Q1426" s="61">
        <f t="shared" si="187"/>
        <v>1673</v>
      </c>
    </row>
    <row r="1427" spans="2:17" ht="12.75">
      <c r="B1427" s="20">
        <f t="shared" si="188"/>
        <v>811</v>
      </c>
      <c r="C1427" s="10"/>
      <c r="D1427" s="10"/>
      <c r="E1427" s="10"/>
      <c r="F1427" s="30" t="s">
        <v>61</v>
      </c>
      <c r="G1427" s="10">
        <v>610</v>
      </c>
      <c r="H1427" s="10" t="s">
        <v>131</v>
      </c>
      <c r="I1427" s="61">
        <v>35520</v>
      </c>
      <c r="J1427" s="61"/>
      <c r="K1427" s="61">
        <f t="shared" si="189"/>
        <v>35520</v>
      </c>
      <c r="L1427" s="61"/>
      <c r="M1427" s="61"/>
      <c r="N1427" s="61">
        <f t="shared" si="190"/>
        <v>0</v>
      </c>
      <c r="O1427" s="61">
        <f t="shared" si="193"/>
        <v>35520</v>
      </c>
      <c r="P1427" s="61">
        <f t="shared" si="194"/>
        <v>0</v>
      </c>
      <c r="Q1427" s="61">
        <f t="shared" si="187"/>
        <v>35520</v>
      </c>
    </row>
    <row r="1428" spans="2:17" ht="12.75">
      <c r="B1428" s="20">
        <f t="shared" si="188"/>
        <v>812</v>
      </c>
      <c r="C1428" s="10"/>
      <c r="D1428" s="10"/>
      <c r="E1428" s="10"/>
      <c r="F1428" s="30" t="s">
        <v>61</v>
      </c>
      <c r="G1428" s="10">
        <v>620</v>
      </c>
      <c r="H1428" s="10" t="s">
        <v>124</v>
      </c>
      <c r="I1428" s="61">
        <v>12477</v>
      </c>
      <c r="J1428" s="61"/>
      <c r="K1428" s="61">
        <f t="shared" si="189"/>
        <v>12477</v>
      </c>
      <c r="L1428" s="61"/>
      <c r="M1428" s="61"/>
      <c r="N1428" s="61">
        <f t="shared" si="190"/>
        <v>0</v>
      </c>
      <c r="O1428" s="61">
        <f t="shared" si="193"/>
        <v>12477</v>
      </c>
      <c r="P1428" s="61">
        <f t="shared" si="194"/>
        <v>0</v>
      </c>
      <c r="Q1428" s="61">
        <f t="shared" si="187"/>
        <v>12477</v>
      </c>
    </row>
    <row r="1429" spans="2:17" ht="12.75">
      <c r="B1429" s="20">
        <f t="shared" si="188"/>
        <v>813</v>
      </c>
      <c r="C1429" s="10"/>
      <c r="D1429" s="10"/>
      <c r="E1429" s="10"/>
      <c r="F1429" s="30" t="s">
        <v>61</v>
      </c>
      <c r="G1429" s="10">
        <v>630</v>
      </c>
      <c r="H1429" s="10" t="s">
        <v>121</v>
      </c>
      <c r="I1429" s="61">
        <f>SUM(I1430:I1433)</f>
        <v>35097</v>
      </c>
      <c r="J1429" s="61">
        <f>SUM(J1430:J1433)</f>
        <v>0</v>
      </c>
      <c r="K1429" s="61">
        <f t="shared" si="189"/>
        <v>35097</v>
      </c>
      <c r="L1429" s="61"/>
      <c r="M1429" s="61"/>
      <c r="N1429" s="61">
        <f t="shared" si="190"/>
        <v>0</v>
      </c>
      <c r="O1429" s="61">
        <f t="shared" si="193"/>
        <v>35097</v>
      </c>
      <c r="P1429" s="61">
        <f t="shared" si="194"/>
        <v>0</v>
      </c>
      <c r="Q1429" s="61">
        <f t="shared" si="187"/>
        <v>35097</v>
      </c>
    </row>
    <row r="1430" spans="2:17" ht="12.75">
      <c r="B1430" s="20">
        <f t="shared" si="188"/>
        <v>814</v>
      </c>
      <c r="C1430" s="4"/>
      <c r="D1430" s="4"/>
      <c r="E1430" s="4"/>
      <c r="F1430" s="31" t="s">
        <v>61</v>
      </c>
      <c r="G1430" s="4">
        <v>632</v>
      </c>
      <c r="H1430" s="4" t="s">
        <v>134</v>
      </c>
      <c r="I1430" s="17">
        <v>7120</v>
      </c>
      <c r="J1430" s="17"/>
      <c r="K1430" s="17">
        <f t="shared" si="189"/>
        <v>7120</v>
      </c>
      <c r="L1430" s="17"/>
      <c r="M1430" s="17"/>
      <c r="N1430" s="17">
        <f t="shared" si="190"/>
        <v>0</v>
      </c>
      <c r="O1430" s="17">
        <f t="shared" si="193"/>
        <v>7120</v>
      </c>
      <c r="P1430" s="17">
        <f t="shared" si="194"/>
        <v>0</v>
      </c>
      <c r="Q1430" s="17">
        <f t="shared" si="187"/>
        <v>7120</v>
      </c>
    </row>
    <row r="1431" spans="2:17" ht="12.75">
      <c r="B1431" s="20">
        <f t="shared" si="188"/>
        <v>815</v>
      </c>
      <c r="C1431" s="4"/>
      <c r="D1431" s="4"/>
      <c r="E1431" s="4"/>
      <c r="F1431" s="31" t="s">
        <v>61</v>
      </c>
      <c r="G1431" s="4">
        <v>633</v>
      </c>
      <c r="H1431" s="4" t="s">
        <v>125</v>
      </c>
      <c r="I1431" s="17">
        <f>36477-14400</f>
        <v>22077</v>
      </c>
      <c r="J1431" s="17"/>
      <c r="K1431" s="17">
        <f t="shared" si="189"/>
        <v>22077</v>
      </c>
      <c r="L1431" s="17"/>
      <c r="M1431" s="17"/>
      <c r="N1431" s="17">
        <f t="shared" si="190"/>
        <v>0</v>
      </c>
      <c r="O1431" s="17">
        <f t="shared" si="193"/>
        <v>22077</v>
      </c>
      <c r="P1431" s="17">
        <f t="shared" si="194"/>
        <v>0</v>
      </c>
      <c r="Q1431" s="17">
        <f t="shared" si="187"/>
        <v>22077</v>
      </c>
    </row>
    <row r="1432" spans="2:17" ht="12.75">
      <c r="B1432" s="20">
        <f t="shared" si="188"/>
        <v>816</v>
      </c>
      <c r="C1432" s="4"/>
      <c r="D1432" s="4"/>
      <c r="E1432" s="4"/>
      <c r="F1432" s="31" t="s">
        <v>61</v>
      </c>
      <c r="G1432" s="4">
        <v>635</v>
      </c>
      <c r="H1432" s="4" t="s">
        <v>133</v>
      </c>
      <c r="I1432" s="17">
        <v>3600</v>
      </c>
      <c r="J1432" s="17"/>
      <c r="K1432" s="17">
        <f t="shared" si="189"/>
        <v>3600</v>
      </c>
      <c r="L1432" s="17"/>
      <c r="M1432" s="17"/>
      <c r="N1432" s="17">
        <f t="shared" si="190"/>
        <v>0</v>
      </c>
      <c r="O1432" s="17">
        <f t="shared" si="193"/>
        <v>3600</v>
      </c>
      <c r="P1432" s="17">
        <f t="shared" si="194"/>
        <v>0</v>
      </c>
      <c r="Q1432" s="17">
        <f t="shared" si="187"/>
        <v>3600</v>
      </c>
    </row>
    <row r="1433" spans="2:17" ht="12.75">
      <c r="B1433" s="20">
        <f t="shared" si="188"/>
        <v>817</v>
      </c>
      <c r="C1433" s="4"/>
      <c r="D1433" s="4"/>
      <c r="E1433" s="4"/>
      <c r="F1433" s="31" t="s">
        <v>61</v>
      </c>
      <c r="G1433" s="4">
        <v>637</v>
      </c>
      <c r="H1433" s="4" t="s">
        <v>122</v>
      </c>
      <c r="I1433" s="17">
        <v>2300</v>
      </c>
      <c r="J1433" s="17"/>
      <c r="K1433" s="17">
        <f t="shared" si="189"/>
        <v>2300</v>
      </c>
      <c r="L1433" s="17"/>
      <c r="M1433" s="17"/>
      <c r="N1433" s="17">
        <f t="shared" si="190"/>
        <v>0</v>
      </c>
      <c r="O1433" s="17">
        <f t="shared" si="193"/>
        <v>2300</v>
      </c>
      <c r="P1433" s="17">
        <f t="shared" si="194"/>
        <v>0</v>
      </c>
      <c r="Q1433" s="17">
        <f t="shared" si="187"/>
        <v>2300</v>
      </c>
    </row>
    <row r="1434" spans="2:17" ht="12.75">
      <c r="B1434" s="20">
        <f t="shared" si="188"/>
        <v>818</v>
      </c>
      <c r="C1434" s="10"/>
      <c r="D1434" s="10"/>
      <c r="E1434" s="10"/>
      <c r="F1434" s="30" t="s">
        <v>61</v>
      </c>
      <c r="G1434" s="10">
        <v>640</v>
      </c>
      <c r="H1434" s="10" t="s">
        <v>129</v>
      </c>
      <c r="I1434" s="61">
        <v>300</v>
      </c>
      <c r="J1434" s="61"/>
      <c r="K1434" s="61">
        <f t="shared" si="189"/>
        <v>300</v>
      </c>
      <c r="L1434" s="61"/>
      <c r="M1434" s="61"/>
      <c r="N1434" s="61">
        <f t="shared" si="190"/>
        <v>0</v>
      </c>
      <c r="O1434" s="61">
        <f t="shared" si="193"/>
        <v>300</v>
      </c>
      <c r="P1434" s="61">
        <f t="shared" si="194"/>
        <v>0</v>
      </c>
      <c r="Q1434" s="61">
        <f t="shared" si="187"/>
        <v>300</v>
      </c>
    </row>
    <row r="1435" spans="2:17" ht="12.75">
      <c r="B1435" s="20">
        <f t="shared" si="188"/>
        <v>819</v>
      </c>
      <c r="C1435" s="10"/>
      <c r="D1435" s="10"/>
      <c r="E1435" s="10"/>
      <c r="F1435" s="30" t="s">
        <v>61</v>
      </c>
      <c r="G1435" s="10">
        <v>710</v>
      </c>
      <c r="H1435" s="10" t="s">
        <v>176</v>
      </c>
      <c r="I1435" s="61"/>
      <c r="J1435" s="61"/>
      <c r="K1435" s="61">
        <f t="shared" si="189"/>
        <v>0</v>
      </c>
      <c r="L1435" s="61">
        <f>L1436</f>
        <v>0</v>
      </c>
      <c r="M1435" s="61">
        <f>M1436</f>
        <v>4800</v>
      </c>
      <c r="N1435" s="61">
        <f t="shared" si="190"/>
        <v>4800</v>
      </c>
      <c r="O1435" s="61">
        <f t="shared" si="193"/>
        <v>0</v>
      </c>
      <c r="P1435" s="61">
        <f t="shared" si="194"/>
        <v>4800</v>
      </c>
      <c r="Q1435" s="61">
        <f t="shared" si="187"/>
        <v>4800</v>
      </c>
    </row>
    <row r="1436" spans="2:17" ht="12.75">
      <c r="B1436" s="20">
        <f t="shared" si="188"/>
        <v>820</v>
      </c>
      <c r="C1436" s="10"/>
      <c r="D1436" s="10"/>
      <c r="E1436" s="10"/>
      <c r="F1436" s="31" t="s">
        <v>61</v>
      </c>
      <c r="G1436" s="4">
        <v>713</v>
      </c>
      <c r="H1436" s="4" t="s">
        <v>225</v>
      </c>
      <c r="I1436" s="61"/>
      <c r="J1436" s="61"/>
      <c r="K1436" s="61">
        <f t="shared" si="189"/>
        <v>0</v>
      </c>
      <c r="L1436" s="103">
        <f>L1437</f>
        <v>0</v>
      </c>
      <c r="M1436" s="103">
        <f>M1437</f>
        <v>4800</v>
      </c>
      <c r="N1436" s="103">
        <f t="shared" si="190"/>
        <v>4800</v>
      </c>
      <c r="O1436" s="103">
        <f t="shared" si="193"/>
        <v>0</v>
      </c>
      <c r="P1436" s="103">
        <f t="shared" si="194"/>
        <v>4800</v>
      </c>
      <c r="Q1436" s="103">
        <f t="shared" si="187"/>
        <v>4800</v>
      </c>
    </row>
    <row r="1437" spans="2:17" ht="12.75">
      <c r="B1437" s="20">
        <f t="shared" si="188"/>
        <v>821</v>
      </c>
      <c r="C1437" s="10"/>
      <c r="D1437" s="10"/>
      <c r="E1437" s="10"/>
      <c r="F1437" s="31"/>
      <c r="G1437" s="4"/>
      <c r="H1437" s="43" t="s">
        <v>658</v>
      </c>
      <c r="I1437" s="61"/>
      <c r="J1437" s="61"/>
      <c r="K1437" s="61">
        <f t="shared" si="189"/>
        <v>0</v>
      </c>
      <c r="L1437" s="95">
        <v>0</v>
      </c>
      <c r="M1437" s="95">
        <v>4800</v>
      </c>
      <c r="N1437" s="95">
        <f t="shared" si="190"/>
        <v>4800</v>
      </c>
      <c r="O1437" s="95">
        <f t="shared" si="193"/>
        <v>0</v>
      </c>
      <c r="P1437" s="95">
        <f t="shared" si="194"/>
        <v>4800</v>
      </c>
      <c r="Q1437" s="95">
        <f t="shared" si="187"/>
        <v>4800</v>
      </c>
    </row>
    <row r="1438" spans="2:17" ht="15">
      <c r="B1438" s="20">
        <f>B1434+1</f>
        <v>819</v>
      </c>
      <c r="C1438" s="7">
        <v>5</v>
      </c>
      <c r="D1438" s="232" t="s">
        <v>120</v>
      </c>
      <c r="E1438" s="233"/>
      <c r="F1438" s="233"/>
      <c r="G1438" s="233"/>
      <c r="H1438" s="234"/>
      <c r="I1438" s="87">
        <f>I1439+I1444+I1452+I1455</f>
        <v>316671</v>
      </c>
      <c r="J1438" s="87">
        <f>J1439+J1444+J1452+J1455</f>
        <v>0</v>
      </c>
      <c r="K1438" s="87">
        <f t="shared" si="189"/>
        <v>316671</v>
      </c>
      <c r="L1438" s="87"/>
      <c r="M1438" s="87"/>
      <c r="N1438" s="87">
        <f t="shared" si="190"/>
        <v>0</v>
      </c>
      <c r="O1438" s="87">
        <f t="shared" si="193"/>
        <v>316671</v>
      </c>
      <c r="P1438" s="87">
        <f t="shared" si="194"/>
        <v>0</v>
      </c>
      <c r="Q1438" s="87">
        <f t="shared" si="187"/>
        <v>316671</v>
      </c>
    </row>
    <row r="1439" spans="2:17" ht="12.75">
      <c r="B1439" s="20">
        <f t="shared" si="188"/>
        <v>820</v>
      </c>
      <c r="C1439" s="9"/>
      <c r="D1439" s="9"/>
      <c r="E1439" s="9"/>
      <c r="F1439" s="35"/>
      <c r="G1439" s="9"/>
      <c r="H1439" s="9" t="s">
        <v>128</v>
      </c>
      <c r="I1439" s="96">
        <f>I1440+I1441+I1442</f>
        <v>3976</v>
      </c>
      <c r="J1439" s="96">
        <f>J1440+J1441+J1442</f>
        <v>0</v>
      </c>
      <c r="K1439" s="96">
        <f t="shared" si="189"/>
        <v>3976</v>
      </c>
      <c r="L1439" s="96"/>
      <c r="M1439" s="96"/>
      <c r="N1439" s="96">
        <f t="shared" si="190"/>
        <v>0</v>
      </c>
      <c r="O1439" s="96">
        <f t="shared" si="193"/>
        <v>3976</v>
      </c>
      <c r="P1439" s="96">
        <f t="shared" si="194"/>
        <v>0</v>
      </c>
      <c r="Q1439" s="96">
        <f t="shared" si="187"/>
        <v>3976</v>
      </c>
    </row>
    <row r="1440" spans="2:17" ht="12.75">
      <c r="B1440" s="20">
        <f t="shared" si="188"/>
        <v>821</v>
      </c>
      <c r="C1440" s="10"/>
      <c r="D1440" s="10"/>
      <c r="E1440" s="10"/>
      <c r="F1440" s="30" t="s">
        <v>62</v>
      </c>
      <c r="G1440" s="10">
        <v>610</v>
      </c>
      <c r="H1440" s="10" t="s">
        <v>131</v>
      </c>
      <c r="I1440" s="61">
        <f>600-250</f>
        <v>350</v>
      </c>
      <c r="J1440" s="61"/>
      <c r="K1440" s="61">
        <f t="shared" si="189"/>
        <v>350</v>
      </c>
      <c r="L1440" s="61"/>
      <c r="M1440" s="61"/>
      <c r="N1440" s="61">
        <f t="shared" si="190"/>
        <v>0</v>
      </c>
      <c r="O1440" s="61">
        <f t="shared" si="193"/>
        <v>350</v>
      </c>
      <c r="P1440" s="61">
        <f t="shared" si="194"/>
        <v>0</v>
      </c>
      <c r="Q1440" s="61">
        <f t="shared" si="187"/>
        <v>350</v>
      </c>
    </row>
    <row r="1441" spans="2:17" ht="12.75">
      <c r="B1441" s="20">
        <f t="shared" si="188"/>
        <v>822</v>
      </c>
      <c r="C1441" s="10"/>
      <c r="D1441" s="10"/>
      <c r="E1441" s="10"/>
      <c r="F1441" s="30" t="s">
        <v>62</v>
      </c>
      <c r="G1441" s="10">
        <v>620</v>
      </c>
      <c r="H1441" s="10" t="s">
        <v>124</v>
      </c>
      <c r="I1441" s="61">
        <f>216-90</f>
        <v>126</v>
      </c>
      <c r="J1441" s="61"/>
      <c r="K1441" s="61">
        <f t="shared" si="189"/>
        <v>126</v>
      </c>
      <c r="L1441" s="61"/>
      <c r="M1441" s="61"/>
      <c r="N1441" s="61">
        <f t="shared" si="190"/>
        <v>0</v>
      </c>
      <c r="O1441" s="61">
        <f t="shared" si="193"/>
        <v>126</v>
      </c>
      <c r="P1441" s="61">
        <f t="shared" si="194"/>
        <v>0</v>
      </c>
      <c r="Q1441" s="61">
        <f t="shared" si="187"/>
        <v>126</v>
      </c>
    </row>
    <row r="1442" spans="2:17" ht="12.75">
      <c r="B1442" s="20">
        <f t="shared" si="188"/>
        <v>823</v>
      </c>
      <c r="C1442" s="10"/>
      <c r="D1442" s="10"/>
      <c r="E1442" s="10"/>
      <c r="F1442" s="30" t="s">
        <v>62</v>
      </c>
      <c r="G1442" s="10">
        <v>630</v>
      </c>
      <c r="H1442" s="10" t="s">
        <v>121</v>
      </c>
      <c r="I1442" s="61">
        <f>I1443</f>
        <v>3500</v>
      </c>
      <c r="J1442" s="61">
        <f>J1443</f>
        <v>0</v>
      </c>
      <c r="K1442" s="61">
        <f t="shared" si="189"/>
        <v>3500</v>
      </c>
      <c r="L1442" s="61"/>
      <c r="M1442" s="61"/>
      <c r="N1442" s="61">
        <f t="shared" si="190"/>
        <v>0</v>
      </c>
      <c r="O1442" s="61">
        <f t="shared" si="193"/>
        <v>3500</v>
      </c>
      <c r="P1442" s="61">
        <f t="shared" si="194"/>
        <v>0</v>
      </c>
      <c r="Q1442" s="61">
        <f aca="true" t="shared" si="195" ref="Q1442:Q1465">O1442+P1442</f>
        <v>3500</v>
      </c>
    </row>
    <row r="1443" spans="2:17" ht="12.75">
      <c r="B1443" s="20">
        <f t="shared" si="188"/>
        <v>824</v>
      </c>
      <c r="C1443" s="4"/>
      <c r="D1443" s="4"/>
      <c r="E1443" s="4"/>
      <c r="F1443" s="31" t="s">
        <v>62</v>
      </c>
      <c r="G1443" s="4">
        <v>633</v>
      </c>
      <c r="H1443" s="4" t="s">
        <v>125</v>
      </c>
      <c r="I1443" s="17">
        <v>3500</v>
      </c>
      <c r="J1443" s="17"/>
      <c r="K1443" s="17">
        <f t="shared" si="189"/>
        <v>3500</v>
      </c>
      <c r="L1443" s="17"/>
      <c r="M1443" s="17"/>
      <c r="N1443" s="17">
        <f t="shared" si="190"/>
        <v>0</v>
      </c>
      <c r="O1443" s="17">
        <f t="shared" si="193"/>
        <v>3500</v>
      </c>
      <c r="P1443" s="17">
        <f t="shared" si="194"/>
        <v>0</v>
      </c>
      <c r="Q1443" s="17">
        <f t="shared" si="195"/>
        <v>3500</v>
      </c>
    </row>
    <row r="1444" spans="2:17" ht="12.75">
      <c r="B1444" s="20">
        <f t="shared" si="188"/>
        <v>825</v>
      </c>
      <c r="C1444" s="44"/>
      <c r="D1444" s="44"/>
      <c r="E1444" s="44"/>
      <c r="F1444" s="45"/>
      <c r="G1444" s="44"/>
      <c r="H1444" s="9" t="s">
        <v>123</v>
      </c>
      <c r="I1444" s="97">
        <f>I1445+I1446+I1447+I1451</f>
        <v>39859</v>
      </c>
      <c r="J1444" s="97">
        <f>J1445+J1446+J1447+J1451</f>
        <v>0</v>
      </c>
      <c r="K1444" s="97">
        <f t="shared" si="189"/>
        <v>39859</v>
      </c>
      <c r="L1444" s="98"/>
      <c r="M1444" s="98"/>
      <c r="N1444" s="98">
        <f t="shared" si="190"/>
        <v>0</v>
      </c>
      <c r="O1444" s="97">
        <f t="shared" si="193"/>
        <v>39859</v>
      </c>
      <c r="P1444" s="97">
        <f t="shared" si="194"/>
        <v>0</v>
      </c>
      <c r="Q1444" s="97">
        <f t="shared" si="195"/>
        <v>39859</v>
      </c>
    </row>
    <row r="1445" spans="2:17" ht="12.75">
      <c r="B1445" s="20">
        <f t="shared" si="188"/>
        <v>826</v>
      </c>
      <c r="C1445" s="5"/>
      <c r="D1445" s="5"/>
      <c r="E1445" s="5"/>
      <c r="F1445" s="30" t="s">
        <v>62</v>
      </c>
      <c r="G1445" s="10">
        <v>610</v>
      </c>
      <c r="H1445" s="10" t="s">
        <v>131</v>
      </c>
      <c r="I1445" s="16">
        <f>32200-6400-500-150</f>
        <v>25150</v>
      </c>
      <c r="J1445" s="16"/>
      <c r="K1445" s="16">
        <f t="shared" si="189"/>
        <v>25150</v>
      </c>
      <c r="L1445" s="18"/>
      <c r="M1445" s="18"/>
      <c r="N1445" s="18">
        <f t="shared" si="190"/>
        <v>0</v>
      </c>
      <c r="O1445" s="16">
        <f t="shared" si="193"/>
        <v>25150</v>
      </c>
      <c r="P1445" s="16">
        <f t="shared" si="194"/>
        <v>0</v>
      </c>
      <c r="Q1445" s="16">
        <f t="shared" si="195"/>
        <v>25150</v>
      </c>
    </row>
    <row r="1446" spans="2:17" ht="12.75">
      <c r="B1446" s="20">
        <f t="shared" si="188"/>
        <v>827</v>
      </c>
      <c r="C1446" s="5"/>
      <c r="D1446" s="5"/>
      <c r="E1446" s="5"/>
      <c r="F1446" s="30" t="s">
        <v>62</v>
      </c>
      <c r="G1446" s="10">
        <v>620</v>
      </c>
      <c r="H1446" s="10" t="s">
        <v>124</v>
      </c>
      <c r="I1446" s="16">
        <f>11898-2365-200</f>
        <v>9333</v>
      </c>
      <c r="J1446" s="16"/>
      <c r="K1446" s="16">
        <f t="shared" si="189"/>
        <v>9333</v>
      </c>
      <c r="L1446" s="18"/>
      <c r="M1446" s="18"/>
      <c r="N1446" s="18">
        <f t="shared" si="190"/>
        <v>0</v>
      </c>
      <c r="O1446" s="16">
        <f t="shared" si="193"/>
        <v>9333</v>
      </c>
      <c r="P1446" s="16">
        <f t="shared" si="194"/>
        <v>0</v>
      </c>
      <c r="Q1446" s="16">
        <f t="shared" si="195"/>
        <v>9333</v>
      </c>
    </row>
    <row r="1447" spans="2:17" ht="12.75">
      <c r="B1447" s="20">
        <f t="shared" si="188"/>
        <v>828</v>
      </c>
      <c r="C1447" s="5"/>
      <c r="D1447" s="5"/>
      <c r="E1447" s="5"/>
      <c r="F1447" s="30" t="s">
        <v>62</v>
      </c>
      <c r="G1447" s="10">
        <v>630</v>
      </c>
      <c r="H1447" s="10" t="s">
        <v>121</v>
      </c>
      <c r="I1447" s="16">
        <f>SUM(I1448:I1450)</f>
        <v>1664</v>
      </c>
      <c r="J1447" s="16">
        <f>SUM(J1448:J1450)</f>
        <v>0</v>
      </c>
      <c r="K1447" s="16">
        <f t="shared" si="189"/>
        <v>1664</v>
      </c>
      <c r="L1447" s="18"/>
      <c r="M1447" s="18"/>
      <c r="N1447" s="18">
        <f t="shared" si="190"/>
        <v>0</v>
      </c>
      <c r="O1447" s="16">
        <f t="shared" si="193"/>
        <v>1664</v>
      </c>
      <c r="P1447" s="16">
        <f t="shared" si="194"/>
        <v>0</v>
      </c>
      <c r="Q1447" s="16">
        <f t="shared" si="195"/>
        <v>1664</v>
      </c>
    </row>
    <row r="1448" spans="2:17" ht="12.75">
      <c r="B1448" s="20">
        <f t="shared" si="188"/>
        <v>829</v>
      </c>
      <c r="C1448" s="5"/>
      <c r="D1448" s="5"/>
      <c r="E1448" s="5"/>
      <c r="F1448" s="32"/>
      <c r="G1448" s="24">
        <v>632</v>
      </c>
      <c r="H1448" s="4" t="s">
        <v>134</v>
      </c>
      <c r="I1448" s="63">
        <f>440-370+150</f>
        <v>220</v>
      </c>
      <c r="J1448" s="63"/>
      <c r="K1448" s="63">
        <f t="shared" si="189"/>
        <v>220</v>
      </c>
      <c r="L1448" s="18"/>
      <c r="M1448" s="18"/>
      <c r="N1448" s="18">
        <f t="shared" si="190"/>
        <v>0</v>
      </c>
      <c r="O1448" s="17">
        <f t="shared" si="193"/>
        <v>220</v>
      </c>
      <c r="P1448" s="17">
        <f t="shared" si="194"/>
        <v>0</v>
      </c>
      <c r="Q1448" s="17">
        <f t="shared" si="195"/>
        <v>220</v>
      </c>
    </row>
    <row r="1449" spans="2:17" ht="12.75">
      <c r="B1449" s="20">
        <f t="shared" si="188"/>
        <v>830</v>
      </c>
      <c r="C1449" s="5"/>
      <c r="D1449" s="5"/>
      <c r="E1449" s="5"/>
      <c r="F1449" s="32"/>
      <c r="G1449" s="24">
        <v>633</v>
      </c>
      <c r="H1449" s="4" t="s">
        <v>125</v>
      </c>
      <c r="I1449" s="63">
        <f>5900-5506</f>
        <v>394</v>
      </c>
      <c r="J1449" s="63"/>
      <c r="K1449" s="63">
        <f t="shared" si="189"/>
        <v>394</v>
      </c>
      <c r="L1449" s="18"/>
      <c r="M1449" s="18"/>
      <c r="N1449" s="18">
        <f t="shared" si="190"/>
        <v>0</v>
      </c>
      <c r="O1449" s="17">
        <f t="shared" si="193"/>
        <v>394</v>
      </c>
      <c r="P1449" s="17">
        <f t="shared" si="194"/>
        <v>0</v>
      </c>
      <c r="Q1449" s="17">
        <f t="shared" si="195"/>
        <v>394</v>
      </c>
    </row>
    <row r="1450" spans="2:17" ht="12.75">
      <c r="B1450" s="20">
        <f t="shared" si="188"/>
        <v>831</v>
      </c>
      <c r="C1450" s="5"/>
      <c r="D1450" s="5"/>
      <c r="E1450" s="5"/>
      <c r="F1450" s="32"/>
      <c r="G1450" s="24">
        <v>637</v>
      </c>
      <c r="H1450" s="4" t="s">
        <v>122</v>
      </c>
      <c r="I1450" s="63">
        <f>2050-1700+700</f>
        <v>1050</v>
      </c>
      <c r="J1450" s="63"/>
      <c r="K1450" s="63">
        <f t="shared" si="189"/>
        <v>1050</v>
      </c>
      <c r="L1450" s="18"/>
      <c r="M1450" s="18"/>
      <c r="N1450" s="18">
        <f t="shared" si="190"/>
        <v>0</v>
      </c>
      <c r="O1450" s="17">
        <f t="shared" si="193"/>
        <v>1050</v>
      </c>
      <c r="P1450" s="17">
        <f t="shared" si="194"/>
        <v>0</v>
      </c>
      <c r="Q1450" s="17">
        <f t="shared" si="195"/>
        <v>1050</v>
      </c>
    </row>
    <row r="1451" spans="2:17" ht="12.75">
      <c r="B1451" s="20">
        <f t="shared" si="188"/>
        <v>832</v>
      </c>
      <c r="C1451" s="5"/>
      <c r="D1451" s="5"/>
      <c r="E1451" s="5"/>
      <c r="F1451" s="30" t="s">
        <v>62</v>
      </c>
      <c r="G1451" s="3">
        <v>630</v>
      </c>
      <c r="H1451" s="3" t="s">
        <v>597</v>
      </c>
      <c r="I1451" s="16">
        <v>3712</v>
      </c>
      <c r="J1451" s="16"/>
      <c r="K1451" s="16">
        <f t="shared" si="189"/>
        <v>3712</v>
      </c>
      <c r="L1451" s="183"/>
      <c r="M1451" s="183"/>
      <c r="N1451" s="183">
        <f t="shared" si="190"/>
        <v>0</v>
      </c>
      <c r="O1451" s="16">
        <f t="shared" si="193"/>
        <v>3712</v>
      </c>
      <c r="P1451" s="16">
        <f t="shared" si="194"/>
        <v>0</v>
      </c>
      <c r="Q1451" s="16">
        <f t="shared" si="195"/>
        <v>3712</v>
      </c>
    </row>
    <row r="1452" spans="2:17" ht="12.75">
      <c r="B1452" s="20">
        <f t="shared" si="188"/>
        <v>833</v>
      </c>
      <c r="C1452" s="44"/>
      <c r="D1452" s="44"/>
      <c r="E1452" s="44"/>
      <c r="F1452" s="45"/>
      <c r="G1452" s="44"/>
      <c r="H1452" s="9" t="s">
        <v>328</v>
      </c>
      <c r="I1452" s="97">
        <f>I1453</f>
        <v>15000</v>
      </c>
      <c r="J1452" s="97">
        <f>J1453</f>
        <v>0</v>
      </c>
      <c r="K1452" s="97">
        <f t="shared" si="189"/>
        <v>15000</v>
      </c>
      <c r="L1452" s="97"/>
      <c r="M1452" s="97"/>
      <c r="N1452" s="97">
        <f t="shared" si="190"/>
        <v>0</v>
      </c>
      <c r="O1452" s="97">
        <f t="shared" si="193"/>
        <v>15000</v>
      </c>
      <c r="P1452" s="97">
        <f t="shared" si="194"/>
        <v>0</v>
      </c>
      <c r="Q1452" s="97">
        <f t="shared" si="195"/>
        <v>15000</v>
      </c>
    </row>
    <row r="1453" spans="2:17" ht="12.75">
      <c r="B1453" s="20">
        <f t="shared" si="188"/>
        <v>834</v>
      </c>
      <c r="C1453" s="5"/>
      <c r="D1453" s="5"/>
      <c r="E1453" s="5"/>
      <c r="F1453" s="30" t="s">
        <v>62</v>
      </c>
      <c r="G1453" s="10">
        <v>640</v>
      </c>
      <c r="H1453" s="10" t="s">
        <v>129</v>
      </c>
      <c r="I1453" s="16">
        <f>I1454</f>
        <v>15000</v>
      </c>
      <c r="J1453" s="16">
        <f>J1454</f>
        <v>0</v>
      </c>
      <c r="K1453" s="16">
        <f t="shared" si="189"/>
        <v>15000</v>
      </c>
      <c r="L1453" s="16"/>
      <c r="M1453" s="16"/>
      <c r="N1453" s="16">
        <f t="shared" si="190"/>
        <v>0</v>
      </c>
      <c r="O1453" s="16">
        <f t="shared" si="193"/>
        <v>15000</v>
      </c>
      <c r="P1453" s="16">
        <f t="shared" si="194"/>
        <v>0</v>
      </c>
      <c r="Q1453" s="16">
        <f t="shared" si="195"/>
        <v>15000</v>
      </c>
    </row>
    <row r="1454" spans="2:17" ht="12.75">
      <c r="B1454" s="20">
        <f t="shared" si="188"/>
        <v>835</v>
      </c>
      <c r="C1454" s="5"/>
      <c r="D1454" s="5"/>
      <c r="E1454" s="5"/>
      <c r="F1454" s="33" t="s">
        <v>62</v>
      </c>
      <c r="G1454" s="24">
        <v>642</v>
      </c>
      <c r="H1454" s="24" t="s">
        <v>280</v>
      </c>
      <c r="I1454" s="63">
        <v>15000</v>
      </c>
      <c r="J1454" s="63"/>
      <c r="K1454" s="63">
        <f t="shared" si="189"/>
        <v>15000</v>
      </c>
      <c r="L1454" s="18"/>
      <c r="M1454" s="18"/>
      <c r="N1454" s="18">
        <f t="shared" si="190"/>
        <v>0</v>
      </c>
      <c r="O1454" s="17">
        <f t="shared" si="193"/>
        <v>15000</v>
      </c>
      <c r="P1454" s="17">
        <f t="shared" si="194"/>
        <v>0</v>
      </c>
      <c r="Q1454" s="17">
        <f t="shared" si="195"/>
        <v>15000</v>
      </c>
    </row>
    <row r="1455" spans="2:17" ht="15">
      <c r="B1455" s="20">
        <f aca="true" t="shared" si="196" ref="B1455:B1465">B1454+1</f>
        <v>836</v>
      </c>
      <c r="C1455" s="12"/>
      <c r="D1455" s="12"/>
      <c r="E1455" s="12">
        <v>4</v>
      </c>
      <c r="F1455" s="34"/>
      <c r="G1455" s="12"/>
      <c r="H1455" s="12" t="s">
        <v>94</v>
      </c>
      <c r="I1455" s="90">
        <f>I1456+I1457+I1458+I1465</f>
        <v>257836</v>
      </c>
      <c r="J1455" s="90">
        <f>J1456+J1457+J1458+J1465</f>
        <v>0</v>
      </c>
      <c r="K1455" s="90">
        <f t="shared" si="189"/>
        <v>257836</v>
      </c>
      <c r="L1455" s="90"/>
      <c r="M1455" s="90"/>
      <c r="N1455" s="90">
        <f t="shared" si="190"/>
        <v>0</v>
      </c>
      <c r="O1455" s="90">
        <f t="shared" si="193"/>
        <v>257836</v>
      </c>
      <c r="P1455" s="90">
        <f t="shared" si="194"/>
        <v>0</v>
      </c>
      <c r="Q1455" s="90">
        <f t="shared" si="195"/>
        <v>257836</v>
      </c>
    </row>
    <row r="1456" spans="2:17" ht="12.75">
      <c r="B1456" s="20">
        <f t="shared" si="196"/>
        <v>837</v>
      </c>
      <c r="C1456" s="10"/>
      <c r="D1456" s="10"/>
      <c r="E1456" s="10"/>
      <c r="F1456" s="30" t="s">
        <v>85</v>
      </c>
      <c r="G1456" s="10">
        <v>610</v>
      </c>
      <c r="H1456" s="10" t="s">
        <v>131</v>
      </c>
      <c r="I1456" s="61">
        <v>108405</v>
      </c>
      <c r="J1456" s="61"/>
      <c r="K1456" s="61">
        <f t="shared" si="189"/>
        <v>108405</v>
      </c>
      <c r="L1456" s="61"/>
      <c r="M1456" s="61"/>
      <c r="N1456" s="61">
        <f t="shared" si="190"/>
        <v>0</v>
      </c>
      <c r="O1456" s="61">
        <f t="shared" si="193"/>
        <v>108405</v>
      </c>
      <c r="P1456" s="61">
        <f t="shared" si="194"/>
        <v>0</v>
      </c>
      <c r="Q1456" s="61">
        <f t="shared" si="195"/>
        <v>108405</v>
      </c>
    </row>
    <row r="1457" spans="2:17" ht="12.75">
      <c r="B1457" s="20">
        <f t="shared" si="196"/>
        <v>838</v>
      </c>
      <c r="C1457" s="10"/>
      <c r="D1457" s="10"/>
      <c r="E1457" s="10"/>
      <c r="F1457" s="30" t="s">
        <v>85</v>
      </c>
      <c r="G1457" s="10">
        <v>620</v>
      </c>
      <c r="H1457" s="10" t="s">
        <v>124</v>
      </c>
      <c r="I1457" s="61">
        <v>40598</v>
      </c>
      <c r="J1457" s="61"/>
      <c r="K1457" s="61">
        <f t="shared" si="189"/>
        <v>40598</v>
      </c>
      <c r="L1457" s="61"/>
      <c r="M1457" s="61"/>
      <c r="N1457" s="61">
        <f t="shared" si="190"/>
        <v>0</v>
      </c>
      <c r="O1457" s="61">
        <f aca="true" t="shared" si="197" ref="O1457:O1465">I1457+L1457</f>
        <v>40598</v>
      </c>
      <c r="P1457" s="61">
        <f aca="true" t="shared" si="198" ref="P1457:P1465">J1457+M1457</f>
        <v>0</v>
      </c>
      <c r="Q1457" s="61">
        <f t="shared" si="195"/>
        <v>40598</v>
      </c>
    </row>
    <row r="1458" spans="2:17" ht="12.75">
      <c r="B1458" s="20">
        <f t="shared" si="196"/>
        <v>839</v>
      </c>
      <c r="C1458" s="10"/>
      <c r="D1458" s="10"/>
      <c r="E1458" s="10"/>
      <c r="F1458" s="30" t="s">
        <v>85</v>
      </c>
      <c r="G1458" s="10">
        <v>630</v>
      </c>
      <c r="H1458" s="10" t="s">
        <v>121</v>
      </c>
      <c r="I1458" s="61">
        <f>SUM(I1459:I1464)</f>
        <v>105763</v>
      </c>
      <c r="J1458" s="61">
        <f>SUM(J1459:J1464)</f>
        <v>0</v>
      </c>
      <c r="K1458" s="61">
        <f t="shared" si="189"/>
        <v>105763</v>
      </c>
      <c r="L1458" s="61"/>
      <c r="M1458" s="61"/>
      <c r="N1458" s="61">
        <f t="shared" si="190"/>
        <v>0</v>
      </c>
      <c r="O1458" s="61">
        <f t="shared" si="197"/>
        <v>105763</v>
      </c>
      <c r="P1458" s="61">
        <f t="shared" si="198"/>
        <v>0</v>
      </c>
      <c r="Q1458" s="61">
        <f t="shared" si="195"/>
        <v>105763</v>
      </c>
    </row>
    <row r="1459" spans="2:17" ht="12.75">
      <c r="B1459" s="20">
        <f t="shared" si="196"/>
        <v>840</v>
      </c>
      <c r="C1459" s="4"/>
      <c r="D1459" s="4"/>
      <c r="E1459" s="4"/>
      <c r="F1459" s="31" t="s">
        <v>85</v>
      </c>
      <c r="G1459" s="4">
        <v>632</v>
      </c>
      <c r="H1459" s="4" t="s">
        <v>134</v>
      </c>
      <c r="I1459" s="17">
        <v>1000</v>
      </c>
      <c r="J1459" s="17"/>
      <c r="K1459" s="17">
        <f t="shared" si="189"/>
        <v>1000</v>
      </c>
      <c r="L1459" s="17"/>
      <c r="M1459" s="17"/>
      <c r="N1459" s="17">
        <f t="shared" si="190"/>
        <v>0</v>
      </c>
      <c r="O1459" s="17">
        <f t="shared" si="197"/>
        <v>1000</v>
      </c>
      <c r="P1459" s="17">
        <f t="shared" si="198"/>
        <v>0</v>
      </c>
      <c r="Q1459" s="17">
        <f t="shared" si="195"/>
        <v>1000</v>
      </c>
    </row>
    <row r="1460" spans="2:17" ht="12.75">
      <c r="B1460" s="20">
        <f t="shared" si="196"/>
        <v>841</v>
      </c>
      <c r="C1460" s="4"/>
      <c r="D1460" s="4"/>
      <c r="E1460" s="4"/>
      <c r="F1460" s="31" t="s">
        <v>85</v>
      </c>
      <c r="G1460" s="4">
        <v>633</v>
      </c>
      <c r="H1460" s="4" t="s">
        <v>125</v>
      </c>
      <c r="I1460" s="17">
        <v>4700</v>
      </c>
      <c r="J1460" s="17"/>
      <c r="K1460" s="17">
        <f t="shared" si="189"/>
        <v>4700</v>
      </c>
      <c r="L1460" s="17"/>
      <c r="M1460" s="17"/>
      <c r="N1460" s="17">
        <f t="shared" si="190"/>
        <v>0</v>
      </c>
      <c r="O1460" s="17">
        <f t="shared" si="197"/>
        <v>4700</v>
      </c>
      <c r="P1460" s="17">
        <f t="shared" si="198"/>
        <v>0</v>
      </c>
      <c r="Q1460" s="17">
        <f t="shared" si="195"/>
        <v>4700</v>
      </c>
    </row>
    <row r="1461" spans="2:17" ht="12.75">
      <c r="B1461" s="20">
        <f t="shared" si="196"/>
        <v>842</v>
      </c>
      <c r="C1461" s="4"/>
      <c r="D1461" s="4"/>
      <c r="E1461" s="4"/>
      <c r="F1461" s="31" t="s">
        <v>85</v>
      </c>
      <c r="G1461" s="4">
        <v>634</v>
      </c>
      <c r="H1461" s="4" t="s">
        <v>132</v>
      </c>
      <c r="I1461" s="17">
        <v>4270</v>
      </c>
      <c r="J1461" s="17"/>
      <c r="K1461" s="17">
        <f>J1461+I1461</f>
        <v>4270</v>
      </c>
      <c r="L1461" s="17"/>
      <c r="M1461" s="17"/>
      <c r="N1461" s="17">
        <f>M1461+L1461</f>
        <v>0</v>
      </c>
      <c r="O1461" s="17">
        <f t="shared" si="197"/>
        <v>4270</v>
      </c>
      <c r="P1461" s="17">
        <f t="shared" si="198"/>
        <v>0</v>
      </c>
      <c r="Q1461" s="17">
        <f t="shared" si="195"/>
        <v>4270</v>
      </c>
    </row>
    <row r="1462" spans="2:17" ht="12.75">
      <c r="B1462" s="20">
        <f t="shared" si="196"/>
        <v>843</v>
      </c>
      <c r="C1462" s="4"/>
      <c r="D1462" s="4"/>
      <c r="E1462" s="4"/>
      <c r="F1462" s="31" t="s">
        <v>85</v>
      </c>
      <c r="G1462" s="4">
        <v>636</v>
      </c>
      <c r="H1462" s="4" t="s">
        <v>126</v>
      </c>
      <c r="I1462" s="17">
        <v>3080</v>
      </c>
      <c r="J1462" s="17"/>
      <c r="K1462" s="17">
        <f>J1462+I1462</f>
        <v>3080</v>
      </c>
      <c r="L1462" s="17"/>
      <c r="M1462" s="17"/>
      <c r="N1462" s="17">
        <f>M1462+L1462</f>
        <v>0</v>
      </c>
      <c r="O1462" s="17">
        <f t="shared" si="197"/>
        <v>3080</v>
      </c>
      <c r="P1462" s="17">
        <f t="shared" si="198"/>
        <v>0</v>
      </c>
      <c r="Q1462" s="17">
        <f t="shared" si="195"/>
        <v>3080</v>
      </c>
    </row>
    <row r="1463" spans="2:17" ht="12.75">
      <c r="B1463" s="20">
        <f t="shared" si="196"/>
        <v>844</v>
      </c>
      <c r="C1463" s="4"/>
      <c r="D1463" s="4"/>
      <c r="E1463" s="4"/>
      <c r="F1463" s="31" t="s">
        <v>85</v>
      </c>
      <c r="G1463" s="4">
        <v>637</v>
      </c>
      <c r="H1463" s="4" t="s">
        <v>122</v>
      </c>
      <c r="I1463" s="17">
        <v>32213</v>
      </c>
      <c r="J1463" s="17"/>
      <c r="K1463" s="17">
        <f>J1463+I1463</f>
        <v>32213</v>
      </c>
      <c r="L1463" s="17"/>
      <c r="M1463" s="17"/>
      <c r="N1463" s="17">
        <f>M1463+L1463</f>
        <v>0</v>
      </c>
      <c r="O1463" s="17">
        <f t="shared" si="197"/>
        <v>32213</v>
      </c>
      <c r="P1463" s="17">
        <f t="shared" si="198"/>
        <v>0</v>
      </c>
      <c r="Q1463" s="17">
        <f t="shared" si="195"/>
        <v>32213</v>
      </c>
    </row>
    <row r="1464" spans="2:17" ht="12.75">
      <c r="B1464" s="20">
        <f t="shared" si="196"/>
        <v>845</v>
      </c>
      <c r="C1464" s="4"/>
      <c r="D1464" s="4"/>
      <c r="E1464" s="4"/>
      <c r="F1464" s="33" t="s">
        <v>85</v>
      </c>
      <c r="G1464" s="4">
        <v>637</v>
      </c>
      <c r="H1464" s="24" t="s">
        <v>290</v>
      </c>
      <c r="I1464" s="17">
        <v>60500</v>
      </c>
      <c r="J1464" s="17"/>
      <c r="K1464" s="17">
        <f>J1464+I1464</f>
        <v>60500</v>
      </c>
      <c r="L1464" s="17"/>
      <c r="M1464" s="17"/>
      <c r="N1464" s="17">
        <f>M1464+L1464</f>
        <v>0</v>
      </c>
      <c r="O1464" s="17">
        <f t="shared" si="197"/>
        <v>60500</v>
      </c>
      <c r="P1464" s="17">
        <f t="shared" si="198"/>
        <v>0</v>
      </c>
      <c r="Q1464" s="17">
        <f t="shared" si="195"/>
        <v>60500</v>
      </c>
    </row>
    <row r="1465" spans="2:17" ht="12.75">
      <c r="B1465" s="20">
        <f t="shared" si="196"/>
        <v>846</v>
      </c>
      <c r="C1465" s="10"/>
      <c r="D1465" s="10"/>
      <c r="E1465" s="10"/>
      <c r="F1465" s="30" t="s">
        <v>85</v>
      </c>
      <c r="G1465" s="10">
        <v>640</v>
      </c>
      <c r="H1465" s="10" t="s">
        <v>129</v>
      </c>
      <c r="I1465" s="61">
        <v>3070</v>
      </c>
      <c r="J1465" s="61"/>
      <c r="K1465" s="61">
        <f>J1465+I1465</f>
        <v>3070</v>
      </c>
      <c r="L1465" s="61"/>
      <c r="M1465" s="61"/>
      <c r="N1465" s="61">
        <f>M1465+L1465</f>
        <v>0</v>
      </c>
      <c r="O1465" s="61">
        <f t="shared" si="197"/>
        <v>3070</v>
      </c>
      <c r="P1465" s="61">
        <f t="shared" si="198"/>
        <v>0</v>
      </c>
      <c r="Q1465" s="61">
        <f t="shared" si="195"/>
        <v>3070</v>
      </c>
    </row>
    <row r="1468" spans="2:16" ht="27">
      <c r="B1468" s="248" t="s">
        <v>1</v>
      </c>
      <c r="C1468" s="249"/>
      <c r="D1468" s="249"/>
      <c r="E1468" s="249"/>
      <c r="F1468" s="249"/>
      <c r="G1468" s="249"/>
      <c r="H1468" s="249"/>
      <c r="I1468" s="249"/>
      <c r="J1468" s="249"/>
      <c r="K1468" s="249"/>
      <c r="L1468" s="249"/>
      <c r="M1468" s="249"/>
      <c r="N1468" s="249"/>
      <c r="O1468" s="249"/>
      <c r="P1468"/>
    </row>
    <row r="1469" spans="2:17" ht="12.75">
      <c r="B1469" s="244" t="s">
        <v>327</v>
      </c>
      <c r="C1469" s="245"/>
      <c r="D1469" s="245"/>
      <c r="E1469" s="245"/>
      <c r="F1469" s="245"/>
      <c r="G1469" s="245"/>
      <c r="H1469" s="245"/>
      <c r="I1469" s="245"/>
      <c r="J1469" s="245"/>
      <c r="K1469" s="245"/>
      <c r="L1469" s="245"/>
      <c r="M1469" s="245"/>
      <c r="N1469" s="246"/>
      <c r="O1469" s="250" t="s">
        <v>612</v>
      </c>
      <c r="P1469" s="250" t="s">
        <v>642</v>
      </c>
      <c r="Q1469" s="250" t="s">
        <v>644</v>
      </c>
    </row>
    <row r="1470" spans="2:17" ht="12.75">
      <c r="B1470" s="251"/>
      <c r="C1470" s="243" t="s">
        <v>114</v>
      </c>
      <c r="D1470" s="243" t="s">
        <v>115</v>
      </c>
      <c r="E1470" s="243"/>
      <c r="F1470" s="243" t="s">
        <v>116</v>
      </c>
      <c r="G1470" s="247" t="s">
        <v>117</v>
      </c>
      <c r="H1470" s="252" t="s">
        <v>118</v>
      </c>
      <c r="I1470" s="239" t="s">
        <v>609</v>
      </c>
      <c r="J1470" s="209" t="s">
        <v>642</v>
      </c>
      <c r="K1470" s="209" t="s">
        <v>644</v>
      </c>
      <c r="L1470" s="239" t="s">
        <v>610</v>
      </c>
      <c r="M1470" s="209" t="s">
        <v>642</v>
      </c>
      <c r="N1470" s="209" t="s">
        <v>644</v>
      </c>
      <c r="O1470" s="250"/>
      <c r="P1470" s="250"/>
      <c r="Q1470" s="250"/>
    </row>
    <row r="1471" spans="2:17" ht="12.75">
      <c r="B1471" s="251"/>
      <c r="C1471" s="243"/>
      <c r="D1471" s="243"/>
      <c r="E1471" s="243"/>
      <c r="F1471" s="243"/>
      <c r="G1471" s="247"/>
      <c r="H1471" s="252"/>
      <c r="I1471" s="239"/>
      <c r="J1471" s="210"/>
      <c r="K1471" s="210"/>
      <c r="L1471" s="239"/>
      <c r="M1471" s="210"/>
      <c r="N1471" s="210"/>
      <c r="O1471" s="250"/>
      <c r="P1471" s="250"/>
      <c r="Q1471" s="250"/>
    </row>
    <row r="1472" spans="2:17" ht="12.75">
      <c r="B1472" s="251"/>
      <c r="C1472" s="243"/>
      <c r="D1472" s="243"/>
      <c r="E1472" s="243"/>
      <c r="F1472" s="243"/>
      <c r="G1472" s="247"/>
      <c r="H1472" s="252"/>
      <c r="I1472" s="239"/>
      <c r="J1472" s="210"/>
      <c r="K1472" s="210"/>
      <c r="L1472" s="239"/>
      <c r="M1472" s="210"/>
      <c r="N1472" s="210"/>
      <c r="O1472" s="250"/>
      <c r="P1472" s="250"/>
      <c r="Q1472" s="250"/>
    </row>
    <row r="1473" spans="2:17" ht="13.5" customHeight="1" thickBot="1">
      <c r="B1473" s="251"/>
      <c r="C1473" s="243"/>
      <c r="D1473" s="243"/>
      <c r="E1473" s="243"/>
      <c r="F1473" s="243"/>
      <c r="G1473" s="247"/>
      <c r="H1473" s="252"/>
      <c r="I1473" s="239"/>
      <c r="J1473" s="255"/>
      <c r="K1473" s="255"/>
      <c r="L1473" s="239"/>
      <c r="M1473" s="255"/>
      <c r="N1473" s="255"/>
      <c r="O1473" s="250"/>
      <c r="P1473" s="250"/>
      <c r="Q1473" s="250"/>
    </row>
    <row r="1474" spans="2:17" ht="12.75" customHeight="1" thickTop="1">
      <c r="B1474" s="23">
        <v>1</v>
      </c>
      <c r="C1474" s="256" t="s">
        <v>1</v>
      </c>
      <c r="D1474" s="257"/>
      <c r="E1474" s="257"/>
      <c r="F1474" s="257"/>
      <c r="G1474" s="257"/>
      <c r="H1474" s="258"/>
      <c r="I1474" s="89">
        <f>I1563+I1495+I1479+I1475</f>
        <v>2140690</v>
      </c>
      <c r="J1474" s="89">
        <f>J1563+J1495+J1479+J1475</f>
        <v>39145</v>
      </c>
      <c r="K1474" s="89">
        <f aca="true" t="shared" si="199" ref="K1474:K1508">I1474+J1474</f>
        <v>2179835</v>
      </c>
      <c r="L1474" s="89">
        <f>L1563+L1495+L1479+L1475</f>
        <v>5623287</v>
      </c>
      <c r="M1474" s="89">
        <f>M1563+M1495+M1479+M1475</f>
        <v>-10000</v>
      </c>
      <c r="N1474" s="89">
        <f aca="true" t="shared" si="200" ref="N1474:N1508">L1474+M1474</f>
        <v>5613287</v>
      </c>
      <c r="O1474" s="89">
        <f aca="true" t="shared" si="201" ref="O1474:O1508">I1474+L1474</f>
        <v>7763977</v>
      </c>
      <c r="P1474" s="89">
        <f aca="true" t="shared" si="202" ref="P1474:P1508">J1474+M1474</f>
        <v>29145</v>
      </c>
      <c r="Q1474" s="89">
        <f aca="true" t="shared" si="203" ref="Q1474:Q1508">K1474+N1474</f>
        <v>7793122</v>
      </c>
    </row>
    <row r="1475" spans="2:17" ht="15">
      <c r="B1475" s="21">
        <f aca="true" t="shared" si="204" ref="B1475:B1483">B1474+1</f>
        <v>2</v>
      </c>
      <c r="C1475" s="7">
        <v>1</v>
      </c>
      <c r="D1475" s="232" t="s">
        <v>232</v>
      </c>
      <c r="E1475" s="233"/>
      <c r="F1475" s="233"/>
      <c r="G1475" s="233"/>
      <c r="H1475" s="234"/>
      <c r="I1475" s="87">
        <f>I1476</f>
        <v>9000</v>
      </c>
      <c r="J1475" s="87">
        <f>J1476</f>
        <v>0</v>
      </c>
      <c r="K1475" s="87">
        <f t="shared" si="199"/>
        <v>9000</v>
      </c>
      <c r="L1475" s="87"/>
      <c r="M1475" s="87"/>
      <c r="N1475" s="87">
        <f t="shared" si="200"/>
        <v>0</v>
      </c>
      <c r="O1475" s="87">
        <f t="shared" si="201"/>
        <v>9000</v>
      </c>
      <c r="P1475" s="87">
        <f t="shared" si="202"/>
        <v>0</v>
      </c>
      <c r="Q1475" s="87">
        <f t="shared" si="203"/>
        <v>9000</v>
      </c>
    </row>
    <row r="1476" spans="2:17" ht="12.75">
      <c r="B1476" s="21">
        <f t="shared" si="204"/>
        <v>3</v>
      </c>
      <c r="C1476" s="10"/>
      <c r="D1476" s="10"/>
      <c r="E1476" s="10"/>
      <c r="F1476" s="30" t="s">
        <v>181</v>
      </c>
      <c r="G1476" s="10">
        <v>630</v>
      </c>
      <c r="H1476" s="10" t="s">
        <v>121</v>
      </c>
      <c r="I1476" s="61">
        <f>SUM(I1477:I1478)</f>
        <v>9000</v>
      </c>
      <c r="J1476" s="61">
        <f>SUM(J1477:J1478)</f>
        <v>0</v>
      </c>
      <c r="K1476" s="61">
        <f t="shared" si="199"/>
        <v>9000</v>
      </c>
      <c r="L1476" s="61"/>
      <c r="M1476" s="61"/>
      <c r="N1476" s="61">
        <f t="shared" si="200"/>
        <v>0</v>
      </c>
      <c r="O1476" s="61">
        <f t="shared" si="201"/>
        <v>9000</v>
      </c>
      <c r="P1476" s="61">
        <f t="shared" si="202"/>
        <v>0</v>
      </c>
      <c r="Q1476" s="61">
        <f t="shared" si="203"/>
        <v>9000</v>
      </c>
    </row>
    <row r="1477" spans="2:17" ht="12.75">
      <c r="B1477" s="21">
        <f t="shared" si="204"/>
        <v>4</v>
      </c>
      <c r="C1477" s="4"/>
      <c r="D1477" s="4"/>
      <c r="E1477" s="4"/>
      <c r="F1477" s="31" t="s">
        <v>181</v>
      </c>
      <c r="G1477" s="4">
        <v>637</v>
      </c>
      <c r="H1477" s="4" t="s">
        <v>122</v>
      </c>
      <c r="I1477" s="17">
        <v>6000</v>
      </c>
      <c r="J1477" s="17"/>
      <c r="K1477" s="17">
        <f t="shared" si="199"/>
        <v>6000</v>
      </c>
      <c r="L1477" s="17"/>
      <c r="M1477" s="17"/>
      <c r="N1477" s="17">
        <f t="shared" si="200"/>
        <v>0</v>
      </c>
      <c r="O1477" s="17">
        <f t="shared" si="201"/>
        <v>6000</v>
      </c>
      <c r="P1477" s="17">
        <f t="shared" si="202"/>
        <v>0</v>
      </c>
      <c r="Q1477" s="17">
        <f t="shared" si="203"/>
        <v>6000</v>
      </c>
    </row>
    <row r="1478" spans="2:17" ht="12.75">
      <c r="B1478" s="21">
        <f t="shared" si="204"/>
        <v>5</v>
      </c>
      <c r="C1478" s="4"/>
      <c r="D1478" s="4"/>
      <c r="E1478" s="4"/>
      <c r="F1478" s="33" t="s">
        <v>181</v>
      </c>
      <c r="G1478" s="4">
        <v>637</v>
      </c>
      <c r="H1478" s="24" t="s">
        <v>401</v>
      </c>
      <c r="I1478" s="17">
        <v>3000</v>
      </c>
      <c r="J1478" s="17"/>
      <c r="K1478" s="17">
        <f t="shared" si="199"/>
        <v>3000</v>
      </c>
      <c r="L1478" s="17"/>
      <c r="M1478" s="17"/>
      <c r="N1478" s="17">
        <f t="shared" si="200"/>
        <v>0</v>
      </c>
      <c r="O1478" s="17">
        <f t="shared" si="201"/>
        <v>3000</v>
      </c>
      <c r="P1478" s="17">
        <f t="shared" si="202"/>
        <v>0</v>
      </c>
      <c r="Q1478" s="17">
        <f t="shared" si="203"/>
        <v>3000</v>
      </c>
    </row>
    <row r="1479" spans="2:17" ht="15">
      <c r="B1479" s="21">
        <f t="shared" si="204"/>
        <v>6</v>
      </c>
      <c r="C1479" s="7">
        <v>2</v>
      </c>
      <c r="D1479" s="261" t="s">
        <v>18</v>
      </c>
      <c r="E1479" s="262"/>
      <c r="F1479" s="262"/>
      <c r="G1479" s="262"/>
      <c r="H1479" s="262"/>
      <c r="I1479" s="87">
        <f>I1480</f>
        <v>257500</v>
      </c>
      <c r="J1479" s="87">
        <f>J1480</f>
        <v>0</v>
      </c>
      <c r="K1479" s="87">
        <f t="shared" si="199"/>
        <v>257500</v>
      </c>
      <c r="L1479" s="87"/>
      <c r="M1479" s="87"/>
      <c r="N1479" s="87">
        <f t="shared" si="200"/>
        <v>0</v>
      </c>
      <c r="O1479" s="87">
        <f t="shared" si="201"/>
        <v>257500</v>
      </c>
      <c r="P1479" s="87">
        <f t="shared" si="202"/>
        <v>0</v>
      </c>
      <c r="Q1479" s="87">
        <f t="shared" si="203"/>
        <v>257500</v>
      </c>
    </row>
    <row r="1480" spans="2:17" ht="12.75">
      <c r="B1480" s="21">
        <f t="shared" si="204"/>
        <v>7</v>
      </c>
      <c r="C1480" s="10"/>
      <c r="D1480" s="10"/>
      <c r="E1480" s="10"/>
      <c r="F1480" s="30" t="s">
        <v>181</v>
      </c>
      <c r="G1480" s="10">
        <v>640</v>
      </c>
      <c r="H1480" s="10" t="s">
        <v>129</v>
      </c>
      <c r="I1480" s="61">
        <f>SUM(I1481:I1494)</f>
        <v>257500</v>
      </c>
      <c r="J1480" s="61">
        <f>SUM(J1481:J1493)</f>
        <v>0</v>
      </c>
      <c r="K1480" s="61">
        <f t="shared" si="199"/>
        <v>257500</v>
      </c>
      <c r="L1480" s="61"/>
      <c r="M1480" s="61"/>
      <c r="N1480" s="61">
        <f t="shared" si="200"/>
        <v>0</v>
      </c>
      <c r="O1480" s="61">
        <f t="shared" si="201"/>
        <v>257500</v>
      </c>
      <c r="P1480" s="61">
        <f t="shared" si="202"/>
        <v>0</v>
      </c>
      <c r="Q1480" s="61">
        <f t="shared" si="203"/>
        <v>257500</v>
      </c>
    </row>
    <row r="1481" spans="2:17" ht="12.75">
      <c r="B1481" s="21">
        <f t="shared" si="204"/>
        <v>8</v>
      </c>
      <c r="C1481" s="5"/>
      <c r="D1481" s="5"/>
      <c r="E1481" s="5"/>
      <c r="F1481" s="32"/>
      <c r="G1481" s="5"/>
      <c r="H1481" s="5" t="s">
        <v>182</v>
      </c>
      <c r="I1481" s="18">
        <f>45000-10857</f>
        <v>34143</v>
      </c>
      <c r="J1481" s="18"/>
      <c r="K1481" s="18">
        <f t="shared" si="199"/>
        <v>34143</v>
      </c>
      <c r="L1481" s="18"/>
      <c r="M1481" s="18"/>
      <c r="N1481" s="18">
        <f t="shared" si="200"/>
        <v>0</v>
      </c>
      <c r="O1481" s="18">
        <f t="shared" si="201"/>
        <v>34143</v>
      </c>
      <c r="P1481" s="18">
        <f t="shared" si="202"/>
        <v>0</v>
      </c>
      <c r="Q1481" s="18">
        <f t="shared" si="203"/>
        <v>34143</v>
      </c>
    </row>
    <row r="1482" spans="2:17" ht="12.75">
      <c r="B1482" s="21">
        <f t="shared" si="204"/>
        <v>9</v>
      </c>
      <c r="C1482" s="5"/>
      <c r="D1482" s="5"/>
      <c r="E1482" s="5"/>
      <c r="F1482" s="32"/>
      <c r="G1482" s="5"/>
      <c r="H1482" s="5" t="s">
        <v>20</v>
      </c>
      <c r="I1482" s="18">
        <v>15000</v>
      </c>
      <c r="J1482" s="18"/>
      <c r="K1482" s="18">
        <f t="shared" si="199"/>
        <v>15000</v>
      </c>
      <c r="L1482" s="18"/>
      <c r="M1482" s="18"/>
      <c r="N1482" s="18">
        <f t="shared" si="200"/>
        <v>0</v>
      </c>
      <c r="O1482" s="18">
        <f t="shared" si="201"/>
        <v>15000</v>
      </c>
      <c r="P1482" s="18">
        <f t="shared" si="202"/>
        <v>0</v>
      </c>
      <c r="Q1482" s="18">
        <f t="shared" si="203"/>
        <v>15000</v>
      </c>
    </row>
    <row r="1483" spans="2:17" ht="12.75">
      <c r="B1483" s="21">
        <f t="shared" si="204"/>
        <v>10</v>
      </c>
      <c r="C1483" s="5"/>
      <c r="D1483" s="5"/>
      <c r="E1483" s="5"/>
      <c r="F1483" s="32"/>
      <c r="G1483" s="5"/>
      <c r="H1483" s="5" t="s">
        <v>19</v>
      </c>
      <c r="I1483" s="18">
        <v>35000</v>
      </c>
      <c r="J1483" s="18"/>
      <c r="K1483" s="18">
        <f t="shared" si="199"/>
        <v>35000</v>
      </c>
      <c r="L1483" s="18"/>
      <c r="M1483" s="18"/>
      <c r="N1483" s="18">
        <f t="shared" si="200"/>
        <v>0</v>
      </c>
      <c r="O1483" s="18">
        <f t="shared" si="201"/>
        <v>35000</v>
      </c>
      <c r="P1483" s="18">
        <f t="shared" si="202"/>
        <v>0</v>
      </c>
      <c r="Q1483" s="18">
        <f t="shared" si="203"/>
        <v>35000</v>
      </c>
    </row>
    <row r="1484" spans="2:17" ht="12.75">
      <c r="B1484" s="21">
        <f aca="true" t="shared" si="205" ref="B1484:B1500">B1483+1</f>
        <v>11</v>
      </c>
      <c r="C1484" s="5"/>
      <c r="D1484" s="5"/>
      <c r="E1484" s="5"/>
      <c r="F1484" s="32"/>
      <c r="G1484" s="5"/>
      <c r="H1484" s="5" t="s">
        <v>561</v>
      </c>
      <c r="I1484" s="18">
        <f>30000+38000</f>
        <v>68000</v>
      </c>
      <c r="J1484" s="18"/>
      <c r="K1484" s="18">
        <f t="shared" si="199"/>
        <v>68000</v>
      </c>
      <c r="L1484" s="18"/>
      <c r="M1484" s="18"/>
      <c r="N1484" s="18">
        <f t="shared" si="200"/>
        <v>0</v>
      </c>
      <c r="O1484" s="18">
        <f t="shared" si="201"/>
        <v>68000</v>
      </c>
      <c r="P1484" s="18">
        <f t="shared" si="202"/>
        <v>0</v>
      </c>
      <c r="Q1484" s="18">
        <f t="shared" si="203"/>
        <v>68000</v>
      </c>
    </row>
    <row r="1485" spans="2:17" ht="12.75">
      <c r="B1485" s="21">
        <f t="shared" si="205"/>
        <v>12</v>
      </c>
      <c r="C1485" s="5"/>
      <c r="D1485" s="5"/>
      <c r="E1485" s="5"/>
      <c r="F1485" s="32"/>
      <c r="G1485" s="5"/>
      <c r="H1485" s="5" t="s">
        <v>573</v>
      </c>
      <c r="I1485" s="18">
        <v>15500</v>
      </c>
      <c r="J1485" s="18"/>
      <c r="K1485" s="18">
        <f t="shared" si="199"/>
        <v>15500</v>
      </c>
      <c r="L1485" s="18"/>
      <c r="M1485" s="18"/>
      <c r="N1485" s="18">
        <f t="shared" si="200"/>
        <v>0</v>
      </c>
      <c r="O1485" s="18">
        <f t="shared" si="201"/>
        <v>15500</v>
      </c>
      <c r="P1485" s="18">
        <f t="shared" si="202"/>
        <v>0</v>
      </c>
      <c r="Q1485" s="18">
        <f t="shared" si="203"/>
        <v>15500</v>
      </c>
    </row>
    <row r="1486" spans="2:17" ht="12.75">
      <c r="B1486" s="21">
        <f t="shared" si="205"/>
        <v>13</v>
      </c>
      <c r="C1486" s="5"/>
      <c r="D1486" s="5"/>
      <c r="E1486" s="5"/>
      <c r="F1486" s="32"/>
      <c r="G1486" s="5"/>
      <c r="H1486" s="5" t="s">
        <v>587</v>
      </c>
      <c r="I1486" s="18">
        <v>40000</v>
      </c>
      <c r="J1486" s="18"/>
      <c r="K1486" s="18">
        <f t="shared" si="199"/>
        <v>40000</v>
      </c>
      <c r="L1486" s="18"/>
      <c r="M1486" s="18"/>
      <c r="N1486" s="18">
        <f t="shared" si="200"/>
        <v>0</v>
      </c>
      <c r="O1486" s="18">
        <f t="shared" si="201"/>
        <v>40000</v>
      </c>
      <c r="P1486" s="18">
        <f t="shared" si="202"/>
        <v>0</v>
      </c>
      <c r="Q1486" s="18">
        <f t="shared" si="203"/>
        <v>40000</v>
      </c>
    </row>
    <row r="1487" spans="2:17" ht="12.75">
      <c r="B1487" s="21">
        <f t="shared" si="205"/>
        <v>14</v>
      </c>
      <c r="C1487" s="5"/>
      <c r="D1487" s="5"/>
      <c r="E1487" s="5"/>
      <c r="F1487" s="32"/>
      <c r="G1487" s="5"/>
      <c r="H1487" s="5" t="s">
        <v>588</v>
      </c>
      <c r="I1487" s="18">
        <v>9500</v>
      </c>
      <c r="J1487" s="18"/>
      <c r="K1487" s="18">
        <f t="shared" si="199"/>
        <v>9500</v>
      </c>
      <c r="L1487" s="18"/>
      <c r="M1487" s="18"/>
      <c r="N1487" s="18">
        <f t="shared" si="200"/>
        <v>0</v>
      </c>
      <c r="O1487" s="18">
        <f t="shared" si="201"/>
        <v>9500</v>
      </c>
      <c r="P1487" s="18">
        <f t="shared" si="202"/>
        <v>0</v>
      </c>
      <c r="Q1487" s="18">
        <f t="shared" si="203"/>
        <v>9500</v>
      </c>
    </row>
    <row r="1488" spans="2:17" ht="22.5">
      <c r="B1488" s="21">
        <f t="shared" si="205"/>
        <v>15</v>
      </c>
      <c r="C1488" s="5"/>
      <c r="D1488" s="5"/>
      <c r="E1488" s="5"/>
      <c r="F1488" s="32"/>
      <c r="G1488" s="5"/>
      <c r="H1488" s="46" t="s">
        <v>589</v>
      </c>
      <c r="I1488" s="18">
        <v>7000</v>
      </c>
      <c r="J1488" s="18"/>
      <c r="K1488" s="18">
        <f t="shared" si="199"/>
        <v>7000</v>
      </c>
      <c r="L1488" s="18"/>
      <c r="M1488" s="18"/>
      <c r="N1488" s="18">
        <f t="shared" si="200"/>
        <v>0</v>
      </c>
      <c r="O1488" s="18">
        <f t="shared" si="201"/>
        <v>7000</v>
      </c>
      <c r="P1488" s="18">
        <f t="shared" si="202"/>
        <v>0</v>
      </c>
      <c r="Q1488" s="18">
        <f t="shared" si="203"/>
        <v>7000</v>
      </c>
    </row>
    <row r="1489" spans="2:17" ht="12.75">
      <c r="B1489" s="21">
        <f t="shared" si="205"/>
        <v>16</v>
      </c>
      <c r="C1489" s="5"/>
      <c r="D1489" s="5"/>
      <c r="E1489" s="5"/>
      <c r="F1489" s="32"/>
      <c r="G1489" s="5"/>
      <c r="H1489" s="46" t="s">
        <v>591</v>
      </c>
      <c r="I1489" s="18">
        <v>7000</v>
      </c>
      <c r="J1489" s="18"/>
      <c r="K1489" s="18">
        <f t="shared" si="199"/>
        <v>7000</v>
      </c>
      <c r="L1489" s="18"/>
      <c r="M1489" s="18"/>
      <c r="N1489" s="18">
        <f t="shared" si="200"/>
        <v>0</v>
      </c>
      <c r="O1489" s="18">
        <f t="shared" si="201"/>
        <v>7000</v>
      </c>
      <c r="P1489" s="18">
        <f t="shared" si="202"/>
        <v>0</v>
      </c>
      <c r="Q1489" s="18">
        <f t="shared" si="203"/>
        <v>7000</v>
      </c>
    </row>
    <row r="1490" spans="2:17" ht="12.75">
      <c r="B1490" s="21">
        <f t="shared" si="205"/>
        <v>17</v>
      </c>
      <c r="C1490" s="5"/>
      <c r="D1490" s="5"/>
      <c r="E1490" s="5"/>
      <c r="F1490" s="32"/>
      <c r="G1490" s="5"/>
      <c r="H1490" s="46" t="s">
        <v>592</v>
      </c>
      <c r="I1490" s="18">
        <v>3857</v>
      </c>
      <c r="J1490" s="18"/>
      <c r="K1490" s="18">
        <f t="shared" si="199"/>
        <v>3857</v>
      </c>
      <c r="L1490" s="18"/>
      <c r="M1490" s="18"/>
      <c r="N1490" s="18">
        <f t="shared" si="200"/>
        <v>0</v>
      </c>
      <c r="O1490" s="18">
        <f t="shared" si="201"/>
        <v>3857</v>
      </c>
      <c r="P1490" s="18">
        <f t="shared" si="202"/>
        <v>0</v>
      </c>
      <c r="Q1490" s="18">
        <f t="shared" si="203"/>
        <v>3857</v>
      </c>
    </row>
    <row r="1491" spans="2:17" ht="12.75">
      <c r="B1491" s="21">
        <f t="shared" si="205"/>
        <v>18</v>
      </c>
      <c r="C1491" s="5"/>
      <c r="D1491" s="5"/>
      <c r="E1491" s="5"/>
      <c r="F1491" s="32"/>
      <c r="G1491" s="5"/>
      <c r="H1491" s="5" t="s">
        <v>387</v>
      </c>
      <c r="I1491" s="18">
        <v>5000</v>
      </c>
      <c r="J1491" s="18"/>
      <c r="K1491" s="18">
        <f t="shared" si="199"/>
        <v>5000</v>
      </c>
      <c r="L1491" s="18"/>
      <c r="M1491" s="18"/>
      <c r="N1491" s="18">
        <f t="shared" si="200"/>
        <v>0</v>
      </c>
      <c r="O1491" s="18">
        <f t="shared" si="201"/>
        <v>5000</v>
      </c>
      <c r="P1491" s="18">
        <f t="shared" si="202"/>
        <v>0</v>
      </c>
      <c r="Q1491" s="18">
        <f t="shared" si="203"/>
        <v>5000</v>
      </c>
    </row>
    <row r="1492" spans="2:17" ht="12.75">
      <c r="B1492" s="21">
        <f t="shared" si="205"/>
        <v>19</v>
      </c>
      <c r="C1492" s="5"/>
      <c r="D1492" s="5"/>
      <c r="E1492" s="5"/>
      <c r="F1492" s="32"/>
      <c r="G1492" s="5"/>
      <c r="H1492" s="149" t="s">
        <v>582</v>
      </c>
      <c r="I1492" s="18">
        <f>7000+1500</f>
        <v>8500</v>
      </c>
      <c r="J1492" s="18"/>
      <c r="K1492" s="18">
        <f t="shared" si="199"/>
        <v>8500</v>
      </c>
      <c r="L1492" s="18"/>
      <c r="M1492" s="18"/>
      <c r="N1492" s="18">
        <f t="shared" si="200"/>
        <v>0</v>
      </c>
      <c r="O1492" s="18">
        <f t="shared" si="201"/>
        <v>8500</v>
      </c>
      <c r="P1492" s="18">
        <f t="shared" si="202"/>
        <v>0</v>
      </c>
      <c r="Q1492" s="18">
        <f t="shared" si="203"/>
        <v>8500</v>
      </c>
    </row>
    <row r="1493" spans="2:17" ht="12.75">
      <c r="B1493" s="21">
        <f t="shared" si="205"/>
        <v>20</v>
      </c>
      <c r="C1493" s="5"/>
      <c r="D1493" s="5"/>
      <c r="E1493" s="5"/>
      <c r="F1493" s="32"/>
      <c r="G1493" s="5"/>
      <c r="H1493" s="58" t="s">
        <v>291</v>
      </c>
      <c r="I1493" s="18">
        <v>7000</v>
      </c>
      <c r="J1493" s="18"/>
      <c r="K1493" s="18">
        <f t="shared" si="199"/>
        <v>7000</v>
      </c>
      <c r="L1493" s="18"/>
      <c r="M1493" s="18"/>
      <c r="N1493" s="18">
        <f t="shared" si="200"/>
        <v>0</v>
      </c>
      <c r="O1493" s="18">
        <f t="shared" si="201"/>
        <v>7000</v>
      </c>
      <c r="P1493" s="18">
        <f t="shared" si="202"/>
        <v>0</v>
      </c>
      <c r="Q1493" s="18">
        <f t="shared" si="203"/>
        <v>7000</v>
      </c>
    </row>
    <row r="1494" spans="2:17" ht="12.75">
      <c r="B1494" s="21">
        <f t="shared" si="205"/>
        <v>21</v>
      </c>
      <c r="C1494" s="5"/>
      <c r="D1494" s="5"/>
      <c r="E1494" s="5"/>
      <c r="F1494" s="32"/>
      <c r="G1494" s="5"/>
      <c r="H1494" s="58" t="s">
        <v>664</v>
      </c>
      <c r="I1494" s="18">
        <v>2000</v>
      </c>
      <c r="J1494" s="18"/>
      <c r="K1494" s="18">
        <f t="shared" si="199"/>
        <v>2000</v>
      </c>
      <c r="L1494" s="18"/>
      <c r="M1494" s="18"/>
      <c r="N1494" s="18"/>
      <c r="O1494" s="18">
        <f t="shared" si="201"/>
        <v>2000</v>
      </c>
      <c r="P1494" s="18">
        <f>J1494+M1494</f>
        <v>0</v>
      </c>
      <c r="Q1494" s="18">
        <f>K1494+N1494</f>
        <v>2000</v>
      </c>
    </row>
    <row r="1495" spans="2:17" ht="15">
      <c r="B1495" s="21">
        <f t="shared" si="205"/>
        <v>22</v>
      </c>
      <c r="C1495" s="7">
        <v>3</v>
      </c>
      <c r="D1495" s="232" t="s">
        <v>202</v>
      </c>
      <c r="E1495" s="233"/>
      <c r="F1495" s="233"/>
      <c r="G1495" s="233"/>
      <c r="H1495" s="234"/>
      <c r="I1495" s="87">
        <f>I1553+I1537+I1514+I1502+I1496</f>
        <v>1702925</v>
      </c>
      <c r="J1495" s="87">
        <f>J1553+J1537+J1514+J1502+J1496</f>
        <v>39145</v>
      </c>
      <c r="K1495" s="87">
        <f t="shared" si="199"/>
        <v>1742070</v>
      </c>
      <c r="L1495" s="87">
        <f>L1553+L1537+L1514+L1502+L1496</f>
        <v>3372420</v>
      </c>
      <c r="M1495" s="87">
        <f>M1553+M1537+M1514+M1502+M1496</f>
        <v>0</v>
      </c>
      <c r="N1495" s="87">
        <f t="shared" si="200"/>
        <v>3372420</v>
      </c>
      <c r="O1495" s="87">
        <f t="shared" si="201"/>
        <v>5075345</v>
      </c>
      <c r="P1495" s="87">
        <f t="shared" si="202"/>
        <v>39145</v>
      </c>
      <c r="Q1495" s="87">
        <f t="shared" si="203"/>
        <v>5114490</v>
      </c>
    </row>
    <row r="1496" spans="2:17" ht="15">
      <c r="B1496" s="21">
        <f t="shared" si="205"/>
        <v>23</v>
      </c>
      <c r="C1496" s="2"/>
      <c r="D1496" s="2">
        <v>1</v>
      </c>
      <c r="E1496" s="238" t="s">
        <v>201</v>
      </c>
      <c r="F1496" s="233"/>
      <c r="G1496" s="233"/>
      <c r="H1496" s="234"/>
      <c r="I1496" s="88">
        <f>I1497</f>
        <v>161500</v>
      </c>
      <c r="J1496" s="88">
        <f>J1497</f>
        <v>20745</v>
      </c>
      <c r="K1496" s="88">
        <f t="shared" si="199"/>
        <v>182245</v>
      </c>
      <c r="L1496" s="88"/>
      <c r="M1496" s="88"/>
      <c r="N1496" s="88">
        <f t="shared" si="200"/>
        <v>0</v>
      </c>
      <c r="O1496" s="88">
        <f t="shared" si="201"/>
        <v>161500</v>
      </c>
      <c r="P1496" s="88">
        <f t="shared" si="202"/>
        <v>20745</v>
      </c>
      <c r="Q1496" s="88">
        <f t="shared" si="203"/>
        <v>182245</v>
      </c>
    </row>
    <row r="1497" spans="2:17" ht="12.75">
      <c r="B1497" s="21">
        <f t="shared" si="205"/>
        <v>24</v>
      </c>
      <c r="C1497" s="10"/>
      <c r="D1497" s="10"/>
      <c r="E1497" s="10"/>
      <c r="F1497" s="30" t="s">
        <v>181</v>
      </c>
      <c r="G1497" s="10">
        <v>630</v>
      </c>
      <c r="H1497" s="10" t="s">
        <v>121</v>
      </c>
      <c r="I1497" s="61">
        <f>I1501+I1500</f>
        <v>161500</v>
      </c>
      <c r="J1497" s="61">
        <f>SUM(J1498:J1501)</f>
        <v>20745</v>
      </c>
      <c r="K1497" s="61">
        <f t="shared" si="199"/>
        <v>182245</v>
      </c>
      <c r="L1497" s="61"/>
      <c r="M1497" s="61"/>
      <c r="N1497" s="61">
        <f t="shared" si="200"/>
        <v>0</v>
      </c>
      <c r="O1497" s="61">
        <f t="shared" si="201"/>
        <v>161500</v>
      </c>
      <c r="P1497" s="61">
        <f t="shared" si="202"/>
        <v>20745</v>
      </c>
      <c r="Q1497" s="61">
        <f t="shared" si="203"/>
        <v>182245</v>
      </c>
    </row>
    <row r="1498" spans="2:17" ht="12.75">
      <c r="B1498" s="21">
        <f t="shared" si="205"/>
        <v>25</v>
      </c>
      <c r="C1498" s="10"/>
      <c r="D1498" s="10"/>
      <c r="E1498" s="10"/>
      <c r="F1498" s="31" t="s">
        <v>181</v>
      </c>
      <c r="G1498" s="4">
        <v>633</v>
      </c>
      <c r="H1498" s="4" t="s">
        <v>125</v>
      </c>
      <c r="I1498" s="17">
        <v>0</v>
      </c>
      <c r="J1498" s="17">
        <v>14745</v>
      </c>
      <c r="K1498" s="17">
        <f>I1498+J1498</f>
        <v>14745</v>
      </c>
      <c r="L1498" s="17"/>
      <c r="M1498" s="17"/>
      <c r="N1498" s="17">
        <f>L1498+M1498</f>
        <v>0</v>
      </c>
      <c r="O1498" s="17">
        <f aca="true" t="shared" si="206" ref="O1498:Q1499">I1498+L1498</f>
        <v>0</v>
      </c>
      <c r="P1498" s="17">
        <f t="shared" si="206"/>
        <v>14745</v>
      </c>
      <c r="Q1498" s="17">
        <f t="shared" si="206"/>
        <v>14745</v>
      </c>
    </row>
    <row r="1499" spans="2:17" ht="12.75">
      <c r="B1499" s="21">
        <f t="shared" si="205"/>
        <v>26</v>
      </c>
      <c r="C1499" s="10"/>
      <c r="D1499" s="10"/>
      <c r="E1499" s="10"/>
      <c r="F1499" s="31" t="s">
        <v>181</v>
      </c>
      <c r="G1499" s="4">
        <v>635</v>
      </c>
      <c r="H1499" s="4" t="s">
        <v>133</v>
      </c>
      <c r="I1499" s="17">
        <v>0</v>
      </c>
      <c r="J1499" s="17">
        <v>6000</v>
      </c>
      <c r="K1499" s="17">
        <f>I1499+J1499</f>
        <v>6000</v>
      </c>
      <c r="L1499" s="17"/>
      <c r="M1499" s="17"/>
      <c r="N1499" s="17">
        <f>L1499+M1499</f>
        <v>0</v>
      </c>
      <c r="O1499" s="17">
        <f t="shared" si="206"/>
        <v>0</v>
      </c>
      <c r="P1499" s="17">
        <f t="shared" si="206"/>
        <v>6000</v>
      </c>
      <c r="Q1499" s="17">
        <f t="shared" si="206"/>
        <v>6000</v>
      </c>
    </row>
    <row r="1500" spans="2:17" ht="12.75">
      <c r="B1500" s="21">
        <f t="shared" si="205"/>
        <v>27</v>
      </c>
      <c r="C1500" s="4"/>
      <c r="D1500" s="4"/>
      <c r="E1500" s="4"/>
      <c r="F1500" s="31" t="s">
        <v>181</v>
      </c>
      <c r="G1500" s="4">
        <v>636</v>
      </c>
      <c r="H1500" s="4" t="s">
        <v>126</v>
      </c>
      <c r="I1500" s="17">
        <v>160000</v>
      </c>
      <c r="J1500" s="17"/>
      <c r="K1500" s="17">
        <f t="shared" si="199"/>
        <v>160000</v>
      </c>
      <c r="L1500" s="17"/>
      <c r="M1500" s="17"/>
      <c r="N1500" s="17">
        <f t="shared" si="200"/>
        <v>0</v>
      </c>
      <c r="O1500" s="17">
        <f t="shared" si="201"/>
        <v>160000</v>
      </c>
      <c r="P1500" s="17">
        <f t="shared" si="202"/>
        <v>0</v>
      </c>
      <c r="Q1500" s="17">
        <f t="shared" si="203"/>
        <v>160000</v>
      </c>
    </row>
    <row r="1501" spans="2:17" ht="12.75">
      <c r="B1501" s="21">
        <f aca="true" t="shared" si="207" ref="B1501:B1507">B1500+1</f>
        <v>28</v>
      </c>
      <c r="C1501" s="4"/>
      <c r="D1501" s="4"/>
      <c r="E1501" s="4"/>
      <c r="F1501" s="31" t="s">
        <v>181</v>
      </c>
      <c r="G1501" s="4">
        <v>637</v>
      </c>
      <c r="H1501" s="4" t="s">
        <v>122</v>
      </c>
      <c r="I1501" s="17">
        <v>1500</v>
      </c>
      <c r="J1501" s="17"/>
      <c r="K1501" s="17">
        <f t="shared" si="199"/>
        <v>1500</v>
      </c>
      <c r="L1501" s="17"/>
      <c r="M1501" s="17"/>
      <c r="N1501" s="17">
        <f t="shared" si="200"/>
        <v>0</v>
      </c>
      <c r="O1501" s="17">
        <f t="shared" si="201"/>
        <v>1500</v>
      </c>
      <c r="P1501" s="17">
        <f t="shared" si="202"/>
        <v>0</v>
      </c>
      <c r="Q1501" s="17">
        <f t="shared" si="203"/>
        <v>1500</v>
      </c>
    </row>
    <row r="1502" spans="2:17" ht="15">
      <c r="B1502" s="21">
        <f t="shared" si="207"/>
        <v>29</v>
      </c>
      <c r="C1502" s="2"/>
      <c r="D1502" s="2">
        <v>2</v>
      </c>
      <c r="E1502" s="238" t="s">
        <v>203</v>
      </c>
      <c r="F1502" s="233"/>
      <c r="G1502" s="233"/>
      <c r="H1502" s="234"/>
      <c r="I1502" s="88">
        <f>I1503</f>
        <v>210800</v>
      </c>
      <c r="J1502" s="88">
        <f>J1503</f>
        <v>0</v>
      </c>
      <c r="K1502" s="88">
        <f t="shared" si="199"/>
        <v>210800</v>
      </c>
      <c r="L1502" s="88">
        <f>L1507</f>
        <v>340000</v>
      </c>
      <c r="M1502" s="88">
        <f>M1507</f>
        <v>0</v>
      </c>
      <c r="N1502" s="88">
        <f t="shared" si="200"/>
        <v>340000</v>
      </c>
      <c r="O1502" s="88">
        <f t="shared" si="201"/>
        <v>550800</v>
      </c>
      <c r="P1502" s="88">
        <f t="shared" si="202"/>
        <v>0</v>
      </c>
      <c r="Q1502" s="88">
        <f t="shared" si="203"/>
        <v>550800</v>
      </c>
    </row>
    <row r="1503" spans="2:17" ht="12.75">
      <c r="B1503" s="21">
        <f t="shared" si="207"/>
        <v>30</v>
      </c>
      <c r="C1503" s="10"/>
      <c r="D1503" s="10"/>
      <c r="E1503" s="10"/>
      <c r="F1503" s="30" t="s">
        <v>181</v>
      </c>
      <c r="G1503" s="10">
        <v>630</v>
      </c>
      <c r="H1503" s="10" t="s">
        <v>121</v>
      </c>
      <c r="I1503" s="61">
        <f>I1506+I1505+I1504</f>
        <v>210800</v>
      </c>
      <c r="J1503" s="61">
        <f>J1506+J1505+J1504</f>
        <v>0</v>
      </c>
      <c r="K1503" s="61">
        <f t="shared" si="199"/>
        <v>210800</v>
      </c>
      <c r="L1503" s="61"/>
      <c r="M1503" s="61"/>
      <c r="N1503" s="61">
        <f t="shared" si="200"/>
        <v>0</v>
      </c>
      <c r="O1503" s="61">
        <f t="shared" si="201"/>
        <v>210800</v>
      </c>
      <c r="P1503" s="61">
        <f t="shared" si="202"/>
        <v>0</v>
      </c>
      <c r="Q1503" s="61">
        <f t="shared" si="203"/>
        <v>210800</v>
      </c>
    </row>
    <row r="1504" spans="2:17" ht="12.75">
      <c r="B1504" s="21">
        <f t="shared" si="207"/>
        <v>31</v>
      </c>
      <c r="C1504" s="4"/>
      <c r="D1504" s="4"/>
      <c r="E1504" s="4"/>
      <c r="F1504" s="31" t="s">
        <v>181</v>
      </c>
      <c r="G1504" s="4">
        <v>632</v>
      </c>
      <c r="H1504" s="4" t="s">
        <v>134</v>
      </c>
      <c r="I1504" s="17">
        <v>9300</v>
      </c>
      <c r="J1504" s="17"/>
      <c r="K1504" s="17">
        <f t="shared" si="199"/>
        <v>9300</v>
      </c>
      <c r="L1504" s="17"/>
      <c r="M1504" s="17"/>
      <c r="N1504" s="17">
        <f t="shared" si="200"/>
        <v>0</v>
      </c>
      <c r="O1504" s="17">
        <f t="shared" si="201"/>
        <v>9300</v>
      </c>
      <c r="P1504" s="17">
        <f t="shared" si="202"/>
        <v>0</v>
      </c>
      <c r="Q1504" s="17">
        <f t="shared" si="203"/>
        <v>9300</v>
      </c>
    </row>
    <row r="1505" spans="2:17" ht="12.75">
      <c r="B1505" s="21">
        <f t="shared" si="207"/>
        <v>32</v>
      </c>
      <c r="C1505" s="4"/>
      <c r="D1505" s="4"/>
      <c r="E1505" s="4"/>
      <c r="F1505" s="31" t="s">
        <v>181</v>
      </c>
      <c r="G1505" s="4">
        <v>636</v>
      </c>
      <c r="H1505" s="4" t="s">
        <v>126</v>
      </c>
      <c r="I1505" s="17">
        <v>200000</v>
      </c>
      <c r="J1505" s="17"/>
      <c r="K1505" s="17">
        <f t="shared" si="199"/>
        <v>200000</v>
      </c>
      <c r="L1505" s="17"/>
      <c r="M1505" s="17"/>
      <c r="N1505" s="17">
        <f t="shared" si="200"/>
        <v>0</v>
      </c>
      <c r="O1505" s="17">
        <f t="shared" si="201"/>
        <v>200000</v>
      </c>
      <c r="P1505" s="17">
        <f t="shared" si="202"/>
        <v>0</v>
      </c>
      <c r="Q1505" s="17">
        <f t="shared" si="203"/>
        <v>200000</v>
      </c>
    </row>
    <row r="1506" spans="2:17" ht="12.75">
      <c r="B1506" s="21">
        <f t="shared" si="207"/>
        <v>33</v>
      </c>
      <c r="C1506" s="4"/>
      <c r="D1506" s="4"/>
      <c r="E1506" s="4"/>
      <c r="F1506" s="31" t="s">
        <v>181</v>
      </c>
      <c r="G1506" s="4">
        <v>637</v>
      </c>
      <c r="H1506" s="4" t="s">
        <v>122</v>
      </c>
      <c r="I1506" s="17">
        <v>1500</v>
      </c>
      <c r="J1506" s="17"/>
      <c r="K1506" s="17">
        <f t="shared" si="199"/>
        <v>1500</v>
      </c>
      <c r="L1506" s="17"/>
      <c r="M1506" s="17"/>
      <c r="N1506" s="17">
        <f t="shared" si="200"/>
        <v>0</v>
      </c>
      <c r="O1506" s="17">
        <f t="shared" si="201"/>
        <v>1500</v>
      </c>
      <c r="P1506" s="17">
        <f t="shared" si="202"/>
        <v>0</v>
      </c>
      <c r="Q1506" s="17">
        <f t="shared" si="203"/>
        <v>1500</v>
      </c>
    </row>
    <row r="1507" spans="2:17" ht="12.75">
      <c r="B1507" s="21">
        <f t="shared" si="207"/>
        <v>34</v>
      </c>
      <c r="C1507" s="10"/>
      <c r="D1507" s="10"/>
      <c r="E1507" s="10"/>
      <c r="F1507" s="30" t="s">
        <v>181</v>
      </c>
      <c r="G1507" s="10">
        <v>710</v>
      </c>
      <c r="H1507" s="10" t="s">
        <v>176</v>
      </c>
      <c r="I1507" s="61"/>
      <c r="J1507" s="61"/>
      <c r="K1507" s="61">
        <f t="shared" si="199"/>
        <v>0</v>
      </c>
      <c r="L1507" s="61">
        <f>L1508+L1511</f>
        <v>340000</v>
      </c>
      <c r="M1507" s="61">
        <f>M1508+M1511</f>
        <v>0</v>
      </c>
      <c r="N1507" s="61">
        <f t="shared" si="200"/>
        <v>340000</v>
      </c>
      <c r="O1507" s="61">
        <f t="shared" si="201"/>
        <v>340000</v>
      </c>
      <c r="P1507" s="61">
        <f t="shared" si="202"/>
        <v>0</v>
      </c>
      <c r="Q1507" s="61">
        <f t="shared" si="203"/>
        <v>340000</v>
      </c>
    </row>
    <row r="1508" spans="2:17" ht="12.75">
      <c r="B1508" s="21">
        <f aca="true" t="shared" si="208" ref="B1508:B1515">B1507+1</f>
        <v>35</v>
      </c>
      <c r="C1508" s="10"/>
      <c r="D1508" s="10"/>
      <c r="E1508" s="10"/>
      <c r="F1508" s="40" t="s">
        <v>181</v>
      </c>
      <c r="G1508" s="41">
        <v>716</v>
      </c>
      <c r="H1508" s="41" t="s">
        <v>222</v>
      </c>
      <c r="I1508" s="61"/>
      <c r="J1508" s="61"/>
      <c r="K1508" s="61">
        <f t="shared" si="199"/>
        <v>0</v>
      </c>
      <c r="L1508" s="103">
        <f>L1509+L1510</f>
        <v>23000</v>
      </c>
      <c r="M1508" s="103">
        <f>M1509+M1510</f>
        <v>0</v>
      </c>
      <c r="N1508" s="103">
        <f t="shared" si="200"/>
        <v>23000</v>
      </c>
      <c r="O1508" s="103">
        <f t="shared" si="201"/>
        <v>23000</v>
      </c>
      <c r="P1508" s="103">
        <f t="shared" si="202"/>
        <v>0</v>
      </c>
      <c r="Q1508" s="103">
        <f t="shared" si="203"/>
        <v>23000</v>
      </c>
    </row>
    <row r="1509" spans="2:17" ht="12.75">
      <c r="B1509" s="21">
        <f t="shared" si="208"/>
        <v>36</v>
      </c>
      <c r="C1509" s="10"/>
      <c r="D1509" s="10"/>
      <c r="E1509" s="10"/>
      <c r="F1509" s="60"/>
      <c r="G1509" s="59"/>
      <c r="H1509" s="59" t="s">
        <v>538</v>
      </c>
      <c r="I1509" s="83"/>
      <c r="J1509" s="83"/>
      <c r="K1509" s="83">
        <f aca="true" t="shared" si="209" ref="K1509:K1540">I1509+J1509</f>
        <v>0</v>
      </c>
      <c r="L1509" s="95">
        <v>20000</v>
      </c>
      <c r="M1509" s="95"/>
      <c r="N1509" s="95">
        <f aca="true" t="shared" si="210" ref="N1509:N1540">L1509+M1509</f>
        <v>20000</v>
      </c>
      <c r="O1509" s="95">
        <f aca="true" t="shared" si="211" ref="O1509:O1540">I1509+L1509</f>
        <v>20000</v>
      </c>
      <c r="P1509" s="95">
        <f aca="true" t="shared" si="212" ref="P1509:P1540">J1509+M1509</f>
        <v>0</v>
      </c>
      <c r="Q1509" s="95">
        <f aca="true" t="shared" si="213" ref="Q1509:Q1540">K1509+N1509</f>
        <v>20000</v>
      </c>
    </row>
    <row r="1510" spans="2:17" ht="12.75">
      <c r="B1510" s="21">
        <f t="shared" si="208"/>
        <v>37</v>
      </c>
      <c r="C1510" s="10"/>
      <c r="D1510" s="10"/>
      <c r="E1510" s="10"/>
      <c r="F1510" s="60"/>
      <c r="G1510" s="59"/>
      <c r="H1510" s="5" t="s">
        <v>575</v>
      </c>
      <c r="I1510" s="83"/>
      <c r="J1510" s="83"/>
      <c r="K1510" s="83">
        <f t="shared" si="209"/>
        <v>0</v>
      </c>
      <c r="L1510" s="95">
        <v>3000</v>
      </c>
      <c r="M1510" s="95"/>
      <c r="N1510" s="95">
        <f t="shared" si="210"/>
        <v>3000</v>
      </c>
      <c r="O1510" s="95">
        <f t="shared" si="211"/>
        <v>3000</v>
      </c>
      <c r="P1510" s="95">
        <f t="shared" si="212"/>
        <v>0</v>
      </c>
      <c r="Q1510" s="95">
        <f t="shared" si="213"/>
        <v>3000</v>
      </c>
    </row>
    <row r="1511" spans="2:17" ht="12.75">
      <c r="B1511" s="21">
        <f t="shared" si="208"/>
        <v>38</v>
      </c>
      <c r="C1511" s="4"/>
      <c r="D1511" s="4"/>
      <c r="E1511" s="4"/>
      <c r="F1511" s="31" t="s">
        <v>181</v>
      </c>
      <c r="G1511" s="4">
        <v>717</v>
      </c>
      <c r="H1511" s="4" t="s">
        <v>186</v>
      </c>
      <c r="I1511" s="17"/>
      <c r="J1511" s="17"/>
      <c r="K1511" s="17">
        <f t="shared" si="209"/>
        <v>0</v>
      </c>
      <c r="L1511" s="17">
        <f>L1512+L1513</f>
        <v>317000</v>
      </c>
      <c r="M1511" s="17">
        <f>M1512+M1513</f>
        <v>0</v>
      </c>
      <c r="N1511" s="17">
        <f t="shared" si="210"/>
        <v>317000</v>
      </c>
      <c r="O1511" s="103">
        <f t="shared" si="211"/>
        <v>317000</v>
      </c>
      <c r="P1511" s="103">
        <f t="shared" si="212"/>
        <v>0</v>
      </c>
      <c r="Q1511" s="103">
        <f t="shared" si="213"/>
        <v>317000</v>
      </c>
    </row>
    <row r="1512" spans="2:17" ht="12.75">
      <c r="B1512" s="21">
        <f t="shared" si="208"/>
        <v>39</v>
      </c>
      <c r="C1512" s="5"/>
      <c r="D1512" s="5"/>
      <c r="E1512" s="5"/>
      <c r="F1512" s="32"/>
      <c r="G1512" s="5"/>
      <c r="H1512" s="59" t="s">
        <v>538</v>
      </c>
      <c r="I1512" s="18"/>
      <c r="J1512" s="18"/>
      <c r="K1512" s="18">
        <f t="shared" si="209"/>
        <v>0</v>
      </c>
      <c r="L1512" s="18">
        <f>300000-15000</f>
        <v>285000</v>
      </c>
      <c r="M1512" s="18"/>
      <c r="N1512" s="18">
        <f t="shared" si="210"/>
        <v>285000</v>
      </c>
      <c r="O1512" s="103">
        <f t="shared" si="211"/>
        <v>285000</v>
      </c>
      <c r="P1512" s="103">
        <f t="shared" si="212"/>
        <v>0</v>
      </c>
      <c r="Q1512" s="103">
        <f t="shared" si="213"/>
        <v>285000</v>
      </c>
    </row>
    <row r="1513" spans="2:17" ht="12.75">
      <c r="B1513" s="21">
        <f t="shared" si="208"/>
        <v>40</v>
      </c>
      <c r="C1513" s="5"/>
      <c r="D1513" s="5"/>
      <c r="E1513" s="5"/>
      <c r="F1513" s="32"/>
      <c r="G1513" s="5"/>
      <c r="H1513" s="5" t="s">
        <v>575</v>
      </c>
      <c r="I1513" s="18"/>
      <c r="J1513" s="18"/>
      <c r="K1513" s="18">
        <f t="shared" si="209"/>
        <v>0</v>
      </c>
      <c r="L1513" s="18">
        <f>12000+20000</f>
        <v>32000</v>
      </c>
      <c r="M1513" s="18"/>
      <c r="N1513" s="18">
        <f t="shared" si="210"/>
        <v>32000</v>
      </c>
      <c r="O1513" s="95">
        <f t="shared" si="211"/>
        <v>32000</v>
      </c>
      <c r="P1513" s="95">
        <f t="shared" si="212"/>
        <v>0</v>
      </c>
      <c r="Q1513" s="95">
        <f t="shared" si="213"/>
        <v>32000</v>
      </c>
    </row>
    <row r="1514" spans="2:17" ht="15">
      <c r="B1514" s="21">
        <f t="shared" si="208"/>
        <v>41</v>
      </c>
      <c r="C1514" s="2"/>
      <c r="D1514" s="2">
        <v>3</v>
      </c>
      <c r="E1514" s="238" t="s">
        <v>204</v>
      </c>
      <c r="F1514" s="233"/>
      <c r="G1514" s="233"/>
      <c r="H1514" s="234"/>
      <c r="I1514" s="88">
        <f>I1515+I1523+I1534</f>
        <v>547530</v>
      </c>
      <c r="J1514" s="88">
        <f>J1515+J1523+J1534</f>
        <v>18400</v>
      </c>
      <c r="K1514" s="88">
        <f t="shared" si="209"/>
        <v>565930</v>
      </c>
      <c r="L1514" s="88">
        <f>L1518</f>
        <v>3015720</v>
      </c>
      <c r="M1514" s="88">
        <f>M1518</f>
        <v>0</v>
      </c>
      <c r="N1514" s="88">
        <f t="shared" si="210"/>
        <v>3015720</v>
      </c>
      <c r="O1514" s="88">
        <f t="shared" si="211"/>
        <v>3563250</v>
      </c>
      <c r="P1514" s="88">
        <f t="shared" si="212"/>
        <v>18400</v>
      </c>
      <c r="Q1514" s="88">
        <f t="shared" si="213"/>
        <v>3581650</v>
      </c>
    </row>
    <row r="1515" spans="2:17" ht="12.75">
      <c r="B1515" s="21">
        <f t="shared" si="208"/>
        <v>42</v>
      </c>
      <c r="C1515" s="10"/>
      <c r="D1515" s="10"/>
      <c r="E1515" s="10"/>
      <c r="F1515" s="30" t="s">
        <v>181</v>
      </c>
      <c r="G1515" s="10">
        <v>630</v>
      </c>
      <c r="H1515" s="10" t="s">
        <v>121</v>
      </c>
      <c r="I1515" s="61">
        <f>I1517+I1516</f>
        <v>40000</v>
      </c>
      <c r="J1515" s="61">
        <f>J1517+J1516</f>
        <v>-200</v>
      </c>
      <c r="K1515" s="61">
        <f t="shared" si="209"/>
        <v>39800</v>
      </c>
      <c r="L1515" s="61"/>
      <c r="M1515" s="61"/>
      <c r="N1515" s="61">
        <f t="shared" si="210"/>
        <v>0</v>
      </c>
      <c r="O1515" s="61">
        <f t="shared" si="211"/>
        <v>40000</v>
      </c>
      <c r="P1515" s="61">
        <f t="shared" si="212"/>
        <v>-200</v>
      </c>
      <c r="Q1515" s="61">
        <f t="shared" si="213"/>
        <v>39800</v>
      </c>
    </row>
    <row r="1516" spans="2:17" ht="12.75">
      <c r="B1516" s="21">
        <f aca="true" t="shared" si="214" ref="B1516:B1547">B1515+1</f>
        <v>43</v>
      </c>
      <c r="C1516" s="4"/>
      <c r="D1516" s="4"/>
      <c r="E1516" s="4"/>
      <c r="F1516" s="31" t="s">
        <v>181</v>
      </c>
      <c r="G1516" s="4">
        <v>636</v>
      </c>
      <c r="H1516" s="4" t="s">
        <v>126</v>
      </c>
      <c r="I1516" s="17">
        <v>35000</v>
      </c>
      <c r="J1516" s="17"/>
      <c r="K1516" s="17">
        <f t="shared" si="209"/>
        <v>35000</v>
      </c>
      <c r="L1516" s="17"/>
      <c r="M1516" s="17"/>
      <c r="N1516" s="17">
        <f t="shared" si="210"/>
        <v>0</v>
      </c>
      <c r="O1516" s="17">
        <f t="shared" si="211"/>
        <v>35000</v>
      </c>
      <c r="P1516" s="17">
        <f t="shared" si="212"/>
        <v>0</v>
      </c>
      <c r="Q1516" s="17">
        <f t="shared" si="213"/>
        <v>35000</v>
      </c>
    </row>
    <row r="1517" spans="2:17" ht="12.75">
      <c r="B1517" s="21">
        <f t="shared" si="214"/>
        <v>44</v>
      </c>
      <c r="C1517" s="4"/>
      <c r="D1517" s="4"/>
      <c r="E1517" s="4"/>
      <c r="F1517" s="31" t="s">
        <v>181</v>
      </c>
      <c r="G1517" s="4">
        <v>637</v>
      </c>
      <c r="H1517" s="4" t="s">
        <v>122</v>
      </c>
      <c r="I1517" s="17">
        <v>5000</v>
      </c>
      <c r="J1517" s="17">
        <v>-200</v>
      </c>
      <c r="K1517" s="17">
        <f t="shared" si="209"/>
        <v>4800</v>
      </c>
      <c r="L1517" s="17"/>
      <c r="M1517" s="17"/>
      <c r="N1517" s="17">
        <f t="shared" si="210"/>
        <v>0</v>
      </c>
      <c r="O1517" s="17">
        <f t="shared" si="211"/>
        <v>5000</v>
      </c>
      <c r="P1517" s="17">
        <f t="shared" si="212"/>
        <v>-200</v>
      </c>
      <c r="Q1517" s="17">
        <f t="shared" si="213"/>
        <v>4800</v>
      </c>
    </row>
    <row r="1518" spans="2:17" ht="12.75">
      <c r="B1518" s="21">
        <f t="shared" si="214"/>
        <v>45</v>
      </c>
      <c r="C1518" s="4"/>
      <c r="D1518" s="4"/>
      <c r="E1518" s="4"/>
      <c r="F1518" s="30" t="s">
        <v>181</v>
      </c>
      <c r="G1518" s="10">
        <v>710</v>
      </c>
      <c r="H1518" s="10" t="s">
        <v>176</v>
      </c>
      <c r="I1518" s="61"/>
      <c r="J1518" s="61"/>
      <c r="K1518" s="61">
        <f t="shared" si="209"/>
        <v>0</v>
      </c>
      <c r="L1518" s="61">
        <f>L1519+L1521</f>
        <v>3015720</v>
      </c>
      <c r="M1518" s="61">
        <f>M1519+M1521</f>
        <v>0</v>
      </c>
      <c r="N1518" s="61">
        <f t="shared" si="210"/>
        <v>3015720</v>
      </c>
      <c r="O1518" s="61">
        <f t="shared" si="211"/>
        <v>3015720</v>
      </c>
      <c r="P1518" s="61">
        <f t="shared" si="212"/>
        <v>0</v>
      </c>
      <c r="Q1518" s="61">
        <f t="shared" si="213"/>
        <v>3015720</v>
      </c>
    </row>
    <row r="1519" spans="2:17" ht="12.75">
      <c r="B1519" s="21">
        <f t="shared" si="214"/>
        <v>46</v>
      </c>
      <c r="C1519" s="4"/>
      <c r="D1519" s="4"/>
      <c r="E1519" s="4"/>
      <c r="F1519" s="31" t="s">
        <v>181</v>
      </c>
      <c r="G1519" s="4">
        <v>716</v>
      </c>
      <c r="H1519" s="4" t="s">
        <v>222</v>
      </c>
      <c r="I1519" s="17"/>
      <c r="J1519" s="17"/>
      <c r="K1519" s="17">
        <f t="shared" si="209"/>
        <v>0</v>
      </c>
      <c r="L1519" s="17">
        <f>L1520</f>
        <v>15720</v>
      </c>
      <c r="M1519" s="17">
        <f>M1520</f>
        <v>0</v>
      </c>
      <c r="N1519" s="17">
        <f t="shared" si="210"/>
        <v>15720</v>
      </c>
      <c r="O1519" s="17">
        <f t="shared" si="211"/>
        <v>15720</v>
      </c>
      <c r="P1519" s="17">
        <f t="shared" si="212"/>
        <v>0</v>
      </c>
      <c r="Q1519" s="17">
        <f t="shared" si="213"/>
        <v>15720</v>
      </c>
    </row>
    <row r="1520" spans="2:17" ht="12.75">
      <c r="B1520" s="21">
        <f t="shared" si="214"/>
        <v>47</v>
      </c>
      <c r="C1520" s="4"/>
      <c r="D1520" s="4"/>
      <c r="E1520" s="4"/>
      <c r="F1520" s="32"/>
      <c r="G1520" s="5"/>
      <c r="H1520" s="5" t="s">
        <v>570</v>
      </c>
      <c r="I1520" s="18"/>
      <c r="J1520" s="18"/>
      <c r="K1520" s="18">
        <f t="shared" si="209"/>
        <v>0</v>
      </c>
      <c r="L1520" s="18">
        <v>15720</v>
      </c>
      <c r="M1520" s="18"/>
      <c r="N1520" s="18">
        <f t="shared" si="210"/>
        <v>15720</v>
      </c>
      <c r="O1520" s="18">
        <f t="shared" si="211"/>
        <v>15720</v>
      </c>
      <c r="P1520" s="18">
        <f t="shared" si="212"/>
        <v>0</v>
      </c>
      <c r="Q1520" s="18">
        <f t="shared" si="213"/>
        <v>15720</v>
      </c>
    </row>
    <row r="1521" spans="2:17" ht="12.75">
      <c r="B1521" s="21">
        <f t="shared" si="214"/>
        <v>48</v>
      </c>
      <c r="C1521" s="4"/>
      <c r="D1521" s="4"/>
      <c r="E1521" s="4"/>
      <c r="F1521" s="31" t="s">
        <v>181</v>
      </c>
      <c r="G1521" s="4">
        <v>717</v>
      </c>
      <c r="H1521" s="4" t="s">
        <v>186</v>
      </c>
      <c r="I1521" s="18"/>
      <c r="J1521" s="18"/>
      <c r="K1521" s="18">
        <f t="shared" si="209"/>
        <v>0</v>
      </c>
      <c r="L1521" s="17">
        <f>L1522</f>
        <v>3000000</v>
      </c>
      <c r="M1521" s="17">
        <f>M1522</f>
        <v>0</v>
      </c>
      <c r="N1521" s="17">
        <f t="shared" si="210"/>
        <v>3000000</v>
      </c>
      <c r="O1521" s="17">
        <f t="shared" si="211"/>
        <v>3000000</v>
      </c>
      <c r="P1521" s="17">
        <f t="shared" si="212"/>
        <v>0</v>
      </c>
      <c r="Q1521" s="17">
        <f t="shared" si="213"/>
        <v>3000000</v>
      </c>
    </row>
    <row r="1522" spans="2:17" ht="12.75">
      <c r="B1522" s="21">
        <f t="shared" si="214"/>
        <v>49</v>
      </c>
      <c r="C1522" s="4"/>
      <c r="D1522" s="4"/>
      <c r="E1522" s="4"/>
      <c r="F1522" s="32"/>
      <c r="G1522" s="5"/>
      <c r="H1522" s="5" t="s">
        <v>634</v>
      </c>
      <c r="I1522" s="18"/>
      <c r="J1522" s="18"/>
      <c r="K1522" s="18">
        <f t="shared" si="209"/>
        <v>0</v>
      </c>
      <c r="L1522" s="18">
        <v>3000000</v>
      </c>
      <c r="M1522" s="18"/>
      <c r="N1522" s="18">
        <f t="shared" si="210"/>
        <v>3000000</v>
      </c>
      <c r="O1522" s="18">
        <f t="shared" si="211"/>
        <v>3000000</v>
      </c>
      <c r="P1522" s="18">
        <f t="shared" si="212"/>
        <v>0</v>
      </c>
      <c r="Q1522" s="18">
        <f t="shared" si="213"/>
        <v>3000000</v>
      </c>
    </row>
    <row r="1523" spans="2:17" ht="15">
      <c r="B1523" s="21">
        <f t="shared" si="214"/>
        <v>50</v>
      </c>
      <c r="C1523" s="12"/>
      <c r="D1523" s="12"/>
      <c r="E1523" s="12">
        <v>2</v>
      </c>
      <c r="F1523" s="34"/>
      <c r="G1523" s="12"/>
      <c r="H1523" s="12" t="s">
        <v>16</v>
      </c>
      <c r="I1523" s="90">
        <f>I1524+I1525+I1526+I1533</f>
        <v>467530</v>
      </c>
      <c r="J1523" s="90">
        <f>J1524+J1525+J1526+J1533</f>
        <v>0</v>
      </c>
      <c r="K1523" s="90">
        <f t="shared" si="209"/>
        <v>467530</v>
      </c>
      <c r="L1523" s="90"/>
      <c r="M1523" s="90"/>
      <c r="N1523" s="90">
        <f t="shared" si="210"/>
        <v>0</v>
      </c>
      <c r="O1523" s="90">
        <f t="shared" si="211"/>
        <v>467530</v>
      </c>
      <c r="P1523" s="90">
        <f t="shared" si="212"/>
        <v>0</v>
      </c>
      <c r="Q1523" s="90">
        <f t="shared" si="213"/>
        <v>467530</v>
      </c>
    </row>
    <row r="1524" spans="2:17" ht="12.75">
      <c r="B1524" s="21">
        <f t="shared" si="214"/>
        <v>51</v>
      </c>
      <c r="C1524" s="10"/>
      <c r="D1524" s="10"/>
      <c r="E1524" s="10"/>
      <c r="F1524" s="30" t="s">
        <v>181</v>
      </c>
      <c r="G1524" s="10">
        <v>610</v>
      </c>
      <c r="H1524" s="10" t="s">
        <v>131</v>
      </c>
      <c r="I1524" s="61">
        <v>87560</v>
      </c>
      <c r="J1524" s="61"/>
      <c r="K1524" s="61">
        <f t="shared" si="209"/>
        <v>87560</v>
      </c>
      <c r="L1524" s="61"/>
      <c r="M1524" s="61"/>
      <c r="N1524" s="61">
        <f t="shared" si="210"/>
        <v>0</v>
      </c>
      <c r="O1524" s="61">
        <f t="shared" si="211"/>
        <v>87560</v>
      </c>
      <c r="P1524" s="61">
        <f t="shared" si="212"/>
        <v>0</v>
      </c>
      <c r="Q1524" s="61">
        <f t="shared" si="213"/>
        <v>87560</v>
      </c>
    </row>
    <row r="1525" spans="2:17" ht="12.75">
      <c r="B1525" s="21">
        <f t="shared" si="214"/>
        <v>52</v>
      </c>
      <c r="C1525" s="10"/>
      <c r="D1525" s="10"/>
      <c r="E1525" s="10"/>
      <c r="F1525" s="30" t="s">
        <v>181</v>
      </c>
      <c r="G1525" s="10">
        <v>620</v>
      </c>
      <c r="H1525" s="10" t="s">
        <v>124</v>
      </c>
      <c r="I1525" s="61">
        <v>32195</v>
      </c>
      <c r="J1525" s="61"/>
      <c r="K1525" s="61">
        <f t="shared" si="209"/>
        <v>32195</v>
      </c>
      <c r="L1525" s="61"/>
      <c r="M1525" s="61"/>
      <c r="N1525" s="61">
        <f t="shared" si="210"/>
        <v>0</v>
      </c>
      <c r="O1525" s="61">
        <f t="shared" si="211"/>
        <v>32195</v>
      </c>
      <c r="P1525" s="61">
        <f t="shared" si="212"/>
        <v>0</v>
      </c>
      <c r="Q1525" s="61">
        <f t="shared" si="213"/>
        <v>32195</v>
      </c>
    </row>
    <row r="1526" spans="2:17" ht="12.75">
      <c r="B1526" s="21">
        <f t="shared" si="214"/>
        <v>53</v>
      </c>
      <c r="C1526" s="10"/>
      <c r="D1526" s="10"/>
      <c r="E1526" s="10"/>
      <c r="F1526" s="30" t="s">
        <v>181</v>
      </c>
      <c r="G1526" s="10">
        <v>630</v>
      </c>
      <c r="H1526" s="10" t="s">
        <v>121</v>
      </c>
      <c r="I1526" s="61">
        <f>SUM(I1527:I1532)</f>
        <v>346025</v>
      </c>
      <c r="J1526" s="61">
        <f>SUM(J1527:J1532)</f>
        <v>0</v>
      </c>
      <c r="K1526" s="61">
        <f t="shared" si="209"/>
        <v>346025</v>
      </c>
      <c r="L1526" s="61"/>
      <c r="M1526" s="61"/>
      <c r="N1526" s="61">
        <f t="shared" si="210"/>
        <v>0</v>
      </c>
      <c r="O1526" s="61">
        <f t="shared" si="211"/>
        <v>346025</v>
      </c>
      <c r="P1526" s="61">
        <f t="shared" si="212"/>
        <v>0</v>
      </c>
      <c r="Q1526" s="61">
        <f t="shared" si="213"/>
        <v>346025</v>
      </c>
    </row>
    <row r="1527" spans="2:17" ht="12.75">
      <c r="B1527" s="21">
        <f t="shared" si="214"/>
        <v>54</v>
      </c>
      <c r="C1527" s="4"/>
      <c r="D1527" s="4"/>
      <c r="E1527" s="4"/>
      <c r="F1527" s="31" t="s">
        <v>181</v>
      </c>
      <c r="G1527" s="4">
        <v>632</v>
      </c>
      <c r="H1527" s="4" t="s">
        <v>134</v>
      </c>
      <c r="I1527" s="17">
        <v>236000</v>
      </c>
      <c r="J1527" s="17"/>
      <c r="K1527" s="17">
        <f t="shared" si="209"/>
        <v>236000</v>
      </c>
      <c r="L1527" s="17"/>
      <c r="M1527" s="17"/>
      <c r="N1527" s="17">
        <f t="shared" si="210"/>
        <v>0</v>
      </c>
      <c r="O1527" s="17">
        <f t="shared" si="211"/>
        <v>236000</v>
      </c>
      <c r="P1527" s="17">
        <f t="shared" si="212"/>
        <v>0</v>
      </c>
      <c r="Q1527" s="17">
        <f t="shared" si="213"/>
        <v>236000</v>
      </c>
    </row>
    <row r="1528" spans="2:17" ht="12.75">
      <c r="B1528" s="21">
        <f t="shared" si="214"/>
        <v>55</v>
      </c>
      <c r="C1528" s="4"/>
      <c r="D1528" s="4"/>
      <c r="E1528" s="4"/>
      <c r="F1528" s="31" t="s">
        <v>181</v>
      </c>
      <c r="G1528" s="4">
        <v>633</v>
      </c>
      <c r="H1528" s="4" t="s">
        <v>125</v>
      </c>
      <c r="I1528" s="17">
        <v>24700</v>
      </c>
      <c r="J1528" s="17"/>
      <c r="K1528" s="17">
        <f t="shared" si="209"/>
        <v>24700</v>
      </c>
      <c r="L1528" s="17"/>
      <c r="M1528" s="17"/>
      <c r="N1528" s="17">
        <f t="shared" si="210"/>
        <v>0</v>
      </c>
      <c r="O1528" s="17">
        <f t="shared" si="211"/>
        <v>24700</v>
      </c>
      <c r="P1528" s="17">
        <f t="shared" si="212"/>
        <v>0</v>
      </c>
      <c r="Q1528" s="17">
        <f t="shared" si="213"/>
        <v>24700</v>
      </c>
    </row>
    <row r="1529" spans="2:17" ht="12.75">
      <c r="B1529" s="21">
        <f t="shared" si="214"/>
        <v>56</v>
      </c>
      <c r="C1529" s="4"/>
      <c r="D1529" s="4"/>
      <c r="E1529" s="4"/>
      <c r="F1529" s="31" t="s">
        <v>181</v>
      </c>
      <c r="G1529" s="4">
        <v>635</v>
      </c>
      <c r="H1529" s="4" t="s">
        <v>133</v>
      </c>
      <c r="I1529" s="17">
        <v>30000</v>
      </c>
      <c r="J1529" s="17"/>
      <c r="K1529" s="17">
        <f t="shared" si="209"/>
        <v>30000</v>
      </c>
      <c r="L1529" s="17"/>
      <c r="M1529" s="17"/>
      <c r="N1529" s="17">
        <f t="shared" si="210"/>
        <v>0</v>
      </c>
      <c r="O1529" s="17">
        <f t="shared" si="211"/>
        <v>30000</v>
      </c>
      <c r="P1529" s="17">
        <f t="shared" si="212"/>
        <v>0</v>
      </c>
      <c r="Q1529" s="17">
        <f t="shared" si="213"/>
        <v>30000</v>
      </c>
    </row>
    <row r="1530" spans="2:17" ht="13.5" customHeight="1">
      <c r="B1530" s="21">
        <f t="shared" si="214"/>
        <v>57</v>
      </c>
      <c r="C1530" s="4"/>
      <c r="D1530" s="4"/>
      <c r="E1530" s="4"/>
      <c r="F1530" s="31" t="s">
        <v>181</v>
      </c>
      <c r="G1530" s="4">
        <v>636</v>
      </c>
      <c r="H1530" s="4" t="s">
        <v>126</v>
      </c>
      <c r="I1530" s="17">
        <v>200</v>
      </c>
      <c r="J1530" s="17"/>
      <c r="K1530" s="17">
        <f t="shared" si="209"/>
        <v>200</v>
      </c>
      <c r="L1530" s="17"/>
      <c r="M1530" s="17"/>
      <c r="N1530" s="17">
        <f t="shared" si="210"/>
        <v>0</v>
      </c>
      <c r="O1530" s="17">
        <f t="shared" si="211"/>
        <v>200</v>
      </c>
      <c r="P1530" s="17">
        <f t="shared" si="212"/>
        <v>0</v>
      </c>
      <c r="Q1530" s="17">
        <f t="shared" si="213"/>
        <v>200</v>
      </c>
    </row>
    <row r="1531" spans="2:17" ht="12.75">
      <c r="B1531" s="21">
        <f t="shared" si="214"/>
        <v>58</v>
      </c>
      <c r="C1531" s="4"/>
      <c r="D1531" s="4"/>
      <c r="E1531" s="4"/>
      <c r="F1531" s="31" t="s">
        <v>181</v>
      </c>
      <c r="G1531" s="4">
        <v>637</v>
      </c>
      <c r="H1531" s="4" t="s">
        <v>122</v>
      </c>
      <c r="I1531" s="17">
        <f>61475-8000</f>
        <v>53475</v>
      </c>
      <c r="J1531" s="17"/>
      <c r="K1531" s="17">
        <f t="shared" si="209"/>
        <v>53475</v>
      </c>
      <c r="L1531" s="17"/>
      <c r="M1531" s="17"/>
      <c r="N1531" s="17">
        <f t="shared" si="210"/>
        <v>0</v>
      </c>
      <c r="O1531" s="17">
        <f t="shared" si="211"/>
        <v>53475</v>
      </c>
      <c r="P1531" s="17">
        <f t="shared" si="212"/>
        <v>0</v>
      </c>
      <c r="Q1531" s="17">
        <f t="shared" si="213"/>
        <v>53475</v>
      </c>
    </row>
    <row r="1532" spans="2:17" ht="12.75">
      <c r="B1532" s="21">
        <f t="shared" si="214"/>
        <v>59</v>
      </c>
      <c r="C1532" s="4"/>
      <c r="D1532" s="4"/>
      <c r="E1532" s="4"/>
      <c r="F1532" s="33" t="s">
        <v>181</v>
      </c>
      <c r="G1532" s="4">
        <v>637</v>
      </c>
      <c r="H1532" s="24" t="s">
        <v>290</v>
      </c>
      <c r="I1532" s="17">
        <v>1650</v>
      </c>
      <c r="J1532" s="17"/>
      <c r="K1532" s="17">
        <f t="shared" si="209"/>
        <v>1650</v>
      </c>
      <c r="L1532" s="17"/>
      <c r="M1532" s="17"/>
      <c r="N1532" s="17">
        <f t="shared" si="210"/>
        <v>0</v>
      </c>
      <c r="O1532" s="17">
        <f t="shared" si="211"/>
        <v>1650</v>
      </c>
      <c r="P1532" s="17">
        <f t="shared" si="212"/>
        <v>0</v>
      </c>
      <c r="Q1532" s="17">
        <f t="shared" si="213"/>
        <v>1650</v>
      </c>
    </row>
    <row r="1533" spans="2:17" ht="12.75">
      <c r="B1533" s="21">
        <f t="shared" si="214"/>
        <v>60</v>
      </c>
      <c r="C1533" s="10"/>
      <c r="D1533" s="10"/>
      <c r="E1533" s="10"/>
      <c r="F1533" s="30" t="s">
        <v>181</v>
      </c>
      <c r="G1533" s="10">
        <v>640</v>
      </c>
      <c r="H1533" s="10" t="s">
        <v>129</v>
      </c>
      <c r="I1533" s="61">
        <v>1750</v>
      </c>
      <c r="J1533" s="61"/>
      <c r="K1533" s="61">
        <f t="shared" si="209"/>
        <v>1750</v>
      </c>
      <c r="L1533" s="61"/>
      <c r="M1533" s="61"/>
      <c r="N1533" s="61">
        <f t="shared" si="210"/>
        <v>0</v>
      </c>
      <c r="O1533" s="61">
        <f t="shared" si="211"/>
        <v>1750</v>
      </c>
      <c r="P1533" s="61">
        <f t="shared" si="212"/>
        <v>0</v>
      </c>
      <c r="Q1533" s="61">
        <f t="shared" si="213"/>
        <v>1750</v>
      </c>
    </row>
    <row r="1534" spans="2:17" ht="15">
      <c r="B1534" s="21">
        <f t="shared" si="214"/>
        <v>61</v>
      </c>
      <c r="C1534" s="12"/>
      <c r="D1534" s="12"/>
      <c r="E1534" s="12">
        <v>8</v>
      </c>
      <c r="F1534" s="34"/>
      <c r="G1534" s="12"/>
      <c r="H1534" s="12" t="s">
        <v>9</v>
      </c>
      <c r="I1534" s="90">
        <f>I1535</f>
        <v>40000</v>
      </c>
      <c r="J1534" s="90">
        <f>J1535</f>
        <v>18600</v>
      </c>
      <c r="K1534" s="90">
        <f t="shared" si="209"/>
        <v>58600</v>
      </c>
      <c r="L1534" s="90"/>
      <c r="M1534" s="90"/>
      <c r="N1534" s="90">
        <f t="shared" si="210"/>
        <v>0</v>
      </c>
      <c r="O1534" s="90">
        <f t="shared" si="211"/>
        <v>40000</v>
      </c>
      <c r="P1534" s="90">
        <f t="shared" si="212"/>
        <v>18600</v>
      </c>
      <c r="Q1534" s="90">
        <f t="shared" si="213"/>
        <v>58600</v>
      </c>
    </row>
    <row r="1535" spans="2:17" ht="12.75">
      <c r="B1535" s="21">
        <f t="shared" si="214"/>
        <v>62</v>
      </c>
      <c r="C1535" s="10"/>
      <c r="D1535" s="10"/>
      <c r="E1535" s="10"/>
      <c r="F1535" s="30" t="s">
        <v>181</v>
      </c>
      <c r="G1535" s="10">
        <v>630</v>
      </c>
      <c r="H1535" s="10" t="s">
        <v>121</v>
      </c>
      <c r="I1535" s="61">
        <f>I1536</f>
        <v>40000</v>
      </c>
      <c r="J1535" s="61">
        <f>J1536</f>
        <v>18600</v>
      </c>
      <c r="K1535" s="61">
        <f t="shared" si="209"/>
        <v>58600</v>
      </c>
      <c r="L1535" s="61"/>
      <c r="M1535" s="61"/>
      <c r="N1535" s="61">
        <f t="shared" si="210"/>
        <v>0</v>
      </c>
      <c r="O1535" s="61">
        <f t="shared" si="211"/>
        <v>40000</v>
      </c>
      <c r="P1535" s="61">
        <f t="shared" si="212"/>
        <v>18600</v>
      </c>
      <c r="Q1535" s="61">
        <f t="shared" si="213"/>
        <v>58600</v>
      </c>
    </row>
    <row r="1536" spans="2:17" ht="12.75">
      <c r="B1536" s="21">
        <f t="shared" si="214"/>
        <v>63</v>
      </c>
      <c r="C1536" s="4"/>
      <c r="D1536" s="4"/>
      <c r="E1536" s="4"/>
      <c r="F1536" s="31" t="s">
        <v>181</v>
      </c>
      <c r="G1536" s="4">
        <v>636</v>
      </c>
      <c r="H1536" s="4" t="s">
        <v>126</v>
      </c>
      <c r="I1536" s="17">
        <v>40000</v>
      </c>
      <c r="J1536" s="17">
        <v>18600</v>
      </c>
      <c r="K1536" s="17">
        <f t="shared" si="209"/>
        <v>58600</v>
      </c>
      <c r="L1536" s="17"/>
      <c r="M1536" s="17"/>
      <c r="N1536" s="17">
        <f t="shared" si="210"/>
        <v>0</v>
      </c>
      <c r="O1536" s="17">
        <f t="shared" si="211"/>
        <v>40000</v>
      </c>
      <c r="P1536" s="17">
        <f t="shared" si="212"/>
        <v>18600</v>
      </c>
      <c r="Q1536" s="17">
        <f t="shared" si="213"/>
        <v>58600</v>
      </c>
    </row>
    <row r="1537" spans="2:17" ht="15">
      <c r="B1537" s="21">
        <f t="shared" si="214"/>
        <v>64</v>
      </c>
      <c r="C1537" s="2"/>
      <c r="D1537" s="2">
        <v>4</v>
      </c>
      <c r="E1537" s="238" t="s">
        <v>205</v>
      </c>
      <c r="F1537" s="233"/>
      <c r="G1537" s="233"/>
      <c r="H1537" s="234"/>
      <c r="I1537" s="88">
        <f>I1543</f>
        <v>764525</v>
      </c>
      <c r="J1537" s="88">
        <f>J1543</f>
        <v>0</v>
      </c>
      <c r="K1537" s="88">
        <f t="shared" si="209"/>
        <v>764525</v>
      </c>
      <c r="L1537" s="88">
        <f>L1538</f>
        <v>16700</v>
      </c>
      <c r="M1537" s="88">
        <f>M1538</f>
        <v>0</v>
      </c>
      <c r="N1537" s="88">
        <f t="shared" si="210"/>
        <v>16700</v>
      </c>
      <c r="O1537" s="88">
        <f t="shared" si="211"/>
        <v>781225</v>
      </c>
      <c r="P1537" s="88">
        <f t="shared" si="212"/>
        <v>0</v>
      </c>
      <c r="Q1537" s="88">
        <f t="shared" si="213"/>
        <v>781225</v>
      </c>
    </row>
    <row r="1538" spans="2:17" ht="12.75">
      <c r="B1538" s="21">
        <f t="shared" si="214"/>
        <v>65</v>
      </c>
      <c r="C1538" s="10"/>
      <c r="D1538" s="10"/>
      <c r="E1538" s="10"/>
      <c r="F1538" s="30" t="s">
        <v>181</v>
      </c>
      <c r="G1538" s="10">
        <v>710</v>
      </c>
      <c r="H1538" s="10" t="s">
        <v>176</v>
      </c>
      <c r="I1538" s="61"/>
      <c r="J1538" s="61"/>
      <c r="K1538" s="61">
        <f t="shared" si="209"/>
        <v>0</v>
      </c>
      <c r="L1538" s="61">
        <f>L1539+L1541</f>
        <v>16700</v>
      </c>
      <c r="M1538" s="61">
        <f>M1539+M1541</f>
        <v>0</v>
      </c>
      <c r="N1538" s="61">
        <f t="shared" si="210"/>
        <v>16700</v>
      </c>
      <c r="O1538" s="61">
        <f t="shared" si="211"/>
        <v>16700</v>
      </c>
      <c r="P1538" s="61">
        <f t="shared" si="212"/>
        <v>0</v>
      </c>
      <c r="Q1538" s="61">
        <f t="shared" si="213"/>
        <v>16700</v>
      </c>
    </row>
    <row r="1539" spans="2:17" ht="12.75">
      <c r="B1539" s="21">
        <f t="shared" si="214"/>
        <v>66</v>
      </c>
      <c r="C1539" s="4"/>
      <c r="D1539" s="4"/>
      <c r="E1539" s="4"/>
      <c r="F1539" s="31" t="s">
        <v>181</v>
      </c>
      <c r="G1539" s="4">
        <v>716</v>
      </c>
      <c r="H1539" s="4" t="s">
        <v>222</v>
      </c>
      <c r="I1539" s="17"/>
      <c r="J1539" s="17"/>
      <c r="K1539" s="17">
        <f t="shared" si="209"/>
        <v>0</v>
      </c>
      <c r="L1539" s="17">
        <f>L1540</f>
        <v>8000</v>
      </c>
      <c r="M1539" s="17">
        <f>M1540</f>
        <v>0</v>
      </c>
      <c r="N1539" s="17">
        <f t="shared" si="210"/>
        <v>8000</v>
      </c>
      <c r="O1539" s="17">
        <f t="shared" si="211"/>
        <v>8000</v>
      </c>
      <c r="P1539" s="17">
        <f t="shared" si="212"/>
        <v>0</v>
      </c>
      <c r="Q1539" s="17">
        <f t="shared" si="213"/>
        <v>8000</v>
      </c>
    </row>
    <row r="1540" spans="2:17" ht="12.75">
      <c r="B1540" s="21">
        <f t="shared" si="214"/>
        <v>67</v>
      </c>
      <c r="C1540" s="5"/>
      <c r="D1540" s="5"/>
      <c r="E1540" s="5"/>
      <c r="F1540" s="32"/>
      <c r="G1540" s="5"/>
      <c r="H1540" s="5" t="s">
        <v>487</v>
      </c>
      <c r="I1540" s="18"/>
      <c r="J1540" s="18"/>
      <c r="K1540" s="18">
        <f t="shared" si="209"/>
        <v>0</v>
      </c>
      <c r="L1540" s="18">
        <v>8000</v>
      </c>
      <c r="M1540" s="18"/>
      <c r="N1540" s="18">
        <f t="shared" si="210"/>
        <v>8000</v>
      </c>
      <c r="O1540" s="18">
        <f t="shared" si="211"/>
        <v>8000</v>
      </c>
      <c r="P1540" s="18">
        <f t="shared" si="212"/>
        <v>0</v>
      </c>
      <c r="Q1540" s="18">
        <f t="shared" si="213"/>
        <v>8000</v>
      </c>
    </row>
    <row r="1541" spans="2:17" ht="12.75">
      <c r="B1541" s="21">
        <f t="shared" si="214"/>
        <v>68</v>
      </c>
      <c r="C1541" s="4"/>
      <c r="D1541" s="4"/>
      <c r="E1541" s="4"/>
      <c r="F1541" s="31" t="s">
        <v>181</v>
      </c>
      <c r="G1541" s="4">
        <v>717</v>
      </c>
      <c r="H1541" s="4" t="s">
        <v>186</v>
      </c>
      <c r="I1541" s="17"/>
      <c r="J1541" s="17"/>
      <c r="K1541" s="17">
        <f aca="true" t="shared" si="215" ref="K1541:K1573">I1541+J1541</f>
        <v>0</v>
      </c>
      <c r="L1541" s="17">
        <f>L1542</f>
        <v>8700</v>
      </c>
      <c r="M1541" s="17">
        <f>M1542</f>
        <v>0</v>
      </c>
      <c r="N1541" s="17">
        <f aca="true" t="shared" si="216" ref="N1541:N1573">L1541+M1541</f>
        <v>8700</v>
      </c>
      <c r="O1541" s="17">
        <f aca="true" t="shared" si="217" ref="O1541:O1573">I1541+L1541</f>
        <v>8700</v>
      </c>
      <c r="P1541" s="17">
        <f aca="true" t="shared" si="218" ref="P1541:P1573">J1541+M1541</f>
        <v>0</v>
      </c>
      <c r="Q1541" s="17">
        <f aca="true" t="shared" si="219" ref="Q1541:Q1573">K1541+N1541</f>
        <v>8700</v>
      </c>
    </row>
    <row r="1542" spans="2:17" ht="12.75">
      <c r="B1542" s="21">
        <f t="shared" si="214"/>
        <v>69</v>
      </c>
      <c r="C1542" s="28"/>
      <c r="D1542" s="28"/>
      <c r="E1542" s="28"/>
      <c r="F1542" s="36"/>
      <c r="G1542" s="28"/>
      <c r="H1542" s="27" t="s">
        <v>539</v>
      </c>
      <c r="I1542" s="91"/>
      <c r="J1542" s="91"/>
      <c r="K1542" s="91">
        <f t="shared" si="215"/>
        <v>0</v>
      </c>
      <c r="L1542" s="91">
        <f>6000+2700</f>
        <v>8700</v>
      </c>
      <c r="M1542" s="91"/>
      <c r="N1542" s="91">
        <f t="shared" si="216"/>
        <v>8700</v>
      </c>
      <c r="O1542" s="91">
        <f t="shared" si="217"/>
        <v>8700</v>
      </c>
      <c r="P1542" s="91">
        <f t="shared" si="218"/>
        <v>0</v>
      </c>
      <c r="Q1542" s="91">
        <f t="shared" si="219"/>
        <v>8700</v>
      </c>
    </row>
    <row r="1543" spans="2:17" ht="15">
      <c r="B1543" s="21">
        <f t="shared" si="214"/>
        <v>70</v>
      </c>
      <c r="C1543" s="12"/>
      <c r="D1543" s="12"/>
      <c r="E1543" s="12">
        <v>2</v>
      </c>
      <c r="F1543" s="34"/>
      <c r="G1543" s="12"/>
      <c r="H1543" s="12" t="s">
        <v>16</v>
      </c>
      <c r="I1543" s="90">
        <f>I1544+I1545+I1546+I1552</f>
        <v>764525</v>
      </c>
      <c r="J1543" s="90">
        <f>J1544+J1545+J1546+J1552</f>
        <v>0</v>
      </c>
      <c r="K1543" s="90">
        <f t="shared" si="215"/>
        <v>764525</v>
      </c>
      <c r="L1543" s="90"/>
      <c r="M1543" s="90"/>
      <c r="N1543" s="90">
        <f t="shared" si="216"/>
        <v>0</v>
      </c>
      <c r="O1543" s="90">
        <f t="shared" si="217"/>
        <v>764525</v>
      </c>
      <c r="P1543" s="90">
        <f t="shared" si="218"/>
        <v>0</v>
      </c>
      <c r="Q1543" s="90">
        <f t="shared" si="219"/>
        <v>764525</v>
      </c>
    </row>
    <row r="1544" spans="2:17" ht="12.75">
      <c r="B1544" s="21">
        <f t="shared" si="214"/>
        <v>71</v>
      </c>
      <c r="C1544" s="10"/>
      <c r="D1544" s="10"/>
      <c r="E1544" s="10"/>
      <c r="F1544" s="30" t="s">
        <v>181</v>
      </c>
      <c r="G1544" s="10">
        <v>610</v>
      </c>
      <c r="H1544" s="10" t="s">
        <v>131</v>
      </c>
      <c r="I1544" s="61">
        <f>185000-1400</f>
        <v>183600</v>
      </c>
      <c r="J1544" s="61"/>
      <c r="K1544" s="61">
        <f t="shared" si="215"/>
        <v>183600</v>
      </c>
      <c r="L1544" s="61"/>
      <c r="M1544" s="61"/>
      <c r="N1544" s="61">
        <f t="shared" si="216"/>
        <v>0</v>
      </c>
      <c r="O1544" s="61">
        <f t="shared" si="217"/>
        <v>183600</v>
      </c>
      <c r="P1544" s="61">
        <f t="shared" si="218"/>
        <v>0</v>
      </c>
      <c r="Q1544" s="61">
        <f t="shared" si="219"/>
        <v>183600</v>
      </c>
    </row>
    <row r="1545" spans="2:17" ht="12.75">
      <c r="B1545" s="21">
        <f t="shared" si="214"/>
        <v>72</v>
      </c>
      <c r="C1545" s="10"/>
      <c r="D1545" s="10"/>
      <c r="E1545" s="10"/>
      <c r="F1545" s="30" t="s">
        <v>181</v>
      </c>
      <c r="G1545" s="10">
        <v>620</v>
      </c>
      <c r="H1545" s="10" t="s">
        <v>124</v>
      </c>
      <c r="I1545" s="61">
        <v>89925</v>
      </c>
      <c r="J1545" s="61"/>
      <c r="K1545" s="61">
        <f t="shared" si="215"/>
        <v>89925</v>
      </c>
      <c r="L1545" s="61"/>
      <c r="M1545" s="61"/>
      <c r="N1545" s="61">
        <f t="shared" si="216"/>
        <v>0</v>
      </c>
      <c r="O1545" s="61">
        <f t="shared" si="217"/>
        <v>89925</v>
      </c>
      <c r="P1545" s="61">
        <f t="shared" si="218"/>
        <v>0</v>
      </c>
      <c r="Q1545" s="61">
        <f t="shared" si="219"/>
        <v>89925</v>
      </c>
    </row>
    <row r="1546" spans="2:17" ht="12.75">
      <c r="B1546" s="21">
        <f t="shared" si="214"/>
        <v>73</v>
      </c>
      <c r="C1546" s="10"/>
      <c r="D1546" s="10"/>
      <c r="E1546" s="10"/>
      <c r="F1546" s="30" t="s">
        <v>181</v>
      </c>
      <c r="G1546" s="10">
        <v>630</v>
      </c>
      <c r="H1546" s="10" t="s">
        <v>121</v>
      </c>
      <c r="I1546" s="61">
        <f>SUM(I1547:I1551)</f>
        <v>488900</v>
      </c>
      <c r="J1546" s="61">
        <f>SUM(J1547:J1551)</f>
        <v>0</v>
      </c>
      <c r="K1546" s="61">
        <f t="shared" si="215"/>
        <v>488900</v>
      </c>
      <c r="L1546" s="61"/>
      <c r="M1546" s="61"/>
      <c r="N1546" s="61">
        <f t="shared" si="216"/>
        <v>0</v>
      </c>
      <c r="O1546" s="61">
        <f t="shared" si="217"/>
        <v>488900</v>
      </c>
      <c r="P1546" s="61">
        <f t="shared" si="218"/>
        <v>0</v>
      </c>
      <c r="Q1546" s="61">
        <f t="shared" si="219"/>
        <v>488900</v>
      </c>
    </row>
    <row r="1547" spans="2:17" ht="12.75">
      <c r="B1547" s="21">
        <f t="shared" si="214"/>
        <v>74</v>
      </c>
      <c r="C1547" s="4"/>
      <c r="D1547" s="4"/>
      <c r="E1547" s="4"/>
      <c r="F1547" s="31" t="s">
        <v>181</v>
      </c>
      <c r="G1547" s="4">
        <v>632</v>
      </c>
      <c r="H1547" s="4" t="s">
        <v>134</v>
      </c>
      <c r="I1547" s="17">
        <f>257500-1200-10000</f>
        <v>246300</v>
      </c>
      <c r="J1547" s="17"/>
      <c r="K1547" s="17">
        <f t="shared" si="215"/>
        <v>246300</v>
      </c>
      <c r="L1547" s="17"/>
      <c r="M1547" s="17"/>
      <c r="N1547" s="17">
        <f t="shared" si="216"/>
        <v>0</v>
      </c>
      <c r="O1547" s="17">
        <f t="shared" si="217"/>
        <v>246300</v>
      </c>
      <c r="P1547" s="17">
        <f t="shared" si="218"/>
        <v>0</v>
      </c>
      <c r="Q1547" s="17">
        <f t="shared" si="219"/>
        <v>246300</v>
      </c>
    </row>
    <row r="1548" spans="2:17" ht="12.75">
      <c r="B1548" s="21">
        <f aca="true" t="shared" si="220" ref="B1548:B1579">B1547+1</f>
        <v>75</v>
      </c>
      <c r="C1548" s="4"/>
      <c r="D1548" s="4"/>
      <c r="E1548" s="4"/>
      <c r="F1548" s="31" t="s">
        <v>181</v>
      </c>
      <c r="G1548" s="4">
        <v>633</v>
      </c>
      <c r="H1548" s="4" t="s">
        <v>125</v>
      </c>
      <c r="I1548" s="17">
        <v>60950</v>
      </c>
      <c r="J1548" s="17"/>
      <c r="K1548" s="17">
        <f t="shared" si="215"/>
        <v>60950</v>
      </c>
      <c r="L1548" s="17"/>
      <c r="M1548" s="17"/>
      <c r="N1548" s="17">
        <f t="shared" si="216"/>
        <v>0</v>
      </c>
      <c r="O1548" s="17">
        <f t="shared" si="217"/>
        <v>60950</v>
      </c>
      <c r="P1548" s="17">
        <f t="shared" si="218"/>
        <v>0</v>
      </c>
      <c r="Q1548" s="17">
        <f t="shared" si="219"/>
        <v>60950</v>
      </c>
    </row>
    <row r="1549" spans="2:17" ht="12.75">
      <c r="B1549" s="21">
        <f t="shared" si="220"/>
        <v>76</v>
      </c>
      <c r="C1549" s="4"/>
      <c r="D1549" s="4"/>
      <c r="E1549" s="4"/>
      <c r="F1549" s="31" t="s">
        <v>181</v>
      </c>
      <c r="G1549" s="4">
        <v>635</v>
      </c>
      <c r="H1549" s="4" t="s">
        <v>133</v>
      </c>
      <c r="I1549" s="17">
        <f>75000-2700</f>
        <v>72300</v>
      </c>
      <c r="J1549" s="17"/>
      <c r="K1549" s="17">
        <f t="shared" si="215"/>
        <v>72300</v>
      </c>
      <c r="L1549" s="17"/>
      <c r="M1549" s="17"/>
      <c r="N1549" s="17">
        <f t="shared" si="216"/>
        <v>0</v>
      </c>
      <c r="O1549" s="17">
        <f t="shared" si="217"/>
        <v>72300</v>
      </c>
      <c r="P1549" s="17">
        <f t="shared" si="218"/>
        <v>0</v>
      </c>
      <c r="Q1549" s="17">
        <f t="shared" si="219"/>
        <v>72300</v>
      </c>
    </row>
    <row r="1550" spans="2:17" ht="12.75">
      <c r="B1550" s="21">
        <f t="shared" si="220"/>
        <v>77</v>
      </c>
      <c r="C1550" s="4"/>
      <c r="D1550" s="4"/>
      <c r="E1550" s="4"/>
      <c r="F1550" s="31" t="s">
        <v>181</v>
      </c>
      <c r="G1550" s="4">
        <v>637</v>
      </c>
      <c r="H1550" s="4" t="s">
        <v>122</v>
      </c>
      <c r="I1550" s="17">
        <f>104300+1200</f>
        <v>105500</v>
      </c>
      <c r="J1550" s="17"/>
      <c r="K1550" s="17">
        <f t="shared" si="215"/>
        <v>105500</v>
      </c>
      <c r="L1550" s="17"/>
      <c r="M1550" s="17"/>
      <c r="N1550" s="17">
        <f t="shared" si="216"/>
        <v>0</v>
      </c>
      <c r="O1550" s="17">
        <f t="shared" si="217"/>
        <v>105500</v>
      </c>
      <c r="P1550" s="17">
        <f t="shared" si="218"/>
        <v>0</v>
      </c>
      <c r="Q1550" s="17">
        <f t="shared" si="219"/>
        <v>105500</v>
      </c>
    </row>
    <row r="1551" spans="2:17" ht="12.75">
      <c r="B1551" s="21">
        <f t="shared" si="220"/>
        <v>78</v>
      </c>
      <c r="C1551" s="4"/>
      <c r="D1551" s="4"/>
      <c r="E1551" s="4"/>
      <c r="F1551" s="33" t="s">
        <v>181</v>
      </c>
      <c r="G1551" s="4">
        <v>637</v>
      </c>
      <c r="H1551" s="24" t="s">
        <v>290</v>
      </c>
      <c r="I1551" s="17">
        <v>3850</v>
      </c>
      <c r="J1551" s="17"/>
      <c r="K1551" s="17">
        <f t="shared" si="215"/>
        <v>3850</v>
      </c>
      <c r="L1551" s="17"/>
      <c r="M1551" s="17"/>
      <c r="N1551" s="17">
        <f t="shared" si="216"/>
        <v>0</v>
      </c>
      <c r="O1551" s="17">
        <f t="shared" si="217"/>
        <v>3850</v>
      </c>
      <c r="P1551" s="17">
        <f t="shared" si="218"/>
        <v>0</v>
      </c>
      <c r="Q1551" s="17">
        <f t="shared" si="219"/>
        <v>3850</v>
      </c>
    </row>
    <row r="1552" spans="2:17" ht="12.75">
      <c r="B1552" s="21">
        <f t="shared" si="220"/>
        <v>79</v>
      </c>
      <c r="C1552" s="10"/>
      <c r="D1552" s="10"/>
      <c r="E1552" s="10"/>
      <c r="F1552" s="30" t="s">
        <v>181</v>
      </c>
      <c r="G1552" s="10">
        <v>640</v>
      </c>
      <c r="H1552" s="10" t="s">
        <v>129</v>
      </c>
      <c r="I1552" s="61">
        <f>700+1400</f>
        <v>2100</v>
      </c>
      <c r="J1552" s="61"/>
      <c r="K1552" s="61">
        <f t="shared" si="215"/>
        <v>2100</v>
      </c>
      <c r="L1552" s="61"/>
      <c r="M1552" s="61"/>
      <c r="N1552" s="61">
        <f t="shared" si="216"/>
        <v>0</v>
      </c>
      <c r="O1552" s="61">
        <f t="shared" si="217"/>
        <v>2100</v>
      </c>
      <c r="P1552" s="61">
        <f t="shared" si="218"/>
        <v>0</v>
      </c>
      <c r="Q1552" s="61">
        <f t="shared" si="219"/>
        <v>2100</v>
      </c>
    </row>
    <row r="1553" spans="2:17" ht="15">
      <c r="B1553" s="21">
        <f t="shared" si="220"/>
        <v>80</v>
      </c>
      <c r="C1553" s="2"/>
      <c r="D1553" s="2">
        <v>5</v>
      </c>
      <c r="E1553" s="238" t="s">
        <v>255</v>
      </c>
      <c r="F1553" s="233"/>
      <c r="G1553" s="233"/>
      <c r="H1553" s="234"/>
      <c r="I1553" s="88">
        <f>I1554</f>
        <v>18570</v>
      </c>
      <c r="J1553" s="88">
        <f>J1554</f>
        <v>0</v>
      </c>
      <c r="K1553" s="88">
        <f t="shared" si="215"/>
        <v>18570</v>
      </c>
      <c r="L1553" s="88"/>
      <c r="M1553" s="88"/>
      <c r="N1553" s="88">
        <f t="shared" si="216"/>
        <v>0</v>
      </c>
      <c r="O1553" s="88">
        <f t="shared" si="217"/>
        <v>18570</v>
      </c>
      <c r="P1553" s="88">
        <f t="shared" si="218"/>
        <v>0</v>
      </c>
      <c r="Q1553" s="88">
        <f t="shared" si="219"/>
        <v>18570</v>
      </c>
    </row>
    <row r="1554" spans="2:17" ht="15">
      <c r="B1554" s="21">
        <f t="shared" si="220"/>
        <v>81</v>
      </c>
      <c r="C1554" s="12"/>
      <c r="D1554" s="12"/>
      <c r="E1554" s="12">
        <v>2</v>
      </c>
      <c r="F1554" s="34"/>
      <c r="G1554" s="12"/>
      <c r="H1554" s="12" t="s">
        <v>16</v>
      </c>
      <c r="I1554" s="90">
        <f>I1555+I1556+I1557</f>
        <v>18570</v>
      </c>
      <c r="J1554" s="90">
        <f>J1555+J1556+J1557</f>
        <v>0</v>
      </c>
      <c r="K1554" s="90">
        <f t="shared" si="215"/>
        <v>18570</v>
      </c>
      <c r="L1554" s="90"/>
      <c r="M1554" s="90"/>
      <c r="N1554" s="90">
        <f t="shared" si="216"/>
        <v>0</v>
      </c>
      <c r="O1554" s="90">
        <f t="shared" si="217"/>
        <v>18570</v>
      </c>
      <c r="P1554" s="90">
        <f t="shared" si="218"/>
        <v>0</v>
      </c>
      <c r="Q1554" s="90">
        <f t="shared" si="219"/>
        <v>18570</v>
      </c>
    </row>
    <row r="1555" spans="2:17" ht="12.75">
      <c r="B1555" s="21">
        <f t="shared" si="220"/>
        <v>82</v>
      </c>
      <c r="C1555" s="10"/>
      <c r="D1555" s="10"/>
      <c r="E1555" s="10"/>
      <c r="F1555" s="30" t="s">
        <v>181</v>
      </c>
      <c r="G1555" s="10">
        <v>610</v>
      </c>
      <c r="H1555" s="10" t="s">
        <v>131</v>
      </c>
      <c r="I1555" s="61">
        <f>10050-7000</f>
        <v>3050</v>
      </c>
      <c r="J1555" s="61"/>
      <c r="K1555" s="61">
        <f t="shared" si="215"/>
        <v>3050</v>
      </c>
      <c r="L1555" s="61"/>
      <c r="M1555" s="61"/>
      <c r="N1555" s="61">
        <f t="shared" si="216"/>
        <v>0</v>
      </c>
      <c r="O1555" s="61">
        <f t="shared" si="217"/>
        <v>3050</v>
      </c>
      <c r="P1555" s="61">
        <f t="shared" si="218"/>
        <v>0</v>
      </c>
      <c r="Q1555" s="61">
        <f t="shared" si="219"/>
        <v>3050</v>
      </c>
    </row>
    <row r="1556" spans="2:17" ht="12.75">
      <c r="B1556" s="21">
        <f t="shared" si="220"/>
        <v>83</v>
      </c>
      <c r="C1556" s="10"/>
      <c r="D1556" s="10"/>
      <c r="E1556" s="10"/>
      <c r="F1556" s="30" t="s">
        <v>181</v>
      </c>
      <c r="G1556" s="10">
        <v>620</v>
      </c>
      <c r="H1556" s="10" t="s">
        <v>124</v>
      </c>
      <c r="I1556" s="61">
        <f>3520-2000</f>
        <v>1520</v>
      </c>
      <c r="J1556" s="61"/>
      <c r="K1556" s="61">
        <f t="shared" si="215"/>
        <v>1520</v>
      </c>
      <c r="L1556" s="61"/>
      <c r="M1556" s="61"/>
      <c r="N1556" s="61">
        <f t="shared" si="216"/>
        <v>0</v>
      </c>
      <c r="O1556" s="61">
        <f t="shared" si="217"/>
        <v>1520</v>
      </c>
      <c r="P1556" s="61">
        <f t="shared" si="218"/>
        <v>0</v>
      </c>
      <c r="Q1556" s="61">
        <f t="shared" si="219"/>
        <v>1520</v>
      </c>
    </row>
    <row r="1557" spans="2:17" ht="12.75">
      <c r="B1557" s="21">
        <f t="shared" si="220"/>
        <v>84</v>
      </c>
      <c r="C1557" s="10"/>
      <c r="D1557" s="10"/>
      <c r="E1557" s="10"/>
      <c r="F1557" s="30" t="s">
        <v>181</v>
      </c>
      <c r="G1557" s="10">
        <v>630</v>
      </c>
      <c r="H1557" s="10" t="s">
        <v>121</v>
      </c>
      <c r="I1557" s="61">
        <f>I1562+I1561+I1560+I1559+I1558</f>
        <v>14000</v>
      </c>
      <c r="J1557" s="61">
        <f>J1562+J1561+J1560+J1559+J1558</f>
        <v>0</v>
      </c>
      <c r="K1557" s="61">
        <f t="shared" si="215"/>
        <v>14000</v>
      </c>
      <c r="L1557" s="61"/>
      <c r="M1557" s="61"/>
      <c r="N1557" s="61">
        <f t="shared" si="216"/>
        <v>0</v>
      </c>
      <c r="O1557" s="61">
        <f t="shared" si="217"/>
        <v>14000</v>
      </c>
      <c r="P1557" s="61">
        <f t="shared" si="218"/>
        <v>0</v>
      </c>
      <c r="Q1557" s="61">
        <f t="shared" si="219"/>
        <v>14000</v>
      </c>
    </row>
    <row r="1558" spans="2:17" ht="12.75">
      <c r="B1558" s="21">
        <f t="shared" si="220"/>
        <v>85</v>
      </c>
      <c r="C1558" s="4"/>
      <c r="D1558" s="4"/>
      <c r="E1558" s="4"/>
      <c r="F1558" s="31" t="s">
        <v>181</v>
      </c>
      <c r="G1558" s="4">
        <v>632</v>
      </c>
      <c r="H1558" s="4" t="s">
        <v>134</v>
      </c>
      <c r="I1558" s="17">
        <f>8000-5000</f>
        <v>3000</v>
      </c>
      <c r="J1558" s="17"/>
      <c r="K1558" s="17">
        <f t="shared" si="215"/>
        <v>3000</v>
      </c>
      <c r="L1558" s="17"/>
      <c r="M1558" s="17"/>
      <c r="N1558" s="17">
        <f t="shared" si="216"/>
        <v>0</v>
      </c>
      <c r="O1558" s="17">
        <f t="shared" si="217"/>
        <v>3000</v>
      </c>
      <c r="P1558" s="17">
        <f t="shared" si="218"/>
        <v>0</v>
      </c>
      <c r="Q1558" s="17">
        <f t="shared" si="219"/>
        <v>3000</v>
      </c>
    </row>
    <row r="1559" spans="2:17" ht="12.75">
      <c r="B1559" s="21">
        <f t="shared" si="220"/>
        <v>86</v>
      </c>
      <c r="C1559" s="4"/>
      <c r="D1559" s="4"/>
      <c r="E1559" s="4"/>
      <c r="F1559" s="31" t="s">
        <v>181</v>
      </c>
      <c r="G1559" s="4">
        <v>633</v>
      </c>
      <c r="H1559" s="4" t="s">
        <v>125</v>
      </c>
      <c r="I1559" s="17">
        <v>5300</v>
      </c>
      <c r="J1559" s="17"/>
      <c r="K1559" s="17">
        <f t="shared" si="215"/>
        <v>5300</v>
      </c>
      <c r="L1559" s="17"/>
      <c r="M1559" s="17"/>
      <c r="N1559" s="17">
        <f t="shared" si="216"/>
        <v>0</v>
      </c>
      <c r="O1559" s="17">
        <f t="shared" si="217"/>
        <v>5300</v>
      </c>
      <c r="P1559" s="17">
        <f t="shared" si="218"/>
        <v>0</v>
      </c>
      <c r="Q1559" s="17">
        <f t="shared" si="219"/>
        <v>5300</v>
      </c>
    </row>
    <row r="1560" spans="2:17" ht="12.75">
      <c r="B1560" s="21">
        <f t="shared" si="220"/>
        <v>87</v>
      </c>
      <c r="C1560" s="4"/>
      <c r="D1560" s="4"/>
      <c r="E1560" s="4"/>
      <c r="F1560" s="31" t="s">
        <v>181</v>
      </c>
      <c r="G1560" s="4">
        <v>634</v>
      </c>
      <c r="H1560" s="4" t="s">
        <v>132</v>
      </c>
      <c r="I1560" s="17">
        <v>250</v>
      </c>
      <c r="J1560" s="17"/>
      <c r="K1560" s="17">
        <f t="shared" si="215"/>
        <v>250</v>
      </c>
      <c r="L1560" s="17"/>
      <c r="M1560" s="17"/>
      <c r="N1560" s="17">
        <f t="shared" si="216"/>
        <v>0</v>
      </c>
      <c r="O1560" s="17">
        <f t="shared" si="217"/>
        <v>250</v>
      </c>
      <c r="P1560" s="17">
        <f t="shared" si="218"/>
        <v>0</v>
      </c>
      <c r="Q1560" s="17">
        <f t="shared" si="219"/>
        <v>250</v>
      </c>
    </row>
    <row r="1561" spans="2:17" ht="12.75">
      <c r="B1561" s="21">
        <f t="shared" si="220"/>
        <v>88</v>
      </c>
      <c r="C1561" s="4"/>
      <c r="D1561" s="4"/>
      <c r="E1561" s="4"/>
      <c r="F1561" s="31" t="s">
        <v>181</v>
      </c>
      <c r="G1561" s="4">
        <v>635</v>
      </c>
      <c r="H1561" s="4" t="s">
        <v>133</v>
      </c>
      <c r="I1561" s="17">
        <v>3350</v>
      </c>
      <c r="J1561" s="17"/>
      <c r="K1561" s="17">
        <f t="shared" si="215"/>
        <v>3350</v>
      </c>
      <c r="L1561" s="17"/>
      <c r="M1561" s="17"/>
      <c r="N1561" s="17">
        <f t="shared" si="216"/>
        <v>0</v>
      </c>
      <c r="O1561" s="17">
        <f t="shared" si="217"/>
        <v>3350</v>
      </c>
      <c r="P1561" s="17">
        <f t="shared" si="218"/>
        <v>0</v>
      </c>
      <c r="Q1561" s="17">
        <f t="shared" si="219"/>
        <v>3350</v>
      </c>
    </row>
    <row r="1562" spans="2:17" ht="12.75">
      <c r="B1562" s="21">
        <f t="shared" si="220"/>
        <v>89</v>
      </c>
      <c r="C1562" s="4"/>
      <c r="D1562" s="4"/>
      <c r="E1562" s="4"/>
      <c r="F1562" s="31" t="s">
        <v>181</v>
      </c>
      <c r="G1562" s="4">
        <v>637</v>
      </c>
      <c r="H1562" s="4" t="s">
        <v>122</v>
      </c>
      <c r="I1562" s="17">
        <v>2100</v>
      </c>
      <c r="J1562" s="17"/>
      <c r="K1562" s="17">
        <f t="shared" si="215"/>
        <v>2100</v>
      </c>
      <c r="L1562" s="17"/>
      <c r="M1562" s="17"/>
      <c r="N1562" s="17">
        <f t="shared" si="216"/>
        <v>0</v>
      </c>
      <c r="O1562" s="17">
        <f t="shared" si="217"/>
        <v>2100</v>
      </c>
      <c r="P1562" s="17">
        <f t="shared" si="218"/>
        <v>0</v>
      </c>
      <c r="Q1562" s="17">
        <f t="shared" si="219"/>
        <v>2100</v>
      </c>
    </row>
    <row r="1563" spans="2:17" ht="15">
      <c r="B1563" s="21">
        <f t="shared" si="220"/>
        <v>90</v>
      </c>
      <c r="C1563" s="7">
        <v>4</v>
      </c>
      <c r="D1563" s="232" t="s">
        <v>282</v>
      </c>
      <c r="E1563" s="233"/>
      <c r="F1563" s="233"/>
      <c r="G1563" s="233"/>
      <c r="H1563" s="234"/>
      <c r="I1563" s="87">
        <f>I1564+I1599</f>
        <v>171265</v>
      </c>
      <c r="J1563" s="87">
        <f>J1564+J1599</f>
        <v>0</v>
      </c>
      <c r="K1563" s="87">
        <f t="shared" si="215"/>
        <v>171265</v>
      </c>
      <c r="L1563" s="87">
        <f>L1566</f>
        <v>2250867</v>
      </c>
      <c r="M1563" s="87">
        <f>M1566</f>
        <v>-10000</v>
      </c>
      <c r="N1563" s="87">
        <f t="shared" si="216"/>
        <v>2240867</v>
      </c>
      <c r="O1563" s="87">
        <f t="shared" si="217"/>
        <v>2422132</v>
      </c>
      <c r="P1563" s="87">
        <f t="shared" si="218"/>
        <v>-10000</v>
      </c>
      <c r="Q1563" s="87">
        <f t="shared" si="219"/>
        <v>2412132</v>
      </c>
    </row>
    <row r="1564" spans="2:17" ht="12.75">
      <c r="B1564" s="21">
        <f t="shared" si="220"/>
        <v>91</v>
      </c>
      <c r="C1564" s="10"/>
      <c r="D1564" s="10"/>
      <c r="E1564" s="10"/>
      <c r="F1564" s="30" t="s">
        <v>181</v>
      </c>
      <c r="G1564" s="10">
        <v>630</v>
      </c>
      <c r="H1564" s="10" t="s">
        <v>121</v>
      </c>
      <c r="I1564" s="61">
        <f>I1565</f>
        <v>1100</v>
      </c>
      <c r="J1564" s="61">
        <f>J1565</f>
        <v>0</v>
      </c>
      <c r="K1564" s="61">
        <f t="shared" si="215"/>
        <v>1100</v>
      </c>
      <c r="L1564" s="61"/>
      <c r="M1564" s="61"/>
      <c r="N1564" s="61">
        <f t="shared" si="216"/>
        <v>0</v>
      </c>
      <c r="O1564" s="61">
        <f t="shared" si="217"/>
        <v>1100</v>
      </c>
      <c r="P1564" s="61">
        <f t="shared" si="218"/>
        <v>0</v>
      </c>
      <c r="Q1564" s="61">
        <f t="shared" si="219"/>
        <v>1100</v>
      </c>
    </row>
    <row r="1565" spans="2:17" ht="12.75">
      <c r="B1565" s="21">
        <f t="shared" si="220"/>
        <v>92</v>
      </c>
      <c r="C1565" s="4"/>
      <c r="D1565" s="4"/>
      <c r="E1565" s="4"/>
      <c r="F1565" s="31" t="s">
        <v>181</v>
      </c>
      <c r="G1565" s="4">
        <v>632</v>
      </c>
      <c r="H1565" s="4" t="s">
        <v>134</v>
      </c>
      <c r="I1565" s="17">
        <v>1100</v>
      </c>
      <c r="J1565" s="17"/>
      <c r="K1565" s="17">
        <f t="shared" si="215"/>
        <v>1100</v>
      </c>
      <c r="L1565" s="17"/>
      <c r="M1565" s="17"/>
      <c r="N1565" s="17">
        <f t="shared" si="216"/>
        <v>0</v>
      </c>
      <c r="O1565" s="17">
        <f t="shared" si="217"/>
        <v>1100</v>
      </c>
      <c r="P1565" s="17">
        <f t="shared" si="218"/>
        <v>0</v>
      </c>
      <c r="Q1565" s="17">
        <f t="shared" si="219"/>
        <v>1100</v>
      </c>
    </row>
    <row r="1566" spans="2:17" ht="12.75">
      <c r="B1566" s="21">
        <f t="shared" si="220"/>
        <v>93</v>
      </c>
      <c r="C1566" s="10"/>
      <c r="D1566" s="10"/>
      <c r="E1566" s="10"/>
      <c r="F1566" s="30" t="s">
        <v>181</v>
      </c>
      <c r="G1566" s="10">
        <v>710</v>
      </c>
      <c r="H1566" s="10" t="s">
        <v>176</v>
      </c>
      <c r="I1566" s="61"/>
      <c r="J1566" s="61"/>
      <c r="K1566" s="61">
        <f t="shared" si="215"/>
        <v>0</v>
      </c>
      <c r="L1566" s="61">
        <f>L1567+L1578</f>
        <v>2250867</v>
      </c>
      <c r="M1566" s="61">
        <f>M1567+M1578+M1597</f>
        <v>-10000</v>
      </c>
      <c r="N1566" s="61">
        <f t="shared" si="216"/>
        <v>2240867</v>
      </c>
      <c r="O1566" s="61">
        <f t="shared" si="217"/>
        <v>2250867</v>
      </c>
      <c r="P1566" s="61">
        <f t="shared" si="218"/>
        <v>-10000</v>
      </c>
      <c r="Q1566" s="61">
        <f t="shared" si="219"/>
        <v>2240867</v>
      </c>
    </row>
    <row r="1567" spans="2:17" ht="12.75">
      <c r="B1567" s="21">
        <f t="shared" si="220"/>
        <v>94</v>
      </c>
      <c r="C1567" s="4"/>
      <c r="D1567" s="4"/>
      <c r="E1567" s="4"/>
      <c r="F1567" s="31" t="s">
        <v>181</v>
      </c>
      <c r="G1567" s="4">
        <v>716</v>
      </c>
      <c r="H1567" s="4" t="s">
        <v>222</v>
      </c>
      <c r="I1567" s="17"/>
      <c r="J1567" s="17"/>
      <c r="K1567" s="17">
        <f t="shared" si="215"/>
        <v>0</v>
      </c>
      <c r="L1567" s="17">
        <f>SUM(L1568:L1577)</f>
        <v>84816</v>
      </c>
      <c r="M1567" s="17">
        <f>SUM(M1568:M1577)</f>
        <v>17000</v>
      </c>
      <c r="N1567" s="17">
        <f t="shared" si="216"/>
        <v>101816</v>
      </c>
      <c r="O1567" s="17">
        <f t="shared" si="217"/>
        <v>84816</v>
      </c>
      <c r="P1567" s="17">
        <f t="shared" si="218"/>
        <v>17000</v>
      </c>
      <c r="Q1567" s="17">
        <f t="shared" si="219"/>
        <v>101816</v>
      </c>
    </row>
    <row r="1568" spans="2:17" ht="12.75">
      <c r="B1568" s="21">
        <f t="shared" si="220"/>
        <v>95</v>
      </c>
      <c r="C1568" s="5"/>
      <c r="D1568" s="5"/>
      <c r="E1568" s="5"/>
      <c r="F1568" s="32"/>
      <c r="G1568" s="5"/>
      <c r="H1568" s="5" t="s">
        <v>285</v>
      </c>
      <c r="I1568" s="18"/>
      <c r="J1568" s="18"/>
      <c r="K1568" s="18">
        <f t="shared" si="215"/>
        <v>0</v>
      </c>
      <c r="L1568" s="18">
        <f>20200+9000</f>
        <v>29200</v>
      </c>
      <c r="M1568" s="18"/>
      <c r="N1568" s="18">
        <f t="shared" si="216"/>
        <v>29200</v>
      </c>
      <c r="O1568" s="18">
        <f t="shared" si="217"/>
        <v>29200</v>
      </c>
      <c r="P1568" s="18">
        <f t="shared" si="218"/>
        <v>0</v>
      </c>
      <c r="Q1568" s="18">
        <f t="shared" si="219"/>
        <v>29200</v>
      </c>
    </row>
    <row r="1569" spans="2:17" ht="12.75">
      <c r="B1569" s="21">
        <f t="shared" si="220"/>
        <v>96</v>
      </c>
      <c r="C1569" s="5"/>
      <c r="D1569" s="5"/>
      <c r="E1569" s="5"/>
      <c r="F1569" s="32"/>
      <c r="G1569" s="5"/>
      <c r="H1569" s="46" t="s">
        <v>548</v>
      </c>
      <c r="I1569" s="18"/>
      <c r="J1569" s="18"/>
      <c r="K1569" s="18">
        <f t="shared" si="215"/>
        <v>0</v>
      </c>
      <c r="L1569" s="18">
        <v>1250</v>
      </c>
      <c r="M1569" s="18"/>
      <c r="N1569" s="18">
        <f t="shared" si="216"/>
        <v>1250</v>
      </c>
      <c r="O1569" s="91">
        <f t="shared" si="217"/>
        <v>1250</v>
      </c>
      <c r="P1569" s="91">
        <f t="shared" si="218"/>
        <v>0</v>
      </c>
      <c r="Q1569" s="91">
        <f t="shared" si="219"/>
        <v>1250</v>
      </c>
    </row>
    <row r="1570" spans="2:17" ht="13.5" customHeight="1">
      <c r="B1570" s="21">
        <f t="shared" si="220"/>
        <v>97</v>
      </c>
      <c r="C1570" s="5"/>
      <c r="D1570" s="5"/>
      <c r="E1570" s="5"/>
      <c r="F1570" s="32"/>
      <c r="G1570" s="5"/>
      <c r="H1570" s="5" t="s">
        <v>402</v>
      </c>
      <c r="I1570" s="18"/>
      <c r="J1570" s="18"/>
      <c r="K1570" s="18">
        <f t="shared" si="215"/>
        <v>0</v>
      </c>
      <c r="L1570" s="18">
        <v>1200</v>
      </c>
      <c r="M1570" s="18"/>
      <c r="N1570" s="18">
        <f t="shared" si="216"/>
        <v>1200</v>
      </c>
      <c r="O1570" s="18">
        <f t="shared" si="217"/>
        <v>1200</v>
      </c>
      <c r="P1570" s="18">
        <f t="shared" si="218"/>
        <v>0</v>
      </c>
      <c r="Q1570" s="18">
        <f t="shared" si="219"/>
        <v>1200</v>
      </c>
    </row>
    <row r="1571" spans="2:17" ht="12.75" customHeight="1">
      <c r="B1571" s="21">
        <f t="shared" si="220"/>
        <v>98</v>
      </c>
      <c r="C1571" s="5"/>
      <c r="D1571" s="5"/>
      <c r="E1571" s="5"/>
      <c r="F1571" s="32"/>
      <c r="G1571" s="5"/>
      <c r="H1571" s="5" t="s">
        <v>540</v>
      </c>
      <c r="I1571" s="18"/>
      <c r="J1571" s="18"/>
      <c r="K1571" s="18">
        <f t="shared" si="215"/>
        <v>0</v>
      </c>
      <c r="L1571" s="18">
        <v>2000</v>
      </c>
      <c r="M1571" s="18"/>
      <c r="N1571" s="18">
        <f t="shared" si="216"/>
        <v>2000</v>
      </c>
      <c r="O1571" s="18">
        <f t="shared" si="217"/>
        <v>2000</v>
      </c>
      <c r="P1571" s="18">
        <f t="shared" si="218"/>
        <v>0</v>
      </c>
      <c r="Q1571" s="18">
        <f t="shared" si="219"/>
        <v>2000</v>
      </c>
    </row>
    <row r="1572" spans="2:17" ht="12.75" customHeight="1">
      <c r="B1572" s="21">
        <f t="shared" si="220"/>
        <v>99</v>
      </c>
      <c r="C1572" s="5"/>
      <c r="D1572" s="5"/>
      <c r="E1572" s="5"/>
      <c r="F1572" s="32"/>
      <c r="G1572" s="5"/>
      <c r="H1572" s="5" t="s">
        <v>546</v>
      </c>
      <c r="I1572" s="18"/>
      <c r="J1572" s="18"/>
      <c r="K1572" s="18">
        <v>0</v>
      </c>
      <c r="L1572" s="18">
        <v>0</v>
      </c>
      <c r="M1572" s="18">
        <v>17000</v>
      </c>
      <c r="N1572" s="18">
        <f t="shared" si="216"/>
        <v>17000</v>
      </c>
      <c r="O1572" s="18">
        <f t="shared" si="217"/>
        <v>0</v>
      </c>
      <c r="P1572" s="18">
        <f>J1572+M1572</f>
        <v>17000</v>
      </c>
      <c r="Q1572" s="18">
        <f>K1572+N1572</f>
        <v>17000</v>
      </c>
    </row>
    <row r="1573" spans="2:17" ht="12.75">
      <c r="B1573" s="21">
        <f t="shared" si="220"/>
        <v>100</v>
      </c>
      <c r="C1573" s="5"/>
      <c r="D1573" s="5"/>
      <c r="E1573" s="5"/>
      <c r="F1573" s="32"/>
      <c r="G1573" s="5"/>
      <c r="H1573" s="5" t="s">
        <v>541</v>
      </c>
      <c r="I1573" s="18"/>
      <c r="J1573" s="18"/>
      <c r="K1573" s="18">
        <f t="shared" si="215"/>
        <v>0</v>
      </c>
      <c r="L1573" s="18">
        <v>5000</v>
      </c>
      <c r="M1573" s="18"/>
      <c r="N1573" s="18">
        <f t="shared" si="216"/>
        <v>5000</v>
      </c>
      <c r="O1573" s="18">
        <f t="shared" si="217"/>
        <v>5000</v>
      </c>
      <c r="P1573" s="18">
        <f t="shared" si="218"/>
        <v>0</v>
      </c>
      <c r="Q1573" s="18">
        <f t="shared" si="219"/>
        <v>5000</v>
      </c>
    </row>
    <row r="1574" spans="2:17" ht="12.75">
      <c r="B1574" s="21">
        <f t="shared" si="220"/>
        <v>101</v>
      </c>
      <c r="C1574" s="5"/>
      <c r="D1574" s="5"/>
      <c r="E1574" s="5"/>
      <c r="F1574" s="32"/>
      <c r="G1574" s="5"/>
      <c r="H1574" s="46" t="s">
        <v>549</v>
      </c>
      <c r="I1574" s="18"/>
      <c r="J1574" s="18"/>
      <c r="K1574" s="18">
        <f aca="true" t="shared" si="221" ref="K1574:K1607">I1574+J1574</f>
        <v>0</v>
      </c>
      <c r="L1574" s="18">
        <v>2500</v>
      </c>
      <c r="M1574" s="18"/>
      <c r="N1574" s="18">
        <f aca="true" t="shared" si="222" ref="N1574:N1607">L1574+M1574</f>
        <v>2500</v>
      </c>
      <c r="O1574" s="91">
        <f aca="true" t="shared" si="223" ref="O1574:O1610">I1574+L1574</f>
        <v>2500</v>
      </c>
      <c r="P1574" s="91">
        <f aca="true" t="shared" si="224" ref="P1574:P1610">J1574+M1574</f>
        <v>0</v>
      </c>
      <c r="Q1574" s="91">
        <f aca="true" t="shared" si="225" ref="Q1574:Q1610">K1574+N1574</f>
        <v>2500</v>
      </c>
    </row>
    <row r="1575" spans="2:17" ht="12.75">
      <c r="B1575" s="21">
        <f t="shared" si="220"/>
        <v>102</v>
      </c>
      <c r="C1575" s="5"/>
      <c r="D1575" s="5"/>
      <c r="E1575" s="5"/>
      <c r="F1575" s="32"/>
      <c r="G1575" s="5"/>
      <c r="H1575" s="5" t="s">
        <v>488</v>
      </c>
      <c r="I1575" s="18"/>
      <c r="J1575" s="18"/>
      <c r="K1575" s="18">
        <f t="shared" si="221"/>
        <v>0</v>
      </c>
      <c r="L1575" s="18">
        <v>8666</v>
      </c>
      <c r="M1575" s="18"/>
      <c r="N1575" s="18">
        <f t="shared" si="222"/>
        <v>8666</v>
      </c>
      <c r="O1575" s="18">
        <f t="shared" si="223"/>
        <v>8666</v>
      </c>
      <c r="P1575" s="18">
        <f t="shared" si="224"/>
        <v>0</v>
      </c>
      <c r="Q1575" s="18">
        <f t="shared" si="225"/>
        <v>8666</v>
      </c>
    </row>
    <row r="1576" spans="2:17" ht="12.75">
      <c r="B1576" s="21">
        <f t="shared" si="220"/>
        <v>103</v>
      </c>
      <c r="C1576" s="5"/>
      <c r="D1576" s="5"/>
      <c r="E1576" s="5"/>
      <c r="F1576" s="32"/>
      <c r="G1576" s="5"/>
      <c r="H1576" s="5" t="s">
        <v>542</v>
      </c>
      <c r="I1576" s="18"/>
      <c r="J1576" s="18"/>
      <c r="K1576" s="18">
        <f t="shared" si="221"/>
        <v>0</v>
      </c>
      <c r="L1576" s="18">
        <v>15000</v>
      </c>
      <c r="M1576" s="18"/>
      <c r="N1576" s="18">
        <f t="shared" si="222"/>
        <v>15000</v>
      </c>
      <c r="O1576" s="18">
        <f t="shared" si="223"/>
        <v>15000</v>
      </c>
      <c r="P1576" s="18">
        <f t="shared" si="224"/>
        <v>0</v>
      </c>
      <c r="Q1576" s="18">
        <f t="shared" si="225"/>
        <v>15000</v>
      </c>
    </row>
    <row r="1577" spans="2:17" ht="12.75">
      <c r="B1577" s="21">
        <f t="shared" si="220"/>
        <v>104</v>
      </c>
      <c r="C1577" s="5"/>
      <c r="D1577" s="5"/>
      <c r="E1577" s="5"/>
      <c r="F1577" s="32"/>
      <c r="G1577" s="5"/>
      <c r="H1577" s="5" t="s">
        <v>543</v>
      </c>
      <c r="I1577" s="18"/>
      <c r="J1577" s="18"/>
      <c r="K1577" s="18">
        <f t="shared" si="221"/>
        <v>0</v>
      </c>
      <c r="L1577" s="18">
        <v>20000</v>
      </c>
      <c r="M1577" s="18"/>
      <c r="N1577" s="18">
        <f t="shared" si="222"/>
        <v>20000</v>
      </c>
      <c r="O1577" s="18">
        <f t="shared" si="223"/>
        <v>20000</v>
      </c>
      <c r="P1577" s="18">
        <f t="shared" si="224"/>
        <v>0</v>
      </c>
      <c r="Q1577" s="18">
        <f t="shared" si="225"/>
        <v>20000</v>
      </c>
    </row>
    <row r="1578" spans="2:17" ht="12.75">
      <c r="B1578" s="21">
        <f t="shared" si="220"/>
        <v>105</v>
      </c>
      <c r="C1578" s="4"/>
      <c r="D1578" s="4"/>
      <c r="E1578" s="4"/>
      <c r="F1578" s="31" t="s">
        <v>181</v>
      </c>
      <c r="G1578" s="4">
        <v>717</v>
      </c>
      <c r="H1578" s="4" t="s">
        <v>186</v>
      </c>
      <c r="I1578" s="17"/>
      <c r="J1578" s="17"/>
      <c r="K1578" s="17">
        <f t="shared" si="221"/>
        <v>0</v>
      </c>
      <c r="L1578" s="17">
        <f>SUM(L1579:L1596)</f>
        <v>2166051</v>
      </c>
      <c r="M1578" s="17">
        <f>SUM(M1579:M1596)</f>
        <v>-27080</v>
      </c>
      <c r="N1578" s="17">
        <f t="shared" si="222"/>
        <v>2138971</v>
      </c>
      <c r="O1578" s="17">
        <f t="shared" si="223"/>
        <v>2166051</v>
      </c>
      <c r="P1578" s="17">
        <f t="shared" si="224"/>
        <v>-27080</v>
      </c>
      <c r="Q1578" s="17">
        <f t="shared" si="225"/>
        <v>2138971</v>
      </c>
    </row>
    <row r="1579" spans="2:17" ht="12.75">
      <c r="B1579" s="21">
        <f t="shared" si="220"/>
        <v>106</v>
      </c>
      <c r="C1579" s="5"/>
      <c r="D1579" s="5"/>
      <c r="E1579" s="5"/>
      <c r="F1579" s="32"/>
      <c r="G1579" s="5"/>
      <c r="H1579" s="5" t="s">
        <v>431</v>
      </c>
      <c r="I1579" s="18"/>
      <c r="J1579" s="18"/>
      <c r="K1579" s="18">
        <f t="shared" si="221"/>
        <v>0</v>
      </c>
      <c r="L1579" s="18">
        <f>520000-1000-3000-30000</f>
        <v>486000</v>
      </c>
      <c r="M1579" s="18"/>
      <c r="N1579" s="18">
        <f t="shared" si="222"/>
        <v>486000</v>
      </c>
      <c r="O1579" s="18">
        <f t="shared" si="223"/>
        <v>486000</v>
      </c>
      <c r="P1579" s="18">
        <f t="shared" si="224"/>
        <v>0</v>
      </c>
      <c r="Q1579" s="18">
        <f t="shared" si="225"/>
        <v>486000</v>
      </c>
    </row>
    <row r="1580" spans="2:17" ht="12.75">
      <c r="B1580" s="21">
        <f>B1579+1</f>
        <v>107</v>
      </c>
      <c r="C1580" s="5"/>
      <c r="D1580" s="5"/>
      <c r="E1580" s="5"/>
      <c r="F1580" s="32"/>
      <c r="G1580" s="5"/>
      <c r="H1580" s="5" t="s">
        <v>388</v>
      </c>
      <c r="I1580" s="18"/>
      <c r="J1580" s="18"/>
      <c r="K1580" s="18">
        <f t="shared" si="221"/>
        <v>0</v>
      </c>
      <c r="L1580" s="18">
        <v>42000</v>
      </c>
      <c r="M1580" s="18"/>
      <c r="N1580" s="18">
        <f t="shared" si="222"/>
        <v>42000</v>
      </c>
      <c r="O1580" s="18">
        <f t="shared" si="223"/>
        <v>42000</v>
      </c>
      <c r="P1580" s="18">
        <f t="shared" si="224"/>
        <v>0</v>
      </c>
      <c r="Q1580" s="18">
        <f t="shared" si="225"/>
        <v>42000</v>
      </c>
    </row>
    <row r="1581" spans="2:17" ht="12.75">
      <c r="B1581" s="21">
        <f>B1580+1</f>
        <v>108</v>
      </c>
      <c r="C1581" s="5"/>
      <c r="D1581" s="5"/>
      <c r="E1581" s="5"/>
      <c r="F1581" s="32"/>
      <c r="G1581" s="5"/>
      <c r="H1581" s="5" t="s">
        <v>319</v>
      </c>
      <c r="I1581" s="18"/>
      <c r="J1581" s="18"/>
      <c r="K1581" s="18">
        <f t="shared" si="221"/>
        <v>0</v>
      </c>
      <c r="L1581" s="18">
        <f>18000+2000</f>
        <v>20000</v>
      </c>
      <c r="M1581" s="18"/>
      <c r="N1581" s="18">
        <f t="shared" si="222"/>
        <v>20000</v>
      </c>
      <c r="O1581" s="18">
        <f t="shared" si="223"/>
        <v>20000</v>
      </c>
      <c r="P1581" s="18">
        <f t="shared" si="224"/>
        <v>0</v>
      </c>
      <c r="Q1581" s="18">
        <f t="shared" si="225"/>
        <v>20000</v>
      </c>
    </row>
    <row r="1582" spans="2:17" ht="12.75">
      <c r="B1582" s="21">
        <f>B1581+1</f>
        <v>109</v>
      </c>
      <c r="C1582" s="5"/>
      <c r="D1582" s="5"/>
      <c r="E1582" s="5"/>
      <c r="F1582" s="32"/>
      <c r="G1582" s="5"/>
      <c r="H1582" s="5" t="s">
        <v>320</v>
      </c>
      <c r="I1582" s="18"/>
      <c r="J1582" s="18"/>
      <c r="K1582" s="18">
        <f t="shared" si="221"/>
        <v>0</v>
      </c>
      <c r="L1582" s="18">
        <v>10000</v>
      </c>
      <c r="M1582" s="18">
        <v>-10000</v>
      </c>
      <c r="N1582" s="18">
        <f t="shared" si="222"/>
        <v>0</v>
      </c>
      <c r="O1582" s="18">
        <f t="shared" si="223"/>
        <v>10000</v>
      </c>
      <c r="P1582" s="18">
        <f t="shared" si="224"/>
        <v>-10000</v>
      </c>
      <c r="Q1582" s="18">
        <f t="shared" si="225"/>
        <v>0</v>
      </c>
    </row>
    <row r="1583" spans="2:17" ht="33.75">
      <c r="B1583" s="21">
        <f>B1582+1</f>
        <v>110</v>
      </c>
      <c r="C1583" s="28"/>
      <c r="D1583" s="28"/>
      <c r="E1583" s="28"/>
      <c r="F1583" s="36"/>
      <c r="G1583" s="28"/>
      <c r="H1583" s="27" t="s">
        <v>389</v>
      </c>
      <c r="I1583" s="91"/>
      <c r="J1583" s="91"/>
      <c r="K1583" s="91">
        <f t="shared" si="221"/>
        <v>0</v>
      </c>
      <c r="L1583" s="91">
        <v>286196</v>
      </c>
      <c r="M1583" s="91">
        <v>-80</v>
      </c>
      <c r="N1583" s="91">
        <f t="shared" si="222"/>
        <v>286116</v>
      </c>
      <c r="O1583" s="91">
        <f t="shared" si="223"/>
        <v>286196</v>
      </c>
      <c r="P1583" s="91">
        <f t="shared" si="224"/>
        <v>-80</v>
      </c>
      <c r="Q1583" s="91">
        <f t="shared" si="225"/>
        <v>286116</v>
      </c>
    </row>
    <row r="1584" spans="2:17" ht="45">
      <c r="B1584" s="21">
        <f aca="true" t="shared" si="226" ref="B1584:B1589">B1583+1</f>
        <v>111</v>
      </c>
      <c r="C1584" s="28"/>
      <c r="D1584" s="28"/>
      <c r="E1584" s="28"/>
      <c r="F1584" s="36"/>
      <c r="G1584" s="28"/>
      <c r="H1584" s="27" t="s">
        <v>390</v>
      </c>
      <c r="I1584" s="91"/>
      <c r="J1584" s="91"/>
      <c r="K1584" s="91">
        <f t="shared" si="221"/>
        <v>0</v>
      </c>
      <c r="L1584" s="91">
        <v>545000</v>
      </c>
      <c r="M1584" s="91"/>
      <c r="N1584" s="91">
        <f t="shared" si="222"/>
        <v>545000</v>
      </c>
      <c r="O1584" s="91">
        <f t="shared" si="223"/>
        <v>545000</v>
      </c>
      <c r="P1584" s="91">
        <f t="shared" si="224"/>
        <v>0</v>
      </c>
      <c r="Q1584" s="91">
        <f t="shared" si="225"/>
        <v>545000</v>
      </c>
    </row>
    <row r="1585" spans="2:17" ht="33.75">
      <c r="B1585" s="21">
        <f t="shared" si="226"/>
        <v>112</v>
      </c>
      <c r="C1585" s="28"/>
      <c r="D1585" s="28"/>
      <c r="E1585" s="28"/>
      <c r="F1585" s="36"/>
      <c r="G1585" s="28"/>
      <c r="H1585" s="27" t="s">
        <v>403</v>
      </c>
      <c r="I1585" s="91"/>
      <c r="J1585" s="91"/>
      <c r="K1585" s="91">
        <f t="shared" si="221"/>
        <v>0</v>
      </c>
      <c r="L1585" s="91">
        <v>200905</v>
      </c>
      <c r="M1585" s="91"/>
      <c r="N1585" s="91">
        <f t="shared" si="222"/>
        <v>200905</v>
      </c>
      <c r="O1585" s="91">
        <f t="shared" si="223"/>
        <v>200905</v>
      </c>
      <c r="P1585" s="91">
        <f t="shared" si="224"/>
        <v>0</v>
      </c>
      <c r="Q1585" s="91">
        <f t="shared" si="225"/>
        <v>200905</v>
      </c>
    </row>
    <row r="1586" spans="2:17" ht="22.5">
      <c r="B1586" s="21">
        <f t="shared" si="226"/>
        <v>113</v>
      </c>
      <c r="C1586" s="5"/>
      <c r="D1586" s="5"/>
      <c r="E1586" s="5"/>
      <c r="F1586" s="32"/>
      <c r="G1586" s="5"/>
      <c r="H1586" s="46" t="s">
        <v>303</v>
      </c>
      <c r="I1586" s="18"/>
      <c r="J1586" s="18"/>
      <c r="K1586" s="18">
        <f t="shared" si="221"/>
        <v>0</v>
      </c>
      <c r="L1586" s="91">
        <f>176000+20000</f>
        <v>196000</v>
      </c>
      <c r="M1586" s="91"/>
      <c r="N1586" s="91">
        <f t="shared" si="222"/>
        <v>196000</v>
      </c>
      <c r="O1586" s="91">
        <f t="shared" si="223"/>
        <v>196000</v>
      </c>
      <c r="P1586" s="91">
        <f t="shared" si="224"/>
        <v>0</v>
      </c>
      <c r="Q1586" s="91">
        <f t="shared" si="225"/>
        <v>196000</v>
      </c>
    </row>
    <row r="1587" spans="2:17" ht="12.75">
      <c r="B1587" s="21">
        <f t="shared" si="226"/>
        <v>114</v>
      </c>
      <c r="C1587" s="5"/>
      <c r="D1587" s="5"/>
      <c r="E1587" s="5"/>
      <c r="F1587" s="32"/>
      <c r="G1587" s="5"/>
      <c r="H1587" s="46" t="s">
        <v>404</v>
      </c>
      <c r="I1587" s="18"/>
      <c r="J1587" s="18"/>
      <c r="K1587" s="18">
        <f t="shared" si="221"/>
        <v>0</v>
      </c>
      <c r="L1587" s="18">
        <v>8000</v>
      </c>
      <c r="M1587" s="18"/>
      <c r="N1587" s="18">
        <f t="shared" si="222"/>
        <v>8000</v>
      </c>
      <c r="O1587" s="91">
        <f t="shared" si="223"/>
        <v>8000</v>
      </c>
      <c r="P1587" s="91">
        <f t="shared" si="224"/>
        <v>0</v>
      </c>
      <c r="Q1587" s="91">
        <f t="shared" si="225"/>
        <v>8000</v>
      </c>
    </row>
    <row r="1588" spans="2:17" ht="12.75">
      <c r="B1588" s="21">
        <f t="shared" si="226"/>
        <v>115</v>
      </c>
      <c r="C1588" s="5"/>
      <c r="D1588" s="5"/>
      <c r="E1588" s="5"/>
      <c r="F1588" s="32"/>
      <c r="G1588" s="5"/>
      <c r="H1588" s="46" t="s">
        <v>410</v>
      </c>
      <c r="I1588" s="18"/>
      <c r="J1588" s="18"/>
      <c r="K1588" s="18">
        <f t="shared" si="221"/>
        <v>0</v>
      </c>
      <c r="L1588" s="18">
        <v>40000</v>
      </c>
      <c r="M1588" s="18"/>
      <c r="N1588" s="18">
        <f t="shared" si="222"/>
        <v>40000</v>
      </c>
      <c r="O1588" s="91">
        <f t="shared" si="223"/>
        <v>40000</v>
      </c>
      <c r="P1588" s="91">
        <f t="shared" si="224"/>
        <v>0</v>
      </c>
      <c r="Q1588" s="91">
        <f t="shared" si="225"/>
        <v>40000</v>
      </c>
    </row>
    <row r="1589" spans="2:17" ht="12.75">
      <c r="B1589" s="21">
        <f t="shared" si="226"/>
        <v>116</v>
      </c>
      <c r="C1589" s="5"/>
      <c r="D1589" s="5"/>
      <c r="E1589" s="5"/>
      <c r="F1589" s="32"/>
      <c r="G1589" s="5"/>
      <c r="H1589" s="46" t="s">
        <v>544</v>
      </c>
      <c r="I1589" s="18"/>
      <c r="J1589" s="18"/>
      <c r="K1589" s="18">
        <f t="shared" si="221"/>
        <v>0</v>
      </c>
      <c r="L1589" s="18">
        <v>7000</v>
      </c>
      <c r="M1589" s="18"/>
      <c r="N1589" s="18">
        <f t="shared" si="222"/>
        <v>7000</v>
      </c>
      <c r="O1589" s="91">
        <f t="shared" si="223"/>
        <v>7000</v>
      </c>
      <c r="P1589" s="91">
        <f t="shared" si="224"/>
        <v>0</v>
      </c>
      <c r="Q1589" s="91">
        <f t="shared" si="225"/>
        <v>7000</v>
      </c>
    </row>
    <row r="1590" spans="2:17" ht="12.75">
      <c r="B1590" s="21">
        <f aca="true" t="shared" si="227" ref="B1590:B1599">B1589+1</f>
        <v>117</v>
      </c>
      <c r="C1590" s="5"/>
      <c r="D1590" s="5"/>
      <c r="E1590" s="5"/>
      <c r="F1590" s="32"/>
      <c r="G1590" s="5"/>
      <c r="H1590" s="46" t="s">
        <v>545</v>
      </c>
      <c r="I1590" s="18"/>
      <c r="J1590" s="18"/>
      <c r="K1590" s="18">
        <f t="shared" si="221"/>
        <v>0</v>
      </c>
      <c r="L1590" s="18">
        <v>5000</v>
      </c>
      <c r="M1590" s="18"/>
      <c r="N1590" s="18">
        <f t="shared" si="222"/>
        <v>5000</v>
      </c>
      <c r="O1590" s="91">
        <f t="shared" si="223"/>
        <v>5000</v>
      </c>
      <c r="P1590" s="91">
        <f t="shared" si="224"/>
        <v>0</v>
      </c>
      <c r="Q1590" s="91">
        <f t="shared" si="225"/>
        <v>5000</v>
      </c>
    </row>
    <row r="1591" spans="2:17" ht="12.75">
      <c r="B1591" s="21">
        <f t="shared" si="227"/>
        <v>118</v>
      </c>
      <c r="C1591" s="5"/>
      <c r="D1591" s="5"/>
      <c r="E1591" s="5"/>
      <c r="F1591" s="32"/>
      <c r="G1591" s="5"/>
      <c r="H1591" s="46" t="s">
        <v>546</v>
      </c>
      <c r="I1591" s="18"/>
      <c r="J1591" s="18"/>
      <c r="K1591" s="18">
        <f t="shared" si="221"/>
        <v>0</v>
      </c>
      <c r="L1591" s="18">
        <v>30000</v>
      </c>
      <c r="M1591" s="18">
        <v>-17000</v>
      </c>
      <c r="N1591" s="18">
        <f t="shared" si="222"/>
        <v>13000</v>
      </c>
      <c r="O1591" s="91">
        <f t="shared" si="223"/>
        <v>30000</v>
      </c>
      <c r="P1591" s="91">
        <f t="shared" si="224"/>
        <v>-17000</v>
      </c>
      <c r="Q1591" s="91">
        <f t="shared" si="225"/>
        <v>13000</v>
      </c>
    </row>
    <row r="1592" spans="2:17" ht="22.5">
      <c r="B1592" s="21">
        <f t="shared" si="227"/>
        <v>119</v>
      </c>
      <c r="C1592" s="5"/>
      <c r="D1592" s="5"/>
      <c r="E1592" s="5"/>
      <c r="F1592" s="32"/>
      <c r="G1592" s="5"/>
      <c r="H1592" s="46" t="s">
        <v>566</v>
      </c>
      <c r="I1592" s="18"/>
      <c r="J1592" s="18"/>
      <c r="K1592" s="18">
        <f t="shared" si="221"/>
        <v>0</v>
      </c>
      <c r="L1592" s="18">
        <v>91000</v>
      </c>
      <c r="M1592" s="18"/>
      <c r="N1592" s="18">
        <f t="shared" si="222"/>
        <v>91000</v>
      </c>
      <c r="O1592" s="91">
        <f t="shared" si="223"/>
        <v>91000</v>
      </c>
      <c r="P1592" s="91">
        <f t="shared" si="224"/>
        <v>0</v>
      </c>
      <c r="Q1592" s="91">
        <f t="shared" si="225"/>
        <v>91000</v>
      </c>
    </row>
    <row r="1593" spans="2:17" s="13" customFormat="1" ht="12.75">
      <c r="B1593" s="21">
        <f t="shared" si="227"/>
        <v>120</v>
      </c>
      <c r="C1593" s="5"/>
      <c r="D1593" s="5"/>
      <c r="E1593" s="5"/>
      <c r="F1593" s="32"/>
      <c r="G1593" s="5"/>
      <c r="H1593" s="46" t="s">
        <v>547</v>
      </c>
      <c r="I1593" s="18"/>
      <c r="J1593" s="18"/>
      <c r="K1593" s="18">
        <f t="shared" si="221"/>
        <v>0</v>
      </c>
      <c r="L1593" s="18">
        <v>20000</v>
      </c>
      <c r="M1593" s="18"/>
      <c r="N1593" s="18">
        <f t="shared" si="222"/>
        <v>20000</v>
      </c>
      <c r="O1593" s="91">
        <f t="shared" si="223"/>
        <v>20000</v>
      </c>
      <c r="P1593" s="91">
        <f t="shared" si="224"/>
        <v>0</v>
      </c>
      <c r="Q1593" s="91">
        <f t="shared" si="225"/>
        <v>20000</v>
      </c>
    </row>
    <row r="1594" spans="2:17" ht="12.75">
      <c r="B1594" s="21">
        <f t="shared" si="227"/>
        <v>121</v>
      </c>
      <c r="C1594" s="5"/>
      <c r="D1594" s="5"/>
      <c r="E1594" s="5"/>
      <c r="F1594" s="32"/>
      <c r="G1594" s="5"/>
      <c r="H1594" s="46" t="s">
        <v>548</v>
      </c>
      <c r="I1594" s="18"/>
      <c r="J1594" s="18"/>
      <c r="K1594" s="18">
        <f t="shared" si="221"/>
        <v>0</v>
      </c>
      <c r="L1594" s="18">
        <f>6000-1250+16700</f>
        <v>21450</v>
      </c>
      <c r="M1594" s="18"/>
      <c r="N1594" s="18">
        <f t="shared" si="222"/>
        <v>21450</v>
      </c>
      <c r="O1594" s="91">
        <f t="shared" si="223"/>
        <v>21450</v>
      </c>
      <c r="P1594" s="91">
        <f t="shared" si="224"/>
        <v>0</v>
      </c>
      <c r="Q1594" s="91">
        <f t="shared" si="225"/>
        <v>21450</v>
      </c>
    </row>
    <row r="1595" spans="2:17" ht="12.75">
      <c r="B1595" s="21">
        <f t="shared" si="227"/>
        <v>122</v>
      </c>
      <c r="C1595" s="5"/>
      <c r="D1595" s="5"/>
      <c r="E1595" s="5"/>
      <c r="F1595" s="32"/>
      <c r="G1595" s="5"/>
      <c r="H1595" s="46" t="s">
        <v>557</v>
      </c>
      <c r="I1595" s="18"/>
      <c r="J1595" s="18"/>
      <c r="K1595" s="18">
        <f t="shared" si="221"/>
        <v>0</v>
      </c>
      <c r="L1595" s="18">
        <v>10000</v>
      </c>
      <c r="M1595" s="18"/>
      <c r="N1595" s="18">
        <f t="shared" si="222"/>
        <v>10000</v>
      </c>
      <c r="O1595" s="91">
        <f t="shared" si="223"/>
        <v>10000</v>
      </c>
      <c r="P1595" s="91">
        <f t="shared" si="224"/>
        <v>0</v>
      </c>
      <c r="Q1595" s="91">
        <f t="shared" si="225"/>
        <v>10000</v>
      </c>
    </row>
    <row r="1596" spans="2:17" ht="12.75">
      <c r="B1596" s="21">
        <f t="shared" si="227"/>
        <v>123</v>
      </c>
      <c r="C1596" s="5"/>
      <c r="D1596" s="5"/>
      <c r="E1596" s="5"/>
      <c r="F1596" s="32"/>
      <c r="G1596" s="5"/>
      <c r="H1596" s="46" t="s">
        <v>549</v>
      </c>
      <c r="I1596" s="18"/>
      <c r="J1596" s="18"/>
      <c r="K1596" s="18">
        <f t="shared" si="221"/>
        <v>0</v>
      </c>
      <c r="L1596" s="18">
        <f>150000-2500</f>
        <v>147500</v>
      </c>
      <c r="M1596" s="18"/>
      <c r="N1596" s="18">
        <f t="shared" si="222"/>
        <v>147500</v>
      </c>
      <c r="O1596" s="91">
        <f t="shared" si="223"/>
        <v>147500</v>
      </c>
      <c r="P1596" s="91">
        <f t="shared" si="224"/>
        <v>0</v>
      </c>
      <c r="Q1596" s="91">
        <f t="shared" si="225"/>
        <v>147500</v>
      </c>
    </row>
    <row r="1597" spans="2:17" ht="12.75">
      <c r="B1597" s="21">
        <f t="shared" si="227"/>
        <v>124</v>
      </c>
      <c r="C1597" s="5"/>
      <c r="D1597" s="5"/>
      <c r="E1597" s="5"/>
      <c r="F1597" s="31" t="s">
        <v>181</v>
      </c>
      <c r="G1597" s="4">
        <v>719</v>
      </c>
      <c r="H1597" s="199" t="s">
        <v>661</v>
      </c>
      <c r="I1597" s="17"/>
      <c r="J1597" s="17"/>
      <c r="K1597" s="17"/>
      <c r="L1597" s="17">
        <v>0</v>
      </c>
      <c r="M1597" s="103">
        <f>M1598</f>
        <v>80</v>
      </c>
      <c r="N1597" s="17">
        <f t="shared" si="222"/>
        <v>80</v>
      </c>
      <c r="O1597" s="161">
        <f aca="true" t="shared" si="228" ref="O1597:Q1598">I1597+L1597</f>
        <v>0</v>
      </c>
      <c r="P1597" s="161">
        <f t="shared" si="228"/>
        <v>80</v>
      </c>
      <c r="Q1597" s="161">
        <f t="shared" si="228"/>
        <v>80</v>
      </c>
    </row>
    <row r="1598" spans="2:17" ht="12.75">
      <c r="B1598" s="21">
        <f t="shared" si="227"/>
        <v>125</v>
      </c>
      <c r="C1598" s="5"/>
      <c r="D1598" s="5"/>
      <c r="E1598" s="5"/>
      <c r="F1598" s="32"/>
      <c r="G1598" s="5"/>
      <c r="H1598" s="46" t="s">
        <v>662</v>
      </c>
      <c r="I1598" s="18"/>
      <c r="J1598" s="18"/>
      <c r="K1598" s="18"/>
      <c r="L1598" s="18">
        <v>0</v>
      </c>
      <c r="M1598" s="95">
        <v>80</v>
      </c>
      <c r="N1598" s="18">
        <f t="shared" si="222"/>
        <v>80</v>
      </c>
      <c r="O1598" s="91">
        <f t="shared" si="228"/>
        <v>0</v>
      </c>
      <c r="P1598" s="91">
        <f t="shared" si="228"/>
        <v>80</v>
      </c>
      <c r="Q1598" s="91">
        <f t="shared" si="228"/>
        <v>80</v>
      </c>
    </row>
    <row r="1599" spans="2:17" ht="15">
      <c r="B1599" s="21">
        <f t="shared" si="227"/>
        <v>126</v>
      </c>
      <c r="C1599" s="12"/>
      <c r="D1599" s="12"/>
      <c r="E1599" s="12">
        <v>2</v>
      </c>
      <c r="F1599" s="34"/>
      <c r="G1599" s="12"/>
      <c r="H1599" s="12" t="s">
        <v>16</v>
      </c>
      <c r="I1599" s="90">
        <f>I1600+I1601+I1602+I1610</f>
        <v>170165</v>
      </c>
      <c r="J1599" s="90">
        <f>J1600+J1601+J1602+J1610</f>
        <v>0</v>
      </c>
      <c r="K1599" s="90">
        <f t="shared" si="221"/>
        <v>170165</v>
      </c>
      <c r="L1599" s="90"/>
      <c r="M1599" s="90"/>
      <c r="N1599" s="90">
        <f t="shared" si="222"/>
        <v>0</v>
      </c>
      <c r="O1599" s="90">
        <f t="shared" si="223"/>
        <v>170165</v>
      </c>
      <c r="P1599" s="90">
        <f t="shared" si="224"/>
        <v>0</v>
      </c>
      <c r="Q1599" s="90">
        <f t="shared" si="225"/>
        <v>170165</v>
      </c>
    </row>
    <row r="1600" spans="2:17" ht="12.75">
      <c r="B1600" s="21">
        <f aca="true" t="shared" si="229" ref="B1600:B1610">B1599+1</f>
        <v>127</v>
      </c>
      <c r="C1600" s="10"/>
      <c r="D1600" s="10"/>
      <c r="E1600" s="10"/>
      <c r="F1600" s="30" t="s">
        <v>181</v>
      </c>
      <c r="G1600" s="10">
        <v>610</v>
      </c>
      <c r="H1600" s="10" t="s">
        <v>131</v>
      </c>
      <c r="I1600" s="61">
        <v>42250</v>
      </c>
      <c r="J1600" s="61"/>
      <c r="K1600" s="61">
        <f t="shared" si="221"/>
        <v>42250</v>
      </c>
      <c r="L1600" s="61"/>
      <c r="M1600" s="61"/>
      <c r="N1600" s="61">
        <f t="shared" si="222"/>
        <v>0</v>
      </c>
      <c r="O1600" s="61">
        <f t="shared" si="223"/>
        <v>42250</v>
      </c>
      <c r="P1600" s="61">
        <f t="shared" si="224"/>
        <v>0</v>
      </c>
      <c r="Q1600" s="61">
        <f t="shared" si="225"/>
        <v>42250</v>
      </c>
    </row>
    <row r="1601" spans="2:17" ht="12.75">
      <c r="B1601" s="21">
        <f t="shared" si="229"/>
        <v>128</v>
      </c>
      <c r="C1601" s="10"/>
      <c r="D1601" s="10"/>
      <c r="E1601" s="10"/>
      <c r="F1601" s="30" t="s">
        <v>181</v>
      </c>
      <c r="G1601" s="10">
        <v>620</v>
      </c>
      <c r="H1601" s="10" t="s">
        <v>124</v>
      </c>
      <c r="I1601" s="61">
        <v>16515</v>
      </c>
      <c r="J1601" s="61"/>
      <c r="K1601" s="61">
        <f t="shared" si="221"/>
        <v>16515</v>
      </c>
      <c r="L1601" s="61"/>
      <c r="M1601" s="61"/>
      <c r="N1601" s="61">
        <f t="shared" si="222"/>
        <v>0</v>
      </c>
      <c r="O1601" s="61">
        <f t="shared" si="223"/>
        <v>16515</v>
      </c>
      <c r="P1601" s="61">
        <f t="shared" si="224"/>
        <v>0</v>
      </c>
      <c r="Q1601" s="61">
        <f t="shared" si="225"/>
        <v>16515</v>
      </c>
    </row>
    <row r="1602" spans="2:17" ht="12.75">
      <c r="B1602" s="21">
        <f t="shared" si="229"/>
        <v>129</v>
      </c>
      <c r="C1602" s="10"/>
      <c r="D1602" s="10"/>
      <c r="E1602" s="10"/>
      <c r="F1602" s="30" t="s">
        <v>181</v>
      </c>
      <c r="G1602" s="10">
        <v>630</v>
      </c>
      <c r="H1602" s="10" t="s">
        <v>121</v>
      </c>
      <c r="I1602" s="61">
        <f>SUM(I1603:I1609)</f>
        <v>110700</v>
      </c>
      <c r="J1602" s="61">
        <f>SUM(J1603:J1609)</f>
        <v>0</v>
      </c>
      <c r="K1602" s="61">
        <f t="shared" si="221"/>
        <v>110700</v>
      </c>
      <c r="L1602" s="61"/>
      <c r="M1602" s="61"/>
      <c r="N1602" s="61">
        <f t="shared" si="222"/>
        <v>0</v>
      </c>
      <c r="O1602" s="61">
        <f t="shared" si="223"/>
        <v>110700</v>
      </c>
      <c r="P1602" s="61">
        <f t="shared" si="224"/>
        <v>0</v>
      </c>
      <c r="Q1602" s="61">
        <f t="shared" si="225"/>
        <v>110700</v>
      </c>
    </row>
    <row r="1603" spans="2:17" ht="12.75">
      <c r="B1603" s="21">
        <f t="shared" si="229"/>
        <v>130</v>
      </c>
      <c r="C1603" s="4"/>
      <c r="D1603" s="4"/>
      <c r="E1603" s="4"/>
      <c r="F1603" s="31" t="s">
        <v>181</v>
      </c>
      <c r="G1603" s="4">
        <v>632</v>
      </c>
      <c r="H1603" s="4" t="s">
        <v>134</v>
      </c>
      <c r="I1603" s="17">
        <v>3500</v>
      </c>
      <c r="J1603" s="17"/>
      <c r="K1603" s="17">
        <f t="shared" si="221"/>
        <v>3500</v>
      </c>
      <c r="L1603" s="17"/>
      <c r="M1603" s="17"/>
      <c r="N1603" s="17">
        <f t="shared" si="222"/>
        <v>0</v>
      </c>
      <c r="O1603" s="17">
        <f t="shared" si="223"/>
        <v>3500</v>
      </c>
      <c r="P1603" s="17">
        <f t="shared" si="224"/>
        <v>0</v>
      </c>
      <c r="Q1603" s="17">
        <f t="shared" si="225"/>
        <v>3500</v>
      </c>
    </row>
    <row r="1604" spans="2:17" ht="12.75">
      <c r="B1604" s="21">
        <f t="shared" si="229"/>
        <v>131</v>
      </c>
      <c r="C1604" s="4"/>
      <c r="D1604" s="4"/>
      <c r="E1604" s="4"/>
      <c r="F1604" s="31" t="s">
        <v>181</v>
      </c>
      <c r="G1604" s="4">
        <v>633</v>
      </c>
      <c r="H1604" s="4" t="s">
        <v>125</v>
      </c>
      <c r="I1604" s="17">
        <v>25000</v>
      </c>
      <c r="J1604" s="17">
        <v>10000</v>
      </c>
      <c r="K1604" s="17">
        <f t="shared" si="221"/>
        <v>35000</v>
      </c>
      <c r="L1604" s="17"/>
      <c r="M1604" s="17"/>
      <c r="N1604" s="17">
        <f t="shared" si="222"/>
        <v>0</v>
      </c>
      <c r="O1604" s="17">
        <f t="shared" si="223"/>
        <v>25000</v>
      </c>
      <c r="P1604" s="17">
        <f t="shared" si="224"/>
        <v>10000</v>
      </c>
      <c r="Q1604" s="17">
        <f t="shared" si="225"/>
        <v>35000</v>
      </c>
    </row>
    <row r="1605" spans="2:17" ht="12.75">
      <c r="B1605" s="21">
        <f t="shared" si="229"/>
        <v>132</v>
      </c>
      <c r="C1605" s="4"/>
      <c r="D1605" s="4"/>
      <c r="E1605" s="4"/>
      <c r="F1605" s="31" t="s">
        <v>181</v>
      </c>
      <c r="G1605" s="4">
        <v>634</v>
      </c>
      <c r="H1605" s="4" t="s">
        <v>132</v>
      </c>
      <c r="I1605" s="17">
        <v>1500</v>
      </c>
      <c r="J1605" s="17"/>
      <c r="K1605" s="17">
        <f t="shared" si="221"/>
        <v>1500</v>
      </c>
      <c r="L1605" s="17"/>
      <c r="M1605" s="17"/>
      <c r="N1605" s="17">
        <f t="shared" si="222"/>
        <v>0</v>
      </c>
      <c r="O1605" s="17">
        <f t="shared" si="223"/>
        <v>1500</v>
      </c>
      <c r="P1605" s="17">
        <f t="shared" si="224"/>
        <v>0</v>
      </c>
      <c r="Q1605" s="17">
        <f t="shared" si="225"/>
        <v>1500</v>
      </c>
    </row>
    <row r="1606" spans="2:17" ht="12.75">
      <c r="B1606" s="21">
        <f t="shared" si="229"/>
        <v>133</v>
      </c>
      <c r="C1606" s="4"/>
      <c r="D1606" s="4"/>
      <c r="E1606" s="4"/>
      <c r="F1606" s="31" t="s">
        <v>181</v>
      </c>
      <c r="G1606" s="4">
        <v>635</v>
      </c>
      <c r="H1606" s="4" t="s">
        <v>133</v>
      </c>
      <c r="I1606" s="17">
        <v>62700</v>
      </c>
      <c r="J1606" s="17">
        <v>-10000</v>
      </c>
      <c r="K1606" s="17">
        <f t="shared" si="221"/>
        <v>52700</v>
      </c>
      <c r="L1606" s="17"/>
      <c r="M1606" s="17"/>
      <c r="N1606" s="17">
        <f t="shared" si="222"/>
        <v>0</v>
      </c>
      <c r="O1606" s="17">
        <f t="shared" si="223"/>
        <v>62700</v>
      </c>
      <c r="P1606" s="17">
        <f t="shared" si="224"/>
        <v>-10000</v>
      </c>
      <c r="Q1606" s="17">
        <f t="shared" si="225"/>
        <v>52700</v>
      </c>
    </row>
    <row r="1607" spans="2:17" ht="12.75">
      <c r="B1607" s="21">
        <f t="shared" si="229"/>
        <v>134</v>
      </c>
      <c r="C1607" s="4"/>
      <c r="D1607" s="4"/>
      <c r="E1607" s="4"/>
      <c r="F1607" s="31" t="s">
        <v>181</v>
      </c>
      <c r="G1607" s="4">
        <v>636</v>
      </c>
      <c r="H1607" s="4" t="s">
        <v>126</v>
      </c>
      <c r="I1607" s="17">
        <v>1500</v>
      </c>
      <c r="J1607" s="17"/>
      <c r="K1607" s="17">
        <f t="shared" si="221"/>
        <v>1500</v>
      </c>
      <c r="L1607" s="17"/>
      <c r="M1607" s="17"/>
      <c r="N1607" s="17">
        <f t="shared" si="222"/>
        <v>0</v>
      </c>
      <c r="O1607" s="17">
        <f t="shared" si="223"/>
        <v>1500</v>
      </c>
      <c r="P1607" s="17">
        <f t="shared" si="224"/>
        <v>0</v>
      </c>
      <c r="Q1607" s="17">
        <f t="shared" si="225"/>
        <v>1500</v>
      </c>
    </row>
    <row r="1608" spans="2:17" ht="12.75">
      <c r="B1608" s="21">
        <f t="shared" si="229"/>
        <v>135</v>
      </c>
      <c r="C1608" s="4"/>
      <c r="D1608" s="4"/>
      <c r="E1608" s="4"/>
      <c r="F1608" s="31" t="s">
        <v>181</v>
      </c>
      <c r="G1608" s="4">
        <v>637</v>
      </c>
      <c r="H1608" s="4" t="s">
        <v>122</v>
      </c>
      <c r="I1608" s="17">
        <v>15950</v>
      </c>
      <c r="J1608" s="17"/>
      <c r="K1608" s="17">
        <f>I1608+J1608</f>
        <v>15950</v>
      </c>
      <c r="L1608" s="17"/>
      <c r="M1608" s="17"/>
      <c r="N1608" s="17">
        <f>L1608+M1608</f>
        <v>0</v>
      </c>
      <c r="O1608" s="17">
        <f t="shared" si="223"/>
        <v>15950</v>
      </c>
      <c r="P1608" s="17">
        <f t="shared" si="224"/>
        <v>0</v>
      </c>
      <c r="Q1608" s="17">
        <f t="shared" si="225"/>
        <v>15950</v>
      </c>
    </row>
    <row r="1609" spans="2:17" ht="12.75">
      <c r="B1609" s="21">
        <f t="shared" si="229"/>
        <v>136</v>
      </c>
      <c r="C1609" s="4"/>
      <c r="D1609" s="4"/>
      <c r="E1609" s="4"/>
      <c r="F1609" s="33" t="s">
        <v>181</v>
      </c>
      <c r="G1609" s="4">
        <v>634</v>
      </c>
      <c r="H1609" s="24" t="s">
        <v>290</v>
      </c>
      <c r="I1609" s="17">
        <v>550</v>
      </c>
      <c r="J1609" s="17"/>
      <c r="K1609" s="17">
        <f>I1609+J1609</f>
        <v>550</v>
      </c>
      <c r="L1609" s="17"/>
      <c r="M1609" s="17"/>
      <c r="N1609" s="17">
        <f>L1609+M1609</f>
        <v>0</v>
      </c>
      <c r="O1609" s="17">
        <f t="shared" si="223"/>
        <v>550</v>
      </c>
      <c r="P1609" s="17">
        <f t="shared" si="224"/>
        <v>0</v>
      </c>
      <c r="Q1609" s="17">
        <f t="shared" si="225"/>
        <v>550</v>
      </c>
    </row>
    <row r="1610" spans="2:17" ht="12.75">
      <c r="B1610" s="21">
        <f t="shared" si="229"/>
        <v>137</v>
      </c>
      <c r="C1610" s="10"/>
      <c r="D1610" s="10"/>
      <c r="E1610" s="10"/>
      <c r="F1610" s="30" t="s">
        <v>181</v>
      </c>
      <c r="G1610" s="10">
        <v>640</v>
      </c>
      <c r="H1610" s="10" t="s">
        <v>129</v>
      </c>
      <c r="I1610" s="61">
        <v>700</v>
      </c>
      <c r="J1610" s="61"/>
      <c r="K1610" s="61">
        <f>I1610+J1610</f>
        <v>700</v>
      </c>
      <c r="L1610" s="61"/>
      <c r="M1610" s="61"/>
      <c r="N1610" s="61">
        <f>L1610+M1610</f>
        <v>0</v>
      </c>
      <c r="O1610" s="61">
        <f t="shared" si="223"/>
        <v>700</v>
      </c>
      <c r="P1610" s="61">
        <f t="shared" si="224"/>
        <v>0</v>
      </c>
      <c r="Q1610" s="61">
        <f t="shared" si="225"/>
        <v>700</v>
      </c>
    </row>
    <row r="1611" s="137" customFormat="1" ht="29.25" customHeight="1">
      <c r="P1611" s="136"/>
    </row>
    <row r="1612" s="137" customFormat="1" ht="29.25" customHeight="1">
      <c r="P1612" s="136"/>
    </row>
    <row r="1613" s="137" customFormat="1" ht="29.25" customHeight="1">
      <c r="P1613" s="136"/>
    </row>
    <row r="1614" s="137" customFormat="1" ht="29.25" customHeight="1">
      <c r="P1614" s="136"/>
    </row>
    <row r="1615" s="137" customFormat="1" ht="29.25" customHeight="1">
      <c r="P1615" s="136"/>
    </row>
    <row r="1617" spans="2:16" ht="27">
      <c r="B1617" s="248" t="s">
        <v>27</v>
      </c>
      <c r="C1617" s="249"/>
      <c r="D1617" s="249"/>
      <c r="E1617" s="249"/>
      <c r="F1617" s="249"/>
      <c r="G1617" s="249"/>
      <c r="H1617" s="249"/>
      <c r="I1617" s="249"/>
      <c r="J1617" s="249"/>
      <c r="K1617" s="249"/>
      <c r="L1617" s="249"/>
      <c r="M1617" s="249"/>
      <c r="N1617" s="249"/>
      <c r="O1617" s="249"/>
      <c r="P1617"/>
    </row>
    <row r="1618" spans="2:17" ht="12.75">
      <c r="B1618" s="244" t="s">
        <v>327</v>
      </c>
      <c r="C1618" s="245"/>
      <c r="D1618" s="245"/>
      <c r="E1618" s="245"/>
      <c r="F1618" s="245"/>
      <c r="G1618" s="245"/>
      <c r="H1618" s="245"/>
      <c r="I1618" s="245"/>
      <c r="J1618" s="245"/>
      <c r="K1618" s="245"/>
      <c r="L1618" s="245"/>
      <c r="M1618" s="245"/>
      <c r="N1618" s="246"/>
      <c r="O1618" s="250" t="s">
        <v>612</v>
      </c>
      <c r="P1618" s="250" t="s">
        <v>642</v>
      </c>
      <c r="Q1618" s="250" t="s">
        <v>644</v>
      </c>
    </row>
    <row r="1619" spans="2:17" ht="12.75">
      <c r="B1619" s="251"/>
      <c r="C1619" s="243" t="s">
        <v>114</v>
      </c>
      <c r="D1619" s="243" t="s">
        <v>115</v>
      </c>
      <c r="E1619" s="243"/>
      <c r="F1619" s="243" t="s">
        <v>116</v>
      </c>
      <c r="G1619" s="247" t="s">
        <v>117</v>
      </c>
      <c r="H1619" s="252" t="s">
        <v>118</v>
      </c>
      <c r="I1619" s="239" t="s">
        <v>609</v>
      </c>
      <c r="J1619" s="209" t="s">
        <v>642</v>
      </c>
      <c r="K1619" s="209" t="s">
        <v>644</v>
      </c>
      <c r="L1619" s="239" t="s">
        <v>610</v>
      </c>
      <c r="M1619" s="209" t="s">
        <v>642</v>
      </c>
      <c r="N1619" s="209" t="s">
        <v>644</v>
      </c>
      <c r="O1619" s="250"/>
      <c r="P1619" s="250"/>
      <c r="Q1619" s="250"/>
    </row>
    <row r="1620" spans="2:17" ht="12.75">
      <c r="B1620" s="251"/>
      <c r="C1620" s="243"/>
      <c r="D1620" s="243"/>
      <c r="E1620" s="243"/>
      <c r="F1620" s="243"/>
      <c r="G1620" s="247"/>
      <c r="H1620" s="252"/>
      <c r="I1620" s="239"/>
      <c r="J1620" s="210"/>
      <c r="K1620" s="210"/>
      <c r="L1620" s="239"/>
      <c r="M1620" s="210"/>
      <c r="N1620" s="210"/>
      <c r="O1620" s="250"/>
      <c r="P1620" s="250"/>
      <c r="Q1620" s="250"/>
    </row>
    <row r="1621" spans="2:17" ht="12.75">
      <c r="B1621" s="251"/>
      <c r="C1621" s="243"/>
      <c r="D1621" s="243"/>
      <c r="E1621" s="243"/>
      <c r="F1621" s="243"/>
      <c r="G1621" s="247"/>
      <c r="H1621" s="252"/>
      <c r="I1621" s="239"/>
      <c r="J1621" s="210"/>
      <c r="K1621" s="210"/>
      <c r="L1621" s="239"/>
      <c r="M1621" s="210"/>
      <c r="N1621" s="210"/>
      <c r="O1621" s="250"/>
      <c r="P1621" s="250"/>
      <c r="Q1621" s="250"/>
    </row>
    <row r="1622" spans="2:17" ht="13.5" thickBot="1">
      <c r="B1622" s="251"/>
      <c r="C1622" s="243"/>
      <c r="D1622" s="243"/>
      <c r="E1622" s="243"/>
      <c r="F1622" s="243"/>
      <c r="G1622" s="247"/>
      <c r="H1622" s="252"/>
      <c r="I1622" s="239"/>
      <c r="J1622" s="255"/>
      <c r="K1622" s="255"/>
      <c r="L1622" s="239"/>
      <c r="M1622" s="255"/>
      <c r="N1622" s="255"/>
      <c r="O1622" s="250"/>
      <c r="P1622" s="250"/>
      <c r="Q1622" s="250"/>
    </row>
    <row r="1623" spans="2:17" ht="16.5" thickTop="1">
      <c r="B1623" s="23">
        <v>1</v>
      </c>
      <c r="C1623" s="256" t="s">
        <v>27</v>
      </c>
      <c r="D1623" s="257"/>
      <c r="E1623" s="257"/>
      <c r="F1623" s="257"/>
      <c r="G1623" s="257"/>
      <c r="H1623" s="258"/>
      <c r="I1623" s="89">
        <f>I1664+I1648+I1639+I1624+I1667</f>
        <v>616505</v>
      </c>
      <c r="J1623" s="89">
        <f>J1664+J1648+J1639+J1624+J1667</f>
        <v>-5936</v>
      </c>
      <c r="K1623" s="89">
        <f aca="true" t="shared" si="230" ref="K1623:K1655">I1623+J1623</f>
        <v>610569</v>
      </c>
      <c r="L1623" s="89">
        <f>L1664+L1648+L1639+L1624+L1667</f>
        <v>2535880</v>
      </c>
      <c r="M1623" s="89">
        <f>M1664+M1648+M1639+M1624+M1667</f>
        <v>0</v>
      </c>
      <c r="N1623" s="89">
        <f aca="true" t="shared" si="231" ref="N1623:N1655">L1623+M1623</f>
        <v>2535880</v>
      </c>
      <c r="O1623" s="89">
        <f aca="true" t="shared" si="232" ref="O1623:Q1627">I1623+L1623</f>
        <v>3152385</v>
      </c>
      <c r="P1623" s="89">
        <f t="shared" si="232"/>
        <v>-5936</v>
      </c>
      <c r="Q1623" s="89">
        <f t="shared" si="232"/>
        <v>3146449</v>
      </c>
    </row>
    <row r="1624" spans="2:17" ht="15">
      <c r="B1624" s="21">
        <f aca="true" t="shared" si="233" ref="B1624:B1656">B1623+1</f>
        <v>2</v>
      </c>
      <c r="C1624" s="7">
        <v>1</v>
      </c>
      <c r="D1624" s="232" t="s">
        <v>233</v>
      </c>
      <c r="E1624" s="233"/>
      <c r="F1624" s="233"/>
      <c r="G1624" s="233"/>
      <c r="H1624" s="234"/>
      <c r="I1624" s="87">
        <f>I1625</f>
        <v>162000</v>
      </c>
      <c r="J1624" s="87">
        <f>J1625</f>
        <v>0</v>
      </c>
      <c r="K1624" s="87">
        <f t="shared" si="230"/>
        <v>162000</v>
      </c>
      <c r="L1624" s="87"/>
      <c r="M1624" s="87"/>
      <c r="N1624" s="87">
        <f t="shared" si="231"/>
        <v>0</v>
      </c>
      <c r="O1624" s="87">
        <f t="shared" si="232"/>
        <v>162000</v>
      </c>
      <c r="P1624" s="87">
        <f t="shared" si="232"/>
        <v>0</v>
      </c>
      <c r="Q1624" s="87">
        <f t="shared" si="232"/>
        <v>162000</v>
      </c>
    </row>
    <row r="1625" spans="2:17" ht="12.75">
      <c r="B1625" s="21">
        <f t="shared" si="233"/>
        <v>3</v>
      </c>
      <c r="C1625" s="10"/>
      <c r="D1625" s="10"/>
      <c r="E1625" s="10"/>
      <c r="F1625" s="30" t="s">
        <v>87</v>
      </c>
      <c r="G1625" s="10">
        <v>640</v>
      </c>
      <c r="H1625" s="10" t="s">
        <v>129</v>
      </c>
      <c r="I1625" s="61">
        <f>SUM(I1626:I1638)</f>
        <v>162000</v>
      </c>
      <c r="J1625" s="61">
        <f>SUM(J1626:J1637)</f>
        <v>0</v>
      </c>
      <c r="K1625" s="61">
        <f t="shared" si="230"/>
        <v>162000</v>
      </c>
      <c r="L1625" s="61"/>
      <c r="M1625" s="61"/>
      <c r="N1625" s="61">
        <f t="shared" si="231"/>
        <v>0</v>
      </c>
      <c r="O1625" s="61">
        <f t="shared" si="232"/>
        <v>162000</v>
      </c>
      <c r="P1625" s="61">
        <f t="shared" si="232"/>
        <v>0</v>
      </c>
      <c r="Q1625" s="61">
        <f t="shared" si="232"/>
        <v>162000</v>
      </c>
    </row>
    <row r="1626" spans="2:17" ht="12.75">
      <c r="B1626" s="21">
        <f t="shared" si="233"/>
        <v>4</v>
      </c>
      <c r="C1626" s="5"/>
      <c r="D1626" s="5"/>
      <c r="E1626" s="5"/>
      <c r="F1626" s="32"/>
      <c r="G1626" s="5"/>
      <c r="H1626" s="5" t="s">
        <v>280</v>
      </c>
      <c r="I1626" s="18">
        <f>74000-4500-1700</f>
        <v>67800</v>
      </c>
      <c r="J1626" s="18"/>
      <c r="K1626" s="18">
        <f t="shared" si="230"/>
        <v>67800</v>
      </c>
      <c r="L1626" s="18"/>
      <c r="M1626" s="18"/>
      <c r="N1626" s="18">
        <f t="shared" si="231"/>
        <v>0</v>
      </c>
      <c r="O1626" s="18">
        <f t="shared" si="232"/>
        <v>67800</v>
      </c>
      <c r="P1626" s="18">
        <f t="shared" si="232"/>
        <v>0</v>
      </c>
      <c r="Q1626" s="18">
        <f t="shared" si="232"/>
        <v>67800</v>
      </c>
    </row>
    <row r="1627" spans="2:17" ht="22.5">
      <c r="B1627" s="23">
        <f t="shared" si="233"/>
        <v>5</v>
      </c>
      <c r="C1627" s="28"/>
      <c r="D1627" s="28"/>
      <c r="E1627" s="28"/>
      <c r="F1627" s="36"/>
      <c r="G1627" s="28"/>
      <c r="H1627" s="27" t="s">
        <v>590</v>
      </c>
      <c r="I1627" s="91">
        <v>3000</v>
      </c>
      <c r="J1627" s="91"/>
      <c r="K1627" s="91">
        <f t="shared" si="230"/>
        <v>3000</v>
      </c>
      <c r="L1627" s="91"/>
      <c r="M1627" s="91"/>
      <c r="N1627" s="91">
        <f t="shared" si="231"/>
        <v>0</v>
      </c>
      <c r="O1627" s="91">
        <f t="shared" si="232"/>
        <v>3000</v>
      </c>
      <c r="P1627" s="91">
        <f t="shared" si="232"/>
        <v>0</v>
      </c>
      <c r="Q1627" s="91">
        <f t="shared" si="232"/>
        <v>3000</v>
      </c>
    </row>
    <row r="1628" spans="2:17" ht="12.75">
      <c r="B1628" s="23">
        <f t="shared" si="233"/>
        <v>6</v>
      </c>
      <c r="C1628" s="28"/>
      <c r="D1628" s="28"/>
      <c r="E1628" s="28"/>
      <c r="F1628" s="36"/>
      <c r="G1628" s="28"/>
      <c r="H1628" s="27" t="s">
        <v>637</v>
      </c>
      <c r="I1628" s="91">
        <v>7400</v>
      </c>
      <c r="J1628" s="91"/>
      <c r="K1628" s="91">
        <f t="shared" si="230"/>
        <v>7400</v>
      </c>
      <c r="L1628" s="91"/>
      <c r="M1628" s="91"/>
      <c r="N1628" s="91">
        <f t="shared" si="231"/>
        <v>0</v>
      </c>
      <c r="O1628" s="91">
        <f>I1628+L1628</f>
        <v>7400</v>
      </c>
      <c r="P1628" s="91">
        <f>J1628+M1628</f>
        <v>0</v>
      </c>
      <c r="Q1628" s="91">
        <f>K1628+N1628</f>
        <v>7400</v>
      </c>
    </row>
    <row r="1629" spans="2:17" ht="12.75">
      <c r="B1629" s="23">
        <f t="shared" si="233"/>
        <v>7</v>
      </c>
      <c r="C1629" s="5"/>
      <c r="D1629" s="5"/>
      <c r="E1629" s="5"/>
      <c r="F1629" s="32"/>
      <c r="G1629" s="5"/>
      <c r="H1629" s="46" t="s">
        <v>628</v>
      </c>
      <c r="I1629" s="18">
        <v>3000</v>
      </c>
      <c r="J1629" s="18"/>
      <c r="K1629" s="18">
        <f t="shared" si="230"/>
        <v>3000</v>
      </c>
      <c r="L1629" s="18"/>
      <c r="M1629" s="18"/>
      <c r="N1629" s="18">
        <f t="shared" si="231"/>
        <v>0</v>
      </c>
      <c r="O1629" s="18">
        <f aca="true" t="shared" si="234" ref="O1629:O1656">I1629+L1629</f>
        <v>3000</v>
      </c>
      <c r="P1629" s="18">
        <f aca="true" t="shared" si="235" ref="P1629:P1656">J1629+M1629</f>
        <v>0</v>
      </c>
      <c r="Q1629" s="18">
        <f aca="true" t="shared" si="236" ref="Q1629:Q1656">K1629+N1629</f>
        <v>3000</v>
      </c>
    </row>
    <row r="1630" spans="2:17" ht="12.75">
      <c r="B1630" s="23">
        <f t="shared" si="233"/>
        <v>8</v>
      </c>
      <c r="C1630" s="5"/>
      <c r="D1630" s="5"/>
      <c r="E1630" s="5"/>
      <c r="F1630" s="32"/>
      <c r="G1630" s="5"/>
      <c r="H1630" s="5" t="s">
        <v>391</v>
      </c>
      <c r="I1630" s="18">
        <v>10000</v>
      </c>
      <c r="J1630" s="18"/>
      <c r="K1630" s="18">
        <f t="shared" si="230"/>
        <v>10000</v>
      </c>
      <c r="L1630" s="18"/>
      <c r="M1630" s="18"/>
      <c r="N1630" s="18">
        <f t="shared" si="231"/>
        <v>0</v>
      </c>
      <c r="O1630" s="18">
        <f t="shared" si="234"/>
        <v>10000</v>
      </c>
      <c r="P1630" s="18">
        <f t="shared" si="235"/>
        <v>0</v>
      </c>
      <c r="Q1630" s="18">
        <f t="shared" si="236"/>
        <v>10000</v>
      </c>
    </row>
    <row r="1631" spans="2:17" ht="12.75">
      <c r="B1631" s="23">
        <f t="shared" si="233"/>
        <v>9</v>
      </c>
      <c r="C1631" s="5"/>
      <c r="D1631" s="5"/>
      <c r="E1631" s="5"/>
      <c r="F1631" s="32"/>
      <c r="G1631" s="5"/>
      <c r="H1631" s="5" t="s">
        <v>392</v>
      </c>
      <c r="I1631" s="18">
        <v>5000</v>
      </c>
      <c r="J1631" s="18"/>
      <c r="K1631" s="18">
        <f t="shared" si="230"/>
        <v>5000</v>
      </c>
      <c r="L1631" s="18"/>
      <c r="M1631" s="18"/>
      <c r="N1631" s="18">
        <f t="shared" si="231"/>
        <v>0</v>
      </c>
      <c r="O1631" s="18">
        <f t="shared" si="234"/>
        <v>5000</v>
      </c>
      <c r="P1631" s="18">
        <f t="shared" si="235"/>
        <v>0</v>
      </c>
      <c r="Q1631" s="18">
        <f t="shared" si="236"/>
        <v>5000</v>
      </c>
    </row>
    <row r="1632" spans="2:17" ht="22.5">
      <c r="B1632" s="23">
        <f t="shared" si="233"/>
        <v>10</v>
      </c>
      <c r="C1632" s="28"/>
      <c r="D1632" s="28"/>
      <c r="E1632" s="28"/>
      <c r="F1632" s="36"/>
      <c r="G1632" s="28"/>
      <c r="H1632" s="27" t="s">
        <v>405</v>
      </c>
      <c r="I1632" s="91">
        <v>6000</v>
      </c>
      <c r="J1632" s="91"/>
      <c r="K1632" s="91">
        <f t="shared" si="230"/>
        <v>6000</v>
      </c>
      <c r="L1632" s="91"/>
      <c r="M1632" s="91"/>
      <c r="N1632" s="91">
        <f t="shared" si="231"/>
        <v>0</v>
      </c>
      <c r="O1632" s="91">
        <f t="shared" si="234"/>
        <v>6000</v>
      </c>
      <c r="P1632" s="91">
        <f t="shared" si="235"/>
        <v>0</v>
      </c>
      <c r="Q1632" s="91">
        <f t="shared" si="236"/>
        <v>6000</v>
      </c>
    </row>
    <row r="1633" spans="2:17" ht="12.75">
      <c r="B1633" s="23">
        <f t="shared" si="233"/>
        <v>11</v>
      </c>
      <c r="C1633" s="28"/>
      <c r="D1633" s="28"/>
      <c r="E1633" s="28"/>
      <c r="F1633" s="36"/>
      <c r="G1633" s="28"/>
      <c r="H1633" s="27" t="s">
        <v>638</v>
      </c>
      <c r="I1633" s="91">
        <v>7100</v>
      </c>
      <c r="J1633" s="91"/>
      <c r="K1633" s="91">
        <f t="shared" si="230"/>
        <v>7100</v>
      </c>
      <c r="L1633" s="91"/>
      <c r="M1633" s="91"/>
      <c r="N1633" s="91">
        <f t="shared" si="231"/>
        <v>0</v>
      </c>
      <c r="O1633" s="91">
        <f t="shared" si="234"/>
        <v>7100</v>
      </c>
      <c r="P1633" s="91">
        <f t="shared" si="235"/>
        <v>0</v>
      </c>
      <c r="Q1633" s="91">
        <f t="shared" si="236"/>
        <v>7100</v>
      </c>
    </row>
    <row r="1634" spans="2:17" ht="12.75">
      <c r="B1634" s="23">
        <f t="shared" si="233"/>
        <v>12</v>
      </c>
      <c r="C1634" s="5"/>
      <c r="D1634" s="5"/>
      <c r="E1634" s="5"/>
      <c r="F1634" s="32"/>
      <c r="G1634" s="5"/>
      <c r="H1634" s="5" t="s">
        <v>283</v>
      </c>
      <c r="I1634" s="18">
        <f>20000+3000</f>
        <v>23000</v>
      </c>
      <c r="J1634" s="18"/>
      <c r="K1634" s="18">
        <f t="shared" si="230"/>
        <v>23000</v>
      </c>
      <c r="L1634" s="18"/>
      <c r="M1634" s="18"/>
      <c r="N1634" s="18">
        <f t="shared" si="231"/>
        <v>0</v>
      </c>
      <c r="O1634" s="18">
        <f t="shared" si="234"/>
        <v>23000</v>
      </c>
      <c r="P1634" s="18">
        <f t="shared" si="235"/>
        <v>0</v>
      </c>
      <c r="Q1634" s="18">
        <f t="shared" si="236"/>
        <v>23000</v>
      </c>
    </row>
    <row r="1635" spans="2:17" ht="12.75">
      <c r="B1635" s="23">
        <f t="shared" si="233"/>
        <v>13</v>
      </c>
      <c r="C1635" s="5"/>
      <c r="D1635" s="5"/>
      <c r="E1635" s="5"/>
      <c r="F1635" s="32"/>
      <c r="G1635" s="5"/>
      <c r="H1635" s="5" t="s">
        <v>393</v>
      </c>
      <c r="I1635" s="18">
        <v>20000</v>
      </c>
      <c r="J1635" s="18"/>
      <c r="K1635" s="18">
        <f t="shared" si="230"/>
        <v>20000</v>
      </c>
      <c r="L1635" s="18"/>
      <c r="M1635" s="18"/>
      <c r="N1635" s="18">
        <f t="shared" si="231"/>
        <v>0</v>
      </c>
      <c r="O1635" s="18">
        <f t="shared" si="234"/>
        <v>20000</v>
      </c>
      <c r="P1635" s="18">
        <f t="shared" si="235"/>
        <v>0</v>
      </c>
      <c r="Q1635" s="18">
        <f t="shared" si="236"/>
        <v>20000</v>
      </c>
    </row>
    <row r="1636" spans="2:17" ht="12.75">
      <c r="B1636" s="23">
        <f t="shared" si="233"/>
        <v>14</v>
      </c>
      <c r="C1636" s="5"/>
      <c r="D1636" s="5"/>
      <c r="E1636" s="5"/>
      <c r="F1636" s="32"/>
      <c r="G1636" s="5"/>
      <c r="H1636" s="5" t="s">
        <v>627</v>
      </c>
      <c r="I1636" s="18">
        <v>3000</v>
      </c>
      <c r="J1636" s="18"/>
      <c r="K1636" s="18">
        <f t="shared" si="230"/>
        <v>3000</v>
      </c>
      <c r="L1636" s="18"/>
      <c r="M1636" s="18"/>
      <c r="N1636" s="18">
        <f t="shared" si="231"/>
        <v>0</v>
      </c>
      <c r="O1636" s="18">
        <f t="shared" si="234"/>
        <v>3000</v>
      </c>
      <c r="P1636" s="18">
        <f t="shared" si="235"/>
        <v>0</v>
      </c>
      <c r="Q1636" s="18">
        <f t="shared" si="236"/>
        <v>3000</v>
      </c>
    </row>
    <row r="1637" spans="2:17" ht="12.75">
      <c r="B1637" s="23">
        <f t="shared" si="233"/>
        <v>15</v>
      </c>
      <c r="C1637" s="5"/>
      <c r="D1637" s="5"/>
      <c r="E1637" s="5"/>
      <c r="F1637" s="32"/>
      <c r="G1637" s="5"/>
      <c r="H1637" s="5" t="s">
        <v>586</v>
      </c>
      <c r="I1637" s="18">
        <v>3000</v>
      </c>
      <c r="J1637" s="18"/>
      <c r="K1637" s="18">
        <f t="shared" si="230"/>
        <v>3000</v>
      </c>
      <c r="L1637" s="18"/>
      <c r="M1637" s="18"/>
      <c r="N1637" s="18">
        <f t="shared" si="231"/>
        <v>0</v>
      </c>
      <c r="O1637" s="18">
        <f t="shared" si="234"/>
        <v>3000</v>
      </c>
      <c r="P1637" s="18">
        <f t="shared" si="235"/>
        <v>0</v>
      </c>
      <c r="Q1637" s="18">
        <f t="shared" si="236"/>
        <v>3000</v>
      </c>
    </row>
    <row r="1638" spans="2:17" ht="12.75">
      <c r="B1638" s="23">
        <f t="shared" si="233"/>
        <v>16</v>
      </c>
      <c r="C1638" s="5"/>
      <c r="D1638" s="26"/>
      <c r="E1638" s="5"/>
      <c r="F1638" s="32"/>
      <c r="G1638" s="5"/>
      <c r="H1638" s="58" t="s">
        <v>665</v>
      </c>
      <c r="I1638" s="18">
        <v>3700</v>
      </c>
      <c r="J1638" s="18"/>
      <c r="K1638" s="18">
        <f t="shared" si="230"/>
        <v>3700</v>
      </c>
      <c r="L1638" s="18"/>
      <c r="M1638" s="18"/>
      <c r="N1638" s="18">
        <f>L1638+M1638</f>
        <v>0</v>
      </c>
      <c r="O1638" s="18">
        <f>I1638+L1638</f>
        <v>3700</v>
      </c>
      <c r="P1638" s="18">
        <f>J1638+M1638</f>
        <v>0</v>
      </c>
      <c r="Q1638" s="18">
        <f>K1638+N1638</f>
        <v>3700</v>
      </c>
    </row>
    <row r="1639" spans="2:17" ht="15">
      <c r="B1639" s="23">
        <f t="shared" si="233"/>
        <v>17</v>
      </c>
      <c r="C1639" s="7">
        <v>2</v>
      </c>
      <c r="D1639" s="232" t="s">
        <v>173</v>
      </c>
      <c r="E1639" s="233"/>
      <c r="F1639" s="233"/>
      <c r="G1639" s="233"/>
      <c r="H1639" s="234"/>
      <c r="I1639" s="87">
        <f>I1640</f>
        <v>121000</v>
      </c>
      <c r="J1639" s="87">
        <f>J1640</f>
        <v>-5936</v>
      </c>
      <c r="K1639" s="87">
        <f t="shared" si="230"/>
        <v>115064</v>
      </c>
      <c r="L1639" s="87">
        <f>L1643</f>
        <v>7660</v>
      </c>
      <c r="M1639" s="87">
        <f>M1643</f>
        <v>0</v>
      </c>
      <c r="N1639" s="87">
        <f t="shared" si="231"/>
        <v>7660</v>
      </c>
      <c r="O1639" s="87">
        <f t="shared" si="234"/>
        <v>128660</v>
      </c>
      <c r="P1639" s="87">
        <f t="shared" si="235"/>
        <v>-5936</v>
      </c>
      <c r="Q1639" s="87">
        <f t="shared" si="236"/>
        <v>122724</v>
      </c>
    </row>
    <row r="1640" spans="2:17" ht="12.75">
      <c r="B1640" s="23">
        <f t="shared" si="233"/>
        <v>18</v>
      </c>
      <c r="C1640" s="10"/>
      <c r="D1640" s="10"/>
      <c r="E1640" s="10"/>
      <c r="F1640" s="30" t="s">
        <v>87</v>
      </c>
      <c r="G1640" s="10">
        <v>630</v>
      </c>
      <c r="H1640" s="10" t="s">
        <v>121</v>
      </c>
      <c r="I1640" s="61">
        <f>SUM(I1641:I1642)</f>
        <v>121000</v>
      </c>
      <c r="J1640" s="61">
        <f>SUM(J1641:J1642)</f>
        <v>-5936</v>
      </c>
      <c r="K1640" s="61">
        <f t="shared" si="230"/>
        <v>115064</v>
      </c>
      <c r="L1640" s="61"/>
      <c r="M1640" s="61"/>
      <c r="N1640" s="61">
        <f t="shared" si="231"/>
        <v>0</v>
      </c>
      <c r="O1640" s="61">
        <f t="shared" si="234"/>
        <v>121000</v>
      </c>
      <c r="P1640" s="61">
        <f t="shared" si="235"/>
        <v>-5936</v>
      </c>
      <c r="Q1640" s="61">
        <f t="shared" si="236"/>
        <v>115064</v>
      </c>
    </row>
    <row r="1641" spans="2:17" ht="12.75">
      <c r="B1641" s="23">
        <f t="shared" si="233"/>
        <v>19</v>
      </c>
      <c r="C1641" s="4"/>
      <c r="D1641" s="4"/>
      <c r="E1641" s="4"/>
      <c r="F1641" s="31" t="s">
        <v>87</v>
      </c>
      <c r="G1641" s="4">
        <v>633</v>
      </c>
      <c r="H1641" s="4" t="s">
        <v>125</v>
      </c>
      <c r="I1641" s="17">
        <v>4000</v>
      </c>
      <c r="J1641" s="17"/>
      <c r="K1641" s="17">
        <f t="shared" si="230"/>
        <v>4000</v>
      </c>
      <c r="L1641" s="17"/>
      <c r="M1641" s="17"/>
      <c r="N1641" s="17">
        <f t="shared" si="231"/>
        <v>0</v>
      </c>
      <c r="O1641" s="17">
        <f t="shared" si="234"/>
        <v>4000</v>
      </c>
      <c r="P1641" s="17">
        <f t="shared" si="235"/>
        <v>0</v>
      </c>
      <c r="Q1641" s="17">
        <f t="shared" si="236"/>
        <v>4000</v>
      </c>
    </row>
    <row r="1642" spans="2:17" ht="12.75">
      <c r="B1642" s="23">
        <f t="shared" si="233"/>
        <v>20</v>
      </c>
      <c r="C1642" s="4"/>
      <c r="D1642" s="29"/>
      <c r="E1642" s="4"/>
      <c r="F1642" s="31" t="s">
        <v>87</v>
      </c>
      <c r="G1642" s="4">
        <v>637</v>
      </c>
      <c r="H1642" s="47" t="s">
        <v>122</v>
      </c>
      <c r="I1642" s="17">
        <f>144000-27000</f>
        <v>117000</v>
      </c>
      <c r="J1642" s="17">
        <v>-5936</v>
      </c>
      <c r="K1642" s="17">
        <f t="shared" si="230"/>
        <v>111064</v>
      </c>
      <c r="L1642" s="17"/>
      <c r="M1642" s="17"/>
      <c r="N1642" s="17">
        <f t="shared" si="231"/>
        <v>0</v>
      </c>
      <c r="O1642" s="17">
        <f t="shared" si="234"/>
        <v>117000</v>
      </c>
      <c r="P1642" s="17">
        <f t="shared" si="235"/>
        <v>-5936</v>
      </c>
      <c r="Q1642" s="17">
        <f t="shared" si="236"/>
        <v>111064</v>
      </c>
    </row>
    <row r="1643" spans="2:17" ht="12.75">
      <c r="B1643" s="23">
        <f t="shared" si="233"/>
        <v>21</v>
      </c>
      <c r="C1643" s="4"/>
      <c r="D1643" s="29"/>
      <c r="E1643" s="4"/>
      <c r="F1643" s="52" t="s">
        <v>87</v>
      </c>
      <c r="G1643" s="3">
        <v>710</v>
      </c>
      <c r="H1643" s="53" t="s">
        <v>176</v>
      </c>
      <c r="I1643" s="17"/>
      <c r="J1643" s="17"/>
      <c r="K1643" s="17">
        <f t="shared" si="230"/>
        <v>0</v>
      </c>
      <c r="L1643" s="16">
        <f>L1646+L1644</f>
        <v>7660</v>
      </c>
      <c r="M1643" s="16">
        <f>M1646+M1644</f>
        <v>0</v>
      </c>
      <c r="N1643" s="16">
        <f t="shared" si="231"/>
        <v>7660</v>
      </c>
      <c r="O1643" s="16">
        <f t="shared" si="234"/>
        <v>7660</v>
      </c>
      <c r="P1643" s="16">
        <f t="shared" si="235"/>
        <v>0</v>
      </c>
      <c r="Q1643" s="16">
        <f t="shared" si="236"/>
        <v>7660</v>
      </c>
    </row>
    <row r="1644" spans="2:17" ht="12.75">
      <c r="B1644" s="23">
        <f t="shared" si="233"/>
        <v>22</v>
      </c>
      <c r="C1644" s="4"/>
      <c r="D1644" s="29"/>
      <c r="E1644" s="4"/>
      <c r="F1644" s="31" t="s">
        <v>87</v>
      </c>
      <c r="G1644" s="4">
        <v>716</v>
      </c>
      <c r="H1644" s="47" t="s">
        <v>222</v>
      </c>
      <c r="I1644" s="17"/>
      <c r="J1644" s="17"/>
      <c r="K1644" s="17">
        <f t="shared" si="230"/>
        <v>0</v>
      </c>
      <c r="L1644" s="17">
        <f>L1645</f>
        <v>660</v>
      </c>
      <c r="M1644" s="17">
        <f>M1645</f>
        <v>0</v>
      </c>
      <c r="N1644" s="17">
        <f t="shared" si="231"/>
        <v>660</v>
      </c>
      <c r="O1644" s="17">
        <f t="shared" si="234"/>
        <v>660</v>
      </c>
      <c r="P1644" s="17">
        <f t="shared" si="235"/>
        <v>0</v>
      </c>
      <c r="Q1644" s="17">
        <f t="shared" si="236"/>
        <v>660</v>
      </c>
    </row>
    <row r="1645" spans="2:17" ht="12.75">
      <c r="B1645" s="23">
        <f t="shared" si="233"/>
        <v>23</v>
      </c>
      <c r="C1645" s="4"/>
      <c r="D1645" s="29"/>
      <c r="E1645" s="4"/>
      <c r="F1645" s="31"/>
      <c r="G1645" s="4"/>
      <c r="H1645" s="50" t="s">
        <v>406</v>
      </c>
      <c r="I1645" s="17"/>
      <c r="J1645" s="17"/>
      <c r="K1645" s="17">
        <f t="shared" si="230"/>
        <v>0</v>
      </c>
      <c r="L1645" s="18">
        <f>2000-1340</f>
        <v>660</v>
      </c>
      <c r="M1645" s="18"/>
      <c r="N1645" s="18">
        <f t="shared" si="231"/>
        <v>660</v>
      </c>
      <c r="O1645" s="18">
        <f t="shared" si="234"/>
        <v>660</v>
      </c>
      <c r="P1645" s="18">
        <f t="shared" si="235"/>
        <v>0</v>
      </c>
      <c r="Q1645" s="18">
        <f t="shared" si="236"/>
        <v>660</v>
      </c>
    </row>
    <row r="1646" spans="2:17" ht="12.75">
      <c r="B1646" s="23">
        <f t="shared" si="233"/>
        <v>24</v>
      </c>
      <c r="C1646" s="4"/>
      <c r="D1646" s="29"/>
      <c r="E1646" s="4"/>
      <c r="F1646" s="33" t="s">
        <v>87</v>
      </c>
      <c r="G1646" s="4">
        <v>717</v>
      </c>
      <c r="H1646" s="51" t="s">
        <v>186</v>
      </c>
      <c r="I1646" s="17"/>
      <c r="J1646" s="17"/>
      <c r="K1646" s="17">
        <f t="shared" si="230"/>
        <v>0</v>
      </c>
      <c r="L1646" s="17">
        <f>L1647</f>
        <v>7000</v>
      </c>
      <c r="M1646" s="17">
        <f>M1647</f>
        <v>0</v>
      </c>
      <c r="N1646" s="17">
        <f t="shared" si="231"/>
        <v>7000</v>
      </c>
      <c r="O1646" s="17">
        <f t="shared" si="234"/>
        <v>7000</v>
      </c>
      <c r="P1646" s="17">
        <f t="shared" si="235"/>
        <v>0</v>
      </c>
      <c r="Q1646" s="17">
        <f t="shared" si="236"/>
        <v>7000</v>
      </c>
    </row>
    <row r="1647" spans="2:17" ht="12.75">
      <c r="B1647" s="21">
        <f t="shared" si="233"/>
        <v>25</v>
      </c>
      <c r="C1647" s="4"/>
      <c r="D1647" s="29"/>
      <c r="E1647" s="4"/>
      <c r="F1647" s="31"/>
      <c r="G1647" s="4"/>
      <c r="H1647" s="50" t="s">
        <v>406</v>
      </c>
      <c r="I1647" s="17"/>
      <c r="J1647" s="17"/>
      <c r="K1647" s="17">
        <f t="shared" si="230"/>
        <v>0</v>
      </c>
      <c r="L1647" s="18">
        <f>2700+4300</f>
        <v>7000</v>
      </c>
      <c r="M1647" s="18"/>
      <c r="N1647" s="18">
        <f t="shared" si="231"/>
        <v>7000</v>
      </c>
      <c r="O1647" s="18">
        <f t="shared" si="234"/>
        <v>7000</v>
      </c>
      <c r="P1647" s="18">
        <f t="shared" si="235"/>
        <v>0</v>
      </c>
      <c r="Q1647" s="18">
        <f t="shared" si="236"/>
        <v>7000</v>
      </c>
    </row>
    <row r="1648" spans="2:17" ht="15">
      <c r="B1648" s="21">
        <f t="shared" si="233"/>
        <v>26</v>
      </c>
      <c r="C1648" s="7">
        <v>3</v>
      </c>
      <c r="D1648" s="232" t="s">
        <v>137</v>
      </c>
      <c r="E1648" s="233"/>
      <c r="F1648" s="233"/>
      <c r="G1648" s="233"/>
      <c r="H1648" s="234"/>
      <c r="I1648" s="87">
        <f>I1649+I1650</f>
        <v>164800</v>
      </c>
      <c r="J1648" s="87">
        <f>J1649+J1650</f>
        <v>0</v>
      </c>
      <c r="K1648" s="87">
        <f t="shared" si="230"/>
        <v>164800</v>
      </c>
      <c r="L1648" s="87">
        <f>L1655</f>
        <v>829900</v>
      </c>
      <c r="M1648" s="87">
        <f>M1655</f>
        <v>0</v>
      </c>
      <c r="N1648" s="87">
        <f t="shared" si="231"/>
        <v>829900</v>
      </c>
      <c r="O1648" s="87">
        <f t="shared" si="234"/>
        <v>994700</v>
      </c>
      <c r="P1648" s="87">
        <f t="shared" si="235"/>
        <v>0</v>
      </c>
      <c r="Q1648" s="87">
        <f t="shared" si="236"/>
        <v>994700</v>
      </c>
    </row>
    <row r="1649" spans="2:17" ht="12.75">
      <c r="B1649" s="21">
        <f t="shared" si="233"/>
        <v>27</v>
      </c>
      <c r="C1649" s="10"/>
      <c r="D1649" s="10"/>
      <c r="E1649" s="10"/>
      <c r="F1649" s="30" t="s">
        <v>87</v>
      </c>
      <c r="G1649" s="10">
        <v>620</v>
      </c>
      <c r="H1649" s="10" t="s">
        <v>124</v>
      </c>
      <c r="I1649" s="61">
        <v>5350</v>
      </c>
      <c r="J1649" s="61"/>
      <c r="K1649" s="61">
        <f t="shared" si="230"/>
        <v>5350</v>
      </c>
      <c r="L1649" s="61"/>
      <c r="M1649" s="61"/>
      <c r="N1649" s="61">
        <f t="shared" si="231"/>
        <v>0</v>
      </c>
      <c r="O1649" s="61">
        <f t="shared" si="234"/>
        <v>5350</v>
      </c>
      <c r="P1649" s="61">
        <f t="shared" si="235"/>
        <v>0</v>
      </c>
      <c r="Q1649" s="61">
        <f t="shared" si="236"/>
        <v>5350</v>
      </c>
    </row>
    <row r="1650" spans="2:17" ht="12.75">
      <c r="B1650" s="21">
        <f t="shared" si="233"/>
        <v>28</v>
      </c>
      <c r="C1650" s="10"/>
      <c r="D1650" s="10"/>
      <c r="E1650" s="10"/>
      <c r="F1650" s="30" t="s">
        <v>87</v>
      </c>
      <c r="G1650" s="10">
        <v>630</v>
      </c>
      <c r="H1650" s="10" t="s">
        <v>121</v>
      </c>
      <c r="I1650" s="61">
        <f>I1654+I1653+I1652+I1651</f>
        <v>159450</v>
      </c>
      <c r="J1650" s="61">
        <f>J1654+J1653+J1652+J1651</f>
        <v>0</v>
      </c>
      <c r="K1650" s="61">
        <f t="shared" si="230"/>
        <v>159450</v>
      </c>
      <c r="L1650" s="61"/>
      <c r="M1650" s="61"/>
      <c r="N1650" s="61">
        <f t="shared" si="231"/>
        <v>0</v>
      </c>
      <c r="O1650" s="61">
        <f t="shared" si="234"/>
        <v>159450</v>
      </c>
      <c r="P1650" s="61">
        <f t="shared" si="235"/>
        <v>0</v>
      </c>
      <c r="Q1650" s="61">
        <f t="shared" si="236"/>
        <v>159450</v>
      </c>
    </row>
    <row r="1651" spans="2:17" ht="12.75">
      <c r="B1651" s="21">
        <f t="shared" si="233"/>
        <v>29</v>
      </c>
      <c r="C1651" s="4"/>
      <c r="D1651" s="4"/>
      <c r="E1651" s="4"/>
      <c r="F1651" s="31" t="s">
        <v>87</v>
      </c>
      <c r="G1651" s="4">
        <v>632</v>
      </c>
      <c r="H1651" s="4" t="s">
        <v>134</v>
      </c>
      <c r="I1651" s="17">
        <v>92000</v>
      </c>
      <c r="J1651" s="17"/>
      <c r="K1651" s="17">
        <f t="shared" si="230"/>
        <v>92000</v>
      </c>
      <c r="L1651" s="17"/>
      <c r="M1651" s="17"/>
      <c r="N1651" s="17">
        <f t="shared" si="231"/>
        <v>0</v>
      </c>
      <c r="O1651" s="17">
        <f t="shared" si="234"/>
        <v>92000</v>
      </c>
      <c r="P1651" s="17">
        <f t="shared" si="235"/>
        <v>0</v>
      </c>
      <c r="Q1651" s="17">
        <f t="shared" si="236"/>
        <v>92000</v>
      </c>
    </row>
    <row r="1652" spans="2:17" ht="12.75">
      <c r="B1652" s="21">
        <f t="shared" si="233"/>
        <v>30</v>
      </c>
      <c r="C1652" s="4"/>
      <c r="D1652" s="4"/>
      <c r="E1652" s="4"/>
      <c r="F1652" s="31" t="s">
        <v>87</v>
      </c>
      <c r="G1652" s="4">
        <v>633</v>
      </c>
      <c r="H1652" s="4" t="s">
        <v>125</v>
      </c>
      <c r="I1652" s="17">
        <v>16500</v>
      </c>
      <c r="J1652" s="17"/>
      <c r="K1652" s="17">
        <f t="shared" si="230"/>
        <v>16500</v>
      </c>
      <c r="L1652" s="17"/>
      <c r="M1652" s="17"/>
      <c r="N1652" s="17">
        <f t="shared" si="231"/>
        <v>0</v>
      </c>
      <c r="O1652" s="17">
        <f t="shared" si="234"/>
        <v>16500</v>
      </c>
      <c r="P1652" s="17">
        <f t="shared" si="235"/>
        <v>0</v>
      </c>
      <c r="Q1652" s="17">
        <f t="shared" si="236"/>
        <v>16500</v>
      </c>
    </row>
    <row r="1653" spans="2:17" ht="12.75">
      <c r="B1653" s="21">
        <f t="shared" si="233"/>
        <v>31</v>
      </c>
      <c r="C1653" s="4"/>
      <c r="D1653" s="4"/>
      <c r="E1653" s="4"/>
      <c r="F1653" s="31" t="s">
        <v>87</v>
      </c>
      <c r="G1653" s="4">
        <v>635</v>
      </c>
      <c r="H1653" s="4" t="s">
        <v>133</v>
      </c>
      <c r="I1653" s="17">
        <v>23000</v>
      </c>
      <c r="J1653" s="17"/>
      <c r="K1653" s="17">
        <f t="shared" si="230"/>
        <v>23000</v>
      </c>
      <c r="L1653" s="17"/>
      <c r="M1653" s="17"/>
      <c r="N1653" s="17">
        <f t="shared" si="231"/>
        <v>0</v>
      </c>
      <c r="O1653" s="17">
        <f t="shared" si="234"/>
        <v>23000</v>
      </c>
      <c r="P1653" s="17">
        <f t="shared" si="235"/>
        <v>0</v>
      </c>
      <c r="Q1653" s="17">
        <f t="shared" si="236"/>
        <v>23000</v>
      </c>
    </row>
    <row r="1654" spans="2:17" ht="12.75">
      <c r="B1654" s="21">
        <f t="shared" si="233"/>
        <v>32</v>
      </c>
      <c r="C1654" s="4"/>
      <c r="D1654" s="4"/>
      <c r="E1654" s="4"/>
      <c r="F1654" s="31" t="s">
        <v>87</v>
      </c>
      <c r="G1654" s="4">
        <v>637</v>
      </c>
      <c r="H1654" s="4" t="s">
        <v>122</v>
      </c>
      <c r="I1654" s="17">
        <v>27950</v>
      </c>
      <c r="J1654" s="17"/>
      <c r="K1654" s="17">
        <f t="shared" si="230"/>
        <v>27950</v>
      </c>
      <c r="L1654" s="17"/>
      <c r="M1654" s="17"/>
      <c r="N1654" s="17">
        <f t="shared" si="231"/>
        <v>0</v>
      </c>
      <c r="O1654" s="17">
        <f t="shared" si="234"/>
        <v>27950</v>
      </c>
      <c r="P1654" s="17">
        <f t="shared" si="235"/>
        <v>0</v>
      </c>
      <c r="Q1654" s="17">
        <f t="shared" si="236"/>
        <v>27950</v>
      </c>
    </row>
    <row r="1655" spans="2:17" ht="12.75">
      <c r="B1655" s="21">
        <f t="shared" si="233"/>
        <v>33</v>
      </c>
      <c r="C1655" s="10"/>
      <c r="D1655" s="10"/>
      <c r="E1655" s="10"/>
      <c r="F1655" s="30" t="s">
        <v>87</v>
      </c>
      <c r="G1655" s="10">
        <v>710</v>
      </c>
      <c r="H1655" s="10" t="s">
        <v>176</v>
      </c>
      <c r="I1655" s="61"/>
      <c r="J1655" s="61"/>
      <c r="K1655" s="61">
        <f t="shared" si="230"/>
        <v>0</v>
      </c>
      <c r="L1655" s="61">
        <f>L1658+L1656</f>
        <v>829900</v>
      </c>
      <c r="M1655" s="61">
        <f>M1658+M1656</f>
        <v>0</v>
      </c>
      <c r="N1655" s="61">
        <f t="shared" si="231"/>
        <v>829900</v>
      </c>
      <c r="O1655" s="61">
        <f t="shared" si="234"/>
        <v>829900</v>
      </c>
      <c r="P1655" s="61">
        <f t="shared" si="235"/>
        <v>0</v>
      </c>
      <c r="Q1655" s="61">
        <f t="shared" si="236"/>
        <v>829900</v>
      </c>
    </row>
    <row r="1656" spans="2:17" ht="12.75">
      <c r="B1656" s="21">
        <f t="shared" si="233"/>
        <v>34</v>
      </c>
      <c r="C1656" s="4"/>
      <c r="D1656" s="4"/>
      <c r="E1656" s="4"/>
      <c r="F1656" s="31" t="s">
        <v>87</v>
      </c>
      <c r="G1656" s="4">
        <v>716</v>
      </c>
      <c r="H1656" s="4" t="s">
        <v>222</v>
      </c>
      <c r="I1656" s="17"/>
      <c r="J1656" s="17"/>
      <c r="K1656" s="17">
        <f aca="true" t="shared" si="237" ref="K1656:K1674">I1656+J1656</f>
        <v>0</v>
      </c>
      <c r="L1656" s="17">
        <f>SUM(L1657:L1657)</f>
        <v>20000</v>
      </c>
      <c r="M1656" s="17">
        <f>SUM(M1657:M1657)</f>
        <v>0</v>
      </c>
      <c r="N1656" s="17">
        <f aca="true" t="shared" si="238" ref="N1656:N1674">L1656+M1656</f>
        <v>20000</v>
      </c>
      <c r="O1656" s="17">
        <f t="shared" si="234"/>
        <v>20000</v>
      </c>
      <c r="P1656" s="17">
        <f t="shared" si="235"/>
        <v>0</v>
      </c>
      <c r="Q1656" s="17">
        <f t="shared" si="236"/>
        <v>20000</v>
      </c>
    </row>
    <row r="1657" spans="2:17" ht="12.75">
      <c r="B1657" s="21">
        <f aca="true" t="shared" si="239" ref="B1657:B1674">B1656+1</f>
        <v>35</v>
      </c>
      <c r="C1657" s="5"/>
      <c r="D1657" s="5"/>
      <c r="E1657" s="5"/>
      <c r="F1657" s="32"/>
      <c r="G1657" s="5"/>
      <c r="H1657" s="5" t="s">
        <v>472</v>
      </c>
      <c r="I1657" s="18"/>
      <c r="J1657" s="18"/>
      <c r="K1657" s="18">
        <f t="shared" si="237"/>
        <v>0</v>
      </c>
      <c r="L1657" s="18">
        <v>20000</v>
      </c>
      <c r="M1657" s="18"/>
      <c r="N1657" s="18">
        <f t="shared" si="238"/>
        <v>20000</v>
      </c>
      <c r="O1657" s="18">
        <f>L1657</f>
        <v>20000</v>
      </c>
      <c r="P1657" s="18">
        <f>M1657</f>
        <v>0</v>
      </c>
      <c r="Q1657" s="18">
        <f>N1657</f>
        <v>20000</v>
      </c>
    </row>
    <row r="1658" spans="2:17" ht="12.75">
      <c r="B1658" s="21">
        <f t="shared" si="239"/>
        <v>36</v>
      </c>
      <c r="C1658" s="4"/>
      <c r="D1658" s="4"/>
      <c r="E1658" s="4"/>
      <c r="F1658" s="31" t="s">
        <v>87</v>
      </c>
      <c r="G1658" s="4">
        <v>717</v>
      </c>
      <c r="H1658" s="4" t="s">
        <v>186</v>
      </c>
      <c r="I1658" s="17"/>
      <c r="J1658" s="17"/>
      <c r="K1658" s="17">
        <f t="shared" si="237"/>
        <v>0</v>
      </c>
      <c r="L1658" s="17">
        <f>SUM(L1659:L1663)</f>
        <v>809900</v>
      </c>
      <c r="M1658" s="17">
        <f>SUM(M1659:M1663)</f>
        <v>0</v>
      </c>
      <c r="N1658" s="17">
        <f t="shared" si="238"/>
        <v>809900</v>
      </c>
      <c r="O1658" s="17">
        <f aca="true" t="shared" si="240" ref="O1658:O1668">I1658+L1658</f>
        <v>809900</v>
      </c>
      <c r="P1658" s="17">
        <f aca="true" t="shared" si="241" ref="P1658:P1668">J1658+M1658</f>
        <v>0</v>
      </c>
      <c r="Q1658" s="17">
        <f aca="true" t="shared" si="242" ref="Q1658:Q1668">K1658+N1658</f>
        <v>809900</v>
      </c>
    </row>
    <row r="1659" spans="2:17" ht="12.75">
      <c r="B1659" s="21">
        <f t="shared" si="239"/>
        <v>37</v>
      </c>
      <c r="C1659" s="5"/>
      <c r="D1659" s="5"/>
      <c r="E1659" s="5"/>
      <c r="F1659" s="32"/>
      <c r="G1659" s="5"/>
      <c r="H1659" s="5" t="s">
        <v>300</v>
      </c>
      <c r="I1659" s="18"/>
      <c r="J1659" s="18"/>
      <c r="K1659" s="18">
        <f t="shared" si="237"/>
        <v>0</v>
      </c>
      <c r="L1659" s="18">
        <v>378000</v>
      </c>
      <c r="M1659" s="18"/>
      <c r="N1659" s="18">
        <f t="shared" si="238"/>
        <v>378000</v>
      </c>
      <c r="O1659" s="18">
        <f t="shared" si="240"/>
        <v>378000</v>
      </c>
      <c r="P1659" s="18">
        <f t="shared" si="241"/>
        <v>0</v>
      </c>
      <c r="Q1659" s="18">
        <f t="shared" si="242"/>
        <v>378000</v>
      </c>
    </row>
    <row r="1660" spans="2:17" ht="12.75">
      <c r="B1660" s="21">
        <f t="shared" si="239"/>
        <v>38</v>
      </c>
      <c r="C1660" s="5"/>
      <c r="D1660" s="5"/>
      <c r="E1660" s="5"/>
      <c r="F1660" s="32"/>
      <c r="G1660" s="5"/>
      <c r="H1660" s="5" t="s">
        <v>314</v>
      </c>
      <c r="I1660" s="18"/>
      <c r="J1660" s="18"/>
      <c r="K1660" s="18">
        <f t="shared" si="237"/>
        <v>0</v>
      </c>
      <c r="L1660" s="18">
        <f>12900+2000</f>
        <v>14900</v>
      </c>
      <c r="M1660" s="18"/>
      <c r="N1660" s="18">
        <f t="shared" si="238"/>
        <v>14900</v>
      </c>
      <c r="O1660" s="18">
        <f t="shared" si="240"/>
        <v>14900</v>
      </c>
      <c r="P1660" s="18">
        <f t="shared" si="241"/>
        <v>0</v>
      </c>
      <c r="Q1660" s="18">
        <f t="shared" si="242"/>
        <v>14900</v>
      </c>
    </row>
    <row r="1661" spans="2:17" ht="12.75">
      <c r="B1661" s="21">
        <f t="shared" si="239"/>
        <v>39</v>
      </c>
      <c r="C1661" s="5"/>
      <c r="D1661" s="5"/>
      <c r="E1661" s="5"/>
      <c r="F1661" s="32"/>
      <c r="G1661" s="5"/>
      <c r="H1661" s="5" t="s">
        <v>550</v>
      </c>
      <c r="I1661" s="18"/>
      <c r="J1661" s="18"/>
      <c r="K1661" s="18">
        <f t="shared" si="237"/>
        <v>0</v>
      </c>
      <c r="L1661" s="18">
        <v>12000</v>
      </c>
      <c r="M1661" s="18"/>
      <c r="N1661" s="18">
        <f t="shared" si="238"/>
        <v>12000</v>
      </c>
      <c r="O1661" s="18">
        <f t="shared" si="240"/>
        <v>12000</v>
      </c>
      <c r="P1661" s="18">
        <f t="shared" si="241"/>
        <v>0</v>
      </c>
      <c r="Q1661" s="18">
        <f t="shared" si="242"/>
        <v>12000</v>
      </c>
    </row>
    <row r="1662" spans="2:17" ht="12.75">
      <c r="B1662" s="21">
        <f t="shared" si="239"/>
        <v>40</v>
      </c>
      <c r="C1662" s="5"/>
      <c r="D1662" s="5"/>
      <c r="E1662" s="5"/>
      <c r="F1662" s="32"/>
      <c r="G1662" s="5"/>
      <c r="H1662" s="5" t="s">
        <v>551</v>
      </c>
      <c r="I1662" s="18"/>
      <c r="J1662" s="18"/>
      <c r="K1662" s="18">
        <f t="shared" si="237"/>
        <v>0</v>
      </c>
      <c r="L1662" s="18">
        <v>5000</v>
      </c>
      <c r="M1662" s="18"/>
      <c r="N1662" s="18">
        <f t="shared" si="238"/>
        <v>5000</v>
      </c>
      <c r="O1662" s="18">
        <f t="shared" si="240"/>
        <v>5000</v>
      </c>
      <c r="P1662" s="18">
        <f t="shared" si="241"/>
        <v>0</v>
      </c>
      <c r="Q1662" s="18">
        <f t="shared" si="242"/>
        <v>5000</v>
      </c>
    </row>
    <row r="1663" spans="2:17" ht="12.75">
      <c r="B1663" s="21">
        <f t="shared" si="239"/>
        <v>41</v>
      </c>
      <c r="C1663" s="5"/>
      <c r="D1663" s="5"/>
      <c r="E1663" s="5"/>
      <c r="F1663" s="32"/>
      <c r="G1663" s="5"/>
      <c r="H1663" s="5" t="s">
        <v>552</v>
      </c>
      <c r="I1663" s="18"/>
      <c r="J1663" s="18"/>
      <c r="K1663" s="18">
        <f t="shared" si="237"/>
        <v>0</v>
      </c>
      <c r="L1663" s="18">
        <v>400000</v>
      </c>
      <c r="M1663" s="18"/>
      <c r="N1663" s="18">
        <f t="shared" si="238"/>
        <v>400000</v>
      </c>
      <c r="O1663" s="18">
        <f t="shared" si="240"/>
        <v>400000</v>
      </c>
      <c r="P1663" s="18">
        <f t="shared" si="241"/>
        <v>0</v>
      </c>
      <c r="Q1663" s="18">
        <f t="shared" si="242"/>
        <v>400000</v>
      </c>
    </row>
    <row r="1664" spans="2:17" ht="15">
      <c r="B1664" s="21">
        <f t="shared" si="239"/>
        <v>42</v>
      </c>
      <c r="C1664" s="7">
        <v>4</v>
      </c>
      <c r="D1664" s="232" t="s">
        <v>4</v>
      </c>
      <c r="E1664" s="233"/>
      <c r="F1664" s="233"/>
      <c r="G1664" s="233"/>
      <c r="H1664" s="234"/>
      <c r="I1664" s="87"/>
      <c r="J1664" s="87"/>
      <c r="K1664" s="87">
        <f t="shared" si="237"/>
        <v>0</v>
      </c>
      <c r="L1664" s="87">
        <f>L1665</f>
        <v>18320</v>
      </c>
      <c r="M1664" s="87">
        <f>M1665</f>
        <v>0</v>
      </c>
      <c r="N1664" s="87">
        <f t="shared" si="238"/>
        <v>18320</v>
      </c>
      <c r="O1664" s="87">
        <f t="shared" si="240"/>
        <v>18320</v>
      </c>
      <c r="P1664" s="87">
        <f t="shared" si="241"/>
        <v>0</v>
      </c>
      <c r="Q1664" s="87">
        <f t="shared" si="242"/>
        <v>18320</v>
      </c>
    </row>
    <row r="1665" spans="2:17" ht="12.75">
      <c r="B1665" s="21">
        <f t="shared" si="239"/>
        <v>43</v>
      </c>
      <c r="C1665" s="10"/>
      <c r="D1665" s="10"/>
      <c r="E1665" s="10"/>
      <c r="F1665" s="30" t="s">
        <v>87</v>
      </c>
      <c r="G1665" s="10">
        <v>710</v>
      </c>
      <c r="H1665" s="10" t="s">
        <v>176</v>
      </c>
      <c r="I1665" s="61"/>
      <c r="J1665" s="61"/>
      <c r="K1665" s="61">
        <f t="shared" si="237"/>
        <v>0</v>
      </c>
      <c r="L1665" s="61">
        <f>L1666</f>
        <v>18320</v>
      </c>
      <c r="M1665" s="61">
        <f>M1666</f>
        <v>0</v>
      </c>
      <c r="N1665" s="61">
        <f t="shared" si="238"/>
        <v>18320</v>
      </c>
      <c r="O1665" s="61">
        <f t="shared" si="240"/>
        <v>18320</v>
      </c>
      <c r="P1665" s="61">
        <f t="shared" si="241"/>
        <v>0</v>
      </c>
      <c r="Q1665" s="61">
        <f t="shared" si="242"/>
        <v>18320</v>
      </c>
    </row>
    <row r="1666" spans="2:17" ht="12.75">
      <c r="B1666" s="21">
        <f t="shared" si="239"/>
        <v>44</v>
      </c>
      <c r="C1666" s="4"/>
      <c r="D1666" s="4"/>
      <c r="E1666" s="4"/>
      <c r="F1666" s="31" t="s">
        <v>87</v>
      </c>
      <c r="G1666" s="4">
        <v>717</v>
      </c>
      <c r="H1666" s="4" t="s">
        <v>186</v>
      </c>
      <c r="I1666" s="17"/>
      <c r="J1666" s="17"/>
      <c r="K1666" s="17">
        <f t="shared" si="237"/>
        <v>0</v>
      </c>
      <c r="L1666" s="17">
        <v>18320</v>
      </c>
      <c r="M1666" s="17"/>
      <c r="N1666" s="17">
        <f t="shared" si="238"/>
        <v>18320</v>
      </c>
      <c r="O1666" s="17">
        <f t="shared" si="240"/>
        <v>18320</v>
      </c>
      <c r="P1666" s="17">
        <f t="shared" si="241"/>
        <v>0</v>
      </c>
      <c r="Q1666" s="17">
        <f t="shared" si="242"/>
        <v>18320</v>
      </c>
    </row>
    <row r="1667" spans="2:17" ht="15">
      <c r="B1667" s="21">
        <f t="shared" si="239"/>
        <v>45</v>
      </c>
      <c r="C1667" s="7">
        <v>5</v>
      </c>
      <c r="D1667" s="232" t="s">
        <v>470</v>
      </c>
      <c r="E1667" s="233"/>
      <c r="F1667" s="233"/>
      <c r="G1667" s="233"/>
      <c r="H1667" s="234"/>
      <c r="I1667" s="87">
        <f>I1668</f>
        <v>168705</v>
      </c>
      <c r="J1667" s="87">
        <f>J1668</f>
        <v>0</v>
      </c>
      <c r="K1667" s="87">
        <f t="shared" si="237"/>
        <v>168705</v>
      </c>
      <c r="L1667" s="87">
        <f>L1670</f>
        <v>1680000</v>
      </c>
      <c r="M1667" s="87">
        <f>M1670</f>
        <v>0</v>
      </c>
      <c r="N1667" s="87">
        <f t="shared" si="238"/>
        <v>1680000</v>
      </c>
      <c r="O1667" s="87">
        <f t="shared" si="240"/>
        <v>1848705</v>
      </c>
      <c r="P1667" s="87">
        <f t="shared" si="241"/>
        <v>0</v>
      </c>
      <c r="Q1667" s="87">
        <f t="shared" si="242"/>
        <v>1848705</v>
      </c>
    </row>
    <row r="1668" spans="2:17" ht="12.75">
      <c r="B1668" s="21">
        <f t="shared" si="239"/>
        <v>46</v>
      </c>
      <c r="C1668" s="10"/>
      <c r="D1668" s="10"/>
      <c r="E1668" s="10"/>
      <c r="F1668" s="30" t="s">
        <v>87</v>
      </c>
      <c r="G1668" s="10">
        <v>630</v>
      </c>
      <c r="H1668" s="10" t="s">
        <v>121</v>
      </c>
      <c r="I1668" s="61">
        <v>168705</v>
      </c>
      <c r="J1668" s="61"/>
      <c r="K1668" s="61">
        <f t="shared" si="237"/>
        <v>168705</v>
      </c>
      <c r="L1668" s="61"/>
      <c r="M1668" s="61"/>
      <c r="N1668" s="61">
        <f t="shared" si="238"/>
        <v>0</v>
      </c>
      <c r="O1668" s="61">
        <f t="shared" si="240"/>
        <v>168705</v>
      </c>
      <c r="P1668" s="61">
        <f t="shared" si="241"/>
        <v>0</v>
      </c>
      <c r="Q1668" s="61">
        <f t="shared" si="242"/>
        <v>168705</v>
      </c>
    </row>
    <row r="1669" spans="2:17" ht="12.75">
      <c r="B1669" s="21">
        <f t="shared" si="239"/>
        <v>47</v>
      </c>
      <c r="C1669" s="10"/>
      <c r="D1669" s="10"/>
      <c r="E1669" s="10"/>
      <c r="F1669" s="30"/>
      <c r="G1669" s="57">
        <v>630</v>
      </c>
      <c r="H1669" s="57" t="s">
        <v>477</v>
      </c>
      <c r="I1669" s="103">
        <v>168705</v>
      </c>
      <c r="J1669" s="103"/>
      <c r="K1669" s="103">
        <f t="shared" si="237"/>
        <v>168705</v>
      </c>
      <c r="L1669" s="61"/>
      <c r="M1669" s="61"/>
      <c r="N1669" s="61">
        <f t="shared" si="238"/>
        <v>0</v>
      </c>
      <c r="O1669" s="103">
        <f>I1669</f>
        <v>168705</v>
      </c>
      <c r="P1669" s="103">
        <f>J1669</f>
        <v>0</v>
      </c>
      <c r="Q1669" s="103">
        <f>K1669</f>
        <v>168705</v>
      </c>
    </row>
    <row r="1670" spans="2:17" ht="12.75">
      <c r="B1670" s="21">
        <f t="shared" si="239"/>
        <v>48</v>
      </c>
      <c r="C1670" s="10"/>
      <c r="D1670" s="10"/>
      <c r="E1670" s="10"/>
      <c r="F1670" s="30" t="s">
        <v>87</v>
      </c>
      <c r="G1670" s="10">
        <v>710</v>
      </c>
      <c r="H1670" s="10" t="s">
        <v>176</v>
      </c>
      <c r="I1670" s="61"/>
      <c r="J1670" s="61"/>
      <c r="K1670" s="61">
        <f t="shared" si="237"/>
        <v>0</v>
      </c>
      <c r="L1670" s="61">
        <f>L1671+L1673</f>
        <v>1680000</v>
      </c>
      <c r="M1670" s="61">
        <f>M1671+M1673</f>
        <v>0</v>
      </c>
      <c r="N1670" s="61">
        <f t="shared" si="238"/>
        <v>1680000</v>
      </c>
      <c r="O1670" s="61">
        <f>L1670</f>
        <v>1680000</v>
      </c>
      <c r="P1670" s="61">
        <f>M1670</f>
        <v>0</v>
      </c>
      <c r="Q1670" s="61">
        <f>N1670</f>
        <v>1680000</v>
      </c>
    </row>
    <row r="1671" spans="2:17" ht="12.75">
      <c r="B1671" s="21">
        <f t="shared" si="239"/>
        <v>49</v>
      </c>
      <c r="C1671" s="10"/>
      <c r="D1671" s="10"/>
      <c r="E1671" s="10"/>
      <c r="F1671" s="30"/>
      <c r="G1671" s="57">
        <v>714</v>
      </c>
      <c r="H1671" s="4" t="s">
        <v>177</v>
      </c>
      <c r="I1671" s="61"/>
      <c r="J1671" s="61"/>
      <c r="K1671" s="61">
        <f t="shared" si="237"/>
        <v>0</v>
      </c>
      <c r="L1671" s="103">
        <f>L1672</f>
        <v>41000</v>
      </c>
      <c r="M1671" s="103">
        <f>M1672</f>
        <v>0</v>
      </c>
      <c r="N1671" s="103">
        <f t="shared" si="238"/>
        <v>41000</v>
      </c>
      <c r="O1671" s="103">
        <f>O1672</f>
        <v>41000</v>
      </c>
      <c r="P1671" s="103">
        <f>P1672</f>
        <v>0</v>
      </c>
      <c r="Q1671" s="103">
        <f>Q1672</f>
        <v>41000</v>
      </c>
    </row>
    <row r="1672" spans="2:17" ht="12.75">
      <c r="B1672" s="21">
        <f t="shared" si="239"/>
        <v>50</v>
      </c>
      <c r="C1672" s="10"/>
      <c r="D1672" s="10"/>
      <c r="E1672" s="10"/>
      <c r="F1672" s="30"/>
      <c r="G1672" s="57"/>
      <c r="H1672" s="59" t="s">
        <v>615</v>
      </c>
      <c r="I1672" s="83"/>
      <c r="J1672" s="83"/>
      <c r="K1672" s="83">
        <f t="shared" si="237"/>
        <v>0</v>
      </c>
      <c r="L1672" s="95">
        <v>41000</v>
      </c>
      <c r="M1672" s="95"/>
      <c r="N1672" s="95">
        <f t="shared" si="238"/>
        <v>41000</v>
      </c>
      <c r="O1672" s="95">
        <f>L1672</f>
        <v>41000</v>
      </c>
      <c r="P1672" s="95">
        <f>M1672</f>
        <v>0</v>
      </c>
      <c r="Q1672" s="95">
        <f>N1672</f>
        <v>41000</v>
      </c>
    </row>
    <row r="1673" spans="2:17" ht="12.75">
      <c r="B1673" s="21">
        <f t="shared" si="239"/>
        <v>51</v>
      </c>
      <c r="C1673" s="4"/>
      <c r="D1673" s="4"/>
      <c r="E1673" s="4"/>
      <c r="F1673" s="31"/>
      <c r="G1673" s="4">
        <v>717</v>
      </c>
      <c r="H1673" s="4" t="s">
        <v>186</v>
      </c>
      <c r="I1673" s="17"/>
      <c r="J1673" s="17"/>
      <c r="K1673" s="17">
        <f t="shared" si="237"/>
        <v>0</v>
      </c>
      <c r="L1673" s="17">
        <f>L1674</f>
        <v>1639000</v>
      </c>
      <c r="M1673" s="17">
        <f>M1674</f>
        <v>0</v>
      </c>
      <c r="N1673" s="17">
        <f t="shared" si="238"/>
        <v>1639000</v>
      </c>
      <c r="O1673" s="17">
        <f aca="true" t="shared" si="243" ref="O1673:Q1674">I1673+L1673</f>
        <v>1639000</v>
      </c>
      <c r="P1673" s="17">
        <f t="shared" si="243"/>
        <v>0</v>
      </c>
      <c r="Q1673" s="17">
        <f t="shared" si="243"/>
        <v>1639000</v>
      </c>
    </row>
    <row r="1674" spans="2:17" ht="12.75">
      <c r="B1674" s="20">
        <f t="shared" si="239"/>
        <v>52</v>
      </c>
      <c r="C1674" s="4"/>
      <c r="D1674" s="4"/>
      <c r="E1674" s="4"/>
      <c r="F1674" s="31"/>
      <c r="G1674" s="4"/>
      <c r="H1674" s="5" t="s">
        <v>478</v>
      </c>
      <c r="I1674" s="18"/>
      <c r="J1674" s="18"/>
      <c r="K1674" s="18">
        <f t="shared" si="237"/>
        <v>0</v>
      </c>
      <c r="L1674" s="18">
        <f>1680000-41000</f>
        <v>1639000</v>
      </c>
      <c r="M1674" s="18"/>
      <c r="N1674" s="18">
        <f t="shared" si="238"/>
        <v>1639000</v>
      </c>
      <c r="O1674" s="18">
        <f t="shared" si="243"/>
        <v>1639000</v>
      </c>
      <c r="P1674" s="18">
        <f t="shared" si="243"/>
        <v>0</v>
      </c>
      <c r="Q1674" s="18">
        <f t="shared" si="243"/>
        <v>1639000</v>
      </c>
    </row>
    <row r="1677" spans="2:16" ht="27">
      <c r="B1677" s="248" t="s">
        <v>28</v>
      </c>
      <c r="C1677" s="249"/>
      <c r="D1677" s="249"/>
      <c r="E1677" s="249"/>
      <c r="F1677" s="249"/>
      <c r="G1677" s="249"/>
      <c r="H1677" s="249"/>
      <c r="I1677" s="249"/>
      <c r="J1677" s="249"/>
      <c r="K1677" s="249"/>
      <c r="L1677" s="249"/>
      <c r="M1677" s="249"/>
      <c r="N1677" s="249"/>
      <c r="O1677" s="249"/>
      <c r="P1677"/>
    </row>
    <row r="1678" spans="2:17" ht="12.75">
      <c r="B1678" s="244" t="s">
        <v>327</v>
      </c>
      <c r="C1678" s="245"/>
      <c r="D1678" s="245"/>
      <c r="E1678" s="245"/>
      <c r="F1678" s="245"/>
      <c r="G1678" s="245"/>
      <c r="H1678" s="245"/>
      <c r="I1678" s="245"/>
      <c r="J1678" s="245"/>
      <c r="K1678" s="245"/>
      <c r="L1678" s="245"/>
      <c r="M1678" s="245"/>
      <c r="N1678" s="246"/>
      <c r="O1678" s="250" t="s">
        <v>612</v>
      </c>
      <c r="P1678" s="250" t="s">
        <v>642</v>
      </c>
      <c r="Q1678" s="250" t="s">
        <v>644</v>
      </c>
    </row>
    <row r="1679" spans="2:17" ht="12.75">
      <c r="B1679" s="251"/>
      <c r="C1679" s="243" t="s">
        <v>114</v>
      </c>
      <c r="D1679" s="243" t="s">
        <v>115</v>
      </c>
      <c r="E1679" s="243"/>
      <c r="F1679" s="243" t="s">
        <v>116</v>
      </c>
      <c r="G1679" s="247" t="s">
        <v>117</v>
      </c>
      <c r="H1679" s="252" t="s">
        <v>118</v>
      </c>
      <c r="I1679" s="239" t="s">
        <v>609</v>
      </c>
      <c r="J1679" s="209" t="s">
        <v>642</v>
      </c>
      <c r="K1679" s="209" t="s">
        <v>644</v>
      </c>
      <c r="L1679" s="239" t="s">
        <v>610</v>
      </c>
      <c r="M1679" s="209" t="s">
        <v>642</v>
      </c>
      <c r="N1679" s="209" t="s">
        <v>644</v>
      </c>
      <c r="O1679" s="250"/>
      <c r="P1679" s="250"/>
      <c r="Q1679" s="250"/>
    </row>
    <row r="1680" spans="2:17" ht="12.75">
      <c r="B1680" s="251"/>
      <c r="C1680" s="243"/>
      <c r="D1680" s="243"/>
      <c r="E1680" s="243"/>
      <c r="F1680" s="243"/>
      <c r="G1680" s="247"/>
      <c r="H1680" s="252"/>
      <c r="I1680" s="239"/>
      <c r="J1680" s="210"/>
      <c r="K1680" s="210"/>
      <c r="L1680" s="239"/>
      <c r="M1680" s="210"/>
      <c r="N1680" s="210"/>
      <c r="O1680" s="250"/>
      <c r="P1680" s="250"/>
      <c r="Q1680" s="250"/>
    </row>
    <row r="1681" spans="2:17" ht="12.75">
      <c r="B1681" s="251"/>
      <c r="C1681" s="243"/>
      <c r="D1681" s="243"/>
      <c r="E1681" s="243"/>
      <c r="F1681" s="243"/>
      <c r="G1681" s="247"/>
      <c r="H1681" s="252"/>
      <c r="I1681" s="239"/>
      <c r="J1681" s="210"/>
      <c r="K1681" s="210"/>
      <c r="L1681" s="239"/>
      <c r="M1681" s="210"/>
      <c r="N1681" s="210"/>
      <c r="O1681" s="250"/>
      <c r="P1681" s="250"/>
      <c r="Q1681" s="250"/>
    </row>
    <row r="1682" spans="2:17" ht="13.5" thickBot="1">
      <c r="B1682" s="251"/>
      <c r="C1682" s="243"/>
      <c r="D1682" s="243"/>
      <c r="E1682" s="243"/>
      <c r="F1682" s="243"/>
      <c r="G1682" s="247"/>
      <c r="H1682" s="252"/>
      <c r="I1682" s="239"/>
      <c r="J1682" s="255"/>
      <c r="K1682" s="255"/>
      <c r="L1682" s="239"/>
      <c r="M1682" s="255"/>
      <c r="N1682" s="255"/>
      <c r="O1682" s="250"/>
      <c r="P1682" s="250"/>
      <c r="Q1682" s="250"/>
    </row>
    <row r="1683" spans="2:17" ht="16.5" thickTop="1">
      <c r="B1683" s="23">
        <v>1</v>
      </c>
      <c r="C1683" s="256" t="s">
        <v>28</v>
      </c>
      <c r="D1683" s="257"/>
      <c r="E1683" s="257"/>
      <c r="F1683" s="257"/>
      <c r="G1683" s="257"/>
      <c r="H1683" s="258"/>
      <c r="I1683" s="89">
        <f>I1771+I1764+I1760+I1745+I1719+I1684</f>
        <v>4490681</v>
      </c>
      <c r="J1683" s="89">
        <f>J1771+J1764+J1760+J1745+J1719+J1684</f>
        <v>51644</v>
      </c>
      <c r="K1683" s="89">
        <f aca="true" t="shared" si="244" ref="K1683:K1728">I1683+J1683</f>
        <v>4542325</v>
      </c>
      <c r="L1683" s="89">
        <f>L1771+L1764+L1760+L1745+L1719+L1684</f>
        <v>1325668</v>
      </c>
      <c r="M1683" s="89">
        <f>M1771+M1764+M1760+M1745+M1719+M1684</f>
        <v>28800</v>
      </c>
      <c r="N1683" s="89">
        <f aca="true" t="shared" si="245" ref="N1683:N1714">L1683+M1683</f>
        <v>1354468</v>
      </c>
      <c r="O1683" s="89">
        <f aca="true" t="shared" si="246" ref="O1683:O1721">I1683+L1683</f>
        <v>5816349</v>
      </c>
      <c r="P1683" s="89">
        <f aca="true" t="shared" si="247" ref="P1683:P1721">J1683+M1683</f>
        <v>80444</v>
      </c>
      <c r="Q1683" s="89">
        <f aca="true" t="shared" si="248" ref="Q1683:Q1721">K1683+N1683</f>
        <v>5896793</v>
      </c>
    </row>
    <row r="1684" spans="2:17" ht="15">
      <c r="B1684" s="21">
        <f aca="true" t="shared" si="249" ref="B1684:B1737">B1683+1</f>
        <v>2</v>
      </c>
      <c r="C1684" s="7">
        <v>1</v>
      </c>
      <c r="D1684" s="232" t="s">
        <v>197</v>
      </c>
      <c r="E1684" s="233"/>
      <c r="F1684" s="233"/>
      <c r="G1684" s="233"/>
      <c r="H1684" s="234"/>
      <c r="I1684" s="87">
        <f>I1694</f>
        <v>1478220</v>
      </c>
      <c r="J1684" s="87">
        <f>J1694</f>
        <v>0</v>
      </c>
      <c r="K1684" s="87">
        <f t="shared" si="244"/>
        <v>1478220</v>
      </c>
      <c r="L1684" s="87">
        <f>L1685</f>
        <v>847981</v>
      </c>
      <c r="M1684" s="87">
        <f>M1685</f>
        <v>0</v>
      </c>
      <c r="N1684" s="87">
        <f t="shared" si="245"/>
        <v>847981</v>
      </c>
      <c r="O1684" s="87">
        <f t="shared" si="246"/>
        <v>2326201</v>
      </c>
      <c r="P1684" s="87">
        <f t="shared" si="247"/>
        <v>0</v>
      </c>
      <c r="Q1684" s="87">
        <f t="shared" si="248"/>
        <v>2326201</v>
      </c>
    </row>
    <row r="1685" spans="2:17" ht="12.75">
      <c r="B1685" s="21">
        <f t="shared" si="249"/>
        <v>3</v>
      </c>
      <c r="C1685" s="10"/>
      <c r="D1685" s="10"/>
      <c r="E1685" s="10"/>
      <c r="F1685" s="30" t="s">
        <v>196</v>
      </c>
      <c r="G1685" s="10">
        <v>710</v>
      </c>
      <c r="H1685" s="10" t="s">
        <v>176</v>
      </c>
      <c r="I1685" s="61"/>
      <c r="J1685" s="61"/>
      <c r="K1685" s="61">
        <f t="shared" si="244"/>
        <v>0</v>
      </c>
      <c r="L1685" s="61">
        <f>L1686+L1689</f>
        <v>847981</v>
      </c>
      <c r="M1685" s="61">
        <f>M1686+M1689</f>
        <v>0</v>
      </c>
      <c r="N1685" s="61">
        <f t="shared" si="245"/>
        <v>847981</v>
      </c>
      <c r="O1685" s="61">
        <f t="shared" si="246"/>
        <v>847981</v>
      </c>
      <c r="P1685" s="61">
        <f t="shared" si="247"/>
        <v>0</v>
      </c>
      <c r="Q1685" s="61">
        <f t="shared" si="248"/>
        <v>847981</v>
      </c>
    </row>
    <row r="1686" spans="2:17" ht="12.75">
      <c r="B1686" s="21">
        <f t="shared" si="249"/>
        <v>4</v>
      </c>
      <c r="C1686" s="4"/>
      <c r="D1686" s="4"/>
      <c r="E1686" s="4"/>
      <c r="F1686" s="31" t="s">
        <v>196</v>
      </c>
      <c r="G1686" s="4">
        <v>716</v>
      </c>
      <c r="H1686" s="4" t="s">
        <v>222</v>
      </c>
      <c r="I1686" s="17"/>
      <c r="J1686" s="17"/>
      <c r="K1686" s="17">
        <f t="shared" si="244"/>
        <v>0</v>
      </c>
      <c r="L1686" s="17">
        <f>SUM(L1687:L1688)</f>
        <v>143700</v>
      </c>
      <c r="M1686" s="17">
        <f>SUM(M1687:M1688)</f>
        <v>0</v>
      </c>
      <c r="N1686" s="17">
        <f t="shared" si="245"/>
        <v>143700</v>
      </c>
      <c r="O1686" s="17">
        <f t="shared" si="246"/>
        <v>143700</v>
      </c>
      <c r="P1686" s="17">
        <f t="shared" si="247"/>
        <v>0</v>
      </c>
      <c r="Q1686" s="17">
        <f t="shared" si="248"/>
        <v>143700</v>
      </c>
    </row>
    <row r="1687" spans="2:17" ht="12.75">
      <c r="B1687" s="21">
        <f t="shared" si="249"/>
        <v>5</v>
      </c>
      <c r="C1687" s="5"/>
      <c r="D1687" s="5"/>
      <c r="E1687" s="5"/>
      <c r="F1687" s="32"/>
      <c r="G1687" s="5"/>
      <c r="H1687" s="5" t="s">
        <v>284</v>
      </c>
      <c r="I1687" s="18"/>
      <c r="J1687" s="18"/>
      <c r="K1687" s="18">
        <f t="shared" si="244"/>
        <v>0</v>
      </c>
      <c r="L1687" s="18">
        <v>29500</v>
      </c>
      <c r="M1687" s="18"/>
      <c r="N1687" s="18">
        <f t="shared" si="245"/>
        <v>29500</v>
      </c>
      <c r="O1687" s="18">
        <f t="shared" si="246"/>
        <v>29500</v>
      </c>
      <c r="P1687" s="18">
        <f t="shared" si="247"/>
        <v>0</v>
      </c>
      <c r="Q1687" s="18">
        <f t="shared" si="248"/>
        <v>29500</v>
      </c>
    </row>
    <row r="1688" spans="2:17" ht="12.75">
      <c r="B1688" s="21">
        <f t="shared" si="249"/>
        <v>6</v>
      </c>
      <c r="C1688" s="5"/>
      <c r="D1688" s="5"/>
      <c r="E1688" s="5"/>
      <c r="F1688" s="32"/>
      <c r="G1688" s="5"/>
      <c r="H1688" s="5" t="s">
        <v>298</v>
      </c>
      <c r="I1688" s="18"/>
      <c r="J1688" s="18"/>
      <c r="K1688" s="18">
        <f t="shared" si="244"/>
        <v>0</v>
      </c>
      <c r="L1688" s="18">
        <f>108400+5800</f>
        <v>114200</v>
      </c>
      <c r="M1688" s="18"/>
      <c r="N1688" s="18">
        <f t="shared" si="245"/>
        <v>114200</v>
      </c>
      <c r="O1688" s="18">
        <f t="shared" si="246"/>
        <v>114200</v>
      </c>
      <c r="P1688" s="18">
        <f t="shared" si="247"/>
        <v>0</v>
      </c>
      <c r="Q1688" s="18">
        <f t="shared" si="248"/>
        <v>114200</v>
      </c>
    </row>
    <row r="1689" spans="2:17" ht="12.75">
      <c r="B1689" s="21">
        <f t="shared" si="249"/>
        <v>7</v>
      </c>
      <c r="C1689" s="4"/>
      <c r="D1689" s="4"/>
      <c r="E1689" s="4"/>
      <c r="F1689" s="31" t="s">
        <v>196</v>
      </c>
      <c r="G1689" s="4">
        <v>717</v>
      </c>
      <c r="H1689" s="4" t="s">
        <v>186</v>
      </c>
      <c r="I1689" s="17"/>
      <c r="J1689" s="17"/>
      <c r="K1689" s="17">
        <f t="shared" si="244"/>
        <v>0</v>
      </c>
      <c r="L1689" s="17">
        <f>SUM(L1690:L1693)</f>
        <v>704281</v>
      </c>
      <c r="M1689" s="17">
        <f>SUM(M1690:M1693)</f>
        <v>0</v>
      </c>
      <c r="N1689" s="17">
        <f t="shared" si="245"/>
        <v>704281</v>
      </c>
      <c r="O1689" s="17">
        <f t="shared" si="246"/>
        <v>704281</v>
      </c>
      <c r="P1689" s="17">
        <f t="shared" si="247"/>
        <v>0</v>
      </c>
      <c r="Q1689" s="17">
        <f t="shared" si="248"/>
        <v>704281</v>
      </c>
    </row>
    <row r="1690" spans="2:17" ht="12.75">
      <c r="B1690" s="21">
        <f t="shared" si="249"/>
        <v>8</v>
      </c>
      <c r="C1690" s="5"/>
      <c r="D1690" s="5"/>
      <c r="E1690" s="5"/>
      <c r="F1690" s="32"/>
      <c r="G1690" s="5"/>
      <c r="H1690" s="5" t="s">
        <v>306</v>
      </c>
      <c r="I1690" s="18"/>
      <c r="J1690" s="18"/>
      <c r="K1690" s="18">
        <f t="shared" si="244"/>
        <v>0</v>
      </c>
      <c r="L1690" s="18">
        <v>150000</v>
      </c>
      <c r="M1690" s="18"/>
      <c r="N1690" s="18">
        <f t="shared" si="245"/>
        <v>150000</v>
      </c>
      <c r="O1690" s="18">
        <f t="shared" si="246"/>
        <v>150000</v>
      </c>
      <c r="P1690" s="18">
        <f t="shared" si="247"/>
        <v>0</v>
      </c>
      <c r="Q1690" s="18">
        <f t="shared" si="248"/>
        <v>150000</v>
      </c>
    </row>
    <row r="1691" spans="2:17" ht="22.5">
      <c r="B1691" s="21">
        <f t="shared" si="249"/>
        <v>9</v>
      </c>
      <c r="C1691" s="5"/>
      <c r="D1691" s="5"/>
      <c r="E1691" s="5"/>
      <c r="F1691" s="32"/>
      <c r="G1691" s="5"/>
      <c r="H1691" s="46" t="s">
        <v>407</v>
      </c>
      <c r="I1691" s="18"/>
      <c r="J1691" s="18"/>
      <c r="K1691" s="18">
        <f t="shared" si="244"/>
        <v>0</v>
      </c>
      <c r="L1691" s="104">
        <v>413181</v>
      </c>
      <c r="M1691" s="104"/>
      <c r="N1691" s="104">
        <f t="shared" si="245"/>
        <v>413181</v>
      </c>
      <c r="O1691" s="104">
        <f t="shared" si="246"/>
        <v>413181</v>
      </c>
      <c r="P1691" s="104">
        <f t="shared" si="247"/>
        <v>0</v>
      </c>
      <c r="Q1691" s="104">
        <f t="shared" si="248"/>
        <v>413181</v>
      </c>
    </row>
    <row r="1692" spans="2:17" ht="12.75">
      <c r="B1692" s="21">
        <f t="shared" si="249"/>
        <v>10</v>
      </c>
      <c r="C1692" s="5"/>
      <c r="D1692" s="5"/>
      <c r="E1692" s="5"/>
      <c r="F1692" s="32"/>
      <c r="G1692" s="5"/>
      <c r="H1692" s="46" t="s">
        <v>553</v>
      </c>
      <c r="I1692" s="18"/>
      <c r="J1692" s="18"/>
      <c r="K1692" s="18">
        <f t="shared" si="244"/>
        <v>0</v>
      </c>
      <c r="L1692" s="104">
        <f>93000+3100</f>
        <v>96100</v>
      </c>
      <c r="M1692" s="104"/>
      <c r="N1692" s="104">
        <f t="shared" si="245"/>
        <v>96100</v>
      </c>
      <c r="O1692" s="104">
        <f t="shared" si="246"/>
        <v>96100</v>
      </c>
      <c r="P1692" s="104">
        <f t="shared" si="247"/>
        <v>0</v>
      </c>
      <c r="Q1692" s="104">
        <f t="shared" si="248"/>
        <v>96100</v>
      </c>
    </row>
    <row r="1693" spans="2:17" ht="12.75">
      <c r="B1693" s="21">
        <f t="shared" si="249"/>
        <v>11</v>
      </c>
      <c r="C1693" s="5"/>
      <c r="D1693" s="5"/>
      <c r="E1693" s="5"/>
      <c r="F1693" s="32"/>
      <c r="G1693" s="5"/>
      <c r="H1693" s="46" t="s">
        <v>554</v>
      </c>
      <c r="I1693" s="18"/>
      <c r="J1693" s="18"/>
      <c r="K1693" s="18">
        <f t="shared" si="244"/>
        <v>0</v>
      </c>
      <c r="L1693" s="104">
        <v>45000</v>
      </c>
      <c r="M1693" s="104"/>
      <c r="N1693" s="104">
        <f t="shared" si="245"/>
        <v>45000</v>
      </c>
      <c r="O1693" s="104">
        <f t="shared" si="246"/>
        <v>45000</v>
      </c>
      <c r="P1693" s="104">
        <f t="shared" si="247"/>
        <v>0</v>
      </c>
      <c r="Q1693" s="104">
        <f t="shared" si="248"/>
        <v>45000</v>
      </c>
    </row>
    <row r="1694" spans="2:17" ht="15">
      <c r="B1694" s="21">
        <f t="shared" si="249"/>
        <v>12</v>
      </c>
      <c r="C1694" s="12"/>
      <c r="D1694" s="12"/>
      <c r="E1694" s="12">
        <v>2</v>
      </c>
      <c r="F1694" s="34"/>
      <c r="G1694" s="12"/>
      <c r="H1694" s="12" t="s">
        <v>16</v>
      </c>
      <c r="I1694" s="90">
        <f>I1695+I1708</f>
        <v>1478220</v>
      </c>
      <c r="J1694" s="90">
        <f>J1695+J1708</f>
        <v>0</v>
      </c>
      <c r="K1694" s="90">
        <f t="shared" si="244"/>
        <v>1478220</v>
      </c>
      <c r="L1694" s="90"/>
      <c r="M1694" s="90"/>
      <c r="N1694" s="90">
        <f t="shared" si="245"/>
        <v>0</v>
      </c>
      <c r="O1694" s="90">
        <f t="shared" si="246"/>
        <v>1478220</v>
      </c>
      <c r="P1694" s="90">
        <f t="shared" si="247"/>
        <v>0</v>
      </c>
      <c r="Q1694" s="90">
        <f t="shared" si="248"/>
        <v>1478220</v>
      </c>
    </row>
    <row r="1695" spans="2:17" ht="15">
      <c r="B1695" s="21">
        <f t="shared" si="249"/>
        <v>13</v>
      </c>
      <c r="C1695" s="66"/>
      <c r="D1695" s="66"/>
      <c r="E1695" s="66"/>
      <c r="F1695" s="67"/>
      <c r="G1695" s="66"/>
      <c r="H1695" s="66" t="s">
        <v>415</v>
      </c>
      <c r="I1695" s="114">
        <f>I1696+I1697+I1698+I1707</f>
        <v>319525</v>
      </c>
      <c r="J1695" s="114">
        <f>J1696+J1697+J1698+J1707</f>
        <v>0</v>
      </c>
      <c r="K1695" s="114">
        <f t="shared" si="244"/>
        <v>319525</v>
      </c>
      <c r="L1695" s="99"/>
      <c r="M1695" s="114"/>
      <c r="N1695" s="114">
        <f t="shared" si="245"/>
        <v>0</v>
      </c>
      <c r="O1695" s="100">
        <f t="shared" si="246"/>
        <v>319525</v>
      </c>
      <c r="P1695" s="100">
        <f t="shared" si="247"/>
        <v>0</v>
      </c>
      <c r="Q1695" s="100">
        <f t="shared" si="248"/>
        <v>319525</v>
      </c>
    </row>
    <row r="1696" spans="2:17" ht="12.75">
      <c r="B1696" s="21">
        <f t="shared" si="249"/>
        <v>14</v>
      </c>
      <c r="C1696" s="10"/>
      <c r="D1696" s="10"/>
      <c r="E1696" s="10"/>
      <c r="F1696" s="30" t="s">
        <v>236</v>
      </c>
      <c r="G1696" s="10">
        <v>610</v>
      </c>
      <c r="H1696" s="10" t="s">
        <v>131</v>
      </c>
      <c r="I1696" s="61">
        <v>102755</v>
      </c>
      <c r="J1696" s="61">
        <v>-700</v>
      </c>
      <c r="K1696" s="61">
        <f t="shared" si="244"/>
        <v>102055</v>
      </c>
      <c r="L1696" s="61"/>
      <c r="M1696" s="61"/>
      <c r="N1696" s="61">
        <f t="shared" si="245"/>
        <v>0</v>
      </c>
      <c r="O1696" s="61">
        <f t="shared" si="246"/>
        <v>102755</v>
      </c>
      <c r="P1696" s="61">
        <f t="shared" si="247"/>
        <v>-700</v>
      </c>
      <c r="Q1696" s="61">
        <f t="shared" si="248"/>
        <v>102055</v>
      </c>
    </row>
    <row r="1697" spans="2:17" ht="12.75">
      <c r="B1697" s="21">
        <f t="shared" si="249"/>
        <v>15</v>
      </c>
      <c r="C1697" s="10"/>
      <c r="D1697" s="10"/>
      <c r="E1697" s="10"/>
      <c r="F1697" s="30" t="s">
        <v>236</v>
      </c>
      <c r="G1697" s="10">
        <v>620</v>
      </c>
      <c r="H1697" s="10" t="s">
        <v>124</v>
      </c>
      <c r="I1697" s="61">
        <v>37815</v>
      </c>
      <c r="J1697" s="61"/>
      <c r="K1697" s="61">
        <f t="shared" si="244"/>
        <v>37815</v>
      </c>
      <c r="L1697" s="61"/>
      <c r="M1697" s="61"/>
      <c r="N1697" s="61">
        <f t="shared" si="245"/>
        <v>0</v>
      </c>
      <c r="O1697" s="61">
        <f t="shared" si="246"/>
        <v>37815</v>
      </c>
      <c r="P1697" s="61">
        <f t="shared" si="247"/>
        <v>0</v>
      </c>
      <c r="Q1697" s="61">
        <f t="shared" si="248"/>
        <v>37815</v>
      </c>
    </row>
    <row r="1698" spans="2:17" ht="12.75">
      <c r="B1698" s="21">
        <f t="shared" si="249"/>
        <v>16</v>
      </c>
      <c r="C1698" s="10"/>
      <c r="D1698" s="10"/>
      <c r="E1698" s="10"/>
      <c r="F1698" s="30" t="s">
        <v>236</v>
      </c>
      <c r="G1698" s="10">
        <v>630</v>
      </c>
      <c r="H1698" s="10" t="s">
        <v>121</v>
      </c>
      <c r="I1698" s="61">
        <f>SUM(I1699:I1706)</f>
        <v>177755</v>
      </c>
      <c r="J1698" s="61">
        <f>SUM(J1699:J1706)</f>
        <v>0</v>
      </c>
      <c r="K1698" s="61">
        <f t="shared" si="244"/>
        <v>177755</v>
      </c>
      <c r="L1698" s="61"/>
      <c r="M1698" s="61"/>
      <c r="N1698" s="61">
        <f t="shared" si="245"/>
        <v>0</v>
      </c>
      <c r="O1698" s="61">
        <f t="shared" si="246"/>
        <v>177755</v>
      </c>
      <c r="P1698" s="61">
        <f t="shared" si="247"/>
        <v>0</v>
      </c>
      <c r="Q1698" s="61">
        <f t="shared" si="248"/>
        <v>177755</v>
      </c>
    </row>
    <row r="1699" spans="2:17" ht="12.75">
      <c r="B1699" s="21">
        <f t="shared" si="249"/>
        <v>17</v>
      </c>
      <c r="C1699" s="4"/>
      <c r="D1699" s="4"/>
      <c r="E1699" s="4"/>
      <c r="F1699" s="31" t="s">
        <v>236</v>
      </c>
      <c r="G1699" s="4">
        <v>631</v>
      </c>
      <c r="H1699" s="4" t="s">
        <v>127</v>
      </c>
      <c r="I1699" s="17">
        <v>100</v>
      </c>
      <c r="J1699" s="17"/>
      <c r="K1699" s="17">
        <f t="shared" si="244"/>
        <v>100</v>
      </c>
      <c r="L1699" s="17"/>
      <c r="M1699" s="17"/>
      <c r="N1699" s="17">
        <f t="shared" si="245"/>
        <v>0</v>
      </c>
      <c r="O1699" s="17">
        <f t="shared" si="246"/>
        <v>100</v>
      </c>
      <c r="P1699" s="17">
        <f t="shared" si="247"/>
        <v>0</v>
      </c>
      <c r="Q1699" s="17">
        <f t="shared" si="248"/>
        <v>100</v>
      </c>
    </row>
    <row r="1700" spans="2:17" ht="12.75">
      <c r="B1700" s="21">
        <f t="shared" si="249"/>
        <v>18</v>
      </c>
      <c r="C1700" s="4"/>
      <c r="D1700" s="4"/>
      <c r="E1700" s="4"/>
      <c r="F1700" s="31" t="s">
        <v>236</v>
      </c>
      <c r="G1700" s="4">
        <v>632</v>
      </c>
      <c r="H1700" s="4" t="s">
        <v>134</v>
      </c>
      <c r="I1700" s="17">
        <v>3100</v>
      </c>
      <c r="J1700" s="17"/>
      <c r="K1700" s="17">
        <f t="shared" si="244"/>
        <v>3100</v>
      </c>
      <c r="L1700" s="17"/>
      <c r="M1700" s="17"/>
      <c r="N1700" s="17">
        <f t="shared" si="245"/>
        <v>0</v>
      </c>
      <c r="O1700" s="17">
        <f t="shared" si="246"/>
        <v>3100</v>
      </c>
      <c r="P1700" s="17">
        <f t="shared" si="247"/>
        <v>0</v>
      </c>
      <c r="Q1700" s="17">
        <f t="shared" si="248"/>
        <v>3100</v>
      </c>
    </row>
    <row r="1701" spans="2:17" ht="12.75">
      <c r="B1701" s="21">
        <f t="shared" si="249"/>
        <v>19</v>
      </c>
      <c r="C1701" s="4"/>
      <c r="D1701" s="4"/>
      <c r="E1701" s="4"/>
      <c r="F1701" s="31" t="s">
        <v>236</v>
      </c>
      <c r="G1701" s="4">
        <v>633</v>
      </c>
      <c r="H1701" s="4" t="s">
        <v>125</v>
      </c>
      <c r="I1701" s="17">
        <v>16750</v>
      </c>
      <c r="J1701" s="17"/>
      <c r="K1701" s="17">
        <f t="shared" si="244"/>
        <v>16750</v>
      </c>
      <c r="L1701" s="17"/>
      <c r="M1701" s="17"/>
      <c r="N1701" s="17">
        <f t="shared" si="245"/>
        <v>0</v>
      </c>
      <c r="O1701" s="17">
        <f t="shared" si="246"/>
        <v>16750</v>
      </c>
      <c r="P1701" s="17">
        <f t="shared" si="247"/>
        <v>0</v>
      </c>
      <c r="Q1701" s="17">
        <f t="shared" si="248"/>
        <v>16750</v>
      </c>
    </row>
    <row r="1702" spans="2:17" ht="12.75">
      <c r="B1702" s="21">
        <f t="shared" si="249"/>
        <v>20</v>
      </c>
      <c r="C1702" s="4"/>
      <c r="D1702" s="4"/>
      <c r="E1702" s="4"/>
      <c r="F1702" s="31" t="s">
        <v>236</v>
      </c>
      <c r="G1702" s="4">
        <v>634</v>
      </c>
      <c r="H1702" s="4" t="s">
        <v>132</v>
      </c>
      <c r="I1702" s="17">
        <v>7730</v>
      </c>
      <c r="J1702" s="17"/>
      <c r="K1702" s="17">
        <f t="shared" si="244"/>
        <v>7730</v>
      </c>
      <c r="L1702" s="17"/>
      <c r="M1702" s="17"/>
      <c r="N1702" s="17">
        <f t="shared" si="245"/>
        <v>0</v>
      </c>
      <c r="O1702" s="17">
        <f t="shared" si="246"/>
        <v>7730</v>
      </c>
      <c r="P1702" s="17">
        <f t="shared" si="247"/>
        <v>0</v>
      </c>
      <c r="Q1702" s="17">
        <f t="shared" si="248"/>
        <v>7730</v>
      </c>
    </row>
    <row r="1703" spans="2:17" ht="12.75">
      <c r="B1703" s="21">
        <f t="shared" si="249"/>
        <v>21</v>
      </c>
      <c r="C1703" s="4"/>
      <c r="D1703" s="4"/>
      <c r="E1703" s="4"/>
      <c r="F1703" s="31" t="s">
        <v>236</v>
      </c>
      <c r="G1703" s="4">
        <v>635</v>
      </c>
      <c r="H1703" s="4" t="s">
        <v>133</v>
      </c>
      <c r="I1703" s="17">
        <v>27100</v>
      </c>
      <c r="J1703" s="17"/>
      <c r="K1703" s="17">
        <f t="shared" si="244"/>
        <v>27100</v>
      </c>
      <c r="L1703" s="17"/>
      <c r="M1703" s="17"/>
      <c r="N1703" s="17">
        <f t="shared" si="245"/>
        <v>0</v>
      </c>
      <c r="O1703" s="17">
        <f t="shared" si="246"/>
        <v>27100</v>
      </c>
      <c r="P1703" s="17">
        <f t="shared" si="247"/>
        <v>0</v>
      </c>
      <c r="Q1703" s="17">
        <f t="shared" si="248"/>
        <v>27100</v>
      </c>
    </row>
    <row r="1704" spans="2:17" ht="12.75">
      <c r="B1704" s="21">
        <f t="shared" si="249"/>
        <v>22</v>
      </c>
      <c r="C1704" s="4"/>
      <c r="D1704" s="4"/>
      <c r="E1704" s="4"/>
      <c r="F1704" s="31" t="s">
        <v>236</v>
      </c>
      <c r="G1704" s="4">
        <v>636</v>
      </c>
      <c r="H1704" s="4" t="s">
        <v>126</v>
      </c>
      <c r="I1704" s="17">
        <v>1300</v>
      </c>
      <c r="J1704" s="17"/>
      <c r="K1704" s="17">
        <f t="shared" si="244"/>
        <v>1300</v>
      </c>
      <c r="L1704" s="17"/>
      <c r="M1704" s="17"/>
      <c r="N1704" s="17">
        <f t="shared" si="245"/>
        <v>0</v>
      </c>
      <c r="O1704" s="17">
        <f t="shared" si="246"/>
        <v>1300</v>
      </c>
      <c r="P1704" s="17">
        <f t="shared" si="247"/>
        <v>0</v>
      </c>
      <c r="Q1704" s="17">
        <f t="shared" si="248"/>
        <v>1300</v>
      </c>
    </row>
    <row r="1705" spans="2:17" ht="16.5" customHeight="1">
      <c r="B1705" s="21">
        <f t="shared" si="249"/>
        <v>23</v>
      </c>
      <c r="C1705" s="4"/>
      <c r="D1705" s="4"/>
      <c r="E1705" s="4"/>
      <c r="F1705" s="31" t="s">
        <v>236</v>
      </c>
      <c r="G1705" s="4">
        <v>637</v>
      </c>
      <c r="H1705" s="4" t="s">
        <v>122</v>
      </c>
      <c r="I1705" s="17">
        <v>119750</v>
      </c>
      <c r="J1705" s="17"/>
      <c r="K1705" s="17">
        <f t="shared" si="244"/>
        <v>119750</v>
      </c>
      <c r="L1705" s="17"/>
      <c r="M1705" s="17"/>
      <c r="N1705" s="17">
        <f t="shared" si="245"/>
        <v>0</v>
      </c>
      <c r="O1705" s="17">
        <f t="shared" si="246"/>
        <v>119750</v>
      </c>
      <c r="P1705" s="17">
        <f t="shared" si="247"/>
        <v>0</v>
      </c>
      <c r="Q1705" s="17">
        <f t="shared" si="248"/>
        <v>119750</v>
      </c>
    </row>
    <row r="1706" spans="2:17" ht="12.75">
      <c r="B1706" s="21">
        <f t="shared" si="249"/>
        <v>24</v>
      </c>
      <c r="C1706" s="4"/>
      <c r="D1706" s="4"/>
      <c r="E1706" s="4"/>
      <c r="F1706" s="33" t="s">
        <v>236</v>
      </c>
      <c r="G1706" s="4">
        <v>637</v>
      </c>
      <c r="H1706" s="24" t="s">
        <v>290</v>
      </c>
      <c r="I1706" s="17">
        <v>1925</v>
      </c>
      <c r="J1706" s="17"/>
      <c r="K1706" s="17">
        <f t="shared" si="244"/>
        <v>1925</v>
      </c>
      <c r="L1706" s="17"/>
      <c r="M1706" s="17"/>
      <c r="N1706" s="17">
        <f t="shared" si="245"/>
        <v>0</v>
      </c>
      <c r="O1706" s="17">
        <f t="shared" si="246"/>
        <v>1925</v>
      </c>
      <c r="P1706" s="17">
        <f t="shared" si="247"/>
        <v>0</v>
      </c>
      <c r="Q1706" s="17">
        <f t="shared" si="248"/>
        <v>1925</v>
      </c>
    </row>
    <row r="1707" spans="2:17" ht="12.75">
      <c r="B1707" s="21">
        <f t="shared" si="249"/>
        <v>25</v>
      </c>
      <c r="C1707" s="10"/>
      <c r="D1707" s="10"/>
      <c r="E1707" s="10"/>
      <c r="F1707" s="30" t="s">
        <v>236</v>
      </c>
      <c r="G1707" s="10">
        <v>640</v>
      </c>
      <c r="H1707" s="10" t="s">
        <v>129</v>
      </c>
      <c r="I1707" s="61">
        <v>1200</v>
      </c>
      <c r="J1707" s="61">
        <v>700</v>
      </c>
      <c r="K1707" s="61">
        <f t="shared" si="244"/>
        <v>1900</v>
      </c>
      <c r="L1707" s="61"/>
      <c r="M1707" s="61"/>
      <c r="N1707" s="61">
        <f t="shared" si="245"/>
        <v>0</v>
      </c>
      <c r="O1707" s="61">
        <f t="shared" si="246"/>
        <v>1200</v>
      </c>
      <c r="P1707" s="61">
        <f t="shared" si="247"/>
        <v>700</v>
      </c>
      <c r="Q1707" s="61">
        <f t="shared" si="248"/>
        <v>1900</v>
      </c>
    </row>
    <row r="1708" spans="2:17" ht="12.75">
      <c r="B1708" s="21">
        <f t="shared" si="249"/>
        <v>26</v>
      </c>
      <c r="C1708" s="66"/>
      <c r="D1708" s="66"/>
      <c r="E1708" s="66"/>
      <c r="F1708" s="68"/>
      <c r="G1708" s="66"/>
      <c r="H1708" s="66" t="s">
        <v>197</v>
      </c>
      <c r="I1708" s="114">
        <f>I1709+I1710+I1711+I1718</f>
        <v>1158695</v>
      </c>
      <c r="J1708" s="114">
        <f>J1709+J1710+J1711+J1718</f>
        <v>0</v>
      </c>
      <c r="K1708" s="114">
        <f t="shared" si="244"/>
        <v>1158695</v>
      </c>
      <c r="L1708" s="99"/>
      <c r="M1708" s="114"/>
      <c r="N1708" s="114">
        <f t="shared" si="245"/>
        <v>0</v>
      </c>
      <c r="O1708" s="97">
        <f t="shared" si="246"/>
        <v>1158695</v>
      </c>
      <c r="P1708" s="97">
        <f t="shared" si="247"/>
        <v>0</v>
      </c>
      <c r="Q1708" s="97">
        <f t="shared" si="248"/>
        <v>1158695</v>
      </c>
    </row>
    <row r="1709" spans="2:17" ht="12.75">
      <c r="B1709" s="21">
        <f t="shared" si="249"/>
        <v>27</v>
      </c>
      <c r="C1709" s="10"/>
      <c r="D1709" s="10"/>
      <c r="E1709" s="10"/>
      <c r="F1709" s="30" t="s">
        <v>196</v>
      </c>
      <c r="G1709" s="10">
        <v>610</v>
      </c>
      <c r="H1709" s="10" t="s">
        <v>131</v>
      </c>
      <c r="I1709" s="61">
        <v>178995</v>
      </c>
      <c r="J1709" s="61"/>
      <c r="K1709" s="61">
        <f t="shared" si="244"/>
        <v>178995</v>
      </c>
      <c r="L1709" s="61"/>
      <c r="M1709" s="61"/>
      <c r="N1709" s="61">
        <f t="shared" si="245"/>
        <v>0</v>
      </c>
      <c r="O1709" s="61">
        <f t="shared" si="246"/>
        <v>178995</v>
      </c>
      <c r="P1709" s="61">
        <f t="shared" si="247"/>
        <v>0</v>
      </c>
      <c r="Q1709" s="61">
        <f t="shared" si="248"/>
        <v>178995</v>
      </c>
    </row>
    <row r="1710" spans="2:17" ht="12.75">
      <c r="B1710" s="21">
        <f t="shared" si="249"/>
        <v>28</v>
      </c>
      <c r="C1710" s="10"/>
      <c r="D1710" s="10"/>
      <c r="E1710" s="10"/>
      <c r="F1710" s="30" t="s">
        <v>196</v>
      </c>
      <c r="G1710" s="10">
        <v>620</v>
      </c>
      <c r="H1710" s="10" t="s">
        <v>124</v>
      </c>
      <c r="I1710" s="61">
        <v>66795</v>
      </c>
      <c r="J1710" s="61"/>
      <c r="K1710" s="61">
        <f t="shared" si="244"/>
        <v>66795</v>
      </c>
      <c r="L1710" s="61"/>
      <c r="M1710" s="61"/>
      <c r="N1710" s="61">
        <f t="shared" si="245"/>
        <v>0</v>
      </c>
      <c r="O1710" s="61">
        <f t="shared" si="246"/>
        <v>66795</v>
      </c>
      <c r="P1710" s="61">
        <f t="shared" si="247"/>
        <v>0</v>
      </c>
      <c r="Q1710" s="61">
        <f t="shared" si="248"/>
        <v>66795</v>
      </c>
    </row>
    <row r="1711" spans="2:17" ht="12.75">
      <c r="B1711" s="21">
        <f t="shared" si="249"/>
        <v>29</v>
      </c>
      <c r="C1711" s="10"/>
      <c r="D1711" s="10"/>
      <c r="E1711" s="10"/>
      <c r="F1711" s="30" t="s">
        <v>196</v>
      </c>
      <c r="G1711" s="10">
        <v>630</v>
      </c>
      <c r="H1711" s="10" t="s">
        <v>121</v>
      </c>
      <c r="I1711" s="61">
        <f>SUM(I1712:I1717)</f>
        <v>911905</v>
      </c>
      <c r="J1711" s="61">
        <f>SUM(J1712:J1717)</f>
        <v>0</v>
      </c>
      <c r="K1711" s="61">
        <f t="shared" si="244"/>
        <v>911905</v>
      </c>
      <c r="L1711" s="61"/>
      <c r="M1711" s="61"/>
      <c r="N1711" s="61">
        <f t="shared" si="245"/>
        <v>0</v>
      </c>
      <c r="O1711" s="61">
        <f t="shared" si="246"/>
        <v>911905</v>
      </c>
      <c r="P1711" s="61">
        <f t="shared" si="247"/>
        <v>0</v>
      </c>
      <c r="Q1711" s="61">
        <f t="shared" si="248"/>
        <v>911905</v>
      </c>
    </row>
    <row r="1712" spans="2:17" ht="12.75">
      <c r="B1712" s="21">
        <f t="shared" si="249"/>
        <v>30</v>
      </c>
      <c r="C1712" s="4"/>
      <c r="D1712" s="4"/>
      <c r="E1712" s="4"/>
      <c r="F1712" s="31" t="s">
        <v>196</v>
      </c>
      <c r="G1712" s="4">
        <v>633</v>
      </c>
      <c r="H1712" s="4" t="s">
        <v>125</v>
      </c>
      <c r="I1712" s="17">
        <v>130960</v>
      </c>
      <c r="J1712" s="17"/>
      <c r="K1712" s="17">
        <f t="shared" si="244"/>
        <v>130960</v>
      </c>
      <c r="L1712" s="17"/>
      <c r="M1712" s="17"/>
      <c r="N1712" s="17">
        <f t="shared" si="245"/>
        <v>0</v>
      </c>
      <c r="O1712" s="17">
        <f t="shared" si="246"/>
        <v>130960</v>
      </c>
      <c r="P1712" s="17">
        <f t="shared" si="247"/>
        <v>0</v>
      </c>
      <c r="Q1712" s="17">
        <f t="shared" si="248"/>
        <v>130960</v>
      </c>
    </row>
    <row r="1713" spans="2:17" ht="12.75">
      <c r="B1713" s="21">
        <f t="shared" si="249"/>
        <v>31</v>
      </c>
      <c r="C1713" s="4"/>
      <c r="D1713" s="4"/>
      <c r="E1713" s="4"/>
      <c r="F1713" s="31" t="s">
        <v>196</v>
      </c>
      <c r="G1713" s="4">
        <v>634</v>
      </c>
      <c r="H1713" s="4" t="s">
        <v>132</v>
      </c>
      <c r="I1713" s="17">
        <v>51200</v>
      </c>
      <c r="J1713" s="17"/>
      <c r="K1713" s="17">
        <f t="shared" si="244"/>
        <v>51200</v>
      </c>
      <c r="L1713" s="17"/>
      <c r="M1713" s="17"/>
      <c r="N1713" s="17">
        <f t="shared" si="245"/>
        <v>0</v>
      </c>
      <c r="O1713" s="17">
        <f t="shared" si="246"/>
        <v>51200</v>
      </c>
      <c r="P1713" s="17">
        <f t="shared" si="247"/>
        <v>0</v>
      </c>
      <c r="Q1713" s="17">
        <f t="shared" si="248"/>
        <v>51200</v>
      </c>
    </row>
    <row r="1714" spans="2:17" ht="12.75">
      <c r="B1714" s="21">
        <f t="shared" si="249"/>
        <v>32</v>
      </c>
      <c r="C1714" s="4"/>
      <c r="D1714" s="4"/>
      <c r="E1714" s="4"/>
      <c r="F1714" s="31" t="s">
        <v>196</v>
      </c>
      <c r="G1714" s="4">
        <v>635</v>
      </c>
      <c r="H1714" s="4" t="s">
        <v>133</v>
      </c>
      <c r="I1714" s="103">
        <f>649820+10000+12450</f>
        <v>672270</v>
      </c>
      <c r="J1714" s="103"/>
      <c r="K1714" s="103">
        <f t="shared" si="244"/>
        <v>672270</v>
      </c>
      <c r="L1714" s="17"/>
      <c r="M1714" s="17"/>
      <c r="N1714" s="17">
        <f t="shared" si="245"/>
        <v>0</v>
      </c>
      <c r="O1714" s="17">
        <f t="shared" si="246"/>
        <v>672270</v>
      </c>
      <c r="P1714" s="17">
        <f t="shared" si="247"/>
        <v>0</v>
      </c>
      <c r="Q1714" s="17">
        <f t="shared" si="248"/>
        <v>672270</v>
      </c>
    </row>
    <row r="1715" spans="2:17" ht="12.75">
      <c r="B1715" s="21">
        <f t="shared" si="249"/>
        <v>33</v>
      </c>
      <c r="C1715" s="4"/>
      <c r="D1715" s="4"/>
      <c r="E1715" s="4"/>
      <c r="F1715" s="31" t="s">
        <v>196</v>
      </c>
      <c r="G1715" s="4">
        <v>636</v>
      </c>
      <c r="H1715" s="4" t="s">
        <v>126</v>
      </c>
      <c r="I1715" s="17">
        <v>700</v>
      </c>
      <c r="J1715" s="17"/>
      <c r="K1715" s="17">
        <f t="shared" si="244"/>
        <v>700</v>
      </c>
      <c r="L1715" s="17"/>
      <c r="M1715" s="17"/>
      <c r="N1715" s="17">
        <f aca="true" t="shared" si="250" ref="N1715:N1751">L1715+M1715</f>
        <v>0</v>
      </c>
      <c r="O1715" s="17">
        <f t="shared" si="246"/>
        <v>700</v>
      </c>
      <c r="P1715" s="17">
        <f t="shared" si="247"/>
        <v>0</v>
      </c>
      <c r="Q1715" s="17">
        <f t="shared" si="248"/>
        <v>700</v>
      </c>
    </row>
    <row r="1716" spans="2:17" ht="12.75">
      <c r="B1716" s="21">
        <f t="shared" si="249"/>
        <v>34</v>
      </c>
      <c r="C1716" s="4"/>
      <c r="D1716" s="4"/>
      <c r="E1716" s="4"/>
      <c r="F1716" s="31" t="s">
        <v>196</v>
      </c>
      <c r="G1716" s="4">
        <v>637</v>
      </c>
      <c r="H1716" s="4" t="s">
        <v>122</v>
      </c>
      <c r="I1716" s="17">
        <v>53200</v>
      </c>
      <c r="J1716" s="17"/>
      <c r="K1716" s="17">
        <f t="shared" si="244"/>
        <v>53200</v>
      </c>
      <c r="L1716" s="17"/>
      <c r="M1716" s="17"/>
      <c r="N1716" s="17">
        <f t="shared" si="250"/>
        <v>0</v>
      </c>
      <c r="O1716" s="17">
        <f t="shared" si="246"/>
        <v>53200</v>
      </c>
      <c r="P1716" s="17">
        <f t="shared" si="247"/>
        <v>0</v>
      </c>
      <c r="Q1716" s="17">
        <f t="shared" si="248"/>
        <v>53200</v>
      </c>
    </row>
    <row r="1717" spans="2:17" ht="12.75">
      <c r="B1717" s="21">
        <f t="shared" si="249"/>
        <v>35</v>
      </c>
      <c r="C1717" s="4"/>
      <c r="D1717" s="4"/>
      <c r="E1717" s="4"/>
      <c r="F1717" s="33" t="s">
        <v>196</v>
      </c>
      <c r="G1717" s="4">
        <v>637</v>
      </c>
      <c r="H1717" s="24" t="s">
        <v>290</v>
      </c>
      <c r="I1717" s="17">
        <v>3575</v>
      </c>
      <c r="J1717" s="17"/>
      <c r="K1717" s="17">
        <f t="shared" si="244"/>
        <v>3575</v>
      </c>
      <c r="L1717" s="17"/>
      <c r="M1717" s="17"/>
      <c r="N1717" s="17">
        <f t="shared" si="250"/>
        <v>0</v>
      </c>
      <c r="O1717" s="17">
        <f t="shared" si="246"/>
        <v>3575</v>
      </c>
      <c r="P1717" s="17">
        <f t="shared" si="247"/>
        <v>0</v>
      </c>
      <c r="Q1717" s="17">
        <f t="shared" si="248"/>
        <v>3575</v>
      </c>
    </row>
    <row r="1718" spans="2:17" ht="12.75">
      <c r="B1718" s="21">
        <f t="shared" si="249"/>
        <v>36</v>
      </c>
      <c r="C1718" s="10"/>
      <c r="D1718" s="10"/>
      <c r="E1718" s="10"/>
      <c r="F1718" s="30" t="s">
        <v>196</v>
      </c>
      <c r="G1718" s="10">
        <v>640</v>
      </c>
      <c r="H1718" s="10" t="s">
        <v>129</v>
      </c>
      <c r="I1718" s="61">
        <v>1000</v>
      </c>
      <c r="J1718" s="61"/>
      <c r="K1718" s="61">
        <f t="shared" si="244"/>
        <v>1000</v>
      </c>
      <c r="L1718" s="61"/>
      <c r="M1718" s="61"/>
      <c r="N1718" s="61">
        <f t="shared" si="250"/>
        <v>0</v>
      </c>
      <c r="O1718" s="61">
        <f t="shared" si="246"/>
        <v>1000</v>
      </c>
      <c r="P1718" s="61">
        <f t="shared" si="247"/>
        <v>0</v>
      </c>
      <c r="Q1718" s="61">
        <f t="shared" si="248"/>
        <v>1000</v>
      </c>
    </row>
    <row r="1719" spans="2:17" ht="15">
      <c r="B1719" s="21">
        <f t="shared" si="249"/>
        <v>37</v>
      </c>
      <c r="C1719" s="7">
        <v>2</v>
      </c>
      <c r="D1719" s="232" t="s">
        <v>140</v>
      </c>
      <c r="E1719" s="233"/>
      <c r="F1719" s="233"/>
      <c r="G1719" s="233"/>
      <c r="H1719" s="234"/>
      <c r="I1719" s="87">
        <f>I1738+I1720</f>
        <v>2490339</v>
      </c>
      <c r="J1719" s="87">
        <f>J1738+J1720</f>
        <v>51644</v>
      </c>
      <c r="K1719" s="87">
        <f t="shared" si="244"/>
        <v>2541983</v>
      </c>
      <c r="L1719" s="87">
        <f>L1738+L1720</f>
        <v>427687</v>
      </c>
      <c r="M1719" s="87">
        <f>M1738+M1720</f>
        <v>28800</v>
      </c>
      <c r="N1719" s="87">
        <f t="shared" si="250"/>
        <v>456487</v>
      </c>
      <c r="O1719" s="87">
        <f t="shared" si="246"/>
        <v>2918026</v>
      </c>
      <c r="P1719" s="87">
        <f t="shared" si="247"/>
        <v>80444</v>
      </c>
      <c r="Q1719" s="87">
        <f t="shared" si="248"/>
        <v>2998470</v>
      </c>
    </row>
    <row r="1720" spans="2:17" ht="15">
      <c r="B1720" s="21">
        <f t="shared" si="249"/>
        <v>38</v>
      </c>
      <c r="C1720" s="2"/>
      <c r="D1720" s="2">
        <v>1</v>
      </c>
      <c r="E1720" s="238" t="s">
        <v>139</v>
      </c>
      <c r="F1720" s="233"/>
      <c r="G1720" s="233"/>
      <c r="H1720" s="234"/>
      <c r="I1720" s="88">
        <f>I1721</f>
        <v>2488039</v>
      </c>
      <c r="J1720" s="88">
        <f>J1721</f>
        <v>51644</v>
      </c>
      <c r="K1720" s="88">
        <f t="shared" si="244"/>
        <v>2539683</v>
      </c>
      <c r="L1720" s="88">
        <f>L1728</f>
        <v>327627</v>
      </c>
      <c r="M1720" s="88">
        <f>M1728</f>
        <v>28800</v>
      </c>
      <c r="N1720" s="88">
        <f t="shared" si="250"/>
        <v>356427</v>
      </c>
      <c r="O1720" s="88">
        <f t="shared" si="246"/>
        <v>2815666</v>
      </c>
      <c r="P1720" s="88">
        <f t="shared" si="247"/>
        <v>80444</v>
      </c>
      <c r="Q1720" s="88">
        <f t="shared" si="248"/>
        <v>2896110</v>
      </c>
    </row>
    <row r="1721" spans="2:17" ht="12.75">
      <c r="B1721" s="21">
        <f t="shared" si="249"/>
        <v>39</v>
      </c>
      <c r="C1721" s="10"/>
      <c r="D1721" s="10"/>
      <c r="E1721" s="10"/>
      <c r="F1721" s="30" t="s">
        <v>138</v>
      </c>
      <c r="G1721" s="10">
        <v>630</v>
      </c>
      <c r="H1721" s="10" t="s">
        <v>121</v>
      </c>
      <c r="I1721" s="61">
        <f>I1725+I1724+I1722</f>
        <v>2488039</v>
      </c>
      <c r="J1721" s="61">
        <f>SUM(J1722:J1727)</f>
        <v>51644</v>
      </c>
      <c r="K1721" s="61">
        <f t="shared" si="244"/>
        <v>2539683</v>
      </c>
      <c r="L1721" s="61"/>
      <c r="M1721" s="61"/>
      <c r="N1721" s="61">
        <f t="shared" si="250"/>
        <v>0</v>
      </c>
      <c r="O1721" s="61">
        <f t="shared" si="246"/>
        <v>2488039</v>
      </c>
      <c r="P1721" s="61">
        <f t="shared" si="247"/>
        <v>51644</v>
      </c>
      <c r="Q1721" s="61">
        <f t="shared" si="248"/>
        <v>2539683</v>
      </c>
    </row>
    <row r="1722" spans="2:17" ht="12.75">
      <c r="B1722" s="21">
        <f t="shared" si="249"/>
        <v>40</v>
      </c>
      <c r="C1722" s="10"/>
      <c r="D1722" s="10"/>
      <c r="E1722" s="10"/>
      <c r="F1722" s="56" t="s">
        <v>138</v>
      </c>
      <c r="G1722" s="41">
        <v>633</v>
      </c>
      <c r="H1722" s="57" t="s">
        <v>435</v>
      </c>
      <c r="I1722" s="103">
        <f>17067+31400</f>
        <v>48467</v>
      </c>
      <c r="J1722" s="103">
        <v>-11500</v>
      </c>
      <c r="K1722" s="103">
        <f t="shared" si="244"/>
        <v>36967</v>
      </c>
      <c r="L1722" s="61"/>
      <c r="M1722" s="61"/>
      <c r="N1722" s="103">
        <f t="shared" si="250"/>
        <v>0</v>
      </c>
      <c r="O1722" s="103">
        <f aca="true" t="shared" si="251" ref="O1722:Q1723">I1722</f>
        <v>48467</v>
      </c>
      <c r="P1722" s="103">
        <f t="shared" si="251"/>
        <v>-11500</v>
      </c>
      <c r="Q1722" s="103">
        <f t="shared" si="251"/>
        <v>36967</v>
      </c>
    </row>
    <row r="1723" spans="2:17" ht="12.75">
      <c r="B1723" s="21">
        <f t="shared" si="249"/>
        <v>41</v>
      </c>
      <c r="C1723" s="10"/>
      <c r="D1723" s="10"/>
      <c r="E1723" s="10"/>
      <c r="F1723" s="56" t="s">
        <v>138</v>
      </c>
      <c r="G1723" s="41">
        <v>633</v>
      </c>
      <c r="H1723" s="57" t="s">
        <v>672</v>
      </c>
      <c r="I1723" s="103">
        <v>0</v>
      </c>
      <c r="J1723" s="103">
        <v>15800</v>
      </c>
      <c r="K1723" s="103">
        <f>I1723+J1723</f>
        <v>15800</v>
      </c>
      <c r="L1723" s="61"/>
      <c r="M1723" s="61"/>
      <c r="N1723" s="103">
        <f>L1723+M1723</f>
        <v>0</v>
      </c>
      <c r="O1723" s="103">
        <f t="shared" si="251"/>
        <v>0</v>
      </c>
      <c r="P1723" s="103">
        <f t="shared" si="251"/>
        <v>15800</v>
      </c>
      <c r="Q1723" s="103">
        <f t="shared" si="251"/>
        <v>15800</v>
      </c>
    </row>
    <row r="1724" spans="2:17" ht="12.75">
      <c r="B1724" s="21">
        <f t="shared" si="249"/>
        <v>42</v>
      </c>
      <c r="C1724" s="4"/>
      <c r="D1724" s="4"/>
      <c r="E1724" s="4"/>
      <c r="F1724" s="31" t="s">
        <v>138</v>
      </c>
      <c r="G1724" s="4">
        <v>636</v>
      </c>
      <c r="H1724" s="4" t="s">
        <v>126</v>
      </c>
      <c r="I1724" s="17">
        <v>6572</v>
      </c>
      <c r="J1724" s="17"/>
      <c r="K1724" s="17">
        <f t="shared" si="244"/>
        <v>6572</v>
      </c>
      <c r="L1724" s="17"/>
      <c r="M1724" s="17"/>
      <c r="N1724" s="17">
        <f t="shared" si="250"/>
        <v>0</v>
      </c>
      <c r="O1724" s="17">
        <f aca="true" t="shared" si="252" ref="O1724:Q1730">I1724+L1724</f>
        <v>6572</v>
      </c>
      <c r="P1724" s="17">
        <f t="shared" si="252"/>
        <v>0</v>
      </c>
      <c r="Q1724" s="17">
        <f t="shared" si="252"/>
        <v>6572</v>
      </c>
    </row>
    <row r="1725" spans="2:17" ht="12.75">
      <c r="B1725" s="21">
        <f t="shared" si="249"/>
        <v>43</v>
      </c>
      <c r="C1725" s="4"/>
      <c r="D1725" s="4"/>
      <c r="E1725" s="4"/>
      <c r="F1725" s="31" t="s">
        <v>138</v>
      </c>
      <c r="G1725" s="4">
        <v>637</v>
      </c>
      <c r="H1725" s="4" t="s">
        <v>122</v>
      </c>
      <c r="I1725" s="17">
        <v>2433000</v>
      </c>
      <c r="J1725" s="17"/>
      <c r="K1725" s="17">
        <f t="shared" si="244"/>
        <v>2433000</v>
      </c>
      <c r="L1725" s="17"/>
      <c r="M1725" s="17"/>
      <c r="N1725" s="17">
        <f t="shared" si="250"/>
        <v>0</v>
      </c>
      <c r="O1725" s="17">
        <f t="shared" si="252"/>
        <v>2433000</v>
      </c>
      <c r="P1725" s="17">
        <f t="shared" si="252"/>
        <v>0</v>
      </c>
      <c r="Q1725" s="17">
        <f t="shared" si="252"/>
        <v>2433000</v>
      </c>
    </row>
    <row r="1726" spans="2:17" ht="12.75">
      <c r="B1726" s="21">
        <f t="shared" si="249"/>
        <v>44</v>
      </c>
      <c r="C1726" s="4"/>
      <c r="D1726" s="4"/>
      <c r="E1726" s="4"/>
      <c r="F1726" s="31" t="s">
        <v>138</v>
      </c>
      <c r="G1726" s="4">
        <v>637</v>
      </c>
      <c r="H1726" s="4" t="s">
        <v>669</v>
      </c>
      <c r="I1726" s="17">
        <v>0</v>
      </c>
      <c r="J1726" s="17">
        <v>30000</v>
      </c>
      <c r="K1726" s="17">
        <f>I1726+J1726</f>
        <v>30000</v>
      </c>
      <c r="L1726" s="17"/>
      <c r="M1726" s="17"/>
      <c r="N1726" s="17">
        <f>L1726+M1726</f>
        <v>0</v>
      </c>
      <c r="O1726" s="17">
        <f>I1726+L1726</f>
        <v>0</v>
      </c>
      <c r="P1726" s="17">
        <f aca="true" t="shared" si="253" ref="P1726:P1734">J1726+M1726</f>
        <v>30000</v>
      </c>
      <c r="Q1726" s="17">
        <f>K1726+N1726</f>
        <v>30000</v>
      </c>
    </row>
    <row r="1727" spans="2:17" s="13" customFormat="1" ht="24">
      <c r="B1727" s="23">
        <f t="shared" si="249"/>
        <v>45</v>
      </c>
      <c r="C1727" s="159"/>
      <c r="D1727" s="159"/>
      <c r="E1727" s="159"/>
      <c r="F1727" s="160" t="s">
        <v>138</v>
      </c>
      <c r="G1727" s="159">
        <v>637</v>
      </c>
      <c r="H1727" s="192" t="s">
        <v>673</v>
      </c>
      <c r="I1727" s="161">
        <v>0</v>
      </c>
      <c r="J1727" s="161">
        <v>17344</v>
      </c>
      <c r="K1727" s="161">
        <f>I1727+J1727</f>
        <v>17344</v>
      </c>
      <c r="L1727" s="161"/>
      <c r="M1727" s="161"/>
      <c r="N1727" s="161">
        <f>L1727+M1727</f>
        <v>0</v>
      </c>
      <c r="O1727" s="161">
        <f>I1727+L1727</f>
        <v>0</v>
      </c>
      <c r="P1727" s="161">
        <f>J1727+M1727</f>
        <v>17344</v>
      </c>
      <c r="Q1727" s="161">
        <f>K1727+N1727</f>
        <v>17344</v>
      </c>
    </row>
    <row r="1728" spans="2:17" ht="12.75">
      <c r="B1728" s="21">
        <f t="shared" si="249"/>
        <v>46</v>
      </c>
      <c r="C1728" s="10"/>
      <c r="D1728" s="10"/>
      <c r="E1728" s="10"/>
      <c r="F1728" s="30" t="s">
        <v>138</v>
      </c>
      <c r="G1728" s="10">
        <v>710</v>
      </c>
      <c r="H1728" s="10" t="s">
        <v>176</v>
      </c>
      <c r="I1728" s="61"/>
      <c r="J1728" s="61"/>
      <c r="K1728" s="61">
        <f t="shared" si="244"/>
        <v>0</v>
      </c>
      <c r="L1728" s="61">
        <f>L1733+L1731</f>
        <v>327627</v>
      </c>
      <c r="M1728" s="61">
        <f>M1729</f>
        <v>28800</v>
      </c>
      <c r="N1728" s="61">
        <f t="shared" si="250"/>
        <v>356427</v>
      </c>
      <c r="O1728" s="61">
        <f t="shared" si="252"/>
        <v>327627</v>
      </c>
      <c r="P1728" s="61">
        <f t="shared" si="252"/>
        <v>28800</v>
      </c>
      <c r="Q1728" s="61">
        <f t="shared" si="252"/>
        <v>356427</v>
      </c>
    </row>
    <row r="1729" spans="2:17" ht="12.75">
      <c r="B1729" s="21">
        <f t="shared" si="249"/>
        <v>47</v>
      </c>
      <c r="C1729" s="10"/>
      <c r="D1729" s="10"/>
      <c r="E1729" s="10"/>
      <c r="F1729" s="31" t="s">
        <v>138</v>
      </c>
      <c r="G1729" s="4">
        <v>713</v>
      </c>
      <c r="H1729" s="4" t="s">
        <v>670</v>
      </c>
      <c r="I1729" s="61"/>
      <c r="J1729" s="61"/>
      <c r="K1729" s="61"/>
      <c r="L1729" s="103">
        <f>L1730</f>
        <v>0</v>
      </c>
      <c r="M1729" s="103">
        <f>M1730</f>
        <v>28800</v>
      </c>
      <c r="N1729" s="103">
        <f>L1729+M1729</f>
        <v>28800</v>
      </c>
      <c r="O1729" s="103">
        <f t="shared" si="252"/>
        <v>0</v>
      </c>
      <c r="P1729" s="103">
        <f t="shared" si="253"/>
        <v>28800</v>
      </c>
      <c r="Q1729" s="103">
        <f t="shared" si="252"/>
        <v>28800</v>
      </c>
    </row>
    <row r="1730" spans="2:17" ht="12.75">
      <c r="B1730" s="21">
        <f t="shared" si="249"/>
        <v>48</v>
      </c>
      <c r="C1730" s="10"/>
      <c r="D1730" s="10"/>
      <c r="E1730" s="10"/>
      <c r="F1730" s="32"/>
      <c r="G1730" s="5"/>
      <c r="H1730" s="5" t="s">
        <v>671</v>
      </c>
      <c r="I1730" s="61"/>
      <c r="J1730" s="61"/>
      <c r="K1730" s="61"/>
      <c r="L1730" s="170">
        <v>0</v>
      </c>
      <c r="M1730" s="170">
        <v>28800</v>
      </c>
      <c r="N1730" s="170">
        <f>L1730+M1730</f>
        <v>28800</v>
      </c>
      <c r="O1730" s="170">
        <f t="shared" si="252"/>
        <v>0</v>
      </c>
      <c r="P1730" s="170">
        <f t="shared" si="253"/>
        <v>28800</v>
      </c>
      <c r="Q1730" s="170">
        <f t="shared" si="252"/>
        <v>28800</v>
      </c>
    </row>
    <row r="1731" spans="2:17" ht="12.75">
      <c r="B1731" s="21">
        <f t="shared" si="249"/>
        <v>49</v>
      </c>
      <c r="C1731" s="10"/>
      <c r="D1731" s="10"/>
      <c r="E1731" s="10"/>
      <c r="F1731" s="31" t="s">
        <v>138</v>
      </c>
      <c r="G1731" s="4">
        <v>716</v>
      </c>
      <c r="H1731" s="4" t="s">
        <v>222</v>
      </c>
      <c r="I1731" s="61"/>
      <c r="J1731" s="61"/>
      <c r="K1731" s="61"/>
      <c r="L1731" s="103">
        <f>L1732</f>
        <v>5000</v>
      </c>
      <c r="M1731" s="61"/>
      <c r="N1731" s="61">
        <f t="shared" si="250"/>
        <v>5000</v>
      </c>
      <c r="O1731" s="61">
        <f aca="true" t="shared" si="254" ref="O1731:O1762">I1731+L1731</f>
        <v>5000</v>
      </c>
      <c r="P1731" s="61">
        <f t="shared" si="253"/>
        <v>0</v>
      </c>
      <c r="Q1731" s="61">
        <f aca="true" t="shared" si="255" ref="Q1731:Q1762">K1731+N1731</f>
        <v>5000</v>
      </c>
    </row>
    <row r="1732" spans="2:17" ht="12.75">
      <c r="B1732" s="21">
        <f t="shared" si="249"/>
        <v>50</v>
      </c>
      <c r="C1732" s="10"/>
      <c r="D1732" s="10"/>
      <c r="E1732" s="10"/>
      <c r="F1732" s="32"/>
      <c r="G1732" s="5"/>
      <c r="H1732" s="5" t="s">
        <v>653</v>
      </c>
      <c r="I1732" s="61"/>
      <c r="J1732" s="61"/>
      <c r="K1732" s="61"/>
      <c r="L1732" s="170">
        <v>5000</v>
      </c>
      <c r="M1732" s="170"/>
      <c r="N1732" s="170">
        <f t="shared" si="250"/>
        <v>5000</v>
      </c>
      <c r="O1732" s="170">
        <f t="shared" si="254"/>
        <v>5000</v>
      </c>
      <c r="P1732" s="170">
        <f t="shared" si="253"/>
        <v>0</v>
      </c>
      <c r="Q1732" s="170">
        <f t="shared" si="255"/>
        <v>5000</v>
      </c>
    </row>
    <row r="1733" spans="2:17" ht="12.75">
      <c r="B1733" s="21">
        <f t="shared" si="249"/>
        <v>51</v>
      </c>
      <c r="C1733" s="4"/>
      <c r="D1733" s="4"/>
      <c r="E1733" s="4"/>
      <c r="F1733" s="31" t="s">
        <v>138</v>
      </c>
      <c r="G1733" s="4">
        <v>717</v>
      </c>
      <c r="H1733" s="4" t="s">
        <v>186</v>
      </c>
      <c r="I1733" s="17"/>
      <c r="J1733" s="17"/>
      <c r="K1733" s="17">
        <f aca="true" t="shared" si="256" ref="K1733:K1764">I1733+J1733</f>
        <v>0</v>
      </c>
      <c r="L1733" s="17">
        <f>SUM(L1734:L1737)</f>
        <v>322627</v>
      </c>
      <c r="M1733" s="17">
        <f>SUM(M1734:M1737)</f>
        <v>0</v>
      </c>
      <c r="N1733" s="17">
        <f t="shared" si="250"/>
        <v>322627</v>
      </c>
      <c r="O1733" s="17">
        <f t="shared" si="254"/>
        <v>322627</v>
      </c>
      <c r="P1733" s="17">
        <f t="shared" si="253"/>
        <v>0</v>
      </c>
      <c r="Q1733" s="17">
        <f t="shared" si="255"/>
        <v>322627</v>
      </c>
    </row>
    <row r="1734" spans="2:17" ht="12.75">
      <c r="B1734" s="21">
        <f t="shared" si="249"/>
        <v>52</v>
      </c>
      <c r="C1734" s="5"/>
      <c r="D1734" s="5"/>
      <c r="E1734" s="5"/>
      <c r="F1734" s="32"/>
      <c r="G1734" s="5"/>
      <c r="H1734" s="5" t="s">
        <v>307</v>
      </c>
      <c r="I1734" s="18"/>
      <c r="J1734" s="18"/>
      <c r="K1734" s="18">
        <f t="shared" si="256"/>
        <v>0</v>
      </c>
      <c r="L1734" s="18">
        <f>173000+118314-5000</f>
        <v>286314</v>
      </c>
      <c r="M1734" s="18"/>
      <c r="N1734" s="18">
        <f t="shared" si="250"/>
        <v>286314</v>
      </c>
      <c r="O1734" s="18">
        <f t="shared" si="254"/>
        <v>286314</v>
      </c>
      <c r="P1734" s="18">
        <f t="shared" si="253"/>
        <v>0</v>
      </c>
      <c r="Q1734" s="18">
        <f t="shared" si="255"/>
        <v>286314</v>
      </c>
    </row>
    <row r="1735" spans="2:17" ht="12.75">
      <c r="B1735" s="21">
        <f t="shared" si="249"/>
        <v>53</v>
      </c>
      <c r="C1735" s="5"/>
      <c r="D1735" s="5"/>
      <c r="E1735" s="5"/>
      <c r="F1735" s="32"/>
      <c r="G1735" s="5"/>
      <c r="H1735" s="5" t="s">
        <v>555</v>
      </c>
      <c r="I1735" s="18"/>
      <c r="J1735" s="18"/>
      <c r="K1735" s="18">
        <f t="shared" si="256"/>
        <v>0</v>
      </c>
      <c r="L1735" s="18">
        <v>26513</v>
      </c>
      <c r="M1735" s="18"/>
      <c r="N1735" s="18">
        <f t="shared" si="250"/>
        <v>26513</v>
      </c>
      <c r="O1735" s="18">
        <f t="shared" si="254"/>
        <v>26513</v>
      </c>
      <c r="P1735" s="18">
        <f aca="true" t="shared" si="257" ref="P1735:P1764">J1735+M1735</f>
        <v>0</v>
      </c>
      <c r="Q1735" s="18">
        <f t="shared" si="255"/>
        <v>26513</v>
      </c>
    </row>
    <row r="1736" spans="2:17" ht="12.75">
      <c r="B1736" s="21">
        <f t="shared" si="249"/>
        <v>54</v>
      </c>
      <c r="C1736" s="5"/>
      <c r="D1736" s="5"/>
      <c r="E1736" s="26"/>
      <c r="F1736" s="32"/>
      <c r="G1736" s="5"/>
      <c r="H1736" s="5" t="s">
        <v>556</v>
      </c>
      <c r="I1736" s="18"/>
      <c r="J1736" s="18"/>
      <c r="K1736" s="18">
        <f t="shared" si="256"/>
        <v>0</v>
      </c>
      <c r="L1736" s="18">
        <f>2000+1800</f>
        <v>3800</v>
      </c>
      <c r="M1736" s="18"/>
      <c r="N1736" s="18">
        <f t="shared" si="250"/>
        <v>3800</v>
      </c>
      <c r="O1736" s="18">
        <f t="shared" si="254"/>
        <v>3800</v>
      </c>
      <c r="P1736" s="18">
        <f t="shared" si="257"/>
        <v>0</v>
      </c>
      <c r="Q1736" s="18">
        <f t="shared" si="255"/>
        <v>3800</v>
      </c>
    </row>
    <row r="1737" spans="2:17" ht="12.75">
      <c r="B1737" s="21">
        <f t="shared" si="249"/>
        <v>55</v>
      </c>
      <c r="C1737" s="5"/>
      <c r="D1737" s="5"/>
      <c r="E1737" s="5"/>
      <c r="F1737" s="32"/>
      <c r="G1737" s="5"/>
      <c r="H1737" s="58" t="s">
        <v>581</v>
      </c>
      <c r="I1737" s="18"/>
      <c r="J1737" s="18"/>
      <c r="K1737" s="18">
        <f t="shared" si="256"/>
        <v>0</v>
      </c>
      <c r="L1737" s="18">
        <f>5000+1000</f>
        <v>6000</v>
      </c>
      <c r="M1737" s="18"/>
      <c r="N1737" s="18">
        <f t="shared" si="250"/>
        <v>6000</v>
      </c>
      <c r="O1737" s="18">
        <f t="shared" si="254"/>
        <v>6000</v>
      </c>
      <c r="P1737" s="18">
        <f t="shared" si="257"/>
        <v>0</v>
      </c>
      <c r="Q1737" s="18">
        <f t="shared" si="255"/>
        <v>6000</v>
      </c>
    </row>
    <row r="1738" spans="2:17" ht="15">
      <c r="B1738" s="21">
        <f aca="true" t="shared" si="258" ref="B1738:B1765">B1737+1</f>
        <v>56</v>
      </c>
      <c r="C1738" s="2"/>
      <c r="D1738" s="2">
        <v>2</v>
      </c>
      <c r="E1738" s="238" t="s">
        <v>245</v>
      </c>
      <c r="F1738" s="233"/>
      <c r="G1738" s="233"/>
      <c r="H1738" s="234"/>
      <c r="I1738" s="88">
        <f>I1739</f>
        <v>2300</v>
      </c>
      <c r="J1738" s="88">
        <f>J1739</f>
        <v>0</v>
      </c>
      <c r="K1738" s="88">
        <f t="shared" si="256"/>
        <v>2300</v>
      </c>
      <c r="L1738" s="88">
        <f>L1741</f>
        <v>100060</v>
      </c>
      <c r="M1738" s="88">
        <f>M1741</f>
        <v>0</v>
      </c>
      <c r="N1738" s="88">
        <f t="shared" si="250"/>
        <v>100060</v>
      </c>
      <c r="O1738" s="88">
        <f t="shared" si="254"/>
        <v>102360</v>
      </c>
      <c r="P1738" s="88">
        <f t="shared" si="257"/>
        <v>0</v>
      </c>
      <c r="Q1738" s="88">
        <f t="shared" si="255"/>
        <v>102360</v>
      </c>
    </row>
    <row r="1739" spans="2:17" ht="12.75">
      <c r="B1739" s="21">
        <f t="shared" si="258"/>
        <v>57</v>
      </c>
      <c r="C1739" s="10"/>
      <c r="D1739" s="10"/>
      <c r="E1739" s="10"/>
      <c r="F1739" s="30" t="s">
        <v>138</v>
      </c>
      <c r="G1739" s="10">
        <v>630</v>
      </c>
      <c r="H1739" s="10" t="s">
        <v>121</v>
      </c>
      <c r="I1739" s="61">
        <f>I1740</f>
        <v>2300</v>
      </c>
      <c r="J1739" s="61">
        <f>J1740</f>
        <v>0</v>
      </c>
      <c r="K1739" s="61">
        <f t="shared" si="256"/>
        <v>2300</v>
      </c>
      <c r="L1739" s="61"/>
      <c r="M1739" s="61"/>
      <c r="N1739" s="61">
        <f t="shared" si="250"/>
        <v>0</v>
      </c>
      <c r="O1739" s="61">
        <f t="shared" si="254"/>
        <v>2300</v>
      </c>
      <c r="P1739" s="61">
        <f t="shared" si="257"/>
        <v>0</v>
      </c>
      <c r="Q1739" s="61">
        <f t="shared" si="255"/>
        <v>2300</v>
      </c>
    </row>
    <row r="1740" spans="2:17" ht="12.75">
      <c r="B1740" s="21">
        <f t="shared" si="258"/>
        <v>58</v>
      </c>
      <c r="C1740" s="4"/>
      <c r="D1740" s="4"/>
      <c r="E1740" s="4"/>
      <c r="F1740" s="31" t="s">
        <v>138</v>
      </c>
      <c r="G1740" s="4">
        <v>637</v>
      </c>
      <c r="H1740" s="4" t="s">
        <v>122</v>
      </c>
      <c r="I1740" s="17">
        <v>2300</v>
      </c>
      <c r="J1740" s="17"/>
      <c r="K1740" s="17">
        <f t="shared" si="256"/>
        <v>2300</v>
      </c>
      <c r="L1740" s="17"/>
      <c r="M1740" s="17"/>
      <c r="N1740" s="17">
        <f t="shared" si="250"/>
        <v>0</v>
      </c>
      <c r="O1740" s="17">
        <f t="shared" si="254"/>
        <v>2300</v>
      </c>
      <c r="P1740" s="17">
        <f t="shared" si="257"/>
        <v>0</v>
      </c>
      <c r="Q1740" s="17">
        <f t="shared" si="255"/>
        <v>2300</v>
      </c>
    </row>
    <row r="1741" spans="2:17" ht="12.75">
      <c r="B1741" s="21">
        <f t="shared" si="258"/>
        <v>59</v>
      </c>
      <c r="C1741" s="10"/>
      <c r="D1741" s="10"/>
      <c r="E1741" s="10"/>
      <c r="F1741" s="30" t="s">
        <v>138</v>
      </c>
      <c r="G1741" s="10">
        <v>710</v>
      </c>
      <c r="H1741" s="10" t="s">
        <v>176</v>
      </c>
      <c r="I1741" s="61"/>
      <c r="J1741" s="61"/>
      <c r="K1741" s="61">
        <f t="shared" si="256"/>
        <v>0</v>
      </c>
      <c r="L1741" s="61">
        <f>L1742</f>
        <v>100060</v>
      </c>
      <c r="M1741" s="61">
        <f>M1742</f>
        <v>0</v>
      </c>
      <c r="N1741" s="61">
        <f t="shared" si="250"/>
        <v>100060</v>
      </c>
      <c r="O1741" s="61">
        <f t="shared" si="254"/>
        <v>100060</v>
      </c>
      <c r="P1741" s="61">
        <f t="shared" si="257"/>
        <v>0</v>
      </c>
      <c r="Q1741" s="61">
        <f t="shared" si="255"/>
        <v>100060</v>
      </c>
    </row>
    <row r="1742" spans="2:17" ht="13.5" customHeight="1">
      <c r="B1742" s="21">
        <f t="shared" si="258"/>
        <v>60</v>
      </c>
      <c r="C1742" s="4"/>
      <c r="D1742" s="4"/>
      <c r="E1742" s="4"/>
      <c r="F1742" s="31" t="s">
        <v>138</v>
      </c>
      <c r="G1742" s="4">
        <v>717</v>
      </c>
      <c r="H1742" s="4" t="s">
        <v>186</v>
      </c>
      <c r="I1742" s="17"/>
      <c r="J1742" s="17"/>
      <c r="K1742" s="17">
        <f t="shared" si="256"/>
        <v>0</v>
      </c>
      <c r="L1742" s="17">
        <f>L1743+L1744</f>
        <v>100060</v>
      </c>
      <c r="M1742" s="17">
        <f>M1743+M1744</f>
        <v>0</v>
      </c>
      <c r="N1742" s="17">
        <f t="shared" si="250"/>
        <v>100060</v>
      </c>
      <c r="O1742" s="17">
        <f t="shared" si="254"/>
        <v>100060</v>
      </c>
      <c r="P1742" s="17">
        <f t="shared" si="257"/>
        <v>0</v>
      </c>
      <c r="Q1742" s="17">
        <f t="shared" si="255"/>
        <v>100060</v>
      </c>
    </row>
    <row r="1743" spans="2:17" ht="12.75" customHeight="1">
      <c r="B1743" s="21">
        <f t="shared" si="258"/>
        <v>61</v>
      </c>
      <c r="C1743" s="5"/>
      <c r="D1743" s="5"/>
      <c r="E1743" s="5"/>
      <c r="F1743" s="32"/>
      <c r="G1743" s="5"/>
      <c r="H1743" s="5" t="s">
        <v>251</v>
      </c>
      <c r="I1743" s="18"/>
      <c r="J1743" s="18"/>
      <c r="K1743" s="18">
        <f t="shared" si="256"/>
        <v>0</v>
      </c>
      <c r="L1743" s="18">
        <v>65060</v>
      </c>
      <c r="M1743" s="18"/>
      <c r="N1743" s="18">
        <f t="shared" si="250"/>
        <v>65060</v>
      </c>
      <c r="O1743" s="18">
        <f t="shared" si="254"/>
        <v>65060</v>
      </c>
      <c r="P1743" s="18">
        <f t="shared" si="257"/>
        <v>0</v>
      </c>
      <c r="Q1743" s="18">
        <f t="shared" si="255"/>
        <v>65060</v>
      </c>
    </row>
    <row r="1744" spans="2:17" ht="12.75">
      <c r="B1744" s="21">
        <f t="shared" si="258"/>
        <v>62</v>
      </c>
      <c r="C1744" s="5"/>
      <c r="D1744" s="5"/>
      <c r="E1744" s="5"/>
      <c r="F1744" s="32"/>
      <c r="G1744" s="5"/>
      <c r="H1744" s="5" t="s">
        <v>313</v>
      </c>
      <c r="I1744" s="18"/>
      <c r="J1744" s="18"/>
      <c r="K1744" s="18">
        <f t="shared" si="256"/>
        <v>0</v>
      </c>
      <c r="L1744" s="18">
        <v>35000</v>
      </c>
      <c r="M1744" s="18"/>
      <c r="N1744" s="18">
        <f t="shared" si="250"/>
        <v>35000</v>
      </c>
      <c r="O1744" s="18">
        <f t="shared" si="254"/>
        <v>35000</v>
      </c>
      <c r="P1744" s="18">
        <f t="shared" si="257"/>
        <v>0</v>
      </c>
      <c r="Q1744" s="18">
        <f t="shared" si="255"/>
        <v>35000</v>
      </c>
    </row>
    <row r="1745" spans="2:17" ht="15">
      <c r="B1745" s="21">
        <f t="shared" si="258"/>
        <v>63</v>
      </c>
      <c r="C1745" s="7">
        <v>3</v>
      </c>
      <c r="D1745" s="232" t="s">
        <v>248</v>
      </c>
      <c r="E1745" s="233"/>
      <c r="F1745" s="233"/>
      <c r="G1745" s="233"/>
      <c r="H1745" s="234"/>
      <c r="I1745" s="87">
        <f>I1746+I1749+I1757+I1755</f>
        <v>46252</v>
      </c>
      <c r="J1745" s="87">
        <f>J1746+J1749+J1757+J1755</f>
        <v>0</v>
      </c>
      <c r="K1745" s="87">
        <f t="shared" si="256"/>
        <v>46252</v>
      </c>
      <c r="L1745" s="87">
        <f>L1752</f>
        <v>50000</v>
      </c>
      <c r="M1745" s="87">
        <f>M1752</f>
        <v>0</v>
      </c>
      <c r="N1745" s="87">
        <f t="shared" si="250"/>
        <v>50000</v>
      </c>
      <c r="O1745" s="87">
        <f t="shared" si="254"/>
        <v>96252</v>
      </c>
      <c r="P1745" s="87">
        <f t="shared" si="257"/>
        <v>0</v>
      </c>
      <c r="Q1745" s="87">
        <f t="shared" si="255"/>
        <v>96252</v>
      </c>
    </row>
    <row r="1746" spans="2:17" ht="12.75">
      <c r="B1746" s="21">
        <f t="shared" si="258"/>
        <v>64</v>
      </c>
      <c r="C1746" s="10"/>
      <c r="D1746" s="10"/>
      <c r="E1746" s="10"/>
      <c r="F1746" s="30" t="s">
        <v>247</v>
      </c>
      <c r="G1746" s="10">
        <v>630</v>
      </c>
      <c r="H1746" s="10" t="s">
        <v>121</v>
      </c>
      <c r="I1746" s="61">
        <f>I1748+I1747</f>
        <v>19152</v>
      </c>
      <c r="J1746" s="61">
        <f>J1748+J1747</f>
        <v>0</v>
      </c>
      <c r="K1746" s="61">
        <f t="shared" si="256"/>
        <v>19152</v>
      </c>
      <c r="L1746" s="61"/>
      <c r="M1746" s="61"/>
      <c r="N1746" s="61">
        <f t="shared" si="250"/>
        <v>0</v>
      </c>
      <c r="O1746" s="61">
        <f t="shared" si="254"/>
        <v>19152</v>
      </c>
      <c r="P1746" s="61">
        <f t="shared" si="257"/>
        <v>0</v>
      </c>
      <c r="Q1746" s="61">
        <f t="shared" si="255"/>
        <v>19152</v>
      </c>
    </row>
    <row r="1747" spans="2:17" ht="12.75">
      <c r="B1747" s="21">
        <f t="shared" si="258"/>
        <v>65</v>
      </c>
      <c r="C1747" s="4"/>
      <c r="D1747" s="4"/>
      <c r="E1747" s="4"/>
      <c r="F1747" s="31" t="s">
        <v>247</v>
      </c>
      <c r="G1747" s="4">
        <v>633</v>
      </c>
      <c r="H1747" s="4" t="s">
        <v>125</v>
      </c>
      <c r="I1747" s="17">
        <v>100</v>
      </c>
      <c r="J1747" s="17"/>
      <c r="K1747" s="17">
        <f t="shared" si="256"/>
        <v>100</v>
      </c>
      <c r="L1747" s="17"/>
      <c r="M1747" s="17"/>
      <c r="N1747" s="17">
        <f t="shared" si="250"/>
        <v>0</v>
      </c>
      <c r="O1747" s="17">
        <f t="shared" si="254"/>
        <v>100</v>
      </c>
      <c r="P1747" s="17">
        <f t="shared" si="257"/>
        <v>0</v>
      </c>
      <c r="Q1747" s="17">
        <f t="shared" si="255"/>
        <v>100</v>
      </c>
    </row>
    <row r="1748" spans="2:17" ht="12.75">
      <c r="B1748" s="21">
        <f t="shared" si="258"/>
        <v>66</v>
      </c>
      <c r="C1748" s="4"/>
      <c r="D1748" s="4"/>
      <c r="E1748" s="4"/>
      <c r="F1748" s="31" t="s">
        <v>247</v>
      </c>
      <c r="G1748" s="4">
        <v>637</v>
      </c>
      <c r="H1748" s="4" t="s">
        <v>122</v>
      </c>
      <c r="I1748" s="17">
        <v>19052</v>
      </c>
      <c r="J1748" s="17"/>
      <c r="K1748" s="17">
        <f t="shared" si="256"/>
        <v>19052</v>
      </c>
      <c r="L1748" s="17"/>
      <c r="M1748" s="17"/>
      <c r="N1748" s="17">
        <f t="shared" si="250"/>
        <v>0</v>
      </c>
      <c r="O1748" s="17">
        <f t="shared" si="254"/>
        <v>19052</v>
      </c>
      <c r="P1748" s="17">
        <f t="shared" si="257"/>
        <v>0</v>
      </c>
      <c r="Q1748" s="17">
        <f t="shared" si="255"/>
        <v>19052</v>
      </c>
    </row>
    <row r="1749" spans="2:17" ht="12.75">
      <c r="B1749" s="21">
        <f t="shared" si="258"/>
        <v>67</v>
      </c>
      <c r="C1749" s="10"/>
      <c r="D1749" s="10"/>
      <c r="E1749" s="10"/>
      <c r="F1749" s="30" t="s">
        <v>247</v>
      </c>
      <c r="G1749" s="10">
        <v>640</v>
      </c>
      <c r="H1749" s="10" t="s">
        <v>129</v>
      </c>
      <c r="I1749" s="61">
        <f>I1750</f>
        <v>10000</v>
      </c>
      <c r="J1749" s="61">
        <f>J1750</f>
        <v>0</v>
      </c>
      <c r="K1749" s="61">
        <f t="shared" si="256"/>
        <v>10000</v>
      </c>
      <c r="L1749" s="61"/>
      <c r="M1749" s="61"/>
      <c r="N1749" s="61">
        <f t="shared" si="250"/>
        <v>0</v>
      </c>
      <c r="O1749" s="61">
        <f t="shared" si="254"/>
        <v>10000</v>
      </c>
      <c r="P1749" s="61">
        <f t="shared" si="257"/>
        <v>0</v>
      </c>
      <c r="Q1749" s="61">
        <f t="shared" si="255"/>
        <v>10000</v>
      </c>
    </row>
    <row r="1750" spans="2:17" ht="12.75">
      <c r="B1750" s="21">
        <f t="shared" si="258"/>
        <v>68</v>
      </c>
      <c r="C1750" s="4"/>
      <c r="D1750" s="4"/>
      <c r="E1750" s="4"/>
      <c r="F1750" s="31" t="s">
        <v>247</v>
      </c>
      <c r="G1750" s="4">
        <v>642</v>
      </c>
      <c r="H1750" s="4" t="s">
        <v>130</v>
      </c>
      <c r="I1750" s="17">
        <f>I1751</f>
        <v>10000</v>
      </c>
      <c r="J1750" s="17">
        <f>J1751</f>
        <v>0</v>
      </c>
      <c r="K1750" s="17">
        <f t="shared" si="256"/>
        <v>10000</v>
      </c>
      <c r="L1750" s="17"/>
      <c r="M1750" s="17"/>
      <c r="N1750" s="17">
        <f t="shared" si="250"/>
        <v>0</v>
      </c>
      <c r="O1750" s="17">
        <f t="shared" si="254"/>
        <v>10000</v>
      </c>
      <c r="P1750" s="17">
        <f t="shared" si="257"/>
        <v>0</v>
      </c>
      <c r="Q1750" s="17">
        <f t="shared" si="255"/>
        <v>10000</v>
      </c>
    </row>
    <row r="1751" spans="2:17" ht="12.75">
      <c r="B1751" s="21">
        <f t="shared" si="258"/>
        <v>69</v>
      </c>
      <c r="C1751" s="5"/>
      <c r="D1751" s="5"/>
      <c r="E1751" s="5"/>
      <c r="F1751" s="32"/>
      <c r="G1751" s="5"/>
      <c r="H1751" s="5" t="s">
        <v>280</v>
      </c>
      <c r="I1751" s="18">
        <v>10000</v>
      </c>
      <c r="J1751" s="18"/>
      <c r="K1751" s="18">
        <f t="shared" si="256"/>
        <v>10000</v>
      </c>
      <c r="L1751" s="18"/>
      <c r="M1751" s="18"/>
      <c r="N1751" s="18">
        <f t="shared" si="250"/>
        <v>0</v>
      </c>
      <c r="O1751" s="18">
        <f t="shared" si="254"/>
        <v>10000</v>
      </c>
      <c r="P1751" s="18">
        <f t="shared" si="257"/>
        <v>0</v>
      </c>
      <c r="Q1751" s="18">
        <f t="shared" si="255"/>
        <v>10000</v>
      </c>
    </row>
    <row r="1752" spans="2:17" ht="12.75">
      <c r="B1752" s="21">
        <f t="shared" si="258"/>
        <v>70</v>
      </c>
      <c r="C1752" s="10"/>
      <c r="D1752" s="10"/>
      <c r="E1752" s="10"/>
      <c r="F1752" s="30" t="s">
        <v>247</v>
      </c>
      <c r="G1752" s="10">
        <v>710</v>
      </c>
      <c r="H1752" s="10" t="s">
        <v>176</v>
      </c>
      <c r="I1752" s="61"/>
      <c r="J1752" s="61"/>
      <c r="K1752" s="61">
        <f t="shared" si="256"/>
        <v>0</v>
      </c>
      <c r="L1752" s="61">
        <f>L1753</f>
        <v>50000</v>
      </c>
      <c r="M1752" s="61">
        <f>M1753</f>
        <v>0</v>
      </c>
      <c r="N1752" s="61">
        <f aca="true" t="shared" si="259" ref="N1752:N1783">L1752+M1752</f>
        <v>50000</v>
      </c>
      <c r="O1752" s="61">
        <f t="shared" si="254"/>
        <v>50000</v>
      </c>
      <c r="P1752" s="61">
        <f t="shared" si="257"/>
        <v>0</v>
      </c>
      <c r="Q1752" s="61">
        <f t="shared" si="255"/>
        <v>50000</v>
      </c>
    </row>
    <row r="1753" spans="2:17" ht="12.75">
      <c r="B1753" s="21">
        <f t="shared" si="258"/>
        <v>71</v>
      </c>
      <c r="C1753" s="4"/>
      <c r="D1753" s="4"/>
      <c r="E1753" s="4"/>
      <c r="F1753" s="31" t="s">
        <v>247</v>
      </c>
      <c r="G1753" s="4">
        <v>716</v>
      </c>
      <c r="H1753" s="4" t="s">
        <v>222</v>
      </c>
      <c r="I1753" s="17"/>
      <c r="J1753" s="17"/>
      <c r="K1753" s="17">
        <f t="shared" si="256"/>
        <v>0</v>
      </c>
      <c r="L1753" s="17">
        <f>L1754</f>
        <v>50000</v>
      </c>
      <c r="M1753" s="17">
        <f>M1754</f>
        <v>0</v>
      </c>
      <c r="N1753" s="17">
        <f t="shared" si="259"/>
        <v>50000</v>
      </c>
      <c r="O1753" s="17">
        <f t="shared" si="254"/>
        <v>50000</v>
      </c>
      <c r="P1753" s="17">
        <f t="shared" si="257"/>
        <v>0</v>
      </c>
      <c r="Q1753" s="17">
        <f t="shared" si="255"/>
        <v>50000</v>
      </c>
    </row>
    <row r="1754" spans="2:17" ht="12.75">
      <c r="B1754" s="21">
        <f t="shared" si="258"/>
        <v>72</v>
      </c>
      <c r="C1754" s="5"/>
      <c r="D1754" s="5"/>
      <c r="E1754" s="5"/>
      <c r="F1754" s="32"/>
      <c r="G1754" s="5"/>
      <c r="H1754" s="5" t="s">
        <v>321</v>
      </c>
      <c r="I1754" s="18"/>
      <c r="J1754" s="18"/>
      <c r="K1754" s="18">
        <f t="shared" si="256"/>
        <v>0</v>
      </c>
      <c r="L1754" s="18">
        <v>50000</v>
      </c>
      <c r="M1754" s="18"/>
      <c r="N1754" s="18">
        <f t="shared" si="259"/>
        <v>50000</v>
      </c>
      <c r="O1754" s="18">
        <f t="shared" si="254"/>
        <v>50000</v>
      </c>
      <c r="P1754" s="18">
        <f t="shared" si="257"/>
        <v>0</v>
      </c>
      <c r="Q1754" s="18">
        <f t="shared" si="255"/>
        <v>50000</v>
      </c>
    </row>
    <row r="1755" spans="2:17" ht="12.75">
      <c r="B1755" s="21">
        <f t="shared" si="258"/>
        <v>73</v>
      </c>
      <c r="C1755" s="5"/>
      <c r="D1755" s="5"/>
      <c r="E1755" s="5"/>
      <c r="F1755" s="30" t="s">
        <v>196</v>
      </c>
      <c r="G1755" s="10">
        <v>630</v>
      </c>
      <c r="H1755" s="10" t="s">
        <v>121</v>
      </c>
      <c r="I1755" s="61">
        <f>I1756</f>
        <v>4100</v>
      </c>
      <c r="J1755" s="61">
        <f>J1756</f>
        <v>0</v>
      </c>
      <c r="K1755" s="61">
        <f t="shared" si="256"/>
        <v>4100</v>
      </c>
      <c r="L1755" s="61"/>
      <c r="M1755" s="61"/>
      <c r="N1755" s="61">
        <f t="shared" si="259"/>
        <v>0</v>
      </c>
      <c r="O1755" s="61">
        <f t="shared" si="254"/>
        <v>4100</v>
      </c>
      <c r="P1755" s="61">
        <f t="shared" si="257"/>
        <v>0</v>
      </c>
      <c r="Q1755" s="61">
        <f t="shared" si="255"/>
        <v>4100</v>
      </c>
    </row>
    <row r="1756" spans="2:17" ht="12.75">
      <c r="B1756" s="21">
        <f t="shared" si="258"/>
        <v>74</v>
      </c>
      <c r="C1756" s="5"/>
      <c r="D1756" s="5"/>
      <c r="E1756" s="5"/>
      <c r="F1756" s="31" t="s">
        <v>196</v>
      </c>
      <c r="G1756" s="4">
        <v>635</v>
      </c>
      <c r="H1756" s="4" t="s">
        <v>613</v>
      </c>
      <c r="I1756" s="17">
        <v>4100</v>
      </c>
      <c r="J1756" s="17"/>
      <c r="K1756" s="17">
        <f t="shared" si="256"/>
        <v>4100</v>
      </c>
      <c r="L1756" s="17"/>
      <c r="M1756" s="17"/>
      <c r="N1756" s="17">
        <f t="shared" si="259"/>
        <v>0</v>
      </c>
      <c r="O1756" s="17">
        <f t="shared" si="254"/>
        <v>4100</v>
      </c>
      <c r="P1756" s="17">
        <f t="shared" si="257"/>
        <v>0</v>
      </c>
      <c r="Q1756" s="17">
        <f t="shared" si="255"/>
        <v>4100</v>
      </c>
    </row>
    <row r="1757" spans="2:17" ht="15">
      <c r="B1757" s="21">
        <f t="shared" si="258"/>
        <v>75</v>
      </c>
      <c r="C1757" s="12"/>
      <c r="D1757" s="12"/>
      <c r="E1757" s="12">
        <v>2</v>
      </c>
      <c r="F1757" s="34"/>
      <c r="G1757" s="12"/>
      <c r="H1757" s="12" t="s">
        <v>16</v>
      </c>
      <c r="I1757" s="90">
        <f>I1758</f>
        <v>13000</v>
      </c>
      <c r="J1757" s="90">
        <f>J1758</f>
        <v>0</v>
      </c>
      <c r="K1757" s="90">
        <f t="shared" si="256"/>
        <v>13000</v>
      </c>
      <c r="L1757" s="90"/>
      <c r="M1757" s="90"/>
      <c r="N1757" s="90">
        <f t="shared" si="259"/>
        <v>0</v>
      </c>
      <c r="O1757" s="90">
        <f t="shared" si="254"/>
        <v>13000</v>
      </c>
      <c r="P1757" s="90">
        <f t="shared" si="257"/>
        <v>0</v>
      </c>
      <c r="Q1757" s="90">
        <f t="shared" si="255"/>
        <v>13000</v>
      </c>
    </row>
    <row r="1758" spans="2:17" ht="12.75">
      <c r="B1758" s="21">
        <f t="shared" si="258"/>
        <v>76</v>
      </c>
      <c r="C1758" s="10"/>
      <c r="D1758" s="10"/>
      <c r="E1758" s="10"/>
      <c r="F1758" s="30" t="s">
        <v>196</v>
      </c>
      <c r="G1758" s="10">
        <v>630</v>
      </c>
      <c r="H1758" s="10" t="s">
        <v>121</v>
      </c>
      <c r="I1758" s="61">
        <f>I1759</f>
        <v>13000</v>
      </c>
      <c r="J1758" s="61">
        <f>J1759</f>
        <v>0</v>
      </c>
      <c r="K1758" s="61">
        <f t="shared" si="256"/>
        <v>13000</v>
      </c>
      <c r="L1758" s="61"/>
      <c r="M1758" s="61"/>
      <c r="N1758" s="61">
        <f t="shared" si="259"/>
        <v>0</v>
      </c>
      <c r="O1758" s="61">
        <f t="shared" si="254"/>
        <v>13000</v>
      </c>
      <c r="P1758" s="61">
        <f t="shared" si="257"/>
        <v>0</v>
      </c>
      <c r="Q1758" s="61">
        <f t="shared" si="255"/>
        <v>13000</v>
      </c>
    </row>
    <row r="1759" spans="2:17" ht="12.75">
      <c r="B1759" s="21">
        <f t="shared" si="258"/>
        <v>77</v>
      </c>
      <c r="C1759" s="4"/>
      <c r="D1759" s="4"/>
      <c r="E1759" s="4"/>
      <c r="F1759" s="31" t="s">
        <v>196</v>
      </c>
      <c r="G1759" s="4">
        <v>635</v>
      </c>
      <c r="H1759" s="4" t="s">
        <v>133</v>
      </c>
      <c r="I1759" s="17">
        <v>13000</v>
      </c>
      <c r="J1759" s="17"/>
      <c r="K1759" s="17">
        <f t="shared" si="256"/>
        <v>13000</v>
      </c>
      <c r="L1759" s="17"/>
      <c r="M1759" s="17"/>
      <c r="N1759" s="17">
        <f t="shared" si="259"/>
        <v>0</v>
      </c>
      <c r="O1759" s="17">
        <f t="shared" si="254"/>
        <v>13000</v>
      </c>
      <c r="P1759" s="17">
        <f t="shared" si="257"/>
        <v>0</v>
      </c>
      <c r="Q1759" s="17">
        <f t="shared" si="255"/>
        <v>13000</v>
      </c>
    </row>
    <row r="1760" spans="2:17" ht="15">
      <c r="B1760" s="21">
        <f t="shared" si="258"/>
        <v>78</v>
      </c>
      <c r="C1760" s="7">
        <v>4</v>
      </c>
      <c r="D1760" s="232" t="s">
        <v>75</v>
      </c>
      <c r="E1760" s="233"/>
      <c r="F1760" s="233"/>
      <c r="G1760" s="233"/>
      <c r="H1760" s="234"/>
      <c r="I1760" s="87">
        <f aca="true" t="shared" si="260" ref="I1760:J1762">I1761</f>
        <v>25000</v>
      </c>
      <c r="J1760" s="87">
        <f t="shared" si="260"/>
        <v>0</v>
      </c>
      <c r="K1760" s="87">
        <f t="shared" si="256"/>
        <v>25000</v>
      </c>
      <c r="L1760" s="87"/>
      <c r="M1760" s="87"/>
      <c r="N1760" s="87">
        <f t="shared" si="259"/>
        <v>0</v>
      </c>
      <c r="O1760" s="87">
        <f t="shared" si="254"/>
        <v>25000</v>
      </c>
      <c r="P1760" s="87">
        <f t="shared" si="257"/>
        <v>0</v>
      </c>
      <c r="Q1760" s="87">
        <f t="shared" si="255"/>
        <v>25000</v>
      </c>
    </row>
    <row r="1761" spans="2:17" ht="12.75">
      <c r="B1761" s="21">
        <f t="shared" si="258"/>
        <v>79</v>
      </c>
      <c r="C1761" s="10"/>
      <c r="D1761" s="10"/>
      <c r="E1761" s="10"/>
      <c r="F1761" s="30" t="s">
        <v>196</v>
      </c>
      <c r="G1761" s="10">
        <v>640</v>
      </c>
      <c r="H1761" s="10" t="s">
        <v>129</v>
      </c>
      <c r="I1761" s="61">
        <f t="shared" si="260"/>
        <v>25000</v>
      </c>
      <c r="J1761" s="61">
        <f t="shared" si="260"/>
        <v>0</v>
      </c>
      <c r="K1761" s="61">
        <f t="shared" si="256"/>
        <v>25000</v>
      </c>
      <c r="L1761" s="61"/>
      <c r="M1761" s="61"/>
      <c r="N1761" s="61">
        <f t="shared" si="259"/>
        <v>0</v>
      </c>
      <c r="O1761" s="61">
        <f t="shared" si="254"/>
        <v>25000</v>
      </c>
      <c r="P1761" s="61">
        <f t="shared" si="257"/>
        <v>0</v>
      </c>
      <c r="Q1761" s="61">
        <f t="shared" si="255"/>
        <v>25000</v>
      </c>
    </row>
    <row r="1762" spans="2:17" ht="12.75">
      <c r="B1762" s="21">
        <f t="shared" si="258"/>
        <v>80</v>
      </c>
      <c r="C1762" s="4"/>
      <c r="D1762" s="4"/>
      <c r="E1762" s="4"/>
      <c r="F1762" s="31" t="s">
        <v>196</v>
      </c>
      <c r="G1762" s="4">
        <v>642</v>
      </c>
      <c r="H1762" s="4" t="s">
        <v>130</v>
      </c>
      <c r="I1762" s="17">
        <f t="shared" si="260"/>
        <v>25000</v>
      </c>
      <c r="J1762" s="17">
        <f t="shared" si="260"/>
        <v>0</v>
      </c>
      <c r="K1762" s="17">
        <f t="shared" si="256"/>
        <v>25000</v>
      </c>
      <c r="L1762" s="17"/>
      <c r="M1762" s="17"/>
      <c r="N1762" s="17">
        <f t="shared" si="259"/>
        <v>0</v>
      </c>
      <c r="O1762" s="17">
        <f t="shared" si="254"/>
        <v>25000</v>
      </c>
      <c r="P1762" s="17">
        <f t="shared" si="257"/>
        <v>0</v>
      </c>
      <c r="Q1762" s="17">
        <f t="shared" si="255"/>
        <v>25000</v>
      </c>
    </row>
    <row r="1763" spans="2:17" ht="12.75">
      <c r="B1763" s="21">
        <f t="shared" si="258"/>
        <v>81</v>
      </c>
      <c r="C1763" s="5"/>
      <c r="D1763" s="5"/>
      <c r="E1763" s="5"/>
      <c r="F1763" s="32"/>
      <c r="G1763" s="5"/>
      <c r="H1763" s="5" t="s">
        <v>394</v>
      </c>
      <c r="I1763" s="18">
        <v>25000</v>
      </c>
      <c r="J1763" s="18"/>
      <c r="K1763" s="18">
        <f t="shared" si="256"/>
        <v>25000</v>
      </c>
      <c r="L1763" s="18"/>
      <c r="M1763" s="18"/>
      <c r="N1763" s="18">
        <f t="shared" si="259"/>
        <v>0</v>
      </c>
      <c r="O1763" s="18">
        <f aca="true" t="shared" si="261" ref="O1763:O1783">I1763+L1763</f>
        <v>25000</v>
      </c>
      <c r="P1763" s="18">
        <f t="shared" si="257"/>
        <v>0</v>
      </c>
      <c r="Q1763" s="18">
        <f aca="true" t="shared" si="262" ref="Q1763:Q1783">K1763+N1763</f>
        <v>25000</v>
      </c>
    </row>
    <row r="1764" spans="2:17" ht="15">
      <c r="B1764" s="21">
        <f t="shared" si="258"/>
        <v>82</v>
      </c>
      <c r="C1764" s="7">
        <v>5</v>
      </c>
      <c r="D1764" s="232" t="s">
        <v>54</v>
      </c>
      <c r="E1764" s="233"/>
      <c r="F1764" s="233"/>
      <c r="G1764" s="233"/>
      <c r="H1764" s="234"/>
      <c r="I1764" s="87">
        <f>I1765</f>
        <v>24700</v>
      </c>
      <c r="J1764" s="87">
        <f>J1765</f>
        <v>0</v>
      </c>
      <c r="K1764" s="87">
        <f t="shared" si="256"/>
        <v>24700</v>
      </c>
      <c r="L1764" s="87"/>
      <c r="M1764" s="87"/>
      <c r="N1764" s="87">
        <f t="shared" si="259"/>
        <v>0</v>
      </c>
      <c r="O1764" s="87">
        <f t="shared" si="261"/>
        <v>24700</v>
      </c>
      <c r="P1764" s="87">
        <f t="shared" si="257"/>
        <v>0</v>
      </c>
      <c r="Q1764" s="87">
        <f t="shared" si="262"/>
        <v>24700</v>
      </c>
    </row>
    <row r="1765" spans="2:17" ht="15">
      <c r="B1765" s="21">
        <f t="shared" si="258"/>
        <v>83</v>
      </c>
      <c r="C1765" s="12"/>
      <c r="D1765" s="12"/>
      <c r="E1765" s="12">
        <v>2</v>
      </c>
      <c r="F1765" s="34"/>
      <c r="G1765" s="12"/>
      <c r="H1765" s="12" t="s">
        <v>16</v>
      </c>
      <c r="I1765" s="90">
        <f>I1766</f>
        <v>24700</v>
      </c>
      <c r="J1765" s="90">
        <f>J1766</f>
        <v>0</v>
      </c>
      <c r="K1765" s="90">
        <f aca="true" t="shared" si="263" ref="K1765:K1783">I1765+J1765</f>
        <v>24700</v>
      </c>
      <c r="L1765" s="90"/>
      <c r="M1765" s="90"/>
      <c r="N1765" s="90">
        <f t="shared" si="259"/>
        <v>0</v>
      </c>
      <c r="O1765" s="90">
        <f t="shared" si="261"/>
        <v>24700</v>
      </c>
      <c r="P1765" s="90">
        <f aca="true" t="shared" si="264" ref="P1765:P1783">J1765+M1765</f>
        <v>0</v>
      </c>
      <c r="Q1765" s="90">
        <f t="shared" si="262"/>
        <v>24700</v>
      </c>
    </row>
    <row r="1766" spans="2:17" ht="12.75">
      <c r="B1766" s="21">
        <f aca="true" t="shared" si="265" ref="B1766:B1783">B1765+1</f>
        <v>84</v>
      </c>
      <c r="C1766" s="10"/>
      <c r="D1766" s="10"/>
      <c r="E1766" s="10"/>
      <c r="F1766" s="30" t="s">
        <v>196</v>
      </c>
      <c r="G1766" s="10">
        <v>630</v>
      </c>
      <c r="H1766" s="10" t="s">
        <v>121</v>
      </c>
      <c r="I1766" s="61">
        <f>I1770+I1769+I1768+I1767</f>
        <v>24700</v>
      </c>
      <c r="J1766" s="61">
        <f>J1770+J1769+J1768+J1767</f>
        <v>0</v>
      </c>
      <c r="K1766" s="61">
        <f t="shared" si="263"/>
        <v>24700</v>
      </c>
      <c r="L1766" s="61"/>
      <c r="M1766" s="61"/>
      <c r="N1766" s="61">
        <f t="shared" si="259"/>
        <v>0</v>
      </c>
      <c r="O1766" s="61">
        <f t="shared" si="261"/>
        <v>24700</v>
      </c>
      <c r="P1766" s="61">
        <f t="shared" si="264"/>
        <v>0</v>
      </c>
      <c r="Q1766" s="61">
        <f t="shared" si="262"/>
        <v>24700</v>
      </c>
    </row>
    <row r="1767" spans="2:17" ht="12.75">
      <c r="B1767" s="21">
        <f t="shared" si="265"/>
        <v>85</v>
      </c>
      <c r="C1767" s="4"/>
      <c r="D1767" s="4"/>
      <c r="E1767" s="4"/>
      <c r="F1767" s="31" t="s">
        <v>196</v>
      </c>
      <c r="G1767" s="4">
        <v>632</v>
      </c>
      <c r="H1767" s="4" t="s">
        <v>134</v>
      </c>
      <c r="I1767" s="17">
        <v>10300</v>
      </c>
      <c r="J1767" s="17"/>
      <c r="K1767" s="17">
        <f t="shared" si="263"/>
        <v>10300</v>
      </c>
      <c r="L1767" s="17"/>
      <c r="M1767" s="17"/>
      <c r="N1767" s="17">
        <f t="shared" si="259"/>
        <v>0</v>
      </c>
      <c r="O1767" s="17">
        <f t="shared" si="261"/>
        <v>10300</v>
      </c>
      <c r="P1767" s="17">
        <f t="shared" si="264"/>
        <v>0</v>
      </c>
      <c r="Q1767" s="17">
        <f t="shared" si="262"/>
        <v>10300</v>
      </c>
    </row>
    <row r="1768" spans="2:17" ht="12.75">
      <c r="B1768" s="21">
        <f t="shared" si="265"/>
        <v>86</v>
      </c>
      <c r="C1768" s="4"/>
      <c r="D1768" s="4"/>
      <c r="E1768" s="4"/>
      <c r="F1768" s="31" t="s">
        <v>196</v>
      </c>
      <c r="G1768" s="4">
        <v>633</v>
      </c>
      <c r="H1768" s="4" t="s">
        <v>125</v>
      </c>
      <c r="I1768" s="17">
        <v>5000</v>
      </c>
      <c r="J1768" s="17"/>
      <c r="K1768" s="17">
        <f t="shared" si="263"/>
        <v>5000</v>
      </c>
      <c r="L1768" s="17"/>
      <c r="M1768" s="17"/>
      <c r="N1768" s="17">
        <f t="shared" si="259"/>
        <v>0</v>
      </c>
      <c r="O1768" s="17">
        <f t="shared" si="261"/>
        <v>5000</v>
      </c>
      <c r="P1768" s="17">
        <f t="shared" si="264"/>
        <v>0</v>
      </c>
      <c r="Q1768" s="17">
        <f t="shared" si="262"/>
        <v>5000</v>
      </c>
    </row>
    <row r="1769" spans="2:17" ht="12.75">
      <c r="B1769" s="21">
        <f t="shared" si="265"/>
        <v>87</v>
      </c>
      <c r="C1769" s="4"/>
      <c r="D1769" s="4"/>
      <c r="E1769" s="4"/>
      <c r="F1769" s="31" t="s">
        <v>196</v>
      </c>
      <c r="G1769" s="4">
        <v>635</v>
      </c>
      <c r="H1769" s="4" t="s">
        <v>133</v>
      </c>
      <c r="I1769" s="17">
        <v>8500</v>
      </c>
      <c r="J1769" s="17"/>
      <c r="K1769" s="17">
        <f t="shared" si="263"/>
        <v>8500</v>
      </c>
      <c r="L1769" s="17"/>
      <c r="M1769" s="17"/>
      <c r="N1769" s="17">
        <f t="shared" si="259"/>
        <v>0</v>
      </c>
      <c r="O1769" s="17">
        <f t="shared" si="261"/>
        <v>8500</v>
      </c>
      <c r="P1769" s="17">
        <f t="shared" si="264"/>
        <v>0</v>
      </c>
      <c r="Q1769" s="17">
        <f t="shared" si="262"/>
        <v>8500</v>
      </c>
    </row>
    <row r="1770" spans="2:17" ht="12.75">
      <c r="B1770" s="21">
        <f t="shared" si="265"/>
        <v>88</v>
      </c>
      <c r="C1770" s="4"/>
      <c r="D1770" s="4"/>
      <c r="E1770" s="4"/>
      <c r="F1770" s="31" t="s">
        <v>196</v>
      </c>
      <c r="G1770" s="4">
        <v>637</v>
      </c>
      <c r="H1770" s="4" t="s">
        <v>122</v>
      </c>
      <c r="I1770" s="17">
        <v>900</v>
      </c>
      <c r="J1770" s="17"/>
      <c r="K1770" s="17">
        <f t="shared" si="263"/>
        <v>900</v>
      </c>
      <c r="L1770" s="17"/>
      <c r="M1770" s="17"/>
      <c r="N1770" s="17">
        <f t="shared" si="259"/>
        <v>0</v>
      </c>
      <c r="O1770" s="17">
        <f t="shared" si="261"/>
        <v>900</v>
      </c>
      <c r="P1770" s="17">
        <f t="shared" si="264"/>
        <v>0</v>
      </c>
      <c r="Q1770" s="17">
        <f t="shared" si="262"/>
        <v>900</v>
      </c>
    </row>
    <row r="1771" spans="2:17" ht="15">
      <c r="B1771" s="21">
        <f t="shared" si="265"/>
        <v>89</v>
      </c>
      <c r="C1771" s="7">
        <v>6</v>
      </c>
      <c r="D1771" s="232" t="s">
        <v>69</v>
      </c>
      <c r="E1771" s="233"/>
      <c r="F1771" s="233"/>
      <c r="G1771" s="233"/>
      <c r="H1771" s="234"/>
      <c r="I1771" s="87">
        <f>I1772</f>
        <v>426170</v>
      </c>
      <c r="J1771" s="87">
        <f>J1772</f>
        <v>0</v>
      </c>
      <c r="K1771" s="87">
        <f t="shared" si="263"/>
        <v>426170</v>
      </c>
      <c r="L1771" s="87"/>
      <c r="M1771" s="87"/>
      <c r="N1771" s="87">
        <f t="shared" si="259"/>
        <v>0</v>
      </c>
      <c r="O1771" s="87">
        <f t="shared" si="261"/>
        <v>426170</v>
      </c>
      <c r="P1771" s="87">
        <f t="shared" si="264"/>
        <v>0</v>
      </c>
      <c r="Q1771" s="87">
        <f t="shared" si="262"/>
        <v>426170</v>
      </c>
    </row>
    <row r="1772" spans="2:17" ht="15">
      <c r="B1772" s="21">
        <f t="shared" si="265"/>
        <v>90</v>
      </c>
      <c r="C1772" s="12"/>
      <c r="D1772" s="12"/>
      <c r="E1772" s="12">
        <v>2</v>
      </c>
      <c r="F1772" s="34"/>
      <c r="G1772" s="12"/>
      <c r="H1772" s="12" t="s">
        <v>16</v>
      </c>
      <c r="I1772" s="90">
        <f>I1773+I1774+I1775+I1783</f>
        <v>426170</v>
      </c>
      <c r="J1772" s="90">
        <f>J1773+J1774+J1775+J1783</f>
        <v>0</v>
      </c>
      <c r="K1772" s="90">
        <f t="shared" si="263"/>
        <v>426170</v>
      </c>
      <c r="L1772" s="90"/>
      <c r="M1772" s="90"/>
      <c r="N1772" s="90">
        <f t="shared" si="259"/>
        <v>0</v>
      </c>
      <c r="O1772" s="90">
        <f t="shared" si="261"/>
        <v>426170</v>
      </c>
      <c r="P1772" s="90">
        <f t="shared" si="264"/>
        <v>0</v>
      </c>
      <c r="Q1772" s="90">
        <f t="shared" si="262"/>
        <v>426170</v>
      </c>
    </row>
    <row r="1773" spans="2:17" ht="12.75">
      <c r="B1773" s="21">
        <f t="shared" si="265"/>
        <v>91</v>
      </c>
      <c r="C1773" s="10"/>
      <c r="D1773" s="10"/>
      <c r="E1773" s="10"/>
      <c r="F1773" s="30" t="s">
        <v>196</v>
      </c>
      <c r="G1773" s="10">
        <v>610</v>
      </c>
      <c r="H1773" s="10" t="s">
        <v>131</v>
      </c>
      <c r="I1773" s="61">
        <v>232090</v>
      </c>
      <c r="J1773" s="61"/>
      <c r="K1773" s="61">
        <f t="shared" si="263"/>
        <v>232090</v>
      </c>
      <c r="L1773" s="61"/>
      <c r="M1773" s="61"/>
      <c r="N1773" s="61">
        <f t="shared" si="259"/>
        <v>0</v>
      </c>
      <c r="O1773" s="61">
        <f t="shared" si="261"/>
        <v>232090</v>
      </c>
      <c r="P1773" s="61">
        <f t="shared" si="264"/>
        <v>0</v>
      </c>
      <c r="Q1773" s="61">
        <f t="shared" si="262"/>
        <v>232090</v>
      </c>
    </row>
    <row r="1774" spans="2:17" ht="12.75">
      <c r="B1774" s="21">
        <f t="shared" si="265"/>
        <v>92</v>
      </c>
      <c r="C1774" s="10"/>
      <c r="D1774" s="10"/>
      <c r="E1774" s="10"/>
      <c r="F1774" s="30" t="s">
        <v>196</v>
      </c>
      <c r="G1774" s="10">
        <v>620</v>
      </c>
      <c r="H1774" s="10" t="s">
        <v>124</v>
      </c>
      <c r="I1774" s="61">
        <v>87130</v>
      </c>
      <c r="J1774" s="61"/>
      <c r="K1774" s="61">
        <f t="shared" si="263"/>
        <v>87130</v>
      </c>
      <c r="L1774" s="61"/>
      <c r="M1774" s="61"/>
      <c r="N1774" s="61">
        <f t="shared" si="259"/>
        <v>0</v>
      </c>
      <c r="O1774" s="61">
        <f t="shared" si="261"/>
        <v>87130</v>
      </c>
      <c r="P1774" s="61">
        <f t="shared" si="264"/>
        <v>0</v>
      </c>
      <c r="Q1774" s="61">
        <f t="shared" si="262"/>
        <v>87130</v>
      </c>
    </row>
    <row r="1775" spans="2:17" ht="12.75">
      <c r="B1775" s="21">
        <f t="shared" si="265"/>
        <v>93</v>
      </c>
      <c r="C1775" s="10"/>
      <c r="D1775" s="10"/>
      <c r="E1775" s="10"/>
      <c r="F1775" s="30" t="s">
        <v>196</v>
      </c>
      <c r="G1775" s="10">
        <v>630</v>
      </c>
      <c r="H1775" s="10" t="s">
        <v>121</v>
      </c>
      <c r="I1775" s="61">
        <f>SUM(I1776:I1782)</f>
        <v>102550</v>
      </c>
      <c r="J1775" s="61">
        <f>SUM(J1776:J1782)</f>
        <v>0</v>
      </c>
      <c r="K1775" s="61">
        <f t="shared" si="263"/>
        <v>102550</v>
      </c>
      <c r="L1775" s="61"/>
      <c r="M1775" s="61"/>
      <c r="N1775" s="61">
        <f t="shared" si="259"/>
        <v>0</v>
      </c>
      <c r="O1775" s="61">
        <f t="shared" si="261"/>
        <v>102550</v>
      </c>
      <c r="P1775" s="61">
        <f t="shared" si="264"/>
        <v>0</v>
      </c>
      <c r="Q1775" s="61">
        <f t="shared" si="262"/>
        <v>102550</v>
      </c>
    </row>
    <row r="1776" spans="2:17" ht="12.75">
      <c r="B1776" s="21">
        <f t="shared" si="265"/>
        <v>94</v>
      </c>
      <c r="C1776" s="4"/>
      <c r="D1776" s="4"/>
      <c r="E1776" s="4"/>
      <c r="F1776" s="31" t="s">
        <v>196</v>
      </c>
      <c r="G1776" s="4">
        <v>631</v>
      </c>
      <c r="H1776" s="4" t="s">
        <v>127</v>
      </c>
      <c r="I1776" s="17">
        <v>1000</v>
      </c>
      <c r="J1776" s="17"/>
      <c r="K1776" s="17">
        <f t="shared" si="263"/>
        <v>1000</v>
      </c>
      <c r="L1776" s="17"/>
      <c r="M1776" s="17"/>
      <c r="N1776" s="17">
        <f t="shared" si="259"/>
        <v>0</v>
      </c>
      <c r="O1776" s="17">
        <f t="shared" si="261"/>
        <v>1000</v>
      </c>
      <c r="P1776" s="17">
        <f t="shared" si="264"/>
        <v>0</v>
      </c>
      <c r="Q1776" s="17">
        <f t="shared" si="262"/>
        <v>1000</v>
      </c>
    </row>
    <row r="1777" spans="2:17" ht="12.75">
      <c r="B1777" s="21">
        <f t="shared" si="265"/>
        <v>95</v>
      </c>
      <c r="C1777" s="4"/>
      <c r="D1777" s="4"/>
      <c r="E1777" s="4"/>
      <c r="F1777" s="31" t="s">
        <v>196</v>
      </c>
      <c r="G1777" s="4">
        <v>632</v>
      </c>
      <c r="H1777" s="4" t="s">
        <v>134</v>
      </c>
      <c r="I1777" s="17">
        <v>8500</v>
      </c>
      <c r="J1777" s="17"/>
      <c r="K1777" s="17">
        <f t="shared" si="263"/>
        <v>8500</v>
      </c>
      <c r="L1777" s="17"/>
      <c r="M1777" s="17"/>
      <c r="N1777" s="17">
        <f t="shared" si="259"/>
        <v>0</v>
      </c>
      <c r="O1777" s="17">
        <f t="shared" si="261"/>
        <v>8500</v>
      </c>
      <c r="P1777" s="17">
        <f t="shared" si="264"/>
        <v>0</v>
      </c>
      <c r="Q1777" s="17">
        <f t="shared" si="262"/>
        <v>8500</v>
      </c>
    </row>
    <row r="1778" spans="2:17" ht="12.75">
      <c r="B1778" s="21">
        <f t="shared" si="265"/>
        <v>96</v>
      </c>
      <c r="C1778" s="4"/>
      <c r="D1778" s="4"/>
      <c r="E1778" s="4"/>
      <c r="F1778" s="31" t="s">
        <v>196</v>
      </c>
      <c r="G1778" s="4">
        <v>633</v>
      </c>
      <c r="H1778" s="4" t="s">
        <v>125</v>
      </c>
      <c r="I1778" s="17">
        <v>16600</v>
      </c>
      <c r="J1778" s="17"/>
      <c r="K1778" s="17">
        <f t="shared" si="263"/>
        <v>16600</v>
      </c>
      <c r="L1778" s="17"/>
      <c r="M1778" s="17"/>
      <c r="N1778" s="17">
        <f t="shared" si="259"/>
        <v>0</v>
      </c>
      <c r="O1778" s="17">
        <f t="shared" si="261"/>
        <v>16600</v>
      </c>
      <c r="P1778" s="17">
        <f t="shared" si="264"/>
        <v>0</v>
      </c>
      <c r="Q1778" s="17">
        <f t="shared" si="262"/>
        <v>16600</v>
      </c>
    </row>
    <row r="1779" spans="2:17" ht="12.75">
      <c r="B1779" s="21">
        <f t="shared" si="265"/>
        <v>97</v>
      </c>
      <c r="C1779" s="4"/>
      <c r="D1779" s="4"/>
      <c r="E1779" s="4"/>
      <c r="F1779" s="31" t="s">
        <v>196</v>
      </c>
      <c r="G1779" s="4">
        <v>634</v>
      </c>
      <c r="H1779" s="4" t="s">
        <v>132</v>
      </c>
      <c r="I1779" s="17">
        <v>18350</v>
      </c>
      <c r="J1779" s="17"/>
      <c r="K1779" s="17">
        <f t="shared" si="263"/>
        <v>18350</v>
      </c>
      <c r="L1779" s="17"/>
      <c r="M1779" s="17"/>
      <c r="N1779" s="17">
        <f t="shared" si="259"/>
        <v>0</v>
      </c>
      <c r="O1779" s="17">
        <f t="shared" si="261"/>
        <v>18350</v>
      </c>
      <c r="P1779" s="17">
        <f t="shared" si="264"/>
        <v>0</v>
      </c>
      <c r="Q1779" s="17">
        <f t="shared" si="262"/>
        <v>18350</v>
      </c>
    </row>
    <row r="1780" spans="2:17" ht="12.75">
      <c r="B1780" s="21">
        <f t="shared" si="265"/>
        <v>98</v>
      </c>
      <c r="C1780" s="4"/>
      <c r="D1780" s="4"/>
      <c r="E1780" s="4"/>
      <c r="F1780" s="31" t="s">
        <v>196</v>
      </c>
      <c r="G1780" s="4">
        <v>635</v>
      </c>
      <c r="H1780" s="4" t="s">
        <v>133</v>
      </c>
      <c r="I1780" s="17">
        <v>2900</v>
      </c>
      <c r="J1780" s="17"/>
      <c r="K1780" s="17">
        <f t="shared" si="263"/>
        <v>2900</v>
      </c>
      <c r="L1780" s="17"/>
      <c r="M1780" s="17"/>
      <c r="N1780" s="17">
        <f t="shared" si="259"/>
        <v>0</v>
      </c>
      <c r="O1780" s="17">
        <f t="shared" si="261"/>
        <v>2900</v>
      </c>
      <c r="P1780" s="17">
        <f t="shared" si="264"/>
        <v>0</v>
      </c>
      <c r="Q1780" s="17">
        <f t="shared" si="262"/>
        <v>2900</v>
      </c>
    </row>
    <row r="1781" spans="2:17" ht="12.75">
      <c r="B1781" s="21">
        <f t="shared" si="265"/>
        <v>99</v>
      </c>
      <c r="C1781" s="4"/>
      <c r="D1781" s="4"/>
      <c r="E1781" s="4"/>
      <c r="F1781" s="31" t="s">
        <v>196</v>
      </c>
      <c r="G1781" s="4">
        <v>637</v>
      </c>
      <c r="H1781" s="4" t="s">
        <v>122</v>
      </c>
      <c r="I1781" s="17">
        <v>51350</v>
      </c>
      <c r="J1781" s="17"/>
      <c r="K1781" s="17">
        <f t="shared" si="263"/>
        <v>51350</v>
      </c>
      <c r="L1781" s="17"/>
      <c r="M1781" s="17"/>
      <c r="N1781" s="17">
        <f t="shared" si="259"/>
        <v>0</v>
      </c>
      <c r="O1781" s="17">
        <f t="shared" si="261"/>
        <v>51350</v>
      </c>
      <c r="P1781" s="17">
        <f t="shared" si="264"/>
        <v>0</v>
      </c>
      <c r="Q1781" s="17">
        <f t="shared" si="262"/>
        <v>51350</v>
      </c>
    </row>
    <row r="1782" spans="2:17" ht="12.75">
      <c r="B1782" s="21">
        <f t="shared" si="265"/>
        <v>100</v>
      </c>
      <c r="C1782" s="4"/>
      <c r="D1782" s="4"/>
      <c r="E1782" s="4"/>
      <c r="F1782" s="33" t="s">
        <v>196</v>
      </c>
      <c r="G1782" s="4">
        <v>637</v>
      </c>
      <c r="H1782" s="24" t="s">
        <v>290</v>
      </c>
      <c r="I1782" s="17">
        <v>3850</v>
      </c>
      <c r="J1782" s="17"/>
      <c r="K1782" s="17">
        <f t="shared" si="263"/>
        <v>3850</v>
      </c>
      <c r="L1782" s="17"/>
      <c r="M1782" s="17"/>
      <c r="N1782" s="17">
        <f t="shared" si="259"/>
        <v>0</v>
      </c>
      <c r="O1782" s="17">
        <f t="shared" si="261"/>
        <v>3850</v>
      </c>
      <c r="P1782" s="17">
        <f t="shared" si="264"/>
        <v>0</v>
      </c>
      <c r="Q1782" s="17">
        <f t="shared" si="262"/>
        <v>3850</v>
      </c>
    </row>
    <row r="1783" spans="2:17" ht="12.75">
      <c r="B1783" s="21">
        <f t="shared" si="265"/>
        <v>101</v>
      </c>
      <c r="C1783" s="10"/>
      <c r="D1783" s="10"/>
      <c r="E1783" s="10"/>
      <c r="F1783" s="30" t="s">
        <v>196</v>
      </c>
      <c r="G1783" s="10">
        <v>640</v>
      </c>
      <c r="H1783" s="10" t="s">
        <v>129</v>
      </c>
      <c r="I1783" s="61">
        <v>4400</v>
      </c>
      <c r="J1783" s="61"/>
      <c r="K1783" s="61">
        <f t="shared" si="263"/>
        <v>4400</v>
      </c>
      <c r="L1783" s="61"/>
      <c r="M1783" s="61"/>
      <c r="N1783" s="61">
        <f t="shared" si="259"/>
        <v>0</v>
      </c>
      <c r="O1783" s="61">
        <f t="shared" si="261"/>
        <v>4400</v>
      </c>
      <c r="P1783" s="61">
        <f t="shared" si="264"/>
        <v>0</v>
      </c>
      <c r="Q1783" s="61">
        <f t="shared" si="262"/>
        <v>4400</v>
      </c>
    </row>
    <row r="1788" spans="2:16" ht="27">
      <c r="B1788" s="248" t="s">
        <v>29</v>
      </c>
      <c r="C1788" s="249"/>
      <c r="D1788" s="249"/>
      <c r="E1788" s="249"/>
      <c r="F1788" s="249"/>
      <c r="G1788" s="249"/>
      <c r="H1788" s="249"/>
      <c r="I1788" s="249"/>
      <c r="J1788" s="249"/>
      <c r="K1788" s="249"/>
      <c r="L1788" s="249"/>
      <c r="M1788" s="249"/>
      <c r="N1788" s="249"/>
      <c r="O1788" s="249"/>
      <c r="P1788"/>
    </row>
    <row r="1789" spans="2:17" ht="12.75">
      <c r="B1789" s="244" t="s">
        <v>327</v>
      </c>
      <c r="C1789" s="245"/>
      <c r="D1789" s="245"/>
      <c r="E1789" s="245"/>
      <c r="F1789" s="245"/>
      <c r="G1789" s="245"/>
      <c r="H1789" s="245"/>
      <c r="I1789" s="245"/>
      <c r="J1789" s="245"/>
      <c r="K1789" s="245"/>
      <c r="L1789" s="245"/>
      <c r="M1789" s="245"/>
      <c r="N1789" s="246"/>
      <c r="O1789" s="250" t="s">
        <v>612</v>
      </c>
      <c r="P1789" s="250" t="s">
        <v>642</v>
      </c>
      <c r="Q1789" s="250" t="s">
        <v>644</v>
      </c>
    </row>
    <row r="1790" spans="2:17" ht="12.75">
      <c r="B1790" s="251"/>
      <c r="C1790" s="243" t="s">
        <v>114</v>
      </c>
      <c r="D1790" s="243" t="s">
        <v>115</v>
      </c>
      <c r="E1790" s="243"/>
      <c r="F1790" s="243" t="s">
        <v>116</v>
      </c>
      <c r="G1790" s="247" t="s">
        <v>117</v>
      </c>
      <c r="H1790" s="252" t="s">
        <v>118</v>
      </c>
      <c r="I1790" s="239" t="s">
        <v>609</v>
      </c>
      <c r="J1790" s="209" t="s">
        <v>642</v>
      </c>
      <c r="K1790" s="209" t="s">
        <v>644</v>
      </c>
      <c r="L1790" s="239" t="s">
        <v>610</v>
      </c>
      <c r="M1790" s="209" t="s">
        <v>642</v>
      </c>
      <c r="N1790" s="209" t="s">
        <v>644</v>
      </c>
      <c r="O1790" s="250"/>
      <c r="P1790" s="250"/>
      <c r="Q1790" s="250"/>
    </row>
    <row r="1791" spans="2:17" ht="12.75">
      <c r="B1791" s="251"/>
      <c r="C1791" s="243"/>
      <c r="D1791" s="243"/>
      <c r="E1791" s="243"/>
      <c r="F1791" s="243"/>
      <c r="G1791" s="247"/>
      <c r="H1791" s="252"/>
      <c r="I1791" s="239"/>
      <c r="J1791" s="210"/>
      <c r="K1791" s="210"/>
      <c r="L1791" s="239"/>
      <c r="M1791" s="210"/>
      <c r="N1791" s="210"/>
      <c r="O1791" s="250"/>
      <c r="P1791" s="250"/>
      <c r="Q1791" s="250"/>
    </row>
    <row r="1792" spans="2:17" ht="12.75">
      <c r="B1792" s="251"/>
      <c r="C1792" s="243"/>
      <c r="D1792" s="243"/>
      <c r="E1792" s="243"/>
      <c r="F1792" s="243"/>
      <c r="G1792" s="247"/>
      <c r="H1792" s="252"/>
      <c r="I1792" s="239"/>
      <c r="J1792" s="210"/>
      <c r="K1792" s="210"/>
      <c r="L1792" s="239"/>
      <c r="M1792" s="210"/>
      <c r="N1792" s="210"/>
      <c r="O1792" s="250"/>
      <c r="P1792" s="250"/>
      <c r="Q1792" s="250"/>
    </row>
    <row r="1793" spans="2:17" ht="13.5" thickBot="1">
      <c r="B1793" s="251"/>
      <c r="C1793" s="243"/>
      <c r="D1793" s="243"/>
      <c r="E1793" s="243"/>
      <c r="F1793" s="243"/>
      <c r="G1793" s="247"/>
      <c r="H1793" s="252"/>
      <c r="I1793" s="239"/>
      <c r="J1793" s="255"/>
      <c r="K1793" s="255"/>
      <c r="L1793" s="239"/>
      <c r="M1793" s="255"/>
      <c r="N1793" s="255"/>
      <c r="O1793" s="250"/>
      <c r="P1793" s="250"/>
      <c r="Q1793" s="250"/>
    </row>
    <row r="1794" spans="2:17" ht="16.5" thickTop="1">
      <c r="B1794" s="23">
        <v>1</v>
      </c>
      <c r="C1794" s="256" t="s">
        <v>29</v>
      </c>
      <c r="D1794" s="257"/>
      <c r="E1794" s="257"/>
      <c r="F1794" s="257"/>
      <c r="G1794" s="257"/>
      <c r="H1794" s="258"/>
      <c r="I1794" s="89">
        <f>I1952+I1941+I1936+I1933+I1921+I1900+I1858+I1829+I1812+I1809+I1795</f>
        <v>4205201</v>
      </c>
      <c r="J1794" s="89">
        <f>J1952+J1941+J1936+J1933+J1921+J1900+J1858+J1829+J1812+J1809+J1795</f>
        <v>250</v>
      </c>
      <c r="K1794" s="89">
        <f aca="true" t="shared" si="266" ref="K1794:K1825">I1794+J1794</f>
        <v>4205451</v>
      </c>
      <c r="L1794" s="89">
        <f>L1952+L1941+L1936+L1933+L1921+L1900+L1858+L1829+L1812+L1809+L1795</f>
        <v>807190</v>
      </c>
      <c r="M1794" s="89">
        <f>M1952+M1941+M1936+M1933+M1921+M1900+M1858+M1829+M1812+M1809+M1795</f>
        <v>0</v>
      </c>
      <c r="N1794" s="89">
        <f aca="true" t="shared" si="267" ref="N1794:N1825">L1794+M1794</f>
        <v>807190</v>
      </c>
      <c r="O1794" s="89">
        <f aca="true" t="shared" si="268" ref="O1794:O1832">I1794+L1794</f>
        <v>5012391</v>
      </c>
      <c r="P1794" s="89">
        <f aca="true" t="shared" si="269" ref="P1794:P1832">J1794+M1794</f>
        <v>250</v>
      </c>
      <c r="Q1794" s="89">
        <f aca="true" t="shared" si="270" ref="Q1794:Q1832">K1794+N1794</f>
        <v>5012641</v>
      </c>
    </row>
    <row r="1795" spans="2:17" ht="15">
      <c r="B1795" s="21">
        <f aca="true" t="shared" si="271" ref="B1795:B1826">B1794+1</f>
        <v>2</v>
      </c>
      <c r="C1795" s="7">
        <v>1</v>
      </c>
      <c r="D1795" s="232" t="s">
        <v>83</v>
      </c>
      <c r="E1795" s="233"/>
      <c r="F1795" s="233"/>
      <c r="G1795" s="233"/>
      <c r="H1795" s="234"/>
      <c r="I1795" s="87">
        <f>I1796</f>
        <v>226042</v>
      </c>
      <c r="J1795" s="87">
        <f>J1796</f>
        <v>-3000</v>
      </c>
      <c r="K1795" s="87">
        <f t="shared" si="266"/>
        <v>223042</v>
      </c>
      <c r="L1795" s="87">
        <f>L1796</f>
        <v>8000</v>
      </c>
      <c r="M1795" s="87">
        <f>M1796</f>
        <v>0</v>
      </c>
      <c r="N1795" s="87">
        <f t="shared" si="267"/>
        <v>8000</v>
      </c>
      <c r="O1795" s="87">
        <f t="shared" si="268"/>
        <v>234042</v>
      </c>
      <c r="P1795" s="87">
        <f t="shared" si="269"/>
        <v>-3000</v>
      </c>
      <c r="Q1795" s="87">
        <f t="shared" si="270"/>
        <v>231042</v>
      </c>
    </row>
    <row r="1796" spans="2:17" ht="15">
      <c r="B1796" s="20">
        <f t="shared" si="271"/>
        <v>3</v>
      </c>
      <c r="C1796" s="12"/>
      <c r="D1796" s="12"/>
      <c r="E1796" s="12">
        <v>5</v>
      </c>
      <c r="F1796" s="34"/>
      <c r="G1796" s="12"/>
      <c r="H1796" s="12" t="s">
        <v>104</v>
      </c>
      <c r="I1796" s="90">
        <f>I1797+I1798+I1799+I1805</f>
        <v>226042</v>
      </c>
      <c r="J1796" s="90">
        <f>J1797+J1798+J1799+J1805</f>
        <v>-3000</v>
      </c>
      <c r="K1796" s="90">
        <f t="shared" si="266"/>
        <v>223042</v>
      </c>
      <c r="L1796" s="90">
        <f>L1806</f>
        <v>8000</v>
      </c>
      <c r="M1796" s="90">
        <f>M1806</f>
        <v>0</v>
      </c>
      <c r="N1796" s="90">
        <f t="shared" si="267"/>
        <v>8000</v>
      </c>
      <c r="O1796" s="90">
        <f t="shared" si="268"/>
        <v>234042</v>
      </c>
      <c r="P1796" s="90">
        <f t="shared" si="269"/>
        <v>-3000</v>
      </c>
      <c r="Q1796" s="90">
        <f t="shared" si="270"/>
        <v>231042</v>
      </c>
    </row>
    <row r="1797" spans="2:17" ht="12.75">
      <c r="B1797" s="20">
        <f t="shared" si="271"/>
        <v>4</v>
      </c>
      <c r="C1797" s="10"/>
      <c r="D1797" s="10"/>
      <c r="E1797" s="10"/>
      <c r="F1797" s="30" t="s">
        <v>88</v>
      </c>
      <c r="G1797" s="10">
        <v>610</v>
      </c>
      <c r="H1797" s="10" t="s">
        <v>131</v>
      </c>
      <c r="I1797" s="61">
        <v>120000</v>
      </c>
      <c r="J1797" s="61"/>
      <c r="K1797" s="61">
        <f t="shared" si="266"/>
        <v>120000</v>
      </c>
      <c r="L1797" s="61"/>
      <c r="M1797" s="61"/>
      <c r="N1797" s="61">
        <f t="shared" si="267"/>
        <v>0</v>
      </c>
      <c r="O1797" s="61">
        <f t="shared" si="268"/>
        <v>120000</v>
      </c>
      <c r="P1797" s="61">
        <f t="shared" si="269"/>
        <v>0</v>
      </c>
      <c r="Q1797" s="61">
        <f t="shared" si="270"/>
        <v>120000</v>
      </c>
    </row>
    <row r="1798" spans="2:17" ht="12.75">
      <c r="B1798" s="20">
        <f t="shared" si="271"/>
        <v>5</v>
      </c>
      <c r="C1798" s="10"/>
      <c r="D1798" s="10"/>
      <c r="E1798" s="10"/>
      <c r="F1798" s="30" t="s">
        <v>88</v>
      </c>
      <c r="G1798" s="10">
        <v>620</v>
      </c>
      <c r="H1798" s="10" t="s">
        <v>124</v>
      </c>
      <c r="I1798" s="61">
        <f>43700-1540</f>
        <v>42160</v>
      </c>
      <c r="J1798" s="61"/>
      <c r="K1798" s="61">
        <f t="shared" si="266"/>
        <v>42160</v>
      </c>
      <c r="L1798" s="61"/>
      <c r="M1798" s="61"/>
      <c r="N1798" s="61">
        <f t="shared" si="267"/>
        <v>0</v>
      </c>
      <c r="O1798" s="61">
        <f t="shared" si="268"/>
        <v>42160</v>
      </c>
      <c r="P1798" s="61">
        <f t="shared" si="269"/>
        <v>0</v>
      </c>
      <c r="Q1798" s="61">
        <f t="shared" si="270"/>
        <v>42160</v>
      </c>
    </row>
    <row r="1799" spans="2:17" ht="12.75">
      <c r="B1799" s="20">
        <f t="shared" si="271"/>
        <v>6</v>
      </c>
      <c r="C1799" s="10"/>
      <c r="D1799" s="10"/>
      <c r="E1799" s="10"/>
      <c r="F1799" s="30" t="s">
        <v>88</v>
      </c>
      <c r="G1799" s="10">
        <v>630</v>
      </c>
      <c r="H1799" s="10" t="s">
        <v>121</v>
      </c>
      <c r="I1799" s="61">
        <f>SUM(I1800:I1804)</f>
        <v>61342</v>
      </c>
      <c r="J1799" s="61">
        <f>SUM(J1800:J1804)</f>
        <v>-3000</v>
      </c>
      <c r="K1799" s="61">
        <f t="shared" si="266"/>
        <v>58342</v>
      </c>
      <c r="L1799" s="61"/>
      <c r="M1799" s="61"/>
      <c r="N1799" s="61">
        <f t="shared" si="267"/>
        <v>0</v>
      </c>
      <c r="O1799" s="61">
        <f t="shared" si="268"/>
        <v>61342</v>
      </c>
      <c r="P1799" s="61">
        <f t="shared" si="269"/>
        <v>-3000</v>
      </c>
      <c r="Q1799" s="61">
        <f t="shared" si="270"/>
        <v>58342</v>
      </c>
    </row>
    <row r="1800" spans="2:17" ht="12.75">
      <c r="B1800" s="20">
        <f t="shared" si="271"/>
        <v>7</v>
      </c>
      <c r="C1800" s="4"/>
      <c r="D1800" s="4"/>
      <c r="E1800" s="4"/>
      <c r="F1800" s="31" t="s">
        <v>88</v>
      </c>
      <c r="G1800" s="4">
        <v>632</v>
      </c>
      <c r="H1800" s="4" t="s">
        <v>134</v>
      </c>
      <c r="I1800" s="17">
        <v>16650</v>
      </c>
      <c r="J1800" s="17"/>
      <c r="K1800" s="17">
        <f t="shared" si="266"/>
        <v>16650</v>
      </c>
      <c r="L1800" s="17"/>
      <c r="M1800" s="17"/>
      <c r="N1800" s="17">
        <f t="shared" si="267"/>
        <v>0</v>
      </c>
      <c r="O1800" s="17">
        <f t="shared" si="268"/>
        <v>16650</v>
      </c>
      <c r="P1800" s="17">
        <f t="shared" si="269"/>
        <v>0</v>
      </c>
      <c r="Q1800" s="17">
        <f t="shared" si="270"/>
        <v>16650</v>
      </c>
    </row>
    <row r="1801" spans="2:17" ht="12.75">
      <c r="B1801" s="20">
        <f t="shared" si="271"/>
        <v>8</v>
      </c>
      <c r="C1801" s="4"/>
      <c r="D1801" s="4"/>
      <c r="E1801" s="4"/>
      <c r="F1801" s="31" t="s">
        <v>88</v>
      </c>
      <c r="G1801" s="4">
        <v>633</v>
      </c>
      <c r="H1801" s="4" t="s">
        <v>125</v>
      </c>
      <c r="I1801" s="17">
        <v>26550</v>
      </c>
      <c r="J1801" s="17">
        <v>-3000</v>
      </c>
      <c r="K1801" s="17">
        <f t="shared" si="266"/>
        <v>23550</v>
      </c>
      <c r="L1801" s="17"/>
      <c r="M1801" s="17"/>
      <c r="N1801" s="17">
        <f t="shared" si="267"/>
        <v>0</v>
      </c>
      <c r="O1801" s="17">
        <f t="shared" si="268"/>
        <v>26550</v>
      </c>
      <c r="P1801" s="17">
        <f t="shared" si="269"/>
        <v>-3000</v>
      </c>
      <c r="Q1801" s="17">
        <f t="shared" si="270"/>
        <v>23550</v>
      </c>
    </row>
    <row r="1802" spans="2:17" ht="12.75">
      <c r="B1802" s="20">
        <f t="shared" si="271"/>
        <v>9</v>
      </c>
      <c r="C1802" s="4"/>
      <c r="D1802" s="4"/>
      <c r="E1802" s="4"/>
      <c r="F1802" s="31" t="s">
        <v>88</v>
      </c>
      <c r="G1802" s="4">
        <v>635</v>
      </c>
      <c r="H1802" s="4" t="s">
        <v>133</v>
      </c>
      <c r="I1802" s="17">
        <v>10400</v>
      </c>
      <c r="J1802" s="17"/>
      <c r="K1802" s="17">
        <f t="shared" si="266"/>
        <v>10400</v>
      </c>
      <c r="L1802" s="17"/>
      <c r="M1802" s="17"/>
      <c r="N1802" s="17">
        <f t="shared" si="267"/>
        <v>0</v>
      </c>
      <c r="O1802" s="17">
        <f t="shared" si="268"/>
        <v>10400</v>
      </c>
      <c r="P1802" s="17">
        <f t="shared" si="269"/>
        <v>0</v>
      </c>
      <c r="Q1802" s="17">
        <f t="shared" si="270"/>
        <v>10400</v>
      </c>
    </row>
    <row r="1803" spans="2:17" ht="12.75">
      <c r="B1803" s="20">
        <f t="shared" si="271"/>
        <v>10</v>
      </c>
      <c r="C1803" s="4"/>
      <c r="D1803" s="4"/>
      <c r="E1803" s="4"/>
      <c r="F1803" s="31" t="s">
        <v>88</v>
      </c>
      <c r="G1803" s="4">
        <v>637</v>
      </c>
      <c r="H1803" s="4" t="s">
        <v>122</v>
      </c>
      <c r="I1803" s="17">
        <v>4992</v>
      </c>
      <c r="J1803" s="17"/>
      <c r="K1803" s="17">
        <f t="shared" si="266"/>
        <v>4992</v>
      </c>
      <c r="L1803" s="17"/>
      <c r="M1803" s="17"/>
      <c r="N1803" s="17">
        <f t="shared" si="267"/>
        <v>0</v>
      </c>
      <c r="O1803" s="17">
        <f t="shared" si="268"/>
        <v>4992</v>
      </c>
      <c r="P1803" s="17">
        <f t="shared" si="269"/>
        <v>0</v>
      </c>
      <c r="Q1803" s="17">
        <f t="shared" si="270"/>
        <v>4992</v>
      </c>
    </row>
    <row r="1804" spans="2:17" ht="12.75">
      <c r="B1804" s="20">
        <f t="shared" si="271"/>
        <v>11</v>
      </c>
      <c r="C1804" s="4"/>
      <c r="D1804" s="4"/>
      <c r="E1804" s="4"/>
      <c r="F1804" s="33" t="s">
        <v>88</v>
      </c>
      <c r="G1804" s="4">
        <v>637</v>
      </c>
      <c r="H1804" s="24" t="s">
        <v>290</v>
      </c>
      <c r="I1804" s="17">
        <v>2750</v>
      </c>
      <c r="J1804" s="17"/>
      <c r="K1804" s="17">
        <f t="shared" si="266"/>
        <v>2750</v>
      </c>
      <c r="L1804" s="17"/>
      <c r="M1804" s="17"/>
      <c r="N1804" s="17">
        <f t="shared" si="267"/>
        <v>0</v>
      </c>
      <c r="O1804" s="17">
        <f t="shared" si="268"/>
        <v>2750</v>
      </c>
      <c r="P1804" s="17">
        <f t="shared" si="269"/>
        <v>0</v>
      </c>
      <c r="Q1804" s="17">
        <f t="shared" si="270"/>
        <v>2750</v>
      </c>
    </row>
    <row r="1805" spans="2:17" ht="12.75">
      <c r="B1805" s="20">
        <f t="shared" si="271"/>
        <v>12</v>
      </c>
      <c r="C1805" s="10"/>
      <c r="D1805" s="10"/>
      <c r="E1805" s="10"/>
      <c r="F1805" s="30" t="s">
        <v>88</v>
      </c>
      <c r="G1805" s="10">
        <v>640</v>
      </c>
      <c r="H1805" s="10" t="s">
        <v>129</v>
      </c>
      <c r="I1805" s="61">
        <f>1000+1540</f>
        <v>2540</v>
      </c>
      <c r="J1805" s="61"/>
      <c r="K1805" s="61">
        <f t="shared" si="266"/>
        <v>2540</v>
      </c>
      <c r="L1805" s="61"/>
      <c r="M1805" s="61"/>
      <c r="N1805" s="61">
        <f t="shared" si="267"/>
        <v>0</v>
      </c>
      <c r="O1805" s="61">
        <f t="shared" si="268"/>
        <v>2540</v>
      </c>
      <c r="P1805" s="61">
        <f t="shared" si="269"/>
        <v>0</v>
      </c>
      <c r="Q1805" s="61">
        <f t="shared" si="270"/>
        <v>2540</v>
      </c>
    </row>
    <row r="1806" spans="2:17" ht="15">
      <c r="B1806" s="20">
        <f t="shared" si="271"/>
        <v>13</v>
      </c>
      <c r="C1806" s="10"/>
      <c r="D1806" s="10"/>
      <c r="E1806" s="10"/>
      <c r="F1806" s="52" t="s">
        <v>88</v>
      </c>
      <c r="G1806" s="3">
        <v>710</v>
      </c>
      <c r="H1806" s="3" t="s">
        <v>176</v>
      </c>
      <c r="I1806" s="186"/>
      <c r="J1806" s="186"/>
      <c r="K1806" s="186">
        <f t="shared" si="266"/>
        <v>0</v>
      </c>
      <c r="L1806" s="188">
        <f>L1809+L1807</f>
        <v>8000</v>
      </c>
      <c r="M1806" s="188">
        <f>M1809+M1807</f>
        <v>0</v>
      </c>
      <c r="N1806" s="188">
        <f t="shared" si="267"/>
        <v>8000</v>
      </c>
      <c r="O1806" s="188">
        <f t="shared" si="268"/>
        <v>8000</v>
      </c>
      <c r="P1806" s="188">
        <f t="shared" si="269"/>
        <v>0</v>
      </c>
      <c r="Q1806" s="188">
        <f t="shared" si="270"/>
        <v>8000</v>
      </c>
    </row>
    <row r="1807" spans="2:17" ht="15">
      <c r="B1807" s="20">
        <f t="shared" si="271"/>
        <v>14</v>
      </c>
      <c r="C1807" s="10"/>
      <c r="D1807" s="10"/>
      <c r="E1807" s="10"/>
      <c r="F1807" s="31" t="s">
        <v>88</v>
      </c>
      <c r="G1807" s="4">
        <v>717</v>
      </c>
      <c r="H1807" s="4" t="s">
        <v>186</v>
      </c>
      <c r="I1807" s="186"/>
      <c r="J1807" s="186"/>
      <c r="K1807" s="186">
        <f t="shared" si="266"/>
        <v>0</v>
      </c>
      <c r="L1807" s="189">
        <f>L1808</f>
        <v>8000</v>
      </c>
      <c r="M1807" s="189">
        <f>M1808</f>
        <v>0</v>
      </c>
      <c r="N1807" s="189">
        <f t="shared" si="267"/>
        <v>8000</v>
      </c>
      <c r="O1807" s="189">
        <f t="shared" si="268"/>
        <v>8000</v>
      </c>
      <c r="P1807" s="189">
        <f t="shared" si="269"/>
        <v>0</v>
      </c>
      <c r="Q1807" s="189">
        <f t="shared" si="270"/>
        <v>8000</v>
      </c>
    </row>
    <row r="1808" spans="2:17" ht="15">
      <c r="B1808" s="20">
        <f t="shared" si="271"/>
        <v>15</v>
      </c>
      <c r="C1808" s="10"/>
      <c r="D1808" s="10"/>
      <c r="E1808" s="10"/>
      <c r="F1808" s="52"/>
      <c r="G1808" s="3"/>
      <c r="H1808" s="187" t="s">
        <v>604</v>
      </c>
      <c r="I1808" s="186"/>
      <c r="J1808" s="186"/>
      <c r="K1808" s="186">
        <f t="shared" si="266"/>
        <v>0</v>
      </c>
      <c r="L1808" s="190">
        <v>8000</v>
      </c>
      <c r="M1808" s="190"/>
      <c r="N1808" s="190">
        <f t="shared" si="267"/>
        <v>8000</v>
      </c>
      <c r="O1808" s="190">
        <f t="shared" si="268"/>
        <v>8000</v>
      </c>
      <c r="P1808" s="190">
        <f t="shared" si="269"/>
        <v>0</v>
      </c>
      <c r="Q1808" s="190">
        <f t="shared" si="270"/>
        <v>8000</v>
      </c>
    </row>
    <row r="1809" spans="2:17" ht="15">
      <c r="B1809" s="20">
        <f t="shared" si="271"/>
        <v>16</v>
      </c>
      <c r="C1809" s="7">
        <v>2</v>
      </c>
      <c r="D1809" s="261" t="s">
        <v>65</v>
      </c>
      <c r="E1809" s="262"/>
      <c r="F1809" s="262"/>
      <c r="G1809" s="262"/>
      <c r="H1809" s="262"/>
      <c r="I1809" s="87">
        <f>I1810</f>
        <v>2000</v>
      </c>
      <c r="J1809" s="87">
        <f>J1810</f>
        <v>0</v>
      </c>
      <c r="K1809" s="87">
        <f t="shared" si="266"/>
        <v>2000</v>
      </c>
      <c r="L1809" s="87"/>
      <c r="M1809" s="87"/>
      <c r="N1809" s="87">
        <f t="shared" si="267"/>
        <v>0</v>
      </c>
      <c r="O1809" s="87">
        <f t="shared" si="268"/>
        <v>2000</v>
      </c>
      <c r="P1809" s="87">
        <f t="shared" si="269"/>
        <v>0</v>
      </c>
      <c r="Q1809" s="87">
        <f t="shared" si="270"/>
        <v>2000</v>
      </c>
    </row>
    <row r="1810" spans="2:17" ht="12.75">
      <c r="B1810" s="20">
        <f t="shared" si="271"/>
        <v>17</v>
      </c>
      <c r="C1810" s="10"/>
      <c r="D1810" s="10"/>
      <c r="E1810" s="10"/>
      <c r="F1810" s="30" t="s">
        <v>64</v>
      </c>
      <c r="G1810" s="10">
        <v>640</v>
      </c>
      <c r="H1810" s="10" t="s">
        <v>129</v>
      </c>
      <c r="I1810" s="61">
        <f>I1811</f>
        <v>2000</v>
      </c>
      <c r="J1810" s="61">
        <f>J1811</f>
        <v>0</v>
      </c>
      <c r="K1810" s="61">
        <f t="shared" si="266"/>
        <v>2000</v>
      </c>
      <c r="L1810" s="61"/>
      <c r="M1810" s="61"/>
      <c r="N1810" s="61">
        <f t="shared" si="267"/>
        <v>0</v>
      </c>
      <c r="O1810" s="61">
        <f t="shared" si="268"/>
        <v>2000</v>
      </c>
      <c r="P1810" s="61">
        <f t="shared" si="269"/>
        <v>0</v>
      </c>
      <c r="Q1810" s="61">
        <f t="shared" si="270"/>
        <v>2000</v>
      </c>
    </row>
    <row r="1811" spans="2:17" ht="12.75">
      <c r="B1811" s="20">
        <f t="shared" si="271"/>
        <v>18</v>
      </c>
      <c r="C1811" s="4"/>
      <c r="D1811" s="4"/>
      <c r="E1811" s="4"/>
      <c r="F1811" s="31" t="s">
        <v>64</v>
      </c>
      <c r="G1811" s="4">
        <v>642</v>
      </c>
      <c r="H1811" s="4" t="s">
        <v>130</v>
      </c>
      <c r="I1811" s="17">
        <v>2000</v>
      </c>
      <c r="J1811" s="17"/>
      <c r="K1811" s="17">
        <f t="shared" si="266"/>
        <v>2000</v>
      </c>
      <c r="L1811" s="17"/>
      <c r="M1811" s="17"/>
      <c r="N1811" s="17">
        <f t="shared" si="267"/>
        <v>0</v>
      </c>
      <c r="O1811" s="17">
        <f t="shared" si="268"/>
        <v>2000</v>
      </c>
      <c r="P1811" s="17">
        <f t="shared" si="269"/>
        <v>0</v>
      </c>
      <c r="Q1811" s="17">
        <f t="shared" si="270"/>
        <v>2000</v>
      </c>
    </row>
    <row r="1812" spans="2:17" ht="15">
      <c r="B1812" s="20">
        <f t="shared" si="271"/>
        <v>19</v>
      </c>
      <c r="C1812" s="7">
        <v>3</v>
      </c>
      <c r="D1812" s="261" t="s">
        <v>74</v>
      </c>
      <c r="E1812" s="262"/>
      <c r="F1812" s="262"/>
      <c r="G1812" s="262"/>
      <c r="H1812" s="262"/>
      <c r="I1812" s="87">
        <f>I1813</f>
        <v>74050</v>
      </c>
      <c r="J1812" s="87">
        <f>J1813</f>
        <v>0</v>
      </c>
      <c r="K1812" s="87">
        <f t="shared" si="266"/>
        <v>74050</v>
      </c>
      <c r="L1812" s="87"/>
      <c r="M1812" s="87"/>
      <c r="N1812" s="87">
        <f t="shared" si="267"/>
        <v>0</v>
      </c>
      <c r="O1812" s="87">
        <f t="shared" si="268"/>
        <v>74050</v>
      </c>
      <c r="P1812" s="87">
        <f t="shared" si="269"/>
        <v>0</v>
      </c>
      <c r="Q1812" s="87">
        <f t="shared" si="270"/>
        <v>74050</v>
      </c>
    </row>
    <row r="1813" spans="2:17" ht="12.75">
      <c r="B1813" s="20">
        <f t="shared" si="271"/>
        <v>20</v>
      </c>
      <c r="C1813" s="10"/>
      <c r="D1813" s="10"/>
      <c r="E1813" s="10"/>
      <c r="F1813" s="30" t="s">
        <v>73</v>
      </c>
      <c r="G1813" s="10">
        <v>640</v>
      </c>
      <c r="H1813" s="10" t="s">
        <v>129</v>
      </c>
      <c r="I1813" s="61">
        <f>I1814</f>
        <v>74050</v>
      </c>
      <c r="J1813" s="61">
        <f>J1814</f>
        <v>0</v>
      </c>
      <c r="K1813" s="61">
        <f t="shared" si="266"/>
        <v>74050</v>
      </c>
      <c r="L1813" s="61"/>
      <c r="M1813" s="61"/>
      <c r="N1813" s="61">
        <f t="shared" si="267"/>
        <v>0</v>
      </c>
      <c r="O1813" s="61">
        <f t="shared" si="268"/>
        <v>74050</v>
      </c>
      <c r="P1813" s="61">
        <f t="shared" si="269"/>
        <v>0</v>
      </c>
      <c r="Q1813" s="61">
        <f t="shared" si="270"/>
        <v>74050</v>
      </c>
    </row>
    <row r="1814" spans="2:17" ht="12.75">
      <c r="B1814" s="20">
        <f t="shared" si="271"/>
        <v>21</v>
      </c>
      <c r="C1814" s="4"/>
      <c r="D1814" s="4"/>
      <c r="E1814" s="4"/>
      <c r="F1814" s="31" t="s">
        <v>73</v>
      </c>
      <c r="G1814" s="4">
        <v>642</v>
      </c>
      <c r="H1814" s="4" t="s">
        <v>130</v>
      </c>
      <c r="I1814" s="17">
        <f>SUM(I1815:I1828)</f>
        <v>74050</v>
      </c>
      <c r="J1814" s="17">
        <f>SUM(J1815:J1828)</f>
        <v>0</v>
      </c>
      <c r="K1814" s="17">
        <f t="shared" si="266"/>
        <v>74050</v>
      </c>
      <c r="L1814" s="17"/>
      <c r="M1814" s="17"/>
      <c r="N1814" s="17">
        <f t="shared" si="267"/>
        <v>0</v>
      </c>
      <c r="O1814" s="17">
        <f t="shared" si="268"/>
        <v>74050</v>
      </c>
      <c r="P1814" s="17">
        <f t="shared" si="269"/>
        <v>0</v>
      </c>
      <c r="Q1814" s="17">
        <f t="shared" si="270"/>
        <v>74050</v>
      </c>
    </row>
    <row r="1815" spans="2:17" ht="12.75">
      <c r="B1815" s="20">
        <f t="shared" si="271"/>
        <v>22</v>
      </c>
      <c r="C1815" s="5"/>
      <c r="D1815" s="5"/>
      <c r="E1815" s="5"/>
      <c r="F1815" s="32"/>
      <c r="G1815" s="5"/>
      <c r="H1815" s="5" t="s">
        <v>280</v>
      </c>
      <c r="I1815" s="18">
        <v>22000</v>
      </c>
      <c r="J1815" s="18"/>
      <c r="K1815" s="18">
        <f t="shared" si="266"/>
        <v>22000</v>
      </c>
      <c r="L1815" s="18"/>
      <c r="M1815" s="18"/>
      <c r="N1815" s="18">
        <f t="shared" si="267"/>
        <v>0</v>
      </c>
      <c r="O1815" s="18">
        <f t="shared" si="268"/>
        <v>22000</v>
      </c>
      <c r="P1815" s="18">
        <f t="shared" si="269"/>
        <v>0</v>
      </c>
      <c r="Q1815" s="18">
        <f t="shared" si="270"/>
        <v>22000</v>
      </c>
    </row>
    <row r="1816" spans="2:17" ht="22.5">
      <c r="B1816" s="20">
        <f t="shared" si="271"/>
        <v>23</v>
      </c>
      <c r="C1816" s="28"/>
      <c r="D1816" s="28"/>
      <c r="E1816" s="28"/>
      <c r="F1816" s="36"/>
      <c r="G1816" s="28"/>
      <c r="H1816" s="27" t="s">
        <v>334</v>
      </c>
      <c r="I1816" s="91">
        <v>684</v>
      </c>
      <c r="J1816" s="91"/>
      <c r="K1816" s="91">
        <f t="shared" si="266"/>
        <v>684</v>
      </c>
      <c r="L1816" s="91"/>
      <c r="M1816" s="91"/>
      <c r="N1816" s="91">
        <f t="shared" si="267"/>
        <v>0</v>
      </c>
      <c r="O1816" s="91">
        <f t="shared" si="268"/>
        <v>684</v>
      </c>
      <c r="P1816" s="91">
        <f t="shared" si="269"/>
        <v>0</v>
      </c>
      <c r="Q1816" s="91">
        <f t="shared" si="270"/>
        <v>684</v>
      </c>
    </row>
    <row r="1817" spans="2:17" ht="12.75">
      <c r="B1817" s="20">
        <f t="shared" si="271"/>
        <v>24</v>
      </c>
      <c r="C1817" s="5"/>
      <c r="D1817" s="26"/>
      <c r="E1817" s="5"/>
      <c r="F1817" s="32"/>
      <c r="G1817" s="5"/>
      <c r="H1817" s="5" t="s">
        <v>335</v>
      </c>
      <c r="I1817" s="18">
        <v>2367</v>
      </c>
      <c r="J1817" s="18"/>
      <c r="K1817" s="18">
        <f t="shared" si="266"/>
        <v>2367</v>
      </c>
      <c r="L1817" s="18"/>
      <c r="M1817" s="18"/>
      <c r="N1817" s="18">
        <f t="shared" si="267"/>
        <v>0</v>
      </c>
      <c r="O1817" s="18">
        <f t="shared" si="268"/>
        <v>2367</v>
      </c>
      <c r="P1817" s="18">
        <f t="shared" si="269"/>
        <v>0</v>
      </c>
      <c r="Q1817" s="18">
        <f t="shared" si="270"/>
        <v>2367</v>
      </c>
    </row>
    <row r="1818" spans="2:17" ht="12.75">
      <c r="B1818" s="20">
        <f t="shared" si="271"/>
        <v>25</v>
      </c>
      <c r="C1818" s="5"/>
      <c r="D1818" s="26"/>
      <c r="E1818" s="5"/>
      <c r="F1818" s="32"/>
      <c r="G1818" s="5"/>
      <c r="H1818" s="5" t="s">
        <v>336</v>
      </c>
      <c r="I1818" s="18">
        <v>22000</v>
      </c>
      <c r="J1818" s="18"/>
      <c r="K1818" s="18">
        <f t="shared" si="266"/>
        <v>22000</v>
      </c>
      <c r="L1818" s="18"/>
      <c r="M1818" s="18"/>
      <c r="N1818" s="18">
        <f t="shared" si="267"/>
        <v>0</v>
      </c>
      <c r="O1818" s="18">
        <f t="shared" si="268"/>
        <v>22000</v>
      </c>
      <c r="P1818" s="18">
        <f t="shared" si="269"/>
        <v>0</v>
      </c>
      <c r="Q1818" s="18">
        <f t="shared" si="270"/>
        <v>22000</v>
      </c>
    </row>
    <row r="1819" spans="2:17" ht="22.5">
      <c r="B1819" s="20">
        <f t="shared" si="271"/>
        <v>26</v>
      </c>
      <c r="C1819" s="5"/>
      <c r="D1819" s="26"/>
      <c r="E1819" s="5"/>
      <c r="F1819" s="32"/>
      <c r="G1819" s="5"/>
      <c r="H1819" s="46" t="s">
        <v>571</v>
      </c>
      <c r="I1819" s="18">
        <v>2000</v>
      </c>
      <c r="J1819" s="18"/>
      <c r="K1819" s="18">
        <f t="shared" si="266"/>
        <v>2000</v>
      </c>
      <c r="L1819" s="18"/>
      <c r="M1819" s="18"/>
      <c r="N1819" s="18">
        <f t="shared" si="267"/>
        <v>0</v>
      </c>
      <c r="O1819" s="18">
        <f t="shared" si="268"/>
        <v>2000</v>
      </c>
      <c r="P1819" s="18">
        <f t="shared" si="269"/>
        <v>0</v>
      </c>
      <c r="Q1819" s="18">
        <f t="shared" si="270"/>
        <v>2000</v>
      </c>
    </row>
    <row r="1820" spans="2:17" ht="12.75">
      <c r="B1820" s="20">
        <f t="shared" si="271"/>
        <v>27</v>
      </c>
      <c r="C1820" s="5"/>
      <c r="D1820" s="26"/>
      <c r="E1820" s="5"/>
      <c r="F1820" s="32"/>
      <c r="G1820" s="5"/>
      <c r="H1820" s="5" t="s">
        <v>337</v>
      </c>
      <c r="I1820" s="18">
        <v>15000</v>
      </c>
      <c r="J1820" s="18"/>
      <c r="K1820" s="18">
        <f t="shared" si="266"/>
        <v>15000</v>
      </c>
      <c r="L1820" s="18"/>
      <c r="M1820" s="18"/>
      <c r="N1820" s="18">
        <f t="shared" si="267"/>
        <v>0</v>
      </c>
      <c r="O1820" s="18">
        <f t="shared" si="268"/>
        <v>15000</v>
      </c>
      <c r="P1820" s="18">
        <f t="shared" si="269"/>
        <v>0</v>
      </c>
      <c r="Q1820" s="18">
        <f t="shared" si="270"/>
        <v>15000</v>
      </c>
    </row>
    <row r="1821" spans="2:17" ht="12.75">
      <c r="B1821" s="20">
        <f t="shared" si="271"/>
        <v>28</v>
      </c>
      <c r="C1821" s="5"/>
      <c r="D1821" s="26"/>
      <c r="E1821" s="5"/>
      <c r="F1821" s="32"/>
      <c r="G1821" s="5"/>
      <c r="H1821" s="5" t="s">
        <v>338</v>
      </c>
      <c r="I1821" s="18">
        <v>1116</v>
      </c>
      <c r="J1821" s="18"/>
      <c r="K1821" s="18">
        <f t="shared" si="266"/>
        <v>1116</v>
      </c>
      <c r="L1821" s="18"/>
      <c r="M1821" s="18"/>
      <c r="N1821" s="18">
        <f t="shared" si="267"/>
        <v>0</v>
      </c>
      <c r="O1821" s="18">
        <f t="shared" si="268"/>
        <v>1116</v>
      </c>
      <c r="P1821" s="18">
        <f t="shared" si="269"/>
        <v>0</v>
      </c>
      <c r="Q1821" s="18">
        <f t="shared" si="270"/>
        <v>1116</v>
      </c>
    </row>
    <row r="1822" spans="2:17" ht="12.75">
      <c r="B1822" s="20">
        <f t="shared" si="271"/>
        <v>29</v>
      </c>
      <c r="C1822" s="5"/>
      <c r="D1822" s="26"/>
      <c r="E1822" s="5"/>
      <c r="F1822" s="32"/>
      <c r="G1822" s="5"/>
      <c r="H1822" s="5" t="s">
        <v>339</v>
      </c>
      <c r="I1822" s="18">
        <v>1944</v>
      </c>
      <c r="J1822" s="18"/>
      <c r="K1822" s="18">
        <f t="shared" si="266"/>
        <v>1944</v>
      </c>
      <c r="L1822" s="18"/>
      <c r="M1822" s="18"/>
      <c r="N1822" s="18">
        <f t="shared" si="267"/>
        <v>0</v>
      </c>
      <c r="O1822" s="18">
        <f t="shared" si="268"/>
        <v>1944</v>
      </c>
      <c r="P1822" s="18">
        <f t="shared" si="269"/>
        <v>0</v>
      </c>
      <c r="Q1822" s="18">
        <f t="shared" si="270"/>
        <v>1944</v>
      </c>
    </row>
    <row r="1823" spans="2:17" ht="12.75">
      <c r="B1823" s="20">
        <f t="shared" si="271"/>
        <v>30</v>
      </c>
      <c r="C1823" s="5"/>
      <c r="D1823" s="26"/>
      <c r="E1823" s="5"/>
      <c r="F1823" s="32"/>
      <c r="G1823" s="5"/>
      <c r="H1823" s="5" t="s">
        <v>340</v>
      </c>
      <c r="I1823" s="18">
        <v>396</v>
      </c>
      <c r="J1823" s="18"/>
      <c r="K1823" s="18">
        <f t="shared" si="266"/>
        <v>396</v>
      </c>
      <c r="L1823" s="18"/>
      <c r="M1823" s="18"/>
      <c r="N1823" s="18">
        <f t="shared" si="267"/>
        <v>0</v>
      </c>
      <c r="O1823" s="18">
        <f t="shared" si="268"/>
        <v>396</v>
      </c>
      <c r="P1823" s="18">
        <f t="shared" si="269"/>
        <v>0</v>
      </c>
      <c r="Q1823" s="18">
        <f t="shared" si="270"/>
        <v>396</v>
      </c>
    </row>
    <row r="1824" spans="2:17" ht="12.75">
      <c r="B1824" s="20">
        <f t="shared" si="271"/>
        <v>31</v>
      </c>
      <c r="C1824" s="5"/>
      <c r="D1824" s="26"/>
      <c r="E1824" s="5"/>
      <c r="F1824" s="32"/>
      <c r="G1824" s="5"/>
      <c r="H1824" s="5" t="s">
        <v>341</v>
      </c>
      <c r="I1824" s="18">
        <v>2538</v>
      </c>
      <c r="J1824" s="18"/>
      <c r="K1824" s="18">
        <f t="shared" si="266"/>
        <v>2538</v>
      </c>
      <c r="L1824" s="18"/>
      <c r="M1824" s="18"/>
      <c r="N1824" s="18">
        <f t="shared" si="267"/>
        <v>0</v>
      </c>
      <c r="O1824" s="18">
        <f t="shared" si="268"/>
        <v>2538</v>
      </c>
      <c r="P1824" s="18">
        <f t="shared" si="269"/>
        <v>0</v>
      </c>
      <c r="Q1824" s="18">
        <f t="shared" si="270"/>
        <v>2538</v>
      </c>
    </row>
    <row r="1825" spans="2:17" ht="12.75">
      <c r="B1825" s="20">
        <f t="shared" si="271"/>
        <v>32</v>
      </c>
      <c r="C1825" s="5"/>
      <c r="D1825" s="26"/>
      <c r="E1825" s="5"/>
      <c r="F1825" s="32"/>
      <c r="G1825" s="5"/>
      <c r="H1825" s="5" t="s">
        <v>342</v>
      </c>
      <c r="I1825" s="18">
        <v>630</v>
      </c>
      <c r="J1825" s="18"/>
      <c r="K1825" s="18">
        <f t="shared" si="266"/>
        <v>630</v>
      </c>
      <c r="L1825" s="18"/>
      <c r="M1825" s="18"/>
      <c r="N1825" s="18">
        <f t="shared" si="267"/>
        <v>0</v>
      </c>
      <c r="O1825" s="18">
        <f t="shared" si="268"/>
        <v>630</v>
      </c>
      <c r="P1825" s="18">
        <f t="shared" si="269"/>
        <v>0</v>
      </c>
      <c r="Q1825" s="18">
        <f t="shared" si="270"/>
        <v>630</v>
      </c>
    </row>
    <row r="1826" spans="2:17" ht="12.75">
      <c r="B1826" s="20">
        <f t="shared" si="271"/>
        <v>33</v>
      </c>
      <c r="C1826" s="5"/>
      <c r="D1826" s="26"/>
      <c r="E1826" s="5"/>
      <c r="F1826" s="32"/>
      <c r="G1826" s="5"/>
      <c r="H1826" s="5" t="s">
        <v>343</v>
      </c>
      <c r="I1826" s="18">
        <v>1800</v>
      </c>
      <c r="J1826" s="18"/>
      <c r="K1826" s="18">
        <f aca="true" t="shared" si="272" ref="K1826:K1857">I1826+J1826</f>
        <v>1800</v>
      </c>
      <c r="L1826" s="18"/>
      <c r="M1826" s="18"/>
      <c r="N1826" s="18">
        <f aca="true" t="shared" si="273" ref="N1826:N1857">L1826+M1826</f>
        <v>0</v>
      </c>
      <c r="O1826" s="18">
        <f t="shared" si="268"/>
        <v>1800</v>
      </c>
      <c r="P1826" s="18">
        <f t="shared" si="269"/>
        <v>0</v>
      </c>
      <c r="Q1826" s="18">
        <f t="shared" si="270"/>
        <v>1800</v>
      </c>
    </row>
    <row r="1827" spans="2:17" ht="12.75">
      <c r="B1827" s="20">
        <f aca="true" t="shared" si="274" ref="B1827:B1858">B1826+1</f>
        <v>34</v>
      </c>
      <c r="C1827" s="5"/>
      <c r="D1827" s="26"/>
      <c r="E1827" s="5"/>
      <c r="F1827" s="32"/>
      <c r="G1827" s="5"/>
      <c r="H1827" s="5" t="s">
        <v>344</v>
      </c>
      <c r="I1827" s="18">
        <v>1332</v>
      </c>
      <c r="J1827" s="18"/>
      <c r="K1827" s="18">
        <f t="shared" si="272"/>
        <v>1332</v>
      </c>
      <c r="L1827" s="18"/>
      <c r="M1827" s="18"/>
      <c r="N1827" s="18">
        <f t="shared" si="273"/>
        <v>0</v>
      </c>
      <c r="O1827" s="18">
        <f t="shared" si="268"/>
        <v>1332</v>
      </c>
      <c r="P1827" s="18">
        <f t="shared" si="269"/>
        <v>0</v>
      </c>
      <c r="Q1827" s="18">
        <f t="shared" si="270"/>
        <v>1332</v>
      </c>
    </row>
    <row r="1828" spans="2:17" ht="12.75">
      <c r="B1828" s="20">
        <f t="shared" si="274"/>
        <v>35</v>
      </c>
      <c r="C1828" s="5"/>
      <c r="D1828" s="26"/>
      <c r="E1828" s="5"/>
      <c r="F1828" s="32"/>
      <c r="G1828" s="5"/>
      <c r="H1828" s="5" t="s">
        <v>345</v>
      </c>
      <c r="I1828" s="18">
        <v>243</v>
      </c>
      <c r="J1828" s="18"/>
      <c r="K1828" s="18">
        <f t="shared" si="272"/>
        <v>243</v>
      </c>
      <c r="L1828" s="18"/>
      <c r="M1828" s="18"/>
      <c r="N1828" s="18">
        <f t="shared" si="273"/>
        <v>0</v>
      </c>
      <c r="O1828" s="18">
        <f t="shared" si="268"/>
        <v>243</v>
      </c>
      <c r="P1828" s="18">
        <f t="shared" si="269"/>
        <v>0</v>
      </c>
      <c r="Q1828" s="18">
        <f t="shared" si="270"/>
        <v>243</v>
      </c>
    </row>
    <row r="1829" spans="2:17" ht="15">
      <c r="B1829" s="20">
        <f t="shared" si="274"/>
        <v>36</v>
      </c>
      <c r="C1829" s="7">
        <v>4</v>
      </c>
      <c r="D1829" s="232" t="s">
        <v>288</v>
      </c>
      <c r="E1829" s="233"/>
      <c r="F1829" s="233"/>
      <c r="G1829" s="233"/>
      <c r="H1829" s="234"/>
      <c r="I1829" s="87">
        <f>I1846+I1830</f>
        <v>147872</v>
      </c>
      <c r="J1829" s="87">
        <f>J1846+J1830</f>
        <v>3000</v>
      </c>
      <c r="K1829" s="87">
        <f t="shared" si="272"/>
        <v>150872</v>
      </c>
      <c r="L1829" s="87">
        <f>L1830</f>
        <v>470000</v>
      </c>
      <c r="M1829" s="87">
        <f>M1830</f>
        <v>0</v>
      </c>
      <c r="N1829" s="87">
        <f t="shared" si="273"/>
        <v>470000</v>
      </c>
      <c r="O1829" s="87">
        <f t="shared" si="268"/>
        <v>617872</v>
      </c>
      <c r="P1829" s="87">
        <f t="shared" si="269"/>
        <v>3000</v>
      </c>
      <c r="Q1829" s="87">
        <f t="shared" si="270"/>
        <v>620872</v>
      </c>
    </row>
    <row r="1830" spans="2:17" ht="15">
      <c r="B1830" s="20">
        <f t="shared" si="274"/>
        <v>37</v>
      </c>
      <c r="C1830" s="2"/>
      <c r="D1830" s="2">
        <v>1</v>
      </c>
      <c r="E1830" s="238" t="s">
        <v>68</v>
      </c>
      <c r="F1830" s="233"/>
      <c r="G1830" s="233"/>
      <c r="H1830" s="234"/>
      <c r="I1830" s="88">
        <f>I1836</f>
        <v>63260</v>
      </c>
      <c r="J1830" s="88">
        <f>J1836</f>
        <v>2650</v>
      </c>
      <c r="K1830" s="88">
        <f t="shared" si="272"/>
        <v>65910</v>
      </c>
      <c r="L1830" s="88">
        <f>L1831</f>
        <v>470000</v>
      </c>
      <c r="M1830" s="88">
        <f>M1831</f>
        <v>0</v>
      </c>
      <c r="N1830" s="88">
        <f t="shared" si="273"/>
        <v>470000</v>
      </c>
      <c r="O1830" s="88">
        <f t="shared" si="268"/>
        <v>533260</v>
      </c>
      <c r="P1830" s="88">
        <f t="shared" si="269"/>
        <v>2650</v>
      </c>
      <c r="Q1830" s="88">
        <f t="shared" si="270"/>
        <v>535910</v>
      </c>
    </row>
    <row r="1831" spans="2:17" ht="15">
      <c r="B1831" s="20">
        <f t="shared" si="274"/>
        <v>38</v>
      </c>
      <c r="C1831" s="54"/>
      <c r="D1831" s="54"/>
      <c r="E1831" s="55"/>
      <c r="F1831" s="30" t="s">
        <v>64</v>
      </c>
      <c r="G1831" s="10">
        <v>710</v>
      </c>
      <c r="H1831" s="10" t="s">
        <v>176</v>
      </c>
      <c r="I1831" s="101"/>
      <c r="J1831" s="101"/>
      <c r="K1831" s="101">
        <f t="shared" si="272"/>
        <v>0</v>
      </c>
      <c r="L1831" s="92">
        <f>L1834+L1832</f>
        <v>470000</v>
      </c>
      <c r="M1831" s="92">
        <f>M1834+M1832</f>
        <v>0</v>
      </c>
      <c r="N1831" s="92">
        <f t="shared" si="273"/>
        <v>470000</v>
      </c>
      <c r="O1831" s="92">
        <f t="shared" si="268"/>
        <v>470000</v>
      </c>
      <c r="P1831" s="92">
        <f t="shared" si="269"/>
        <v>0</v>
      </c>
      <c r="Q1831" s="92">
        <f t="shared" si="270"/>
        <v>470000</v>
      </c>
    </row>
    <row r="1832" spans="2:17" ht="15">
      <c r="B1832" s="20">
        <f t="shared" si="274"/>
        <v>39</v>
      </c>
      <c r="C1832" s="54"/>
      <c r="D1832" s="54"/>
      <c r="E1832" s="55"/>
      <c r="F1832" s="56" t="s">
        <v>64</v>
      </c>
      <c r="G1832" s="57">
        <v>714</v>
      </c>
      <c r="H1832" s="4" t="s">
        <v>177</v>
      </c>
      <c r="I1832" s="101"/>
      <c r="J1832" s="101"/>
      <c r="K1832" s="101">
        <f t="shared" si="272"/>
        <v>0</v>
      </c>
      <c r="L1832" s="93">
        <f>L1833</f>
        <v>23947</v>
      </c>
      <c r="M1832" s="93">
        <f>M1833</f>
        <v>0</v>
      </c>
      <c r="N1832" s="93">
        <f t="shared" si="273"/>
        <v>23947</v>
      </c>
      <c r="O1832" s="93">
        <f t="shared" si="268"/>
        <v>23947</v>
      </c>
      <c r="P1832" s="93">
        <f t="shared" si="269"/>
        <v>0</v>
      </c>
      <c r="Q1832" s="93">
        <f t="shared" si="270"/>
        <v>23947</v>
      </c>
    </row>
    <row r="1833" spans="2:17" ht="22.5">
      <c r="B1833" s="20">
        <f t="shared" si="274"/>
        <v>40</v>
      </c>
      <c r="C1833" s="54"/>
      <c r="D1833" s="54"/>
      <c r="E1833" s="55"/>
      <c r="F1833" s="30"/>
      <c r="G1833" s="10"/>
      <c r="H1833" s="131" t="s">
        <v>583</v>
      </c>
      <c r="I1833" s="101"/>
      <c r="J1833" s="101"/>
      <c r="K1833" s="101">
        <f t="shared" si="272"/>
        <v>0</v>
      </c>
      <c r="L1833" s="121">
        <v>23947</v>
      </c>
      <c r="M1833" s="121"/>
      <c r="N1833" s="121">
        <f t="shared" si="273"/>
        <v>23947</v>
      </c>
      <c r="O1833" s="121">
        <f>L1833</f>
        <v>23947</v>
      </c>
      <c r="P1833" s="121">
        <f>M1833</f>
        <v>0</v>
      </c>
      <c r="Q1833" s="121">
        <f>N1833</f>
        <v>23947</v>
      </c>
    </row>
    <row r="1834" spans="2:17" ht="15">
      <c r="B1834" s="20">
        <f t="shared" si="274"/>
        <v>41</v>
      </c>
      <c r="C1834" s="54"/>
      <c r="D1834" s="54"/>
      <c r="E1834" s="55"/>
      <c r="F1834" s="56" t="s">
        <v>64</v>
      </c>
      <c r="G1834" s="57">
        <v>717</v>
      </c>
      <c r="H1834" s="57" t="s">
        <v>186</v>
      </c>
      <c r="I1834" s="101"/>
      <c r="J1834" s="101"/>
      <c r="K1834" s="101">
        <f t="shared" si="272"/>
        <v>0</v>
      </c>
      <c r="L1834" s="93">
        <f>L1835</f>
        <v>446053</v>
      </c>
      <c r="M1834" s="93">
        <f>M1835</f>
        <v>0</v>
      </c>
      <c r="N1834" s="93">
        <f t="shared" si="273"/>
        <v>446053</v>
      </c>
      <c r="O1834" s="93">
        <f aca="true" t="shared" si="275" ref="O1834:O1865">I1834+L1834</f>
        <v>446053</v>
      </c>
      <c r="P1834" s="93">
        <f aca="true" t="shared" si="276" ref="P1834:P1865">J1834+M1834</f>
        <v>0</v>
      </c>
      <c r="Q1834" s="93">
        <f aca="true" t="shared" si="277" ref="Q1834:Q1865">K1834+N1834</f>
        <v>446053</v>
      </c>
    </row>
    <row r="1835" spans="2:17" ht="22.5">
      <c r="B1835" s="20">
        <f t="shared" si="274"/>
        <v>42</v>
      </c>
      <c r="C1835" s="133"/>
      <c r="D1835" s="133"/>
      <c r="E1835" s="134"/>
      <c r="F1835" s="135"/>
      <c r="G1835" s="135"/>
      <c r="H1835" s="131" t="s">
        <v>408</v>
      </c>
      <c r="I1835" s="132"/>
      <c r="J1835" s="132"/>
      <c r="K1835" s="132">
        <f t="shared" si="272"/>
        <v>0</v>
      </c>
      <c r="L1835" s="121">
        <f>470000-23947</f>
        <v>446053</v>
      </c>
      <c r="M1835" s="121"/>
      <c r="N1835" s="121">
        <f t="shared" si="273"/>
        <v>446053</v>
      </c>
      <c r="O1835" s="121">
        <f t="shared" si="275"/>
        <v>446053</v>
      </c>
      <c r="P1835" s="121">
        <f t="shared" si="276"/>
        <v>0</v>
      </c>
      <c r="Q1835" s="121">
        <f t="shared" si="277"/>
        <v>446053</v>
      </c>
    </row>
    <row r="1836" spans="2:17" ht="15">
      <c r="B1836" s="20">
        <f t="shared" si="274"/>
        <v>43</v>
      </c>
      <c r="C1836" s="12"/>
      <c r="D1836" s="12"/>
      <c r="E1836" s="12">
        <v>5</v>
      </c>
      <c r="F1836" s="34"/>
      <c r="G1836" s="12"/>
      <c r="H1836" s="12" t="s">
        <v>104</v>
      </c>
      <c r="I1836" s="90">
        <f>I1837+I1838+I1839+I1845</f>
        <v>63260</v>
      </c>
      <c r="J1836" s="90">
        <f>J1837+J1838+J1839+J1845</f>
        <v>2650</v>
      </c>
      <c r="K1836" s="90">
        <f t="shared" si="272"/>
        <v>65910</v>
      </c>
      <c r="L1836" s="90"/>
      <c r="M1836" s="90"/>
      <c r="N1836" s="90">
        <f t="shared" si="273"/>
        <v>0</v>
      </c>
      <c r="O1836" s="90">
        <f t="shared" si="275"/>
        <v>63260</v>
      </c>
      <c r="P1836" s="90">
        <f t="shared" si="276"/>
        <v>2650</v>
      </c>
      <c r="Q1836" s="90">
        <f t="shared" si="277"/>
        <v>65910</v>
      </c>
    </row>
    <row r="1837" spans="2:17" ht="12.75">
      <c r="B1837" s="20">
        <f t="shared" si="274"/>
        <v>44</v>
      </c>
      <c r="C1837" s="10"/>
      <c r="D1837" s="10"/>
      <c r="E1837" s="10"/>
      <c r="F1837" s="30" t="s">
        <v>64</v>
      </c>
      <c r="G1837" s="10">
        <v>610</v>
      </c>
      <c r="H1837" s="10" t="s">
        <v>131</v>
      </c>
      <c r="I1837" s="61">
        <v>33914</v>
      </c>
      <c r="J1837" s="61"/>
      <c r="K1837" s="61">
        <f t="shared" si="272"/>
        <v>33914</v>
      </c>
      <c r="L1837" s="61"/>
      <c r="M1837" s="61"/>
      <c r="N1837" s="61">
        <f t="shared" si="273"/>
        <v>0</v>
      </c>
      <c r="O1837" s="61">
        <f t="shared" si="275"/>
        <v>33914</v>
      </c>
      <c r="P1837" s="61">
        <f t="shared" si="276"/>
        <v>0</v>
      </c>
      <c r="Q1837" s="61">
        <f t="shared" si="277"/>
        <v>33914</v>
      </c>
    </row>
    <row r="1838" spans="2:17" ht="12.75">
      <c r="B1838" s="20">
        <f t="shared" si="274"/>
        <v>45</v>
      </c>
      <c r="C1838" s="10"/>
      <c r="D1838" s="10"/>
      <c r="E1838" s="10"/>
      <c r="F1838" s="30" t="s">
        <v>64</v>
      </c>
      <c r="G1838" s="10">
        <v>620</v>
      </c>
      <c r="H1838" s="10" t="s">
        <v>124</v>
      </c>
      <c r="I1838" s="61">
        <f>12363-1441-425</f>
        <v>10497</v>
      </c>
      <c r="J1838" s="61"/>
      <c r="K1838" s="61">
        <f t="shared" si="272"/>
        <v>10497</v>
      </c>
      <c r="L1838" s="61"/>
      <c r="M1838" s="61"/>
      <c r="N1838" s="61">
        <f t="shared" si="273"/>
        <v>0</v>
      </c>
      <c r="O1838" s="61">
        <f t="shared" si="275"/>
        <v>10497</v>
      </c>
      <c r="P1838" s="61">
        <f t="shared" si="276"/>
        <v>0</v>
      </c>
      <c r="Q1838" s="61">
        <f t="shared" si="277"/>
        <v>10497</v>
      </c>
    </row>
    <row r="1839" spans="2:17" ht="12.75">
      <c r="B1839" s="20">
        <f t="shared" si="274"/>
        <v>46</v>
      </c>
      <c r="C1839" s="10"/>
      <c r="D1839" s="10"/>
      <c r="E1839" s="10"/>
      <c r="F1839" s="30" t="s">
        <v>64</v>
      </c>
      <c r="G1839" s="10">
        <v>630</v>
      </c>
      <c r="H1839" s="10" t="s">
        <v>121</v>
      </c>
      <c r="I1839" s="61">
        <f>SUM(I1840:I1844)</f>
        <v>16983</v>
      </c>
      <c r="J1839" s="61">
        <f>SUM(J1840:J1844)</f>
        <v>2650</v>
      </c>
      <c r="K1839" s="61">
        <f t="shared" si="272"/>
        <v>19633</v>
      </c>
      <c r="L1839" s="61"/>
      <c r="M1839" s="61"/>
      <c r="N1839" s="61">
        <f t="shared" si="273"/>
        <v>0</v>
      </c>
      <c r="O1839" s="61">
        <f t="shared" si="275"/>
        <v>16983</v>
      </c>
      <c r="P1839" s="61">
        <f t="shared" si="276"/>
        <v>2650</v>
      </c>
      <c r="Q1839" s="61">
        <f t="shared" si="277"/>
        <v>19633</v>
      </c>
    </row>
    <row r="1840" spans="2:17" ht="12.75">
      <c r="B1840" s="20">
        <f t="shared" si="274"/>
        <v>47</v>
      </c>
      <c r="C1840" s="4"/>
      <c r="D1840" s="4"/>
      <c r="E1840" s="4"/>
      <c r="F1840" s="31" t="s">
        <v>64</v>
      </c>
      <c r="G1840" s="4">
        <v>632</v>
      </c>
      <c r="H1840" s="4" t="s">
        <v>134</v>
      </c>
      <c r="I1840" s="17">
        <v>6220</v>
      </c>
      <c r="J1840" s="17"/>
      <c r="K1840" s="17">
        <f t="shared" si="272"/>
        <v>6220</v>
      </c>
      <c r="L1840" s="17"/>
      <c r="M1840" s="17"/>
      <c r="N1840" s="17">
        <f t="shared" si="273"/>
        <v>0</v>
      </c>
      <c r="O1840" s="17">
        <f t="shared" si="275"/>
        <v>6220</v>
      </c>
      <c r="P1840" s="17">
        <f t="shared" si="276"/>
        <v>0</v>
      </c>
      <c r="Q1840" s="17">
        <f t="shared" si="277"/>
        <v>6220</v>
      </c>
    </row>
    <row r="1841" spans="2:17" ht="12.75">
      <c r="B1841" s="20">
        <f t="shared" si="274"/>
        <v>48</v>
      </c>
      <c r="C1841" s="4"/>
      <c r="D1841" s="4"/>
      <c r="E1841" s="4"/>
      <c r="F1841" s="31" t="s">
        <v>64</v>
      </c>
      <c r="G1841" s="4">
        <v>633</v>
      </c>
      <c r="H1841" s="4" t="s">
        <v>125</v>
      </c>
      <c r="I1841" s="17">
        <f>1100+600</f>
        <v>1700</v>
      </c>
      <c r="J1841" s="17">
        <v>150</v>
      </c>
      <c r="K1841" s="17">
        <f t="shared" si="272"/>
        <v>1850</v>
      </c>
      <c r="L1841" s="17"/>
      <c r="M1841" s="17"/>
      <c r="N1841" s="17">
        <f t="shared" si="273"/>
        <v>0</v>
      </c>
      <c r="O1841" s="17">
        <f t="shared" si="275"/>
        <v>1700</v>
      </c>
      <c r="P1841" s="17">
        <f t="shared" si="276"/>
        <v>150</v>
      </c>
      <c r="Q1841" s="17">
        <f t="shared" si="277"/>
        <v>1850</v>
      </c>
    </row>
    <row r="1842" spans="2:17" ht="12.75">
      <c r="B1842" s="20">
        <f t="shared" si="274"/>
        <v>49</v>
      </c>
      <c r="C1842" s="4"/>
      <c r="D1842" s="4"/>
      <c r="E1842" s="4"/>
      <c r="F1842" s="31" t="s">
        <v>64</v>
      </c>
      <c r="G1842" s="4">
        <v>635</v>
      </c>
      <c r="H1842" s="4" t="s">
        <v>133</v>
      </c>
      <c r="I1842" s="17">
        <v>750</v>
      </c>
      <c r="J1842" s="17"/>
      <c r="K1842" s="17">
        <f t="shared" si="272"/>
        <v>750</v>
      </c>
      <c r="L1842" s="17"/>
      <c r="M1842" s="17"/>
      <c r="N1842" s="17">
        <f t="shared" si="273"/>
        <v>0</v>
      </c>
      <c r="O1842" s="17">
        <f t="shared" si="275"/>
        <v>750</v>
      </c>
      <c r="P1842" s="17">
        <f t="shared" si="276"/>
        <v>0</v>
      </c>
      <c r="Q1842" s="17">
        <f t="shared" si="277"/>
        <v>750</v>
      </c>
    </row>
    <row r="1843" spans="2:17" ht="12.75">
      <c r="B1843" s="20">
        <f t="shared" si="274"/>
        <v>50</v>
      </c>
      <c r="C1843" s="4"/>
      <c r="D1843" s="4"/>
      <c r="E1843" s="4"/>
      <c r="F1843" s="31" t="s">
        <v>64</v>
      </c>
      <c r="G1843" s="4">
        <v>637</v>
      </c>
      <c r="H1843" s="4" t="s">
        <v>122</v>
      </c>
      <c r="I1843" s="17">
        <f>7425+200</f>
        <v>7625</v>
      </c>
      <c r="J1843" s="17">
        <v>2500</v>
      </c>
      <c r="K1843" s="17">
        <f t="shared" si="272"/>
        <v>10125</v>
      </c>
      <c r="L1843" s="17"/>
      <c r="M1843" s="17"/>
      <c r="N1843" s="17">
        <f t="shared" si="273"/>
        <v>0</v>
      </c>
      <c r="O1843" s="17">
        <f t="shared" si="275"/>
        <v>7625</v>
      </c>
      <c r="P1843" s="17">
        <f t="shared" si="276"/>
        <v>2500</v>
      </c>
      <c r="Q1843" s="17">
        <f t="shared" si="277"/>
        <v>10125</v>
      </c>
    </row>
    <row r="1844" spans="2:17" ht="12.75">
      <c r="B1844" s="20">
        <f t="shared" si="274"/>
        <v>51</v>
      </c>
      <c r="C1844" s="4"/>
      <c r="D1844" s="4"/>
      <c r="E1844" s="4"/>
      <c r="F1844" s="33" t="s">
        <v>64</v>
      </c>
      <c r="G1844" s="4">
        <v>637</v>
      </c>
      <c r="H1844" s="24" t="s">
        <v>290</v>
      </c>
      <c r="I1844" s="17">
        <v>688</v>
      </c>
      <c r="J1844" s="17"/>
      <c r="K1844" s="17">
        <f t="shared" si="272"/>
        <v>688</v>
      </c>
      <c r="L1844" s="17"/>
      <c r="M1844" s="17"/>
      <c r="N1844" s="17">
        <f t="shared" si="273"/>
        <v>0</v>
      </c>
      <c r="O1844" s="17">
        <f t="shared" si="275"/>
        <v>688</v>
      </c>
      <c r="P1844" s="17">
        <f t="shared" si="276"/>
        <v>0</v>
      </c>
      <c r="Q1844" s="17">
        <f t="shared" si="277"/>
        <v>688</v>
      </c>
    </row>
    <row r="1845" spans="2:17" ht="12.75">
      <c r="B1845" s="20">
        <f t="shared" si="274"/>
        <v>52</v>
      </c>
      <c r="C1845" s="4"/>
      <c r="D1845" s="4"/>
      <c r="E1845" s="29"/>
      <c r="F1845" s="30" t="s">
        <v>64</v>
      </c>
      <c r="G1845" s="10">
        <v>640</v>
      </c>
      <c r="H1845" s="10" t="s">
        <v>129</v>
      </c>
      <c r="I1845" s="61">
        <f>1441+425</f>
        <v>1866</v>
      </c>
      <c r="J1845" s="61"/>
      <c r="K1845" s="61">
        <f t="shared" si="272"/>
        <v>1866</v>
      </c>
      <c r="L1845" s="61"/>
      <c r="M1845" s="61"/>
      <c r="N1845" s="61">
        <f t="shared" si="273"/>
        <v>0</v>
      </c>
      <c r="O1845" s="61">
        <f t="shared" si="275"/>
        <v>1866</v>
      </c>
      <c r="P1845" s="61">
        <f t="shared" si="276"/>
        <v>0</v>
      </c>
      <c r="Q1845" s="61">
        <f t="shared" si="277"/>
        <v>1866</v>
      </c>
    </row>
    <row r="1846" spans="2:17" ht="15">
      <c r="B1846" s="20">
        <f t="shared" si="274"/>
        <v>53</v>
      </c>
      <c r="C1846" s="2"/>
      <c r="D1846" s="2">
        <v>2</v>
      </c>
      <c r="E1846" s="238" t="s">
        <v>287</v>
      </c>
      <c r="F1846" s="233"/>
      <c r="G1846" s="233"/>
      <c r="H1846" s="234"/>
      <c r="I1846" s="88">
        <f>I1847</f>
        <v>84612</v>
      </c>
      <c r="J1846" s="88">
        <f>J1847</f>
        <v>350</v>
      </c>
      <c r="K1846" s="88">
        <f t="shared" si="272"/>
        <v>84962</v>
      </c>
      <c r="L1846" s="88"/>
      <c r="M1846" s="88"/>
      <c r="N1846" s="88">
        <f t="shared" si="273"/>
        <v>0</v>
      </c>
      <c r="O1846" s="88">
        <f t="shared" si="275"/>
        <v>84612</v>
      </c>
      <c r="P1846" s="88">
        <f t="shared" si="276"/>
        <v>350</v>
      </c>
      <c r="Q1846" s="88">
        <f t="shared" si="277"/>
        <v>84962</v>
      </c>
    </row>
    <row r="1847" spans="2:17" ht="15">
      <c r="B1847" s="20">
        <f t="shared" si="274"/>
        <v>54</v>
      </c>
      <c r="C1847" s="12"/>
      <c r="D1847" s="12"/>
      <c r="E1847" s="12">
        <v>5</v>
      </c>
      <c r="F1847" s="34"/>
      <c r="G1847" s="12"/>
      <c r="H1847" s="12" t="s">
        <v>104</v>
      </c>
      <c r="I1847" s="90">
        <f>I1848+I1849+I1850+I1857</f>
        <v>84612</v>
      </c>
      <c r="J1847" s="90">
        <f>J1848+J1849+J1850+J1857</f>
        <v>350</v>
      </c>
      <c r="K1847" s="90">
        <f t="shared" si="272"/>
        <v>84962</v>
      </c>
      <c r="L1847" s="90"/>
      <c r="M1847" s="90"/>
      <c r="N1847" s="90">
        <f t="shared" si="273"/>
        <v>0</v>
      </c>
      <c r="O1847" s="90">
        <f t="shared" si="275"/>
        <v>84612</v>
      </c>
      <c r="P1847" s="90">
        <f t="shared" si="276"/>
        <v>350</v>
      </c>
      <c r="Q1847" s="90">
        <f t="shared" si="277"/>
        <v>84962</v>
      </c>
    </row>
    <row r="1848" spans="2:17" ht="12.75">
      <c r="B1848" s="20">
        <f t="shared" si="274"/>
        <v>55</v>
      </c>
      <c r="C1848" s="10"/>
      <c r="D1848" s="10"/>
      <c r="E1848" s="10"/>
      <c r="F1848" s="30" t="s">
        <v>64</v>
      </c>
      <c r="G1848" s="10">
        <v>610</v>
      </c>
      <c r="H1848" s="10" t="s">
        <v>131</v>
      </c>
      <c r="I1848" s="61">
        <v>52676</v>
      </c>
      <c r="J1848" s="61"/>
      <c r="K1848" s="61">
        <f t="shared" si="272"/>
        <v>52676</v>
      </c>
      <c r="L1848" s="61"/>
      <c r="M1848" s="61"/>
      <c r="N1848" s="61">
        <f t="shared" si="273"/>
        <v>0</v>
      </c>
      <c r="O1848" s="61">
        <f t="shared" si="275"/>
        <v>52676</v>
      </c>
      <c r="P1848" s="61">
        <f t="shared" si="276"/>
        <v>0</v>
      </c>
      <c r="Q1848" s="61">
        <f t="shared" si="277"/>
        <v>52676</v>
      </c>
    </row>
    <row r="1849" spans="2:17" ht="12.75">
      <c r="B1849" s="20">
        <f t="shared" si="274"/>
        <v>56</v>
      </c>
      <c r="C1849" s="10"/>
      <c r="D1849" s="10"/>
      <c r="E1849" s="10"/>
      <c r="F1849" s="30" t="s">
        <v>64</v>
      </c>
      <c r="G1849" s="10">
        <v>620</v>
      </c>
      <c r="H1849" s="10" t="s">
        <v>124</v>
      </c>
      <c r="I1849" s="61">
        <f>19053-600</f>
        <v>18453</v>
      </c>
      <c r="J1849" s="61"/>
      <c r="K1849" s="61">
        <f t="shared" si="272"/>
        <v>18453</v>
      </c>
      <c r="L1849" s="61"/>
      <c r="M1849" s="61"/>
      <c r="N1849" s="61">
        <f t="shared" si="273"/>
        <v>0</v>
      </c>
      <c r="O1849" s="61">
        <f t="shared" si="275"/>
        <v>18453</v>
      </c>
      <c r="P1849" s="61">
        <f t="shared" si="276"/>
        <v>0</v>
      </c>
      <c r="Q1849" s="61">
        <f t="shared" si="277"/>
        <v>18453</v>
      </c>
    </row>
    <row r="1850" spans="2:17" ht="12.75">
      <c r="B1850" s="20">
        <f t="shared" si="274"/>
        <v>57</v>
      </c>
      <c r="C1850" s="10"/>
      <c r="D1850" s="10"/>
      <c r="E1850" s="10"/>
      <c r="F1850" s="30" t="s">
        <v>64</v>
      </c>
      <c r="G1850" s="10">
        <v>630</v>
      </c>
      <c r="H1850" s="10" t="s">
        <v>121</v>
      </c>
      <c r="I1850" s="61">
        <f>SUM(I1851:I1856)</f>
        <v>12883</v>
      </c>
      <c r="J1850" s="61">
        <f>SUM(J1851:J1856)</f>
        <v>350</v>
      </c>
      <c r="K1850" s="61">
        <f t="shared" si="272"/>
        <v>13233</v>
      </c>
      <c r="L1850" s="61"/>
      <c r="M1850" s="61"/>
      <c r="N1850" s="61">
        <f t="shared" si="273"/>
        <v>0</v>
      </c>
      <c r="O1850" s="61">
        <f t="shared" si="275"/>
        <v>12883</v>
      </c>
      <c r="P1850" s="61">
        <f t="shared" si="276"/>
        <v>350</v>
      </c>
      <c r="Q1850" s="61">
        <f t="shared" si="277"/>
        <v>13233</v>
      </c>
    </row>
    <row r="1851" spans="2:17" ht="12.75">
      <c r="B1851" s="20">
        <f t="shared" si="274"/>
        <v>58</v>
      </c>
      <c r="C1851" s="4"/>
      <c r="D1851" s="4"/>
      <c r="E1851" s="4"/>
      <c r="F1851" s="31" t="s">
        <v>64</v>
      </c>
      <c r="G1851" s="4">
        <v>631</v>
      </c>
      <c r="H1851" s="4" t="s">
        <v>127</v>
      </c>
      <c r="I1851" s="17">
        <v>300</v>
      </c>
      <c r="J1851" s="17"/>
      <c r="K1851" s="17">
        <f t="shared" si="272"/>
        <v>300</v>
      </c>
      <c r="L1851" s="17"/>
      <c r="M1851" s="17"/>
      <c r="N1851" s="17">
        <f t="shared" si="273"/>
        <v>0</v>
      </c>
      <c r="O1851" s="17">
        <f t="shared" si="275"/>
        <v>300</v>
      </c>
      <c r="P1851" s="17">
        <f t="shared" si="276"/>
        <v>0</v>
      </c>
      <c r="Q1851" s="17">
        <f t="shared" si="277"/>
        <v>300</v>
      </c>
    </row>
    <row r="1852" spans="2:17" ht="12.75">
      <c r="B1852" s="20">
        <f t="shared" si="274"/>
        <v>59</v>
      </c>
      <c r="C1852" s="4"/>
      <c r="D1852" s="4"/>
      <c r="E1852" s="4"/>
      <c r="F1852" s="31" t="s">
        <v>64</v>
      </c>
      <c r="G1852" s="4">
        <v>632</v>
      </c>
      <c r="H1852" s="4" t="s">
        <v>134</v>
      </c>
      <c r="I1852" s="17">
        <v>5190</v>
      </c>
      <c r="J1852" s="17"/>
      <c r="K1852" s="17">
        <f t="shared" si="272"/>
        <v>5190</v>
      </c>
      <c r="L1852" s="17"/>
      <c r="M1852" s="17"/>
      <c r="N1852" s="17">
        <f t="shared" si="273"/>
        <v>0</v>
      </c>
      <c r="O1852" s="17">
        <f t="shared" si="275"/>
        <v>5190</v>
      </c>
      <c r="P1852" s="17">
        <f t="shared" si="276"/>
        <v>0</v>
      </c>
      <c r="Q1852" s="17">
        <f t="shared" si="277"/>
        <v>5190</v>
      </c>
    </row>
    <row r="1853" spans="2:17" ht="12.75">
      <c r="B1853" s="20">
        <f t="shared" si="274"/>
        <v>60</v>
      </c>
      <c r="C1853" s="4"/>
      <c r="D1853" s="4"/>
      <c r="E1853" s="4"/>
      <c r="F1853" s="31" t="s">
        <v>64</v>
      </c>
      <c r="G1853" s="4">
        <v>633</v>
      </c>
      <c r="H1853" s="4" t="s">
        <v>125</v>
      </c>
      <c r="I1853" s="17">
        <v>880</v>
      </c>
      <c r="J1853" s="17">
        <v>350</v>
      </c>
      <c r="K1853" s="17">
        <f t="shared" si="272"/>
        <v>1230</v>
      </c>
      <c r="L1853" s="17"/>
      <c r="M1853" s="17"/>
      <c r="N1853" s="17">
        <f t="shared" si="273"/>
        <v>0</v>
      </c>
      <c r="O1853" s="17">
        <f t="shared" si="275"/>
        <v>880</v>
      </c>
      <c r="P1853" s="17">
        <f t="shared" si="276"/>
        <v>350</v>
      </c>
      <c r="Q1853" s="17">
        <f t="shared" si="277"/>
        <v>1230</v>
      </c>
    </row>
    <row r="1854" spans="2:17" ht="12.75">
      <c r="B1854" s="20">
        <f t="shared" si="274"/>
        <v>61</v>
      </c>
      <c r="C1854" s="4"/>
      <c r="D1854" s="4"/>
      <c r="E1854" s="4"/>
      <c r="F1854" s="31" t="s">
        <v>64</v>
      </c>
      <c r="G1854" s="4">
        <v>635</v>
      </c>
      <c r="H1854" s="4" t="s">
        <v>133</v>
      </c>
      <c r="I1854" s="17">
        <v>1760</v>
      </c>
      <c r="J1854" s="17"/>
      <c r="K1854" s="17">
        <f t="shared" si="272"/>
        <v>1760</v>
      </c>
      <c r="L1854" s="17"/>
      <c r="M1854" s="17"/>
      <c r="N1854" s="17">
        <f t="shared" si="273"/>
        <v>0</v>
      </c>
      <c r="O1854" s="17">
        <f t="shared" si="275"/>
        <v>1760</v>
      </c>
      <c r="P1854" s="17">
        <f t="shared" si="276"/>
        <v>0</v>
      </c>
      <c r="Q1854" s="17">
        <f t="shared" si="277"/>
        <v>1760</v>
      </c>
    </row>
    <row r="1855" spans="2:17" ht="12.75">
      <c r="B1855" s="20">
        <f t="shared" si="274"/>
        <v>62</v>
      </c>
      <c r="C1855" s="4"/>
      <c r="D1855" s="4"/>
      <c r="E1855" s="4"/>
      <c r="F1855" s="31" t="s">
        <v>64</v>
      </c>
      <c r="G1855" s="4">
        <v>637</v>
      </c>
      <c r="H1855" s="4" t="s">
        <v>122</v>
      </c>
      <c r="I1855" s="17">
        <v>3928</v>
      </c>
      <c r="J1855" s="17"/>
      <c r="K1855" s="17">
        <f t="shared" si="272"/>
        <v>3928</v>
      </c>
      <c r="L1855" s="17"/>
      <c r="M1855" s="17"/>
      <c r="N1855" s="17">
        <f t="shared" si="273"/>
        <v>0</v>
      </c>
      <c r="O1855" s="17">
        <f t="shared" si="275"/>
        <v>3928</v>
      </c>
      <c r="P1855" s="17">
        <f t="shared" si="276"/>
        <v>0</v>
      </c>
      <c r="Q1855" s="17">
        <f t="shared" si="277"/>
        <v>3928</v>
      </c>
    </row>
    <row r="1856" spans="2:17" ht="12.75">
      <c r="B1856" s="20">
        <f t="shared" si="274"/>
        <v>63</v>
      </c>
      <c r="C1856" s="4"/>
      <c r="D1856" s="4"/>
      <c r="E1856" s="4"/>
      <c r="F1856" s="33" t="s">
        <v>64</v>
      </c>
      <c r="G1856" s="4">
        <v>637</v>
      </c>
      <c r="H1856" s="24" t="s">
        <v>290</v>
      </c>
      <c r="I1856" s="17">
        <v>825</v>
      </c>
      <c r="J1856" s="17"/>
      <c r="K1856" s="17">
        <f t="shared" si="272"/>
        <v>825</v>
      </c>
      <c r="L1856" s="17"/>
      <c r="M1856" s="17"/>
      <c r="N1856" s="17">
        <f t="shared" si="273"/>
        <v>0</v>
      </c>
      <c r="O1856" s="17">
        <f t="shared" si="275"/>
        <v>825</v>
      </c>
      <c r="P1856" s="17">
        <f t="shared" si="276"/>
        <v>0</v>
      </c>
      <c r="Q1856" s="17">
        <f t="shared" si="277"/>
        <v>825</v>
      </c>
    </row>
    <row r="1857" spans="2:17" ht="12.75">
      <c r="B1857" s="20">
        <f t="shared" si="274"/>
        <v>64</v>
      </c>
      <c r="C1857" s="4"/>
      <c r="D1857" s="29"/>
      <c r="E1857" s="185"/>
      <c r="F1857" s="30" t="s">
        <v>64</v>
      </c>
      <c r="G1857" s="10">
        <v>640</v>
      </c>
      <c r="H1857" s="10" t="s">
        <v>129</v>
      </c>
      <c r="I1857" s="61">
        <v>600</v>
      </c>
      <c r="J1857" s="61"/>
      <c r="K1857" s="61">
        <f t="shared" si="272"/>
        <v>600</v>
      </c>
      <c r="L1857" s="61"/>
      <c r="M1857" s="61"/>
      <c r="N1857" s="61">
        <f t="shared" si="273"/>
        <v>0</v>
      </c>
      <c r="O1857" s="61">
        <f t="shared" si="275"/>
        <v>600</v>
      </c>
      <c r="P1857" s="61">
        <f t="shared" si="276"/>
        <v>0</v>
      </c>
      <c r="Q1857" s="61">
        <f t="shared" si="277"/>
        <v>600</v>
      </c>
    </row>
    <row r="1858" spans="2:17" ht="15">
      <c r="B1858" s="20">
        <f t="shared" si="274"/>
        <v>65</v>
      </c>
      <c r="C1858" s="7">
        <v>5</v>
      </c>
      <c r="D1858" s="232" t="s">
        <v>179</v>
      </c>
      <c r="E1858" s="233"/>
      <c r="F1858" s="233"/>
      <c r="G1858" s="233"/>
      <c r="H1858" s="234"/>
      <c r="I1858" s="87">
        <f>I1891+I1868+I1859</f>
        <v>844297</v>
      </c>
      <c r="J1858" s="87">
        <f>J1891+J1868+J1859</f>
        <v>0</v>
      </c>
      <c r="K1858" s="87">
        <f aca="true" t="shared" si="278" ref="K1858:K1889">I1858+J1858</f>
        <v>844297</v>
      </c>
      <c r="L1858" s="87">
        <f>L1868+L1891</f>
        <v>49190</v>
      </c>
      <c r="M1858" s="87">
        <f>M1868+M1891</f>
        <v>0</v>
      </c>
      <c r="N1858" s="87">
        <f aca="true" t="shared" si="279" ref="N1858:N1889">L1858+M1858</f>
        <v>49190</v>
      </c>
      <c r="O1858" s="87">
        <f t="shared" si="275"/>
        <v>893487</v>
      </c>
      <c r="P1858" s="87">
        <f t="shared" si="276"/>
        <v>0</v>
      </c>
      <c r="Q1858" s="87">
        <f t="shared" si="277"/>
        <v>893487</v>
      </c>
    </row>
    <row r="1859" spans="2:17" ht="15">
      <c r="B1859" s="20">
        <f aca="true" t="shared" si="280" ref="B1859:B1890">B1858+1</f>
        <v>66</v>
      </c>
      <c r="C1859" s="2"/>
      <c r="D1859" s="2">
        <v>1</v>
      </c>
      <c r="E1859" s="238" t="s">
        <v>178</v>
      </c>
      <c r="F1859" s="233"/>
      <c r="G1859" s="233"/>
      <c r="H1859" s="234"/>
      <c r="I1859" s="88">
        <f>I1860+I1864</f>
        <v>11604</v>
      </c>
      <c r="J1859" s="88">
        <f>J1860+J1864</f>
        <v>0</v>
      </c>
      <c r="K1859" s="88">
        <f t="shared" si="278"/>
        <v>11604</v>
      </c>
      <c r="L1859" s="88"/>
      <c r="M1859" s="88"/>
      <c r="N1859" s="88">
        <f t="shared" si="279"/>
        <v>0</v>
      </c>
      <c r="O1859" s="88">
        <f t="shared" si="275"/>
        <v>11604</v>
      </c>
      <c r="P1859" s="88">
        <f t="shared" si="276"/>
        <v>0</v>
      </c>
      <c r="Q1859" s="88">
        <f t="shared" si="277"/>
        <v>11604</v>
      </c>
    </row>
    <row r="1860" spans="2:17" ht="12.75">
      <c r="B1860" s="20">
        <f t="shared" si="280"/>
        <v>67</v>
      </c>
      <c r="C1860" s="10"/>
      <c r="D1860" s="10"/>
      <c r="E1860" s="10"/>
      <c r="F1860" s="30" t="s">
        <v>90</v>
      </c>
      <c r="G1860" s="10">
        <v>630</v>
      </c>
      <c r="H1860" s="10" t="s">
        <v>121</v>
      </c>
      <c r="I1860" s="61">
        <f>I1863+I1862+I1861</f>
        <v>8604</v>
      </c>
      <c r="J1860" s="61">
        <f>J1863+J1862+J1861</f>
        <v>0</v>
      </c>
      <c r="K1860" s="61">
        <f t="shared" si="278"/>
        <v>8604</v>
      </c>
      <c r="L1860" s="61"/>
      <c r="M1860" s="61"/>
      <c r="N1860" s="61">
        <f t="shared" si="279"/>
        <v>0</v>
      </c>
      <c r="O1860" s="61">
        <f t="shared" si="275"/>
        <v>8604</v>
      </c>
      <c r="P1860" s="61">
        <f t="shared" si="276"/>
        <v>0</v>
      </c>
      <c r="Q1860" s="61">
        <f t="shared" si="277"/>
        <v>8604</v>
      </c>
    </row>
    <row r="1861" spans="2:17" ht="12.75">
      <c r="B1861" s="20">
        <f t="shared" si="280"/>
        <v>68</v>
      </c>
      <c r="C1861" s="4"/>
      <c r="D1861" s="4"/>
      <c r="E1861" s="4"/>
      <c r="F1861" s="31" t="s">
        <v>90</v>
      </c>
      <c r="G1861" s="4">
        <v>633</v>
      </c>
      <c r="H1861" s="4" t="s">
        <v>125</v>
      </c>
      <c r="I1861" s="17">
        <f>5500-170</f>
        <v>5330</v>
      </c>
      <c r="J1861" s="17"/>
      <c r="K1861" s="17">
        <f t="shared" si="278"/>
        <v>5330</v>
      </c>
      <c r="L1861" s="17"/>
      <c r="M1861" s="17"/>
      <c r="N1861" s="17">
        <f t="shared" si="279"/>
        <v>0</v>
      </c>
      <c r="O1861" s="17">
        <f t="shared" si="275"/>
        <v>5330</v>
      </c>
      <c r="P1861" s="17">
        <f t="shared" si="276"/>
        <v>0</v>
      </c>
      <c r="Q1861" s="17">
        <f t="shared" si="277"/>
        <v>5330</v>
      </c>
    </row>
    <row r="1862" spans="2:17" ht="12.75">
      <c r="B1862" s="20">
        <f t="shared" si="280"/>
        <v>69</v>
      </c>
      <c r="C1862" s="4"/>
      <c r="D1862" s="4"/>
      <c r="E1862" s="4"/>
      <c r="F1862" s="31" t="s">
        <v>90</v>
      </c>
      <c r="G1862" s="4">
        <v>634</v>
      </c>
      <c r="H1862" s="4" t="s">
        <v>132</v>
      </c>
      <c r="I1862" s="17">
        <f>500+170</f>
        <v>670</v>
      </c>
      <c r="J1862" s="17"/>
      <c r="K1862" s="17">
        <f t="shared" si="278"/>
        <v>670</v>
      </c>
      <c r="L1862" s="17"/>
      <c r="M1862" s="17"/>
      <c r="N1862" s="17">
        <f t="shared" si="279"/>
        <v>0</v>
      </c>
      <c r="O1862" s="17">
        <f t="shared" si="275"/>
        <v>670</v>
      </c>
      <c r="P1862" s="17">
        <f t="shared" si="276"/>
        <v>0</v>
      </c>
      <c r="Q1862" s="17">
        <f t="shared" si="277"/>
        <v>670</v>
      </c>
    </row>
    <row r="1863" spans="2:17" ht="12.75">
      <c r="B1863" s="20">
        <f t="shared" si="280"/>
        <v>70</v>
      </c>
      <c r="C1863" s="4"/>
      <c r="D1863" s="4"/>
      <c r="E1863" s="4"/>
      <c r="F1863" s="31" t="s">
        <v>90</v>
      </c>
      <c r="G1863" s="4">
        <v>637</v>
      </c>
      <c r="H1863" s="4" t="s">
        <v>122</v>
      </c>
      <c r="I1863" s="17">
        <v>2604</v>
      </c>
      <c r="J1863" s="17"/>
      <c r="K1863" s="17">
        <f t="shared" si="278"/>
        <v>2604</v>
      </c>
      <c r="L1863" s="17"/>
      <c r="M1863" s="17"/>
      <c r="N1863" s="17">
        <f t="shared" si="279"/>
        <v>0</v>
      </c>
      <c r="O1863" s="17">
        <f t="shared" si="275"/>
        <v>2604</v>
      </c>
      <c r="P1863" s="17">
        <f t="shared" si="276"/>
        <v>0</v>
      </c>
      <c r="Q1863" s="17">
        <f t="shared" si="277"/>
        <v>2604</v>
      </c>
    </row>
    <row r="1864" spans="2:17" ht="12.75">
      <c r="B1864" s="20">
        <f t="shared" si="280"/>
        <v>71</v>
      </c>
      <c r="C1864" s="10"/>
      <c r="D1864" s="10"/>
      <c r="E1864" s="10"/>
      <c r="F1864" s="30" t="s">
        <v>87</v>
      </c>
      <c r="G1864" s="10">
        <v>640</v>
      </c>
      <c r="H1864" s="10" t="s">
        <v>129</v>
      </c>
      <c r="I1864" s="61">
        <f>I1865</f>
        <v>3000</v>
      </c>
      <c r="J1864" s="61">
        <f>J1865</f>
        <v>0</v>
      </c>
      <c r="K1864" s="61">
        <f t="shared" si="278"/>
        <v>3000</v>
      </c>
      <c r="L1864" s="61"/>
      <c r="M1864" s="61"/>
      <c r="N1864" s="61">
        <f t="shared" si="279"/>
        <v>0</v>
      </c>
      <c r="O1864" s="61">
        <f t="shared" si="275"/>
        <v>3000</v>
      </c>
      <c r="P1864" s="61">
        <f t="shared" si="276"/>
        <v>0</v>
      </c>
      <c r="Q1864" s="61">
        <f t="shared" si="277"/>
        <v>3000</v>
      </c>
    </row>
    <row r="1865" spans="2:17" ht="12.75">
      <c r="B1865" s="20">
        <f t="shared" si="280"/>
        <v>72</v>
      </c>
      <c r="C1865" s="4"/>
      <c r="D1865" s="4"/>
      <c r="E1865" s="4"/>
      <c r="F1865" s="31" t="s">
        <v>87</v>
      </c>
      <c r="G1865" s="4">
        <v>642</v>
      </c>
      <c r="H1865" s="4" t="s">
        <v>130</v>
      </c>
      <c r="I1865" s="17">
        <f>I1867+I1866</f>
        <v>3000</v>
      </c>
      <c r="J1865" s="17">
        <f>J1867+J1866</f>
        <v>0</v>
      </c>
      <c r="K1865" s="17">
        <f t="shared" si="278"/>
        <v>3000</v>
      </c>
      <c r="L1865" s="17"/>
      <c r="M1865" s="17"/>
      <c r="N1865" s="17">
        <f t="shared" si="279"/>
        <v>0</v>
      </c>
      <c r="O1865" s="17">
        <f t="shared" si="275"/>
        <v>3000</v>
      </c>
      <c r="P1865" s="17">
        <f t="shared" si="276"/>
        <v>0</v>
      </c>
      <c r="Q1865" s="17">
        <f t="shared" si="277"/>
        <v>3000</v>
      </c>
    </row>
    <row r="1866" spans="2:17" ht="12.75">
      <c r="B1866" s="20">
        <f t="shared" si="280"/>
        <v>73</v>
      </c>
      <c r="C1866" s="5"/>
      <c r="D1866" s="5"/>
      <c r="E1866" s="5"/>
      <c r="F1866" s="32"/>
      <c r="G1866" s="5"/>
      <c r="H1866" s="5" t="s">
        <v>239</v>
      </c>
      <c r="I1866" s="18">
        <v>1500</v>
      </c>
      <c r="J1866" s="18"/>
      <c r="K1866" s="18">
        <f t="shared" si="278"/>
        <v>1500</v>
      </c>
      <c r="L1866" s="18"/>
      <c r="M1866" s="18"/>
      <c r="N1866" s="18">
        <f t="shared" si="279"/>
        <v>0</v>
      </c>
      <c r="O1866" s="18">
        <f aca="true" t="shared" si="281" ref="O1866:O1896">I1866+L1866</f>
        <v>1500</v>
      </c>
      <c r="P1866" s="18">
        <f aca="true" t="shared" si="282" ref="P1866:P1896">J1866+M1866</f>
        <v>0</v>
      </c>
      <c r="Q1866" s="18">
        <f aca="true" t="shared" si="283" ref="Q1866:Q1896">K1866+N1866</f>
        <v>1500</v>
      </c>
    </row>
    <row r="1867" spans="2:17" ht="12.75">
      <c r="B1867" s="20">
        <f t="shared" si="280"/>
        <v>74</v>
      </c>
      <c r="C1867" s="5"/>
      <c r="D1867" s="5"/>
      <c r="E1867" s="5"/>
      <c r="F1867" s="32"/>
      <c r="G1867" s="5"/>
      <c r="H1867" s="5" t="s">
        <v>5</v>
      </c>
      <c r="I1867" s="18">
        <v>1500</v>
      </c>
      <c r="J1867" s="18"/>
      <c r="K1867" s="18">
        <f t="shared" si="278"/>
        <v>1500</v>
      </c>
      <c r="L1867" s="18"/>
      <c r="M1867" s="18"/>
      <c r="N1867" s="18">
        <f t="shared" si="279"/>
        <v>0</v>
      </c>
      <c r="O1867" s="18">
        <f t="shared" si="281"/>
        <v>1500</v>
      </c>
      <c r="P1867" s="18">
        <f t="shared" si="282"/>
        <v>0</v>
      </c>
      <c r="Q1867" s="18">
        <f t="shared" si="283"/>
        <v>1500</v>
      </c>
    </row>
    <row r="1868" spans="2:17" ht="15">
      <c r="B1868" s="20">
        <f t="shared" si="280"/>
        <v>75</v>
      </c>
      <c r="C1868" s="2"/>
      <c r="D1868" s="2">
        <v>2</v>
      </c>
      <c r="E1868" s="238" t="s">
        <v>71</v>
      </c>
      <c r="F1868" s="233"/>
      <c r="G1868" s="233"/>
      <c r="H1868" s="234"/>
      <c r="I1868" s="88">
        <f>I1872+I1869</f>
        <v>809443</v>
      </c>
      <c r="J1868" s="88">
        <f>J1872+J1869</f>
        <v>0</v>
      </c>
      <c r="K1868" s="88">
        <f t="shared" si="278"/>
        <v>809443</v>
      </c>
      <c r="L1868" s="88">
        <f>L1872</f>
        <v>46000</v>
      </c>
      <c r="M1868" s="88">
        <f>M1872</f>
        <v>0</v>
      </c>
      <c r="N1868" s="88">
        <f t="shared" si="279"/>
        <v>46000</v>
      </c>
      <c r="O1868" s="88">
        <f t="shared" si="281"/>
        <v>855443</v>
      </c>
      <c r="P1868" s="88">
        <f t="shared" si="282"/>
        <v>0</v>
      </c>
      <c r="Q1868" s="88">
        <f t="shared" si="283"/>
        <v>855443</v>
      </c>
    </row>
    <row r="1869" spans="2:17" ht="12.75">
      <c r="B1869" s="20">
        <f t="shared" si="280"/>
        <v>76</v>
      </c>
      <c r="C1869" s="10"/>
      <c r="D1869" s="10"/>
      <c r="E1869" s="10"/>
      <c r="F1869" s="30" t="s">
        <v>90</v>
      </c>
      <c r="G1869" s="10">
        <v>630</v>
      </c>
      <c r="H1869" s="10" t="s">
        <v>121</v>
      </c>
      <c r="I1869" s="61">
        <f>I1870+I1871</f>
        <v>25287</v>
      </c>
      <c r="J1869" s="61">
        <f>J1870+J1871</f>
        <v>0</v>
      </c>
      <c r="K1869" s="61">
        <f t="shared" si="278"/>
        <v>25287</v>
      </c>
      <c r="L1869" s="61"/>
      <c r="M1869" s="61"/>
      <c r="N1869" s="61">
        <f t="shared" si="279"/>
        <v>0</v>
      </c>
      <c r="O1869" s="61">
        <f t="shared" si="281"/>
        <v>25287</v>
      </c>
      <c r="P1869" s="61">
        <f t="shared" si="282"/>
        <v>0</v>
      </c>
      <c r="Q1869" s="61">
        <f t="shared" si="283"/>
        <v>25287</v>
      </c>
    </row>
    <row r="1870" spans="2:17" ht="12.75">
      <c r="B1870" s="20">
        <f t="shared" si="280"/>
        <v>77</v>
      </c>
      <c r="C1870" s="4"/>
      <c r="D1870" s="4"/>
      <c r="E1870" s="4"/>
      <c r="F1870" s="31" t="s">
        <v>90</v>
      </c>
      <c r="G1870" s="4">
        <v>633</v>
      </c>
      <c r="H1870" s="4" t="s">
        <v>560</v>
      </c>
      <c r="I1870" s="17">
        <f>25287-3658</f>
        <v>21629</v>
      </c>
      <c r="J1870" s="17"/>
      <c r="K1870" s="17">
        <f t="shared" si="278"/>
        <v>21629</v>
      </c>
      <c r="L1870" s="17"/>
      <c r="M1870" s="17"/>
      <c r="N1870" s="17">
        <f t="shared" si="279"/>
        <v>0</v>
      </c>
      <c r="O1870" s="17">
        <f t="shared" si="281"/>
        <v>21629</v>
      </c>
      <c r="P1870" s="17">
        <f t="shared" si="282"/>
        <v>0</v>
      </c>
      <c r="Q1870" s="17">
        <f t="shared" si="283"/>
        <v>21629</v>
      </c>
    </row>
    <row r="1871" spans="2:17" ht="12.75">
      <c r="B1871" s="20">
        <f t="shared" si="280"/>
        <v>78</v>
      </c>
      <c r="C1871" s="4"/>
      <c r="D1871" s="4"/>
      <c r="E1871" s="4"/>
      <c r="F1871" s="31" t="s">
        <v>90</v>
      </c>
      <c r="G1871" s="4">
        <v>637</v>
      </c>
      <c r="H1871" s="4" t="s">
        <v>122</v>
      </c>
      <c r="I1871" s="17">
        <v>3658</v>
      </c>
      <c r="J1871" s="17"/>
      <c r="K1871" s="17">
        <f t="shared" si="278"/>
        <v>3658</v>
      </c>
      <c r="L1871" s="17"/>
      <c r="M1871" s="17"/>
      <c r="N1871" s="17">
        <f t="shared" si="279"/>
        <v>0</v>
      </c>
      <c r="O1871" s="17">
        <f t="shared" si="281"/>
        <v>3658</v>
      </c>
      <c r="P1871" s="17">
        <f t="shared" si="282"/>
        <v>0</v>
      </c>
      <c r="Q1871" s="17">
        <f t="shared" si="283"/>
        <v>3658</v>
      </c>
    </row>
    <row r="1872" spans="2:17" ht="15">
      <c r="B1872" s="20">
        <f t="shared" si="280"/>
        <v>79</v>
      </c>
      <c r="C1872" s="12"/>
      <c r="D1872" s="12"/>
      <c r="E1872" s="12">
        <v>5</v>
      </c>
      <c r="F1872" s="34"/>
      <c r="G1872" s="12"/>
      <c r="H1872" s="12" t="s">
        <v>104</v>
      </c>
      <c r="I1872" s="90">
        <f>I1873+I1874+I1875+I1884</f>
        <v>784156</v>
      </c>
      <c r="J1872" s="90">
        <f>J1873+J1874+J1875+J1884</f>
        <v>0</v>
      </c>
      <c r="K1872" s="90">
        <f t="shared" si="278"/>
        <v>784156</v>
      </c>
      <c r="L1872" s="90">
        <f>L1885</f>
        <v>46000</v>
      </c>
      <c r="M1872" s="90">
        <f>M1885</f>
        <v>0</v>
      </c>
      <c r="N1872" s="90">
        <f t="shared" si="279"/>
        <v>46000</v>
      </c>
      <c r="O1872" s="90">
        <f t="shared" si="281"/>
        <v>830156</v>
      </c>
      <c r="P1872" s="90">
        <f t="shared" si="282"/>
        <v>0</v>
      </c>
      <c r="Q1872" s="90">
        <f t="shared" si="283"/>
        <v>830156</v>
      </c>
    </row>
    <row r="1873" spans="2:17" ht="12.75">
      <c r="B1873" s="20">
        <f t="shared" si="280"/>
        <v>80</v>
      </c>
      <c r="C1873" s="10"/>
      <c r="D1873" s="10"/>
      <c r="E1873" s="10"/>
      <c r="F1873" s="30" t="s">
        <v>90</v>
      </c>
      <c r="G1873" s="10">
        <v>610</v>
      </c>
      <c r="H1873" s="10" t="s">
        <v>131</v>
      </c>
      <c r="I1873" s="61">
        <v>400966</v>
      </c>
      <c r="J1873" s="61"/>
      <c r="K1873" s="61">
        <f t="shared" si="278"/>
        <v>400966</v>
      </c>
      <c r="L1873" s="61"/>
      <c r="M1873" s="61"/>
      <c r="N1873" s="61">
        <f t="shared" si="279"/>
        <v>0</v>
      </c>
      <c r="O1873" s="61">
        <f t="shared" si="281"/>
        <v>400966</v>
      </c>
      <c r="P1873" s="61">
        <f t="shared" si="282"/>
        <v>0</v>
      </c>
      <c r="Q1873" s="61">
        <f t="shared" si="283"/>
        <v>400966</v>
      </c>
    </row>
    <row r="1874" spans="2:17" ht="12.75">
      <c r="B1874" s="20">
        <f t="shared" si="280"/>
        <v>81</v>
      </c>
      <c r="C1874" s="10"/>
      <c r="D1874" s="10"/>
      <c r="E1874" s="10"/>
      <c r="F1874" s="30" t="s">
        <v>90</v>
      </c>
      <c r="G1874" s="10">
        <v>620</v>
      </c>
      <c r="H1874" s="10" t="s">
        <v>124</v>
      </c>
      <c r="I1874" s="61">
        <f>146909-900</f>
        <v>146009</v>
      </c>
      <c r="J1874" s="61"/>
      <c r="K1874" s="61">
        <f t="shared" si="278"/>
        <v>146009</v>
      </c>
      <c r="L1874" s="61"/>
      <c r="M1874" s="61"/>
      <c r="N1874" s="61">
        <f t="shared" si="279"/>
        <v>0</v>
      </c>
      <c r="O1874" s="61">
        <f t="shared" si="281"/>
        <v>146009</v>
      </c>
      <c r="P1874" s="61">
        <f t="shared" si="282"/>
        <v>0</v>
      </c>
      <c r="Q1874" s="61">
        <f t="shared" si="283"/>
        <v>146009</v>
      </c>
    </row>
    <row r="1875" spans="2:17" ht="12.75">
      <c r="B1875" s="20">
        <f t="shared" si="280"/>
        <v>82</v>
      </c>
      <c r="C1875" s="10"/>
      <c r="D1875" s="10"/>
      <c r="E1875" s="10"/>
      <c r="F1875" s="30" t="s">
        <v>90</v>
      </c>
      <c r="G1875" s="10">
        <v>630</v>
      </c>
      <c r="H1875" s="10" t="s">
        <v>121</v>
      </c>
      <c r="I1875" s="61">
        <f>SUM(I1876:I1883)</f>
        <v>235281</v>
      </c>
      <c r="J1875" s="61">
        <f>SUM(J1876:J1883)</f>
        <v>0</v>
      </c>
      <c r="K1875" s="61">
        <f t="shared" si="278"/>
        <v>235281</v>
      </c>
      <c r="L1875" s="61"/>
      <c r="M1875" s="61"/>
      <c r="N1875" s="61">
        <f t="shared" si="279"/>
        <v>0</v>
      </c>
      <c r="O1875" s="61">
        <f t="shared" si="281"/>
        <v>235281</v>
      </c>
      <c r="P1875" s="61">
        <f t="shared" si="282"/>
        <v>0</v>
      </c>
      <c r="Q1875" s="61">
        <f t="shared" si="283"/>
        <v>235281</v>
      </c>
    </row>
    <row r="1876" spans="2:17" ht="12.75">
      <c r="B1876" s="20">
        <f t="shared" si="280"/>
        <v>83</v>
      </c>
      <c r="C1876" s="4"/>
      <c r="D1876" s="4"/>
      <c r="E1876" s="4"/>
      <c r="F1876" s="31" t="s">
        <v>90</v>
      </c>
      <c r="G1876" s="4">
        <v>631</v>
      </c>
      <c r="H1876" s="4" t="s">
        <v>127</v>
      </c>
      <c r="I1876" s="17">
        <v>200</v>
      </c>
      <c r="J1876" s="17"/>
      <c r="K1876" s="17">
        <f t="shared" si="278"/>
        <v>200</v>
      </c>
      <c r="L1876" s="17"/>
      <c r="M1876" s="17"/>
      <c r="N1876" s="17">
        <f t="shared" si="279"/>
        <v>0</v>
      </c>
      <c r="O1876" s="17">
        <f t="shared" si="281"/>
        <v>200</v>
      </c>
      <c r="P1876" s="17">
        <f t="shared" si="282"/>
        <v>0</v>
      </c>
      <c r="Q1876" s="17">
        <f t="shared" si="283"/>
        <v>200</v>
      </c>
    </row>
    <row r="1877" spans="2:17" ht="12.75">
      <c r="B1877" s="20">
        <f t="shared" si="280"/>
        <v>84</v>
      </c>
      <c r="C1877" s="4"/>
      <c r="D1877" s="4"/>
      <c r="E1877" s="4"/>
      <c r="F1877" s="31" t="s">
        <v>90</v>
      </c>
      <c r="G1877" s="4">
        <v>632</v>
      </c>
      <c r="H1877" s="4" t="s">
        <v>134</v>
      </c>
      <c r="I1877" s="17">
        <v>56477</v>
      </c>
      <c r="J1877" s="17"/>
      <c r="K1877" s="17">
        <f t="shared" si="278"/>
        <v>56477</v>
      </c>
      <c r="L1877" s="17"/>
      <c r="M1877" s="17"/>
      <c r="N1877" s="17">
        <f t="shared" si="279"/>
        <v>0</v>
      </c>
      <c r="O1877" s="17">
        <f t="shared" si="281"/>
        <v>56477</v>
      </c>
      <c r="P1877" s="17">
        <f t="shared" si="282"/>
        <v>0</v>
      </c>
      <c r="Q1877" s="17">
        <f t="shared" si="283"/>
        <v>56477</v>
      </c>
    </row>
    <row r="1878" spans="2:17" ht="12.75">
      <c r="B1878" s="20">
        <f t="shared" si="280"/>
        <v>85</v>
      </c>
      <c r="C1878" s="4"/>
      <c r="D1878" s="4"/>
      <c r="E1878" s="4"/>
      <c r="F1878" s="31" t="s">
        <v>90</v>
      </c>
      <c r="G1878" s="4">
        <v>633</v>
      </c>
      <c r="H1878" s="4" t="s">
        <v>125</v>
      </c>
      <c r="I1878" s="17">
        <f>23690+1000+950</f>
        <v>25640</v>
      </c>
      <c r="J1878" s="17"/>
      <c r="K1878" s="17">
        <f t="shared" si="278"/>
        <v>25640</v>
      </c>
      <c r="L1878" s="17"/>
      <c r="M1878" s="17"/>
      <c r="N1878" s="17">
        <f t="shared" si="279"/>
        <v>0</v>
      </c>
      <c r="O1878" s="17">
        <f t="shared" si="281"/>
        <v>25640</v>
      </c>
      <c r="P1878" s="17">
        <f t="shared" si="282"/>
        <v>0</v>
      </c>
      <c r="Q1878" s="17">
        <f t="shared" si="283"/>
        <v>25640</v>
      </c>
    </row>
    <row r="1879" spans="2:17" ht="12.75">
      <c r="B1879" s="20">
        <f t="shared" si="280"/>
        <v>86</v>
      </c>
      <c r="C1879" s="4"/>
      <c r="D1879" s="4"/>
      <c r="E1879" s="4"/>
      <c r="F1879" s="31" t="s">
        <v>90</v>
      </c>
      <c r="G1879" s="4">
        <v>634</v>
      </c>
      <c r="H1879" s="4" t="s">
        <v>132</v>
      </c>
      <c r="I1879" s="17">
        <v>2100</v>
      </c>
      <c r="J1879" s="17"/>
      <c r="K1879" s="17">
        <f t="shared" si="278"/>
        <v>2100</v>
      </c>
      <c r="L1879" s="17"/>
      <c r="M1879" s="17"/>
      <c r="N1879" s="17">
        <f t="shared" si="279"/>
        <v>0</v>
      </c>
      <c r="O1879" s="17">
        <f t="shared" si="281"/>
        <v>2100</v>
      </c>
      <c r="P1879" s="17">
        <f t="shared" si="282"/>
        <v>0</v>
      </c>
      <c r="Q1879" s="17">
        <f t="shared" si="283"/>
        <v>2100</v>
      </c>
    </row>
    <row r="1880" spans="2:17" ht="12.75">
      <c r="B1880" s="20">
        <f t="shared" si="280"/>
        <v>87</v>
      </c>
      <c r="C1880" s="4"/>
      <c r="D1880" s="4"/>
      <c r="E1880" s="4"/>
      <c r="F1880" s="31" t="s">
        <v>90</v>
      </c>
      <c r="G1880" s="4">
        <v>635</v>
      </c>
      <c r="H1880" s="4" t="s">
        <v>133</v>
      </c>
      <c r="I1880" s="17">
        <v>1840</v>
      </c>
      <c r="J1880" s="17"/>
      <c r="K1880" s="17">
        <f t="shared" si="278"/>
        <v>1840</v>
      </c>
      <c r="L1880" s="17"/>
      <c r="M1880" s="17"/>
      <c r="N1880" s="17">
        <f t="shared" si="279"/>
        <v>0</v>
      </c>
      <c r="O1880" s="17">
        <f t="shared" si="281"/>
        <v>1840</v>
      </c>
      <c r="P1880" s="17">
        <f t="shared" si="282"/>
        <v>0</v>
      </c>
      <c r="Q1880" s="17">
        <f t="shared" si="283"/>
        <v>1840</v>
      </c>
    </row>
    <row r="1881" spans="2:17" ht="12.75">
      <c r="B1881" s="20">
        <f t="shared" si="280"/>
        <v>88</v>
      </c>
      <c r="C1881" s="4"/>
      <c r="D1881" s="4"/>
      <c r="E1881" s="4"/>
      <c r="F1881" s="31" t="s">
        <v>90</v>
      </c>
      <c r="G1881" s="4">
        <v>636</v>
      </c>
      <c r="H1881" s="4" t="s">
        <v>574</v>
      </c>
      <c r="I1881" s="17">
        <v>1800</v>
      </c>
      <c r="J1881" s="17"/>
      <c r="K1881" s="17">
        <f t="shared" si="278"/>
        <v>1800</v>
      </c>
      <c r="L1881" s="17"/>
      <c r="M1881" s="17"/>
      <c r="N1881" s="17">
        <f t="shared" si="279"/>
        <v>0</v>
      </c>
      <c r="O1881" s="17">
        <f t="shared" si="281"/>
        <v>1800</v>
      </c>
      <c r="P1881" s="17">
        <f t="shared" si="282"/>
        <v>0</v>
      </c>
      <c r="Q1881" s="17">
        <f t="shared" si="283"/>
        <v>1800</v>
      </c>
    </row>
    <row r="1882" spans="2:17" ht="12.75">
      <c r="B1882" s="20">
        <f t="shared" si="280"/>
        <v>89</v>
      </c>
      <c r="C1882" s="4"/>
      <c r="D1882" s="4"/>
      <c r="E1882" s="4"/>
      <c r="F1882" s="31" t="s">
        <v>90</v>
      </c>
      <c r="G1882" s="4">
        <v>637</v>
      </c>
      <c r="H1882" s="4" t="s">
        <v>122</v>
      </c>
      <c r="I1882" s="17">
        <f>132943+5206</f>
        <v>138149</v>
      </c>
      <c r="J1882" s="17"/>
      <c r="K1882" s="17">
        <f t="shared" si="278"/>
        <v>138149</v>
      </c>
      <c r="L1882" s="17"/>
      <c r="M1882" s="17"/>
      <c r="N1882" s="17">
        <f t="shared" si="279"/>
        <v>0</v>
      </c>
      <c r="O1882" s="17">
        <f t="shared" si="281"/>
        <v>138149</v>
      </c>
      <c r="P1882" s="17">
        <f t="shared" si="282"/>
        <v>0</v>
      </c>
      <c r="Q1882" s="17">
        <f t="shared" si="283"/>
        <v>138149</v>
      </c>
    </row>
    <row r="1883" spans="2:17" ht="12.75">
      <c r="B1883" s="20">
        <f t="shared" si="280"/>
        <v>90</v>
      </c>
      <c r="C1883" s="4"/>
      <c r="D1883" s="4"/>
      <c r="E1883" s="4"/>
      <c r="F1883" s="33" t="s">
        <v>90</v>
      </c>
      <c r="G1883" s="4">
        <v>637</v>
      </c>
      <c r="H1883" s="24" t="s">
        <v>290</v>
      </c>
      <c r="I1883" s="17">
        <v>9075</v>
      </c>
      <c r="J1883" s="17"/>
      <c r="K1883" s="17">
        <f t="shared" si="278"/>
        <v>9075</v>
      </c>
      <c r="L1883" s="17"/>
      <c r="M1883" s="17"/>
      <c r="N1883" s="17">
        <f t="shared" si="279"/>
        <v>0</v>
      </c>
      <c r="O1883" s="17">
        <f t="shared" si="281"/>
        <v>9075</v>
      </c>
      <c r="P1883" s="17">
        <f t="shared" si="282"/>
        <v>0</v>
      </c>
      <c r="Q1883" s="17">
        <f t="shared" si="283"/>
        <v>9075</v>
      </c>
    </row>
    <row r="1884" spans="2:17" ht="12.75">
      <c r="B1884" s="20">
        <f t="shared" si="280"/>
        <v>91</v>
      </c>
      <c r="C1884" s="10"/>
      <c r="D1884" s="10"/>
      <c r="E1884" s="48"/>
      <c r="F1884" s="30" t="s">
        <v>90</v>
      </c>
      <c r="G1884" s="10">
        <v>640</v>
      </c>
      <c r="H1884" s="10" t="s">
        <v>129</v>
      </c>
      <c r="I1884" s="61">
        <f>1000+900</f>
        <v>1900</v>
      </c>
      <c r="J1884" s="61"/>
      <c r="K1884" s="61">
        <f t="shared" si="278"/>
        <v>1900</v>
      </c>
      <c r="L1884" s="61"/>
      <c r="M1884" s="61"/>
      <c r="N1884" s="61">
        <f t="shared" si="279"/>
        <v>0</v>
      </c>
      <c r="O1884" s="61">
        <f t="shared" si="281"/>
        <v>1900</v>
      </c>
      <c r="P1884" s="61">
        <f t="shared" si="282"/>
        <v>0</v>
      </c>
      <c r="Q1884" s="61">
        <f t="shared" si="283"/>
        <v>1900</v>
      </c>
    </row>
    <row r="1885" spans="2:17" ht="12.75">
      <c r="B1885" s="20">
        <f t="shared" si="280"/>
        <v>92</v>
      </c>
      <c r="C1885" s="10"/>
      <c r="D1885" s="10"/>
      <c r="E1885" s="48"/>
      <c r="F1885" s="30" t="s">
        <v>90</v>
      </c>
      <c r="G1885" s="10">
        <v>710</v>
      </c>
      <c r="H1885" s="10" t="s">
        <v>176</v>
      </c>
      <c r="I1885" s="61"/>
      <c r="J1885" s="61"/>
      <c r="K1885" s="61">
        <f t="shared" si="278"/>
        <v>0</v>
      </c>
      <c r="L1885" s="61">
        <f>L1888+L1886</f>
        <v>46000</v>
      </c>
      <c r="M1885" s="61">
        <f>M1888+M1886</f>
        <v>0</v>
      </c>
      <c r="N1885" s="61">
        <f t="shared" si="279"/>
        <v>46000</v>
      </c>
      <c r="O1885" s="61">
        <f t="shared" si="281"/>
        <v>46000</v>
      </c>
      <c r="P1885" s="61">
        <f t="shared" si="282"/>
        <v>0</v>
      </c>
      <c r="Q1885" s="61">
        <f t="shared" si="283"/>
        <v>46000</v>
      </c>
    </row>
    <row r="1886" spans="2:17" ht="12.75">
      <c r="B1886" s="20">
        <f t="shared" si="280"/>
        <v>93</v>
      </c>
      <c r="C1886" s="10"/>
      <c r="D1886" s="10"/>
      <c r="E1886" s="48"/>
      <c r="F1886" s="30"/>
      <c r="G1886" s="4">
        <v>713</v>
      </c>
      <c r="H1886" s="4" t="s">
        <v>225</v>
      </c>
      <c r="I1886" s="61"/>
      <c r="J1886" s="61"/>
      <c r="K1886" s="61">
        <f t="shared" si="278"/>
        <v>0</v>
      </c>
      <c r="L1886" s="103">
        <f>L1887</f>
        <v>6000</v>
      </c>
      <c r="M1886" s="103">
        <f>M1887</f>
        <v>0</v>
      </c>
      <c r="N1886" s="103">
        <f t="shared" si="279"/>
        <v>6000</v>
      </c>
      <c r="O1886" s="103">
        <f t="shared" si="281"/>
        <v>6000</v>
      </c>
      <c r="P1886" s="103">
        <f t="shared" si="282"/>
        <v>0</v>
      </c>
      <c r="Q1886" s="103">
        <f t="shared" si="283"/>
        <v>6000</v>
      </c>
    </row>
    <row r="1887" spans="2:17" ht="12.75">
      <c r="B1887" s="20">
        <f t="shared" si="280"/>
        <v>94</v>
      </c>
      <c r="C1887" s="10"/>
      <c r="D1887" s="10"/>
      <c r="E1887" s="48"/>
      <c r="F1887" s="30"/>
      <c r="G1887" s="4"/>
      <c r="H1887" s="5" t="s">
        <v>602</v>
      </c>
      <c r="I1887" s="61"/>
      <c r="J1887" s="61"/>
      <c r="K1887" s="61">
        <f t="shared" si="278"/>
        <v>0</v>
      </c>
      <c r="L1887" s="95">
        <v>6000</v>
      </c>
      <c r="M1887" s="95"/>
      <c r="N1887" s="95">
        <f t="shared" si="279"/>
        <v>6000</v>
      </c>
      <c r="O1887" s="95">
        <f t="shared" si="281"/>
        <v>6000</v>
      </c>
      <c r="P1887" s="95">
        <f t="shared" si="282"/>
        <v>0</v>
      </c>
      <c r="Q1887" s="95">
        <f t="shared" si="283"/>
        <v>6000</v>
      </c>
    </row>
    <row r="1888" spans="2:17" ht="12.75">
      <c r="B1888" s="20">
        <f t="shared" si="280"/>
        <v>95</v>
      </c>
      <c r="C1888" s="10"/>
      <c r="D1888" s="10"/>
      <c r="E1888" s="10"/>
      <c r="F1888" s="30"/>
      <c r="G1888" s="57">
        <v>717</v>
      </c>
      <c r="H1888" s="130" t="s">
        <v>186</v>
      </c>
      <c r="I1888" s="95"/>
      <c r="J1888" s="95"/>
      <c r="K1888" s="95">
        <f t="shared" si="278"/>
        <v>0</v>
      </c>
      <c r="L1888" s="103">
        <f>L1889+L1890</f>
        <v>40000</v>
      </c>
      <c r="M1888" s="103">
        <f>M1889+M1890</f>
        <v>0</v>
      </c>
      <c r="N1888" s="103">
        <f t="shared" si="279"/>
        <v>40000</v>
      </c>
      <c r="O1888" s="103">
        <f t="shared" si="281"/>
        <v>40000</v>
      </c>
      <c r="P1888" s="103">
        <f t="shared" si="282"/>
        <v>0</v>
      </c>
      <c r="Q1888" s="103">
        <f t="shared" si="283"/>
        <v>40000</v>
      </c>
    </row>
    <row r="1889" spans="2:17" ht="12.75">
      <c r="B1889" s="20">
        <f t="shared" si="280"/>
        <v>96</v>
      </c>
      <c r="C1889" s="10"/>
      <c r="D1889" s="10"/>
      <c r="E1889" s="10"/>
      <c r="F1889" s="30"/>
      <c r="G1889" s="57"/>
      <c r="H1889" s="69" t="s">
        <v>426</v>
      </c>
      <c r="I1889" s="95"/>
      <c r="J1889" s="95"/>
      <c r="K1889" s="95">
        <f t="shared" si="278"/>
        <v>0</v>
      </c>
      <c r="L1889" s="95">
        <v>20000</v>
      </c>
      <c r="M1889" s="95"/>
      <c r="N1889" s="95">
        <f t="shared" si="279"/>
        <v>20000</v>
      </c>
      <c r="O1889" s="95">
        <f t="shared" si="281"/>
        <v>20000</v>
      </c>
      <c r="P1889" s="95">
        <f t="shared" si="282"/>
        <v>0</v>
      </c>
      <c r="Q1889" s="95">
        <f t="shared" si="283"/>
        <v>20000</v>
      </c>
    </row>
    <row r="1890" spans="2:17" ht="12.75">
      <c r="B1890" s="20">
        <f t="shared" si="280"/>
        <v>97</v>
      </c>
      <c r="C1890" s="10"/>
      <c r="D1890" s="10"/>
      <c r="E1890" s="10"/>
      <c r="F1890" s="30"/>
      <c r="G1890" s="57"/>
      <c r="H1890" s="69" t="s">
        <v>620</v>
      </c>
      <c r="I1890" s="95"/>
      <c r="J1890" s="95"/>
      <c r="K1890" s="95">
        <f aca="true" t="shared" si="284" ref="K1890:K1921">I1890+J1890</f>
        <v>0</v>
      </c>
      <c r="L1890" s="95">
        <v>20000</v>
      </c>
      <c r="M1890" s="95"/>
      <c r="N1890" s="95">
        <f aca="true" t="shared" si="285" ref="N1890:N1921">L1890+M1890</f>
        <v>20000</v>
      </c>
      <c r="O1890" s="95">
        <f t="shared" si="281"/>
        <v>20000</v>
      </c>
      <c r="P1890" s="95">
        <f t="shared" si="282"/>
        <v>0</v>
      </c>
      <c r="Q1890" s="95">
        <f t="shared" si="283"/>
        <v>20000</v>
      </c>
    </row>
    <row r="1891" spans="2:17" ht="15">
      <c r="B1891" s="20">
        <f aca="true" t="shared" si="286" ref="B1891:B1922">B1890+1</f>
        <v>98</v>
      </c>
      <c r="C1891" s="2"/>
      <c r="D1891" s="2">
        <v>3</v>
      </c>
      <c r="E1891" s="238" t="s">
        <v>492</v>
      </c>
      <c r="F1891" s="233"/>
      <c r="G1891" s="233"/>
      <c r="H1891" s="234"/>
      <c r="I1891" s="88">
        <f>I1892</f>
        <v>23250</v>
      </c>
      <c r="J1891" s="88">
        <f>J1892</f>
        <v>0</v>
      </c>
      <c r="K1891" s="88">
        <f t="shared" si="284"/>
        <v>23250</v>
      </c>
      <c r="L1891" s="88">
        <f>L1897</f>
        <v>3190</v>
      </c>
      <c r="M1891" s="88">
        <f>M1897</f>
        <v>0</v>
      </c>
      <c r="N1891" s="88">
        <f t="shared" si="285"/>
        <v>3190</v>
      </c>
      <c r="O1891" s="88">
        <f t="shared" si="281"/>
        <v>26440</v>
      </c>
      <c r="P1891" s="88">
        <f t="shared" si="282"/>
        <v>0</v>
      </c>
      <c r="Q1891" s="88">
        <f t="shared" si="283"/>
        <v>26440</v>
      </c>
    </row>
    <row r="1892" spans="2:17" ht="12.75">
      <c r="B1892" s="20">
        <f t="shared" si="286"/>
        <v>99</v>
      </c>
      <c r="C1892" s="10"/>
      <c r="D1892" s="10"/>
      <c r="E1892" s="10"/>
      <c r="F1892" s="30" t="s">
        <v>90</v>
      </c>
      <c r="G1892" s="10">
        <v>630</v>
      </c>
      <c r="H1892" s="10" t="s">
        <v>121</v>
      </c>
      <c r="I1892" s="61">
        <f>I1896+I1895+I1894+I1893</f>
        <v>23250</v>
      </c>
      <c r="J1892" s="61">
        <f>J1896+J1895+J1894+J1893</f>
        <v>0</v>
      </c>
      <c r="K1892" s="61">
        <f t="shared" si="284"/>
        <v>23250</v>
      </c>
      <c r="L1892" s="61"/>
      <c r="M1892" s="61"/>
      <c r="N1892" s="61">
        <f t="shared" si="285"/>
        <v>0</v>
      </c>
      <c r="O1892" s="61">
        <f t="shared" si="281"/>
        <v>23250</v>
      </c>
      <c r="P1892" s="61">
        <f t="shared" si="282"/>
        <v>0</v>
      </c>
      <c r="Q1892" s="61">
        <f t="shared" si="283"/>
        <v>23250</v>
      </c>
    </row>
    <row r="1893" spans="2:17" ht="12.75">
      <c r="B1893" s="20">
        <f t="shared" si="286"/>
        <v>100</v>
      </c>
      <c r="C1893" s="4"/>
      <c r="D1893" s="4"/>
      <c r="E1893" s="4"/>
      <c r="F1893" s="31" t="s">
        <v>90</v>
      </c>
      <c r="G1893" s="4">
        <v>632</v>
      </c>
      <c r="H1893" s="4" t="s">
        <v>134</v>
      </c>
      <c r="I1893" s="17">
        <v>19300</v>
      </c>
      <c r="J1893" s="17"/>
      <c r="K1893" s="17">
        <f t="shared" si="284"/>
        <v>19300</v>
      </c>
      <c r="L1893" s="17"/>
      <c r="M1893" s="17"/>
      <c r="N1893" s="17">
        <f t="shared" si="285"/>
        <v>0</v>
      </c>
      <c r="O1893" s="17">
        <f t="shared" si="281"/>
        <v>19300</v>
      </c>
      <c r="P1893" s="17">
        <f t="shared" si="282"/>
        <v>0</v>
      </c>
      <c r="Q1893" s="17">
        <f t="shared" si="283"/>
        <v>19300</v>
      </c>
    </row>
    <row r="1894" spans="2:17" ht="12.75">
      <c r="B1894" s="20">
        <f t="shared" si="286"/>
        <v>101</v>
      </c>
      <c r="C1894" s="4"/>
      <c r="D1894" s="4"/>
      <c r="E1894" s="4"/>
      <c r="F1894" s="31" t="s">
        <v>90</v>
      </c>
      <c r="G1894" s="4">
        <v>633</v>
      </c>
      <c r="H1894" s="4" t="s">
        <v>125</v>
      </c>
      <c r="I1894" s="17">
        <v>2000</v>
      </c>
      <c r="J1894" s="17"/>
      <c r="K1894" s="17">
        <f t="shared" si="284"/>
        <v>2000</v>
      </c>
      <c r="L1894" s="17"/>
      <c r="M1894" s="17"/>
      <c r="N1894" s="17">
        <f t="shared" si="285"/>
        <v>0</v>
      </c>
      <c r="O1894" s="17">
        <f t="shared" si="281"/>
        <v>2000</v>
      </c>
      <c r="P1894" s="17">
        <f t="shared" si="282"/>
        <v>0</v>
      </c>
      <c r="Q1894" s="17">
        <f t="shared" si="283"/>
        <v>2000</v>
      </c>
    </row>
    <row r="1895" spans="2:17" ht="12.75">
      <c r="B1895" s="20">
        <f t="shared" si="286"/>
        <v>102</v>
      </c>
      <c r="C1895" s="4"/>
      <c r="D1895" s="4"/>
      <c r="E1895" s="4"/>
      <c r="F1895" s="31" t="s">
        <v>90</v>
      </c>
      <c r="G1895" s="4">
        <v>635</v>
      </c>
      <c r="H1895" s="4" t="s">
        <v>133</v>
      </c>
      <c r="I1895" s="17">
        <f>3000-2920</f>
        <v>80</v>
      </c>
      <c r="J1895" s="17"/>
      <c r="K1895" s="17">
        <f t="shared" si="284"/>
        <v>80</v>
      </c>
      <c r="L1895" s="17"/>
      <c r="M1895" s="17"/>
      <c r="N1895" s="17">
        <f t="shared" si="285"/>
        <v>0</v>
      </c>
      <c r="O1895" s="17">
        <f t="shared" si="281"/>
        <v>80</v>
      </c>
      <c r="P1895" s="17">
        <f t="shared" si="282"/>
        <v>0</v>
      </c>
      <c r="Q1895" s="17">
        <f t="shared" si="283"/>
        <v>80</v>
      </c>
    </row>
    <row r="1896" spans="2:17" ht="12.75">
      <c r="B1896" s="20">
        <f t="shared" si="286"/>
        <v>103</v>
      </c>
      <c r="C1896" s="4"/>
      <c r="D1896" s="4"/>
      <c r="E1896" s="4"/>
      <c r="F1896" s="31" t="s">
        <v>90</v>
      </c>
      <c r="G1896" s="4">
        <v>637</v>
      </c>
      <c r="H1896" s="4" t="s">
        <v>122</v>
      </c>
      <c r="I1896" s="17">
        <f>2140-270</f>
        <v>1870</v>
      </c>
      <c r="J1896" s="17"/>
      <c r="K1896" s="17">
        <f t="shared" si="284"/>
        <v>1870</v>
      </c>
      <c r="L1896" s="17"/>
      <c r="M1896" s="17"/>
      <c r="N1896" s="17">
        <f t="shared" si="285"/>
        <v>0</v>
      </c>
      <c r="O1896" s="17">
        <f t="shared" si="281"/>
        <v>1870</v>
      </c>
      <c r="P1896" s="17">
        <f t="shared" si="282"/>
        <v>0</v>
      </c>
      <c r="Q1896" s="17">
        <f t="shared" si="283"/>
        <v>1870</v>
      </c>
    </row>
    <row r="1897" spans="2:17" ht="12.75">
      <c r="B1897" s="20">
        <f t="shared" si="286"/>
        <v>104</v>
      </c>
      <c r="C1897" s="4"/>
      <c r="D1897" s="29"/>
      <c r="E1897" s="185"/>
      <c r="F1897" s="52" t="s">
        <v>90</v>
      </c>
      <c r="G1897" s="3">
        <v>710</v>
      </c>
      <c r="H1897" s="3" t="s">
        <v>176</v>
      </c>
      <c r="I1897" s="16"/>
      <c r="J1897" s="16"/>
      <c r="K1897" s="16">
        <f t="shared" si="284"/>
        <v>0</v>
      </c>
      <c r="L1897" s="16">
        <f>L1898</f>
        <v>3190</v>
      </c>
      <c r="M1897" s="16">
        <f>M1898</f>
        <v>0</v>
      </c>
      <c r="N1897" s="16">
        <f t="shared" si="285"/>
        <v>3190</v>
      </c>
      <c r="O1897" s="16">
        <f aca="true" t="shared" si="287" ref="O1897:Q1898">O1898</f>
        <v>3190</v>
      </c>
      <c r="P1897" s="16">
        <f t="shared" si="287"/>
        <v>0</v>
      </c>
      <c r="Q1897" s="16">
        <f t="shared" si="287"/>
        <v>3190</v>
      </c>
    </row>
    <row r="1898" spans="2:17" ht="12.75">
      <c r="B1898" s="20">
        <f t="shared" si="286"/>
        <v>105</v>
      </c>
      <c r="C1898" s="4"/>
      <c r="D1898" s="29"/>
      <c r="E1898" s="185"/>
      <c r="F1898" s="52"/>
      <c r="G1898" s="4">
        <v>713</v>
      </c>
      <c r="H1898" s="4" t="s">
        <v>225</v>
      </c>
      <c r="I1898" s="16"/>
      <c r="J1898" s="16"/>
      <c r="K1898" s="16">
        <f t="shared" si="284"/>
        <v>0</v>
      </c>
      <c r="L1898" s="17">
        <f>L1899</f>
        <v>3190</v>
      </c>
      <c r="M1898" s="17">
        <f>M1899</f>
        <v>0</v>
      </c>
      <c r="N1898" s="17">
        <f t="shared" si="285"/>
        <v>3190</v>
      </c>
      <c r="O1898" s="17">
        <f t="shared" si="287"/>
        <v>3190</v>
      </c>
      <c r="P1898" s="17">
        <f t="shared" si="287"/>
        <v>0</v>
      </c>
      <c r="Q1898" s="17">
        <f t="shared" si="287"/>
        <v>3190</v>
      </c>
    </row>
    <row r="1899" spans="2:17" ht="12.75">
      <c r="B1899" s="20">
        <f t="shared" si="286"/>
        <v>106</v>
      </c>
      <c r="C1899" s="4"/>
      <c r="D1899" s="29"/>
      <c r="E1899" s="185"/>
      <c r="F1899" s="52"/>
      <c r="G1899" s="4"/>
      <c r="H1899" s="5" t="s">
        <v>621</v>
      </c>
      <c r="I1899" s="16"/>
      <c r="J1899" s="16"/>
      <c r="K1899" s="16">
        <f t="shared" si="284"/>
        <v>0</v>
      </c>
      <c r="L1899" s="191">
        <v>3190</v>
      </c>
      <c r="M1899" s="191"/>
      <c r="N1899" s="191">
        <f t="shared" si="285"/>
        <v>3190</v>
      </c>
      <c r="O1899" s="17">
        <f>L1899</f>
        <v>3190</v>
      </c>
      <c r="P1899" s="17">
        <f>M1899</f>
        <v>0</v>
      </c>
      <c r="Q1899" s="17">
        <f>N1899</f>
        <v>3190</v>
      </c>
    </row>
    <row r="1900" spans="2:17" ht="15">
      <c r="B1900" s="20">
        <f t="shared" si="286"/>
        <v>107</v>
      </c>
      <c r="C1900" s="7">
        <v>6</v>
      </c>
      <c r="D1900" s="232" t="s">
        <v>234</v>
      </c>
      <c r="E1900" s="233"/>
      <c r="F1900" s="233"/>
      <c r="G1900" s="233"/>
      <c r="H1900" s="234"/>
      <c r="I1900" s="87">
        <f>I1901+I1902+I1904+I1909</f>
        <v>1692083</v>
      </c>
      <c r="J1900" s="87">
        <f>J1901+J1902+J1904+J1909</f>
        <v>250</v>
      </c>
      <c r="K1900" s="87">
        <f t="shared" si="284"/>
        <v>1692333</v>
      </c>
      <c r="L1900" s="87">
        <f>L1905</f>
        <v>280000</v>
      </c>
      <c r="M1900" s="87">
        <f>M1905</f>
        <v>0</v>
      </c>
      <c r="N1900" s="87">
        <f t="shared" si="285"/>
        <v>280000</v>
      </c>
      <c r="O1900" s="87">
        <f aca="true" t="shared" si="288" ref="O1900:O1931">I1900+L1900</f>
        <v>1972083</v>
      </c>
      <c r="P1900" s="87">
        <f aca="true" t="shared" si="289" ref="P1900:P1931">J1900+M1900</f>
        <v>250</v>
      </c>
      <c r="Q1900" s="87">
        <f aca="true" t="shared" si="290" ref="Q1900:Q1931">K1900+N1900</f>
        <v>1972333</v>
      </c>
    </row>
    <row r="1901" spans="2:17" ht="12.75">
      <c r="B1901" s="20">
        <f t="shared" si="286"/>
        <v>108</v>
      </c>
      <c r="C1901" s="10"/>
      <c r="D1901" s="10"/>
      <c r="E1901" s="10"/>
      <c r="F1901" s="30" t="s">
        <v>90</v>
      </c>
      <c r="G1901" s="10">
        <v>620</v>
      </c>
      <c r="H1901" s="10" t="s">
        <v>124</v>
      </c>
      <c r="I1901" s="61">
        <v>2000</v>
      </c>
      <c r="J1901" s="61"/>
      <c r="K1901" s="61">
        <f t="shared" si="284"/>
        <v>2000</v>
      </c>
      <c r="L1901" s="61"/>
      <c r="M1901" s="61"/>
      <c r="N1901" s="61">
        <f t="shared" si="285"/>
        <v>0</v>
      </c>
      <c r="O1901" s="61">
        <f t="shared" si="288"/>
        <v>2000</v>
      </c>
      <c r="P1901" s="61">
        <f t="shared" si="289"/>
        <v>0</v>
      </c>
      <c r="Q1901" s="61">
        <f t="shared" si="290"/>
        <v>2000</v>
      </c>
    </row>
    <row r="1902" spans="2:17" ht="12.75">
      <c r="B1902" s="20">
        <f t="shared" si="286"/>
        <v>109</v>
      </c>
      <c r="C1902" s="10"/>
      <c r="D1902" s="10"/>
      <c r="E1902" s="10"/>
      <c r="F1902" s="30" t="s">
        <v>90</v>
      </c>
      <c r="G1902" s="10">
        <v>630</v>
      </c>
      <c r="H1902" s="10" t="s">
        <v>121</v>
      </c>
      <c r="I1902" s="61">
        <f>I1903</f>
        <v>5000</v>
      </c>
      <c r="J1902" s="61">
        <f>J1903</f>
        <v>0</v>
      </c>
      <c r="K1902" s="61">
        <f t="shared" si="284"/>
        <v>5000</v>
      </c>
      <c r="L1902" s="61"/>
      <c r="M1902" s="61"/>
      <c r="N1902" s="61">
        <f t="shared" si="285"/>
        <v>0</v>
      </c>
      <c r="O1902" s="61">
        <f t="shared" si="288"/>
        <v>5000</v>
      </c>
      <c r="P1902" s="61">
        <f t="shared" si="289"/>
        <v>0</v>
      </c>
      <c r="Q1902" s="61">
        <f t="shared" si="290"/>
        <v>5000</v>
      </c>
    </row>
    <row r="1903" spans="2:17" ht="12.75">
      <c r="B1903" s="20">
        <f t="shared" si="286"/>
        <v>110</v>
      </c>
      <c r="C1903" s="4"/>
      <c r="D1903" s="4"/>
      <c r="E1903" s="4"/>
      <c r="F1903" s="31" t="s">
        <v>90</v>
      </c>
      <c r="G1903" s="4">
        <v>637</v>
      </c>
      <c r="H1903" s="4" t="s">
        <v>122</v>
      </c>
      <c r="I1903" s="17">
        <v>5000</v>
      </c>
      <c r="J1903" s="17"/>
      <c r="K1903" s="17">
        <f t="shared" si="284"/>
        <v>5000</v>
      </c>
      <c r="L1903" s="17"/>
      <c r="M1903" s="17"/>
      <c r="N1903" s="17">
        <f t="shared" si="285"/>
        <v>0</v>
      </c>
      <c r="O1903" s="17">
        <f t="shared" si="288"/>
        <v>5000</v>
      </c>
      <c r="P1903" s="17">
        <f t="shared" si="289"/>
        <v>0</v>
      </c>
      <c r="Q1903" s="17">
        <f t="shared" si="290"/>
        <v>5000</v>
      </c>
    </row>
    <row r="1904" spans="2:17" ht="12.75">
      <c r="B1904" s="20">
        <f t="shared" si="286"/>
        <v>111</v>
      </c>
      <c r="C1904" s="10"/>
      <c r="D1904" s="10"/>
      <c r="E1904" s="10"/>
      <c r="F1904" s="30" t="s">
        <v>90</v>
      </c>
      <c r="G1904" s="10">
        <v>640</v>
      </c>
      <c r="H1904" s="10" t="s">
        <v>129</v>
      </c>
      <c r="I1904" s="61">
        <v>35000</v>
      </c>
      <c r="J1904" s="61"/>
      <c r="K1904" s="61">
        <f t="shared" si="284"/>
        <v>35000</v>
      </c>
      <c r="L1904" s="61"/>
      <c r="M1904" s="61"/>
      <c r="N1904" s="61">
        <f t="shared" si="285"/>
        <v>0</v>
      </c>
      <c r="O1904" s="61">
        <f t="shared" si="288"/>
        <v>35000</v>
      </c>
      <c r="P1904" s="61">
        <f t="shared" si="289"/>
        <v>0</v>
      </c>
      <c r="Q1904" s="61">
        <f t="shared" si="290"/>
        <v>35000</v>
      </c>
    </row>
    <row r="1905" spans="2:17" ht="12.75">
      <c r="B1905" s="20">
        <f t="shared" si="286"/>
        <v>112</v>
      </c>
      <c r="C1905" s="10"/>
      <c r="D1905" s="10"/>
      <c r="E1905" s="10"/>
      <c r="F1905" s="30" t="s">
        <v>89</v>
      </c>
      <c r="G1905" s="10">
        <v>710</v>
      </c>
      <c r="H1905" s="10" t="s">
        <v>176</v>
      </c>
      <c r="I1905" s="61"/>
      <c r="J1905" s="61"/>
      <c r="K1905" s="61">
        <f t="shared" si="284"/>
        <v>0</v>
      </c>
      <c r="L1905" s="61">
        <f>L1906</f>
        <v>280000</v>
      </c>
      <c r="M1905" s="61">
        <f>M1906</f>
        <v>0</v>
      </c>
      <c r="N1905" s="61">
        <f t="shared" si="285"/>
        <v>280000</v>
      </c>
      <c r="O1905" s="61">
        <f t="shared" si="288"/>
        <v>280000</v>
      </c>
      <c r="P1905" s="61">
        <f t="shared" si="289"/>
        <v>0</v>
      </c>
      <c r="Q1905" s="61">
        <f t="shared" si="290"/>
        <v>280000</v>
      </c>
    </row>
    <row r="1906" spans="2:17" ht="12.75">
      <c r="B1906" s="20">
        <f t="shared" si="286"/>
        <v>113</v>
      </c>
      <c r="C1906" s="4"/>
      <c r="D1906" s="4"/>
      <c r="E1906" s="4"/>
      <c r="F1906" s="31" t="s">
        <v>89</v>
      </c>
      <c r="G1906" s="4">
        <v>717</v>
      </c>
      <c r="H1906" s="4" t="s">
        <v>186</v>
      </c>
      <c r="I1906" s="17"/>
      <c r="J1906" s="17"/>
      <c r="K1906" s="17">
        <f t="shared" si="284"/>
        <v>0</v>
      </c>
      <c r="L1906" s="17">
        <f>L1907+L1908</f>
        <v>280000</v>
      </c>
      <c r="M1906" s="17">
        <f>M1907+M1908</f>
        <v>0</v>
      </c>
      <c r="N1906" s="17">
        <f t="shared" si="285"/>
        <v>280000</v>
      </c>
      <c r="O1906" s="17">
        <f t="shared" si="288"/>
        <v>280000</v>
      </c>
      <c r="P1906" s="17">
        <f t="shared" si="289"/>
        <v>0</v>
      </c>
      <c r="Q1906" s="17">
        <f t="shared" si="290"/>
        <v>280000</v>
      </c>
    </row>
    <row r="1907" spans="2:17" ht="12.75">
      <c r="B1907" s="20">
        <f t="shared" si="286"/>
        <v>114</v>
      </c>
      <c r="C1907" s="5"/>
      <c r="D1907" s="5"/>
      <c r="E1907" s="5"/>
      <c r="F1907" s="32"/>
      <c r="G1907" s="5"/>
      <c r="H1907" s="5" t="s">
        <v>395</v>
      </c>
      <c r="I1907" s="18"/>
      <c r="J1907" s="18"/>
      <c r="K1907" s="18">
        <f t="shared" si="284"/>
        <v>0</v>
      </c>
      <c r="L1907" s="18">
        <v>230000</v>
      </c>
      <c r="M1907" s="18"/>
      <c r="N1907" s="18">
        <f t="shared" si="285"/>
        <v>230000</v>
      </c>
      <c r="O1907" s="18">
        <f t="shared" si="288"/>
        <v>230000</v>
      </c>
      <c r="P1907" s="18">
        <f t="shared" si="289"/>
        <v>0</v>
      </c>
      <c r="Q1907" s="18">
        <f t="shared" si="290"/>
        <v>230000</v>
      </c>
    </row>
    <row r="1908" spans="2:17" ht="12.75">
      <c r="B1908" s="20">
        <f t="shared" si="286"/>
        <v>115</v>
      </c>
      <c r="C1908" s="5"/>
      <c r="D1908" s="5"/>
      <c r="E1908" s="5"/>
      <c r="F1908" s="32"/>
      <c r="G1908" s="5"/>
      <c r="H1908" s="5" t="s">
        <v>489</v>
      </c>
      <c r="I1908" s="18"/>
      <c r="J1908" s="18"/>
      <c r="K1908" s="18">
        <f t="shared" si="284"/>
        <v>0</v>
      </c>
      <c r="L1908" s="18">
        <f>70000-20000</f>
        <v>50000</v>
      </c>
      <c r="M1908" s="18"/>
      <c r="N1908" s="18">
        <f t="shared" si="285"/>
        <v>50000</v>
      </c>
      <c r="O1908" s="18">
        <f t="shared" si="288"/>
        <v>50000</v>
      </c>
      <c r="P1908" s="18">
        <f t="shared" si="289"/>
        <v>0</v>
      </c>
      <c r="Q1908" s="18">
        <f t="shared" si="290"/>
        <v>50000</v>
      </c>
    </row>
    <row r="1909" spans="2:17" ht="15">
      <c r="B1909" s="20">
        <f t="shared" si="286"/>
        <v>116</v>
      </c>
      <c r="C1909" s="12"/>
      <c r="D1909" s="12"/>
      <c r="E1909" s="12">
        <v>5</v>
      </c>
      <c r="F1909" s="34"/>
      <c r="G1909" s="12"/>
      <c r="H1909" s="12" t="s">
        <v>104</v>
      </c>
      <c r="I1909" s="90">
        <f>I1910+I1911+I1912+I1920</f>
        <v>1650083</v>
      </c>
      <c r="J1909" s="90">
        <f>J1910+J1911+J1912+J1920</f>
        <v>250</v>
      </c>
      <c r="K1909" s="90">
        <f t="shared" si="284"/>
        <v>1650333</v>
      </c>
      <c r="L1909" s="90"/>
      <c r="M1909" s="90"/>
      <c r="N1909" s="90">
        <f t="shared" si="285"/>
        <v>0</v>
      </c>
      <c r="O1909" s="90">
        <f t="shared" si="288"/>
        <v>1650083</v>
      </c>
      <c r="P1909" s="90">
        <f t="shared" si="289"/>
        <v>250</v>
      </c>
      <c r="Q1909" s="90">
        <f t="shared" si="290"/>
        <v>1650333</v>
      </c>
    </row>
    <row r="1910" spans="2:17" ht="12.75">
      <c r="B1910" s="20">
        <f t="shared" si="286"/>
        <v>117</v>
      </c>
      <c r="C1910" s="10"/>
      <c r="D1910" s="10"/>
      <c r="E1910" s="10"/>
      <c r="F1910" s="30" t="s">
        <v>89</v>
      </c>
      <c r="G1910" s="10">
        <v>610</v>
      </c>
      <c r="H1910" s="10" t="s">
        <v>131</v>
      </c>
      <c r="I1910" s="61">
        <f>853338+28104</f>
        <v>881442</v>
      </c>
      <c r="J1910" s="61"/>
      <c r="K1910" s="61">
        <f t="shared" si="284"/>
        <v>881442</v>
      </c>
      <c r="L1910" s="61"/>
      <c r="M1910" s="61"/>
      <c r="N1910" s="61">
        <f t="shared" si="285"/>
        <v>0</v>
      </c>
      <c r="O1910" s="61">
        <f t="shared" si="288"/>
        <v>881442</v>
      </c>
      <c r="P1910" s="61">
        <f t="shared" si="289"/>
        <v>0</v>
      </c>
      <c r="Q1910" s="61">
        <f t="shared" si="290"/>
        <v>881442</v>
      </c>
    </row>
    <row r="1911" spans="2:17" ht="12.75">
      <c r="B1911" s="20">
        <f t="shared" si="286"/>
        <v>118</v>
      </c>
      <c r="C1911" s="10"/>
      <c r="D1911" s="10"/>
      <c r="E1911" s="10"/>
      <c r="F1911" s="30" t="s">
        <v>89</v>
      </c>
      <c r="G1911" s="10">
        <v>620</v>
      </c>
      <c r="H1911" s="10" t="s">
        <v>124</v>
      </c>
      <c r="I1911" s="61">
        <f>310539+9823-3247-2000</f>
        <v>315115</v>
      </c>
      <c r="J1911" s="61">
        <v>-1550</v>
      </c>
      <c r="K1911" s="61">
        <f t="shared" si="284"/>
        <v>313565</v>
      </c>
      <c r="L1911" s="61"/>
      <c r="M1911" s="61"/>
      <c r="N1911" s="61">
        <f t="shared" si="285"/>
        <v>0</v>
      </c>
      <c r="O1911" s="61">
        <f t="shared" si="288"/>
        <v>315115</v>
      </c>
      <c r="P1911" s="61">
        <f t="shared" si="289"/>
        <v>-1550</v>
      </c>
      <c r="Q1911" s="61">
        <f t="shared" si="290"/>
        <v>313565</v>
      </c>
    </row>
    <row r="1912" spans="2:17" ht="12.75">
      <c r="B1912" s="20">
        <f t="shared" si="286"/>
        <v>119</v>
      </c>
      <c r="C1912" s="10"/>
      <c r="D1912" s="10"/>
      <c r="E1912" s="10"/>
      <c r="F1912" s="30" t="s">
        <v>89</v>
      </c>
      <c r="G1912" s="10">
        <v>630</v>
      </c>
      <c r="H1912" s="10" t="s">
        <v>121</v>
      </c>
      <c r="I1912" s="61">
        <f>SUM(I1913:I1919)</f>
        <v>445279</v>
      </c>
      <c r="J1912" s="61">
        <f>SUM(J1913:J1919)</f>
        <v>250</v>
      </c>
      <c r="K1912" s="61">
        <f t="shared" si="284"/>
        <v>445529</v>
      </c>
      <c r="L1912" s="61"/>
      <c r="M1912" s="61"/>
      <c r="N1912" s="61">
        <f t="shared" si="285"/>
        <v>0</v>
      </c>
      <c r="O1912" s="61">
        <f t="shared" si="288"/>
        <v>445279</v>
      </c>
      <c r="P1912" s="61">
        <f t="shared" si="289"/>
        <v>250</v>
      </c>
      <c r="Q1912" s="61">
        <f t="shared" si="290"/>
        <v>445529</v>
      </c>
    </row>
    <row r="1913" spans="2:17" ht="12.75">
      <c r="B1913" s="20">
        <f t="shared" si="286"/>
        <v>120</v>
      </c>
      <c r="C1913" s="4"/>
      <c r="D1913" s="4"/>
      <c r="E1913" s="4"/>
      <c r="F1913" s="31" t="s">
        <v>89</v>
      </c>
      <c r="G1913" s="4">
        <v>631</v>
      </c>
      <c r="H1913" s="4" t="s">
        <v>127</v>
      </c>
      <c r="I1913" s="17">
        <v>200</v>
      </c>
      <c r="J1913" s="17"/>
      <c r="K1913" s="17">
        <f t="shared" si="284"/>
        <v>200</v>
      </c>
      <c r="L1913" s="17"/>
      <c r="M1913" s="17"/>
      <c r="N1913" s="17">
        <f t="shared" si="285"/>
        <v>0</v>
      </c>
      <c r="O1913" s="17">
        <f t="shared" si="288"/>
        <v>200</v>
      </c>
      <c r="P1913" s="17">
        <f t="shared" si="289"/>
        <v>0</v>
      </c>
      <c r="Q1913" s="17">
        <f t="shared" si="290"/>
        <v>200</v>
      </c>
    </row>
    <row r="1914" spans="2:17" ht="12.75">
      <c r="B1914" s="20">
        <f t="shared" si="286"/>
        <v>121</v>
      </c>
      <c r="C1914" s="4"/>
      <c r="D1914" s="4"/>
      <c r="E1914" s="4"/>
      <c r="F1914" s="31" t="s">
        <v>89</v>
      </c>
      <c r="G1914" s="4">
        <v>632</v>
      </c>
      <c r="H1914" s="4" t="s">
        <v>134</v>
      </c>
      <c r="I1914" s="17">
        <v>93930</v>
      </c>
      <c r="J1914" s="17"/>
      <c r="K1914" s="17">
        <f t="shared" si="284"/>
        <v>93930</v>
      </c>
      <c r="L1914" s="17"/>
      <c r="M1914" s="17"/>
      <c r="N1914" s="17">
        <f t="shared" si="285"/>
        <v>0</v>
      </c>
      <c r="O1914" s="17">
        <f t="shared" si="288"/>
        <v>93930</v>
      </c>
      <c r="P1914" s="17">
        <f t="shared" si="289"/>
        <v>0</v>
      </c>
      <c r="Q1914" s="17">
        <f t="shared" si="290"/>
        <v>93930</v>
      </c>
    </row>
    <row r="1915" spans="2:17" ht="12.75">
      <c r="B1915" s="20">
        <f t="shared" si="286"/>
        <v>122</v>
      </c>
      <c r="C1915" s="4"/>
      <c r="D1915" s="4"/>
      <c r="E1915" s="4"/>
      <c r="F1915" s="31" t="s">
        <v>89</v>
      </c>
      <c r="G1915" s="4">
        <v>633</v>
      </c>
      <c r="H1915" s="4" t="s">
        <v>125</v>
      </c>
      <c r="I1915" s="17">
        <f>35020+5850+200+1000</f>
        <v>42070</v>
      </c>
      <c r="J1915" s="17">
        <v>250</v>
      </c>
      <c r="K1915" s="17">
        <f t="shared" si="284"/>
        <v>42320</v>
      </c>
      <c r="L1915" s="17"/>
      <c r="M1915" s="17"/>
      <c r="N1915" s="17">
        <f t="shared" si="285"/>
        <v>0</v>
      </c>
      <c r="O1915" s="17">
        <f t="shared" si="288"/>
        <v>42070</v>
      </c>
      <c r="P1915" s="17">
        <f t="shared" si="289"/>
        <v>250</v>
      </c>
      <c r="Q1915" s="17">
        <f t="shared" si="290"/>
        <v>42320</v>
      </c>
    </row>
    <row r="1916" spans="2:17" ht="12.75">
      <c r="B1916" s="20">
        <f t="shared" si="286"/>
        <v>123</v>
      </c>
      <c r="C1916" s="4"/>
      <c r="D1916" s="4"/>
      <c r="E1916" s="4"/>
      <c r="F1916" s="31" t="s">
        <v>89</v>
      </c>
      <c r="G1916" s="4">
        <v>634</v>
      </c>
      <c r="H1916" s="4" t="s">
        <v>132</v>
      </c>
      <c r="I1916" s="17">
        <v>1900</v>
      </c>
      <c r="J1916" s="17"/>
      <c r="K1916" s="17">
        <f t="shared" si="284"/>
        <v>1900</v>
      </c>
      <c r="L1916" s="17"/>
      <c r="M1916" s="17"/>
      <c r="N1916" s="17">
        <f t="shared" si="285"/>
        <v>0</v>
      </c>
      <c r="O1916" s="17">
        <f t="shared" si="288"/>
        <v>1900</v>
      </c>
      <c r="P1916" s="17">
        <f t="shared" si="289"/>
        <v>0</v>
      </c>
      <c r="Q1916" s="17">
        <f t="shared" si="290"/>
        <v>1900</v>
      </c>
    </row>
    <row r="1917" spans="2:17" ht="12.75">
      <c r="B1917" s="20">
        <f t="shared" si="286"/>
        <v>124</v>
      </c>
      <c r="C1917" s="4"/>
      <c r="D1917" s="4"/>
      <c r="E1917" s="4"/>
      <c r="F1917" s="31" t="s">
        <v>89</v>
      </c>
      <c r="G1917" s="4">
        <v>635</v>
      </c>
      <c r="H1917" s="4" t="s">
        <v>133</v>
      </c>
      <c r="I1917" s="17">
        <f>2750+10000</f>
        <v>12750</v>
      </c>
      <c r="J1917" s="17"/>
      <c r="K1917" s="17">
        <f t="shared" si="284"/>
        <v>12750</v>
      </c>
      <c r="L1917" s="17"/>
      <c r="M1917" s="17"/>
      <c r="N1917" s="17">
        <f t="shared" si="285"/>
        <v>0</v>
      </c>
      <c r="O1917" s="17">
        <f t="shared" si="288"/>
        <v>12750</v>
      </c>
      <c r="P1917" s="17">
        <f t="shared" si="289"/>
        <v>0</v>
      </c>
      <c r="Q1917" s="17">
        <f t="shared" si="290"/>
        <v>12750</v>
      </c>
    </row>
    <row r="1918" spans="2:17" ht="12.75">
      <c r="B1918" s="20">
        <f t="shared" si="286"/>
        <v>125</v>
      </c>
      <c r="C1918" s="4"/>
      <c r="D1918" s="4"/>
      <c r="E1918" s="4"/>
      <c r="F1918" s="31" t="s">
        <v>89</v>
      </c>
      <c r="G1918" s="4">
        <v>637</v>
      </c>
      <c r="H1918" s="4" t="s">
        <v>122</v>
      </c>
      <c r="I1918" s="17">
        <v>277104</v>
      </c>
      <c r="J1918" s="17"/>
      <c r="K1918" s="17">
        <f t="shared" si="284"/>
        <v>277104</v>
      </c>
      <c r="L1918" s="17"/>
      <c r="M1918" s="17"/>
      <c r="N1918" s="17">
        <f t="shared" si="285"/>
        <v>0</v>
      </c>
      <c r="O1918" s="17">
        <f t="shared" si="288"/>
        <v>277104</v>
      </c>
      <c r="P1918" s="17">
        <f t="shared" si="289"/>
        <v>0</v>
      </c>
      <c r="Q1918" s="17">
        <f t="shared" si="290"/>
        <v>277104</v>
      </c>
    </row>
    <row r="1919" spans="2:17" ht="12.75">
      <c r="B1919" s="20">
        <f t="shared" si="286"/>
        <v>126</v>
      </c>
      <c r="C1919" s="4"/>
      <c r="D1919" s="29"/>
      <c r="E1919" s="4"/>
      <c r="F1919" s="33" t="s">
        <v>89</v>
      </c>
      <c r="G1919" s="4">
        <v>637</v>
      </c>
      <c r="H1919" s="51" t="s">
        <v>290</v>
      </c>
      <c r="I1919" s="17">
        <v>17325</v>
      </c>
      <c r="J1919" s="17"/>
      <c r="K1919" s="17">
        <f t="shared" si="284"/>
        <v>17325</v>
      </c>
      <c r="L1919" s="17"/>
      <c r="M1919" s="17"/>
      <c r="N1919" s="17">
        <f t="shared" si="285"/>
        <v>0</v>
      </c>
      <c r="O1919" s="17">
        <f t="shared" si="288"/>
        <v>17325</v>
      </c>
      <c r="P1919" s="17">
        <f t="shared" si="289"/>
        <v>0</v>
      </c>
      <c r="Q1919" s="17">
        <f t="shared" si="290"/>
        <v>17325</v>
      </c>
    </row>
    <row r="1920" spans="2:17" ht="12.75">
      <c r="B1920" s="20">
        <f t="shared" si="286"/>
        <v>127</v>
      </c>
      <c r="C1920" s="10"/>
      <c r="D1920" s="48"/>
      <c r="E1920" s="10"/>
      <c r="F1920" s="30" t="s">
        <v>89</v>
      </c>
      <c r="G1920" s="10">
        <v>640</v>
      </c>
      <c r="H1920" s="49" t="s">
        <v>129</v>
      </c>
      <c r="I1920" s="61">
        <f>3000+3247+2000</f>
        <v>8247</v>
      </c>
      <c r="J1920" s="61">
        <v>1550</v>
      </c>
      <c r="K1920" s="61">
        <f t="shared" si="284"/>
        <v>9797</v>
      </c>
      <c r="L1920" s="61"/>
      <c r="M1920" s="61"/>
      <c r="N1920" s="61">
        <f t="shared" si="285"/>
        <v>0</v>
      </c>
      <c r="O1920" s="61">
        <f t="shared" si="288"/>
        <v>8247</v>
      </c>
      <c r="P1920" s="61">
        <f t="shared" si="289"/>
        <v>1550</v>
      </c>
      <c r="Q1920" s="61">
        <f t="shared" si="290"/>
        <v>9797</v>
      </c>
    </row>
    <row r="1921" spans="2:17" ht="15">
      <c r="B1921" s="20">
        <f t="shared" si="286"/>
        <v>128</v>
      </c>
      <c r="C1921" s="7">
        <v>7</v>
      </c>
      <c r="D1921" s="232" t="s">
        <v>63</v>
      </c>
      <c r="E1921" s="233"/>
      <c r="F1921" s="233"/>
      <c r="G1921" s="233"/>
      <c r="H1921" s="234"/>
      <c r="I1921" s="87">
        <f>I1922</f>
        <v>950456</v>
      </c>
      <c r="J1921" s="87">
        <f>J1922</f>
        <v>0</v>
      </c>
      <c r="K1921" s="87">
        <f t="shared" si="284"/>
        <v>950456</v>
      </c>
      <c r="L1921" s="87"/>
      <c r="M1921" s="87"/>
      <c r="N1921" s="87">
        <f t="shared" si="285"/>
        <v>0</v>
      </c>
      <c r="O1921" s="87">
        <f t="shared" si="288"/>
        <v>950456</v>
      </c>
      <c r="P1921" s="87">
        <f t="shared" si="289"/>
        <v>0</v>
      </c>
      <c r="Q1921" s="87">
        <f t="shared" si="290"/>
        <v>950456</v>
      </c>
    </row>
    <row r="1922" spans="2:17" ht="15">
      <c r="B1922" s="20">
        <f t="shared" si="286"/>
        <v>129</v>
      </c>
      <c r="C1922" s="12"/>
      <c r="D1922" s="12"/>
      <c r="E1922" s="12">
        <v>5</v>
      </c>
      <c r="F1922" s="34"/>
      <c r="G1922" s="12"/>
      <c r="H1922" s="12" t="s">
        <v>104</v>
      </c>
      <c r="I1922" s="90">
        <f>I1923+I1924+I1925+I1932</f>
        <v>950456</v>
      </c>
      <c r="J1922" s="90">
        <f>J1923+J1924+J1925+J1932</f>
        <v>0</v>
      </c>
      <c r="K1922" s="90">
        <f aca="true" t="shared" si="291" ref="K1922:K1953">I1922+J1922</f>
        <v>950456</v>
      </c>
      <c r="L1922" s="90"/>
      <c r="M1922" s="90"/>
      <c r="N1922" s="90">
        <f aca="true" t="shared" si="292" ref="N1922:N1953">L1922+M1922</f>
        <v>0</v>
      </c>
      <c r="O1922" s="90">
        <f t="shared" si="288"/>
        <v>950456</v>
      </c>
      <c r="P1922" s="90">
        <f t="shared" si="289"/>
        <v>0</v>
      </c>
      <c r="Q1922" s="90">
        <f t="shared" si="290"/>
        <v>950456</v>
      </c>
    </row>
    <row r="1923" spans="2:17" ht="12.75">
      <c r="B1923" s="20">
        <f aca="true" t="shared" si="293" ref="B1923:B1954">B1922+1</f>
        <v>130</v>
      </c>
      <c r="C1923" s="10"/>
      <c r="D1923" s="10"/>
      <c r="E1923" s="10"/>
      <c r="F1923" s="30" t="s">
        <v>89</v>
      </c>
      <c r="G1923" s="10">
        <v>610</v>
      </c>
      <c r="H1923" s="10" t="s">
        <v>131</v>
      </c>
      <c r="I1923" s="61">
        <v>649751</v>
      </c>
      <c r="J1923" s="61"/>
      <c r="K1923" s="61">
        <f t="shared" si="291"/>
        <v>649751</v>
      </c>
      <c r="L1923" s="61"/>
      <c r="M1923" s="61"/>
      <c r="N1923" s="61">
        <f t="shared" si="292"/>
        <v>0</v>
      </c>
      <c r="O1923" s="61">
        <f t="shared" si="288"/>
        <v>649751</v>
      </c>
      <c r="P1923" s="61">
        <f t="shared" si="289"/>
        <v>0</v>
      </c>
      <c r="Q1923" s="61">
        <f t="shared" si="290"/>
        <v>649751</v>
      </c>
    </row>
    <row r="1924" spans="2:17" ht="12.75">
      <c r="B1924" s="20">
        <f t="shared" si="293"/>
        <v>131</v>
      </c>
      <c r="C1924" s="10"/>
      <c r="D1924" s="10"/>
      <c r="E1924" s="10"/>
      <c r="F1924" s="30" t="s">
        <v>89</v>
      </c>
      <c r="G1924" s="10">
        <v>620</v>
      </c>
      <c r="H1924" s="10" t="s">
        <v>124</v>
      </c>
      <c r="I1924" s="61">
        <f>235413-1600</f>
        <v>233813</v>
      </c>
      <c r="J1924" s="61">
        <v>-2000</v>
      </c>
      <c r="K1924" s="61">
        <f t="shared" si="291"/>
        <v>231813</v>
      </c>
      <c r="L1924" s="61"/>
      <c r="M1924" s="61"/>
      <c r="N1924" s="61">
        <f t="shared" si="292"/>
        <v>0</v>
      </c>
      <c r="O1924" s="61">
        <f t="shared" si="288"/>
        <v>233813</v>
      </c>
      <c r="P1924" s="61">
        <f t="shared" si="289"/>
        <v>-2000</v>
      </c>
      <c r="Q1924" s="61">
        <f t="shared" si="290"/>
        <v>231813</v>
      </c>
    </row>
    <row r="1925" spans="2:17" ht="12.75">
      <c r="B1925" s="20">
        <f t="shared" si="293"/>
        <v>132</v>
      </c>
      <c r="C1925" s="10"/>
      <c r="D1925" s="10"/>
      <c r="E1925" s="10"/>
      <c r="F1925" s="30" t="s">
        <v>89</v>
      </c>
      <c r="G1925" s="10">
        <v>630</v>
      </c>
      <c r="H1925" s="10" t="s">
        <v>121</v>
      </c>
      <c r="I1925" s="61">
        <f>SUM(I1926:I1931)</f>
        <v>62792</v>
      </c>
      <c r="J1925" s="61">
        <f>SUM(J1926:J1931)</f>
        <v>0</v>
      </c>
      <c r="K1925" s="61">
        <f t="shared" si="291"/>
        <v>62792</v>
      </c>
      <c r="L1925" s="61"/>
      <c r="M1925" s="61"/>
      <c r="N1925" s="61">
        <f t="shared" si="292"/>
        <v>0</v>
      </c>
      <c r="O1925" s="61">
        <f t="shared" si="288"/>
        <v>62792</v>
      </c>
      <c r="P1925" s="61">
        <f t="shared" si="289"/>
        <v>0</v>
      </c>
      <c r="Q1925" s="61">
        <f t="shared" si="290"/>
        <v>62792</v>
      </c>
    </row>
    <row r="1926" spans="2:17" ht="12.75">
      <c r="B1926" s="20">
        <f t="shared" si="293"/>
        <v>133</v>
      </c>
      <c r="C1926" s="4"/>
      <c r="D1926" s="4"/>
      <c r="E1926" s="4"/>
      <c r="F1926" s="31" t="s">
        <v>89</v>
      </c>
      <c r="G1926" s="4">
        <v>631</v>
      </c>
      <c r="H1926" s="4" t="s">
        <v>127</v>
      </c>
      <c r="I1926" s="17">
        <v>2400</v>
      </c>
      <c r="J1926" s="17"/>
      <c r="K1926" s="17">
        <f t="shared" si="291"/>
        <v>2400</v>
      </c>
      <c r="L1926" s="17"/>
      <c r="M1926" s="17"/>
      <c r="N1926" s="17">
        <f t="shared" si="292"/>
        <v>0</v>
      </c>
      <c r="O1926" s="17">
        <f t="shared" si="288"/>
        <v>2400</v>
      </c>
      <c r="P1926" s="17">
        <f t="shared" si="289"/>
        <v>0</v>
      </c>
      <c r="Q1926" s="17">
        <f t="shared" si="290"/>
        <v>2400</v>
      </c>
    </row>
    <row r="1927" spans="2:17" ht="12.75">
      <c r="B1927" s="20">
        <f t="shared" si="293"/>
        <v>134</v>
      </c>
      <c r="C1927" s="4"/>
      <c r="D1927" s="4"/>
      <c r="E1927" s="4"/>
      <c r="F1927" s="31" t="s">
        <v>89</v>
      </c>
      <c r="G1927" s="4">
        <v>632</v>
      </c>
      <c r="H1927" s="4" t="s">
        <v>134</v>
      </c>
      <c r="I1927" s="17">
        <v>720</v>
      </c>
      <c r="J1927" s="17"/>
      <c r="K1927" s="17">
        <f t="shared" si="291"/>
        <v>720</v>
      </c>
      <c r="L1927" s="17"/>
      <c r="M1927" s="17"/>
      <c r="N1927" s="17">
        <f t="shared" si="292"/>
        <v>0</v>
      </c>
      <c r="O1927" s="17">
        <f t="shared" si="288"/>
        <v>720</v>
      </c>
      <c r="P1927" s="17">
        <f t="shared" si="289"/>
        <v>0</v>
      </c>
      <c r="Q1927" s="17">
        <f t="shared" si="290"/>
        <v>720</v>
      </c>
    </row>
    <row r="1928" spans="2:17" ht="12.75">
      <c r="B1928" s="20">
        <f t="shared" si="293"/>
        <v>135</v>
      </c>
      <c r="C1928" s="4"/>
      <c r="D1928" s="4"/>
      <c r="E1928" s="4"/>
      <c r="F1928" s="31" t="s">
        <v>89</v>
      </c>
      <c r="G1928" s="4">
        <v>633</v>
      </c>
      <c r="H1928" s="4" t="s">
        <v>125</v>
      </c>
      <c r="I1928" s="17">
        <v>2680</v>
      </c>
      <c r="J1928" s="17"/>
      <c r="K1928" s="17">
        <f t="shared" si="291"/>
        <v>2680</v>
      </c>
      <c r="L1928" s="17"/>
      <c r="M1928" s="17"/>
      <c r="N1928" s="17">
        <f t="shared" si="292"/>
        <v>0</v>
      </c>
      <c r="O1928" s="17">
        <f t="shared" si="288"/>
        <v>2680</v>
      </c>
      <c r="P1928" s="17">
        <f t="shared" si="289"/>
        <v>0</v>
      </c>
      <c r="Q1928" s="17">
        <f t="shared" si="290"/>
        <v>2680</v>
      </c>
    </row>
    <row r="1929" spans="2:17" ht="12.75">
      <c r="B1929" s="20">
        <f t="shared" si="293"/>
        <v>136</v>
      </c>
      <c r="C1929" s="4"/>
      <c r="D1929" s="4"/>
      <c r="E1929" s="4"/>
      <c r="F1929" s="31" t="s">
        <v>89</v>
      </c>
      <c r="G1929" s="4">
        <v>634</v>
      </c>
      <c r="H1929" s="4" t="s">
        <v>132</v>
      </c>
      <c r="I1929" s="17">
        <v>5035</v>
      </c>
      <c r="J1929" s="17"/>
      <c r="K1929" s="17">
        <f t="shared" si="291"/>
        <v>5035</v>
      </c>
      <c r="L1929" s="17"/>
      <c r="M1929" s="17"/>
      <c r="N1929" s="17">
        <f t="shared" si="292"/>
        <v>0</v>
      </c>
      <c r="O1929" s="17">
        <f t="shared" si="288"/>
        <v>5035</v>
      </c>
      <c r="P1929" s="17">
        <f t="shared" si="289"/>
        <v>0</v>
      </c>
      <c r="Q1929" s="17">
        <f t="shared" si="290"/>
        <v>5035</v>
      </c>
    </row>
    <row r="1930" spans="2:17" ht="12.75">
      <c r="B1930" s="20">
        <f t="shared" si="293"/>
        <v>137</v>
      </c>
      <c r="C1930" s="4"/>
      <c r="D1930" s="4"/>
      <c r="E1930" s="4"/>
      <c r="F1930" s="31" t="s">
        <v>89</v>
      </c>
      <c r="G1930" s="4">
        <v>637</v>
      </c>
      <c r="H1930" s="4" t="s">
        <v>122</v>
      </c>
      <c r="I1930" s="17">
        <f>46132-12600</f>
        <v>33532</v>
      </c>
      <c r="J1930" s="17"/>
      <c r="K1930" s="17">
        <f t="shared" si="291"/>
        <v>33532</v>
      </c>
      <c r="L1930" s="17"/>
      <c r="M1930" s="17"/>
      <c r="N1930" s="17">
        <f t="shared" si="292"/>
        <v>0</v>
      </c>
      <c r="O1930" s="17">
        <f t="shared" si="288"/>
        <v>33532</v>
      </c>
      <c r="P1930" s="17">
        <f t="shared" si="289"/>
        <v>0</v>
      </c>
      <c r="Q1930" s="17">
        <f t="shared" si="290"/>
        <v>33532</v>
      </c>
    </row>
    <row r="1931" spans="2:17" ht="12.75">
      <c r="B1931" s="20">
        <f t="shared" si="293"/>
        <v>138</v>
      </c>
      <c r="C1931" s="4"/>
      <c r="D1931" s="4"/>
      <c r="E1931" s="4"/>
      <c r="F1931" s="33" t="s">
        <v>89</v>
      </c>
      <c r="G1931" s="4">
        <v>637</v>
      </c>
      <c r="H1931" s="24" t="s">
        <v>290</v>
      </c>
      <c r="I1931" s="17">
        <v>18425</v>
      </c>
      <c r="J1931" s="17"/>
      <c r="K1931" s="17">
        <f t="shared" si="291"/>
        <v>18425</v>
      </c>
      <c r="L1931" s="17"/>
      <c r="M1931" s="17"/>
      <c r="N1931" s="17">
        <f t="shared" si="292"/>
        <v>0</v>
      </c>
      <c r="O1931" s="17">
        <f t="shared" si="288"/>
        <v>18425</v>
      </c>
      <c r="P1931" s="17">
        <f t="shared" si="289"/>
        <v>0</v>
      </c>
      <c r="Q1931" s="17">
        <f t="shared" si="290"/>
        <v>18425</v>
      </c>
    </row>
    <row r="1932" spans="2:17" ht="12.75">
      <c r="B1932" s="20">
        <f t="shared" si="293"/>
        <v>139</v>
      </c>
      <c r="C1932" s="10"/>
      <c r="D1932" s="48"/>
      <c r="E1932" s="10"/>
      <c r="F1932" s="30" t="s">
        <v>89</v>
      </c>
      <c r="G1932" s="10">
        <v>640</v>
      </c>
      <c r="H1932" s="10" t="s">
        <v>129</v>
      </c>
      <c r="I1932" s="61">
        <f>2500+1600</f>
        <v>4100</v>
      </c>
      <c r="J1932" s="61">
        <v>2000</v>
      </c>
      <c r="K1932" s="61">
        <f t="shared" si="291"/>
        <v>6100</v>
      </c>
      <c r="L1932" s="61"/>
      <c r="M1932" s="61"/>
      <c r="N1932" s="61">
        <f t="shared" si="292"/>
        <v>0</v>
      </c>
      <c r="O1932" s="61">
        <f aca="true" t="shared" si="294" ref="O1932:O1964">I1932+L1932</f>
        <v>4100</v>
      </c>
      <c r="P1932" s="61">
        <f aca="true" t="shared" si="295" ref="P1932:P1964">J1932+M1932</f>
        <v>2000</v>
      </c>
      <c r="Q1932" s="61">
        <f aca="true" t="shared" si="296" ref="Q1932:Q1964">K1932+N1932</f>
        <v>6100</v>
      </c>
    </row>
    <row r="1933" spans="2:17" ht="15">
      <c r="B1933" s="20">
        <f t="shared" si="293"/>
        <v>140</v>
      </c>
      <c r="C1933" s="7">
        <v>8</v>
      </c>
      <c r="D1933" s="232" t="s">
        <v>198</v>
      </c>
      <c r="E1933" s="233"/>
      <c r="F1933" s="233"/>
      <c r="G1933" s="233"/>
      <c r="H1933" s="234"/>
      <c r="I1933" s="87">
        <f>I1934</f>
        <v>5000</v>
      </c>
      <c r="J1933" s="87">
        <f>J1934</f>
        <v>0</v>
      </c>
      <c r="K1933" s="87">
        <f t="shared" si="291"/>
        <v>5000</v>
      </c>
      <c r="L1933" s="87"/>
      <c r="M1933" s="87"/>
      <c r="N1933" s="87">
        <f t="shared" si="292"/>
        <v>0</v>
      </c>
      <c r="O1933" s="87">
        <f t="shared" si="294"/>
        <v>5000</v>
      </c>
      <c r="P1933" s="87">
        <f t="shared" si="295"/>
        <v>0</v>
      </c>
      <c r="Q1933" s="87">
        <f t="shared" si="296"/>
        <v>5000</v>
      </c>
    </row>
    <row r="1934" spans="2:17" ht="12.75">
      <c r="B1934" s="20">
        <f t="shared" si="293"/>
        <v>141</v>
      </c>
      <c r="C1934" s="10"/>
      <c r="D1934" s="10"/>
      <c r="E1934" s="10"/>
      <c r="F1934" s="30" t="s">
        <v>144</v>
      </c>
      <c r="G1934" s="10">
        <v>630</v>
      </c>
      <c r="H1934" s="10" t="s">
        <v>121</v>
      </c>
      <c r="I1934" s="61">
        <f>I1935</f>
        <v>5000</v>
      </c>
      <c r="J1934" s="61">
        <f>J1935</f>
        <v>0</v>
      </c>
      <c r="K1934" s="61">
        <f t="shared" si="291"/>
        <v>5000</v>
      </c>
      <c r="L1934" s="61"/>
      <c r="M1934" s="61"/>
      <c r="N1934" s="61">
        <f t="shared" si="292"/>
        <v>0</v>
      </c>
      <c r="O1934" s="61">
        <f t="shared" si="294"/>
        <v>5000</v>
      </c>
      <c r="P1934" s="61">
        <f t="shared" si="295"/>
        <v>0</v>
      </c>
      <c r="Q1934" s="61">
        <f t="shared" si="296"/>
        <v>5000</v>
      </c>
    </row>
    <row r="1935" spans="2:17" ht="12.75">
      <c r="B1935" s="20">
        <f t="shared" si="293"/>
        <v>142</v>
      </c>
      <c r="C1935" s="4"/>
      <c r="D1935" s="4"/>
      <c r="E1935" s="4"/>
      <c r="F1935" s="31" t="s">
        <v>144</v>
      </c>
      <c r="G1935" s="4">
        <v>637</v>
      </c>
      <c r="H1935" s="4" t="s">
        <v>122</v>
      </c>
      <c r="I1935" s="17">
        <v>5000</v>
      </c>
      <c r="J1935" s="17"/>
      <c r="K1935" s="17">
        <f t="shared" si="291"/>
        <v>5000</v>
      </c>
      <c r="L1935" s="17"/>
      <c r="M1935" s="17"/>
      <c r="N1935" s="17">
        <f t="shared" si="292"/>
        <v>0</v>
      </c>
      <c r="O1935" s="17">
        <f t="shared" si="294"/>
        <v>5000</v>
      </c>
      <c r="P1935" s="17">
        <f t="shared" si="295"/>
        <v>0</v>
      </c>
      <c r="Q1935" s="17">
        <f t="shared" si="296"/>
        <v>5000</v>
      </c>
    </row>
    <row r="1936" spans="2:17" ht="15">
      <c r="B1936" s="20">
        <f t="shared" si="293"/>
        <v>143</v>
      </c>
      <c r="C1936" s="7">
        <v>9</v>
      </c>
      <c r="D1936" s="232" t="s">
        <v>174</v>
      </c>
      <c r="E1936" s="233"/>
      <c r="F1936" s="233"/>
      <c r="G1936" s="233"/>
      <c r="H1936" s="234"/>
      <c r="I1936" s="87">
        <f>I1937+I1939</f>
        <v>18274</v>
      </c>
      <c r="J1936" s="87">
        <f>J1937+J1939</f>
        <v>0</v>
      </c>
      <c r="K1936" s="87">
        <f t="shared" si="291"/>
        <v>18274</v>
      </c>
      <c r="L1936" s="87"/>
      <c r="M1936" s="87"/>
      <c r="N1936" s="87">
        <f t="shared" si="292"/>
        <v>0</v>
      </c>
      <c r="O1936" s="87">
        <f t="shared" si="294"/>
        <v>18274</v>
      </c>
      <c r="P1936" s="87">
        <f t="shared" si="295"/>
        <v>0</v>
      </c>
      <c r="Q1936" s="87">
        <f t="shared" si="296"/>
        <v>18274</v>
      </c>
    </row>
    <row r="1937" spans="2:17" ht="12.75">
      <c r="B1937" s="20">
        <f t="shared" si="293"/>
        <v>144</v>
      </c>
      <c r="C1937" s="10"/>
      <c r="D1937" s="10"/>
      <c r="E1937" s="10"/>
      <c r="F1937" s="30" t="s">
        <v>88</v>
      </c>
      <c r="G1937" s="10">
        <v>630</v>
      </c>
      <c r="H1937" s="10" t="s">
        <v>121</v>
      </c>
      <c r="I1937" s="61">
        <f>I1938</f>
        <v>16274</v>
      </c>
      <c r="J1937" s="61">
        <f>J1938</f>
        <v>0</v>
      </c>
      <c r="K1937" s="61">
        <f t="shared" si="291"/>
        <v>16274</v>
      </c>
      <c r="L1937" s="61"/>
      <c r="M1937" s="61"/>
      <c r="N1937" s="61">
        <f t="shared" si="292"/>
        <v>0</v>
      </c>
      <c r="O1937" s="61">
        <f t="shared" si="294"/>
        <v>16274</v>
      </c>
      <c r="P1937" s="61">
        <f t="shared" si="295"/>
        <v>0</v>
      </c>
      <c r="Q1937" s="61">
        <f t="shared" si="296"/>
        <v>16274</v>
      </c>
    </row>
    <row r="1938" spans="2:17" ht="12.75">
      <c r="B1938" s="20">
        <f t="shared" si="293"/>
        <v>145</v>
      </c>
      <c r="C1938" s="4"/>
      <c r="D1938" s="4"/>
      <c r="E1938" s="4"/>
      <c r="F1938" s="31" t="s">
        <v>88</v>
      </c>
      <c r="G1938" s="4">
        <v>637</v>
      </c>
      <c r="H1938" s="4" t="s">
        <v>122</v>
      </c>
      <c r="I1938" s="17">
        <f>16000+274</f>
        <v>16274</v>
      </c>
      <c r="J1938" s="17"/>
      <c r="K1938" s="17">
        <f t="shared" si="291"/>
        <v>16274</v>
      </c>
      <c r="L1938" s="17"/>
      <c r="M1938" s="17"/>
      <c r="N1938" s="17">
        <f t="shared" si="292"/>
        <v>0</v>
      </c>
      <c r="O1938" s="17">
        <f t="shared" si="294"/>
        <v>16274</v>
      </c>
      <c r="P1938" s="17">
        <f t="shared" si="295"/>
        <v>0</v>
      </c>
      <c r="Q1938" s="17">
        <f t="shared" si="296"/>
        <v>16274</v>
      </c>
    </row>
    <row r="1939" spans="2:17" ht="12.75">
      <c r="B1939" s="20">
        <f t="shared" si="293"/>
        <v>146</v>
      </c>
      <c r="C1939" s="10"/>
      <c r="D1939" s="10"/>
      <c r="E1939" s="10"/>
      <c r="F1939" s="30" t="s">
        <v>88</v>
      </c>
      <c r="G1939" s="10">
        <v>640</v>
      </c>
      <c r="H1939" s="10" t="s">
        <v>129</v>
      </c>
      <c r="I1939" s="61">
        <f>I1940</f>
        <v>2000</v>
      </c>
      <c r="J1939" s="61">
        <f>J1940</f>
        <v>0</v>
      </c>
      <c r="K1939" s="61">
        <f t="shared" si="291"/>
        <v>2000</v>
      </c>
      <c r="L1939" s="61"/>
      <c r="M1939" s="61"/>
      <c r="N1939" s="61">
        <f t="shared" si="292"/>
        <v>0</v>
      </c>
      <c r="O1939" s="61">
        <f t="shared" si="294"/>
        <v>2000</v>
      </c>
      <c r="P1939" s="61">
        <f t="shared" si="295"/>
        <v>0</v>
      </c>
      <c r="Q1939" s="61">
        <f t="shared" si="296"/>
        <v>2000</v>
      </c>
    </row>
    <row r="1940" spans="2:17" ht="12.75">
      <c r="B1940" s="20">
        <f t="shared" si="293"/>
        <v>147</v>
      </c>
      <c r="C1940" s="4"/>
      <c r="D1940" s="4"/>
      <c r="E1940" s="4"/>
      <c r="F1940" s="31" t="s">
        <v>88</v>
      </c>
      <c r="G1940" s="4">
        <v>642</v>
      </c>
      <c r="H1940" s="4" t="s">
        <v>130</v>
      </c>
      <c r="I1940" s="17">
        <v>2000</v>
      </c>
      <c r="J1940" s="17"/>
      <c r="K1940" s="17">
        <f t="shared" si="291"/>
        <v>2000</v>
      </c>
      <c r="L1940" s="17"/>
      <c r="M1940" s="17"/>
      <c r="N1940" s="17">
        <f t="shared" si="292"/>
        <v>0</v>
      </c>
      <c r="O1940" s="17">
        <f t="shared" si="294"/>
        <v>2000</v>
      </c>
      <c r="P1940" s="17">
        <f t="shared" si="295"/>
        <v>0</v>
      </c>
      <c r="Q1940" s="17">
        <f t="shared" si="296"/>
        <v>2000</v>
      </c>
    </row>
    <row r="1941" spans="2:17" ht="15">
      <c r="B1941" s="20">
        <f t="shared" si="293"/>
        <v>148</v>
      </c>
      <c r="C1941" s="7">
        <v>10</v>
      </c>
      <c r="D1941" s="232" t="s">
        <v>175</v>
      </c>
      <c r="E1941" s="233"/>
      <c r="F1941" s="233"/>
      <c r="G1941" s="233"/>
      <c r="H1941" s="234"/>
      <c r="I1941" s="87">
        <f>I1942</f>
        <v>18111</v>
      </c>
      <c r="J1941" s="87">
        <f>J1942</f>
        <v>0</v>
      </c>
      <c r="K1941" s="87">
        <f t="shared" si="291"/>
        <v>18111</v>
      </c>
      <c r="L1941" s="87"/>
      <c r="M1941" s="87"/>
      <c r="N1941" s="87">
        <f t="shared" si="292"/>
        <v>0</v>
      </c>
      <c r="O1941" s="87">
        <f t="shared" si="294"/>
        <v>18111</v>
      </c>
      <c r="P1941" s="87">
        <f t="shared" si="295"/>
        <v>0</v>
      </c>
      <c r="Q1941" s="87">
        <f t="shared" si="296"/>
        <v>18111</v>
      </c>
    </row>
    <row r="1942" spans="2:17" ht="15">
      <c r="B1942" s="20">
        <f t="shared" si="293"/>
        <v>149</v>
      </c>
      <c r="C1942" s="12"/>
      <c r="D1942" s="12"/>
      <c r="E1942" s="12">
        <v>5</v>
      </c>
      <c r="F1942" s="34"/>
      <c r="G1942" s="12"/>
      <c r="H1942" s="12" t="s">
        <v>104</v>
      </c>
      <c r="I1942" s="90">
        <f>I1943+I1944+I1945+I1951</f>
        <v>18111</v>
      </c>
      <c r="J1942" s="90">
        <f>J1943+J1944+J1945+J1951</f>
        <v>0</v>
      </c>
      <c r="K1942" s="90">
        <f t="shared" si="291"/>
        <v>18111</v>
      </c>
      <c r="L1942" s="90"/>
      <c r="M1942" s="90"/>
      <c r="N1942" s="90">
        <f t="shared" si="292"/>
        <v>0</v>
      </c>
      <c r="O1942" s="90">
        <f t="shared" si="294"/>
        <v>18111</v>
      </c>
      <c r="P1942" s="90">
        <f t="shared" si="295"/>
        <v>0</v>
      </c>
      <c r="Q1942" s="90">
        <f t="shared" si="296"/>
        <v>18111</v>
      </c>
    </row>
    <row r="1943" spans="2:17" ht="12.75">
      <c r="B1943" s="20">
        <f t="shared" si="293"/>
        <v>150</v>
      </c>
      <c r="C1943" s="10"/>
      <c r="D1943" s="10"/>
      <c r="E1943" s="10"/>
      <c r="F1943" s="30" t="s">
        <v>89</v>
      </c>
      <c r="G1943" s="10">
        <v>610</v>
      </c>
      <c r="H1943" s="10" t="s">
        <v>131</v>
      </c>
      <c r="I1943" s="61">
        <v>10524</v>
      </c>
      <c r="J1943" s="61"/>
      <c r="K1943" s="61">
        <f t="shared" si="291"/>
        <v>10524</v>
      </c>
      <c r="L1943" s="61"/>
      <c r="M1943" s="61"/>
      <c r="N1943" s="61">
        <f t="shared" si="292"/>
        <v>0</v>
      </c>
      <c r="O1943" s="61">
        <f t="shared" si="294"/>
        <v>10524</v>
      </c>
      <c r="P1943" s="61">
        <f t="shared" si="295"/>
        <v>0</v>
      </c>
      <c r="Q1943" s="61">
        <f t="shared" si="296"/>
        <v>10524</v>
      </c>
    </row>
    <row r="1944" spans="2:17" ht="12.75">
      <c r="B1944" s="20">
        <f t="shared" si="293"/>
        <v>151</v>
      </c>
      <c r="C1944" s="10"/>
      <c r="D1944" s="10"/>
      <c r="E1944" s="10"/>
      <c r="F1944" s="30" t="s">
        <v>89</v>
      </c>
      <c r="G1944" s="10">
        <v>620</v>
      </c>
      <c r="H1944" s="10" t="s">
        <v>124</v>
      </c>
      <c r="I1944" s="61">
        <v>3683</v>
      </c>
      <c r="J1944" s="61">
        <v>-500</v>
      </c>
      <c r="K1944" s="61">
        <f t="shared" si="291"/>
        <v>3183</v>
      </c>
      <c r="L1944" s="61"/>
      <c r="M1944" s="61"/>
      <c r="N1944" s="61">
        <f t="shared" si="292"/>
        <v>0</v>
      </c>
      <c r="O1944" s="61">
        <f t="shared" si="294"/>
        <v>3683</v>
      </c>
      <c r="P1944" s="61">
        <f t="shared" si="295"/>
        <v>-500</v>
      </c>
      <c r="Q1944" s="61">
        <f t="shared" si="296"/>
        <v>3183</v>
      </c>
    </row>
    <row r="1945" spans="2:17" ht="12.75">
      <c r="B1945" s="20">
        <f t="shared" si="293"/>
        <v>152</v>
      </c>
      <c r="C1945" s="10"/>
      <c r="D1945" s="10"/>
      <c r="E1945" s="10"/>
      <c r="F1945" s="30" t="s">
        <v>89</v>
      </c>
      <c r="G1945" s="10">
        <v>630</v>
      </c>
      <c r="H1945" s="10" t="s">
        <v>121</v>
      </c>
      <c r="I1945" s="61">
        <f>SUM(I1946:I1950)</f>
        <v>3634</v>
      </c>
      <c r="J1945" s="61">
        <f>SUM(J1946:J1950)</f>
        <v>500</v>
      </c>
      <c r="K1945" s="61">
        <f t="shared" si="291"/>
        <v>4134</v>
      </c>
      <c r="L1945" s="61"/>
      <c r="M1945" s="61"/>
      <c r="N1945" s="61">
        <f t="shared" si="292"/>
        <v>0</v>
      </c>
      <c r="O1945" s="61">
        <f t="shared" si="294"/>
        <v>3634</v>
      </c>
      <c r="P1945" s="61">
        <f t="shared" si="295"/>
        <v>500</v>
      </c>
      <c r="Q1945" s="61">
        <f t="shared" si="296"/>
        <v>4134</v>
      </c>
    </row>
    <row r="1946" spans="2:17" ht="12.75">
      <c r="B1946" s="20">
        <f t="shared" si="293"/>
        <v>153</v>
      </c>
      <c r="C1946" s="4"/>
      <c r="D1946" s="4"/>
      <c r="E1946" s="4"/>
      <c r="F1946" s="31" t="s">
        <v>89</v>
      </c>
      <c r="G1946" s="4">
        <v>632</v>
      </c>
      <c r="H1946" s="4" t="s">
        <v>134</v>
      </c>
      <c r="I1946" s="17">
        <v>70</v>
      </c>
      <c r="J1946" s="17"/>
      <c r="K1946" s="17">
        <f t="shared" si="291"/>
        <v>70</v>
      </c>
      <c r="L1946" s="17"/>
      <c r="M1946" s="17"/>
      <c r="N1946" s="17">
        <f t="shared" si="292"/>
        <v>0</v>
      </c>
      <c r="O1946" s="17">
        <f t="shared" si="294"/>
        <v>70</v>
      </c>
      <c r="P1946" s="17">
        <f t="shared" si="295"/>
        <v>0</v>
      </c>
      <c r="Q1946" s="17">
        <f t="shared" si="296"/>
        <v>70</v>
      </c>
    </row>
    <row r="1947" spans="2:17" ht="12.75">
      <c r="B1947" s="20">
        <f t="shared" si="293"/>
        <v>154</v>
      </c>
      <c r="C1947" s="4"/>
      <c r="D1947" s="4"/>
      <c r="E1947" s="4"/>
      <c r="F1947" s="31" t="s">
        <v>89</v>
      </c>
      <c r="G1947" s="4">
        <v>633</v>
      </c>
      <c r="H1947" s="4" t="s">
        <v>125</v>
      </c>
      <c r="I1947" s="17">
        <v>60</v>
      </c>
      <c r="J1947" s="17"/>
      <c r="K1947" s="17">
        <f t="shared" si="291"/>
        <v>60</v>
      </c>
      <c r="L1947" s="17"/>
      <c r="M1947" s="17"/>
      <c r="N1947" s="17">
        <f t="shared" si="292"/>
        <v>0</v>
      </c>
      <c r="O1947" s="17">
        <f t="shared" si="294"/>
        <v>60</v>
      </c>
      <c r="P1947" s="17">
        <f t="shared" si="295"/>
        <v>0</v>
      </c>
      <c r="Q1947" s="17">
        <f t="shared" si="296"/>
        <v>60</v>
      </c>
    </row>
    <row r="1948" spans="2:17" ht="12.75">
      <c r="B1948" s="20">
        <f t="shared" si="293"/>
        <v>155</v>
      </c>
      <c r="C1948" s="4"/>
      <c r="D1948" s="4"/>
      <c r="E1948" s="4"/>
      <c r="F1948" s="31" t="s">
        <v>89</v>
      </c>
      <c r="G1948" s="4">
        <v>634</v>
      </c>
      <c r="H1948" s="4" t="s">
        <v>132</v>
      </c>
      <c r="I1948" s="17">
        <v>2400</v>
      </c>
      <c r="J1948" s="17">
        <v>500</v>
      </c>
      <c r="K1948" s="17">
        <f t="shared" si="291"/>
        <v>2900</v>
      </c>
      <c r="L1948" s="17"/>
      <c r="M1948" s="17"/>
      <c r="N1948" s="17">
        <f t="shared" si="292"/>
        <v>0</v>
      </c>
      <c r="O1948" s="17">
        <f t="shared" si="294"/>
        <v>2400</v>
      </c>
      <c r="P1948" s="17">
        <f t="shared" si="295"/>
        <v>500</v>
      </c>
      <c r="Q1948" s="17">
        <f t="shared" si="296"/>
        <v>2900</v>
      </c>
    </row>
    <row r="1949" spans="2:17" ht="12.75">
      <c r="B1949" s="20">
        <f t="shared" si="293"/>
        <v>156</v>
      </c>
      <c r="C1949" s="4"/>
      <c r="D1949" s="4"/>
      <c r="E1949" s="4"/>
      <c r="F1949" s="31" t="s">
        <v>89</v>
      </c>
      <c r="G1949" s="4">
        <v>637</v>
      </c>
      <c r="H1949" s="4" t="s">
        <v>122</v>
      </c>
      <c r="I1949" s="17">
        <v>829</v>
      </c>
      <c r="J1949" s="17"/>
      <c r="K1949" s="17">
        <f t="shared" si="291"/>
        <v>829</v>
      </c>
      <c r="L1949" s="17"/>
      <c r="M1949" s="17"/>
      <c r="N1949" s="17">
        <f t="shared" si="292"/>
        <v>0</v>
      </c>
      <c r="O1949" s="17">
        <f t="shared" si="294"/>
        <v>829</v>
      </c>
      <c r="P1949" s="17">
        <f t="shared" si="295"/>
        <v>0</v>
      </c>
      <c r="Q1949" s="17">
        <f t="shared" si="296"/>
        <v>829</v>
      </c>
    </row>
    <row r="1950" spans="2:17" ht="12.75">
      <c r="B1950" s="20">
        <f t="shared" si="293"/>
        <v>157</v>
      </c>
      <c r="C1950" s="4"/>
      <c r="D1950" s="4"/>
      <c r="E1950" s="4"/>
      <c r="F1950" s="33" t="s">
        <v>89</v>
      </c>
      <c r="G1950" s="4">
        <v>637</v>
      </c>
      <c r="H1950" s="24" t="s">
        <v>290</v>
      </c>
      <c r="I1950" s="17">
        <v>275</v>
      </c>
      <c r="J1950" s="17"/>
      <c r="K1950" s="17">
        <f t="shared" si="291"/>
        <v>275</v>
      </c>
      <c r="L1950" s="17"/>
      <c r="M1950" s="17"/>
      <c r="N1950" s="17">
        <f t="shared" si="292"/>
        <v>0</v>
      </c>
      <c r="O1950" s="17">
        <f t="shared" si="294"/>
        <v>275</v>
      </c>
      <c r="P1950" s="17">
        <f t="shared" si="295"/>
        <v>0</v>
      </c>
      <c r="Q1950" s="17">
        <f t="shared" si="296"/>
        <v>275</v>
      </c>
    </row>
    <row r="1951" spans="2:17" ht="12.75">
      <c r="B1951" s="20">
        <f t="shared" si="293"/>
        <v>158</v>
      </c>
      <c r="C1951" s="10"/>
      <c r="D1951" s="10"/>
      <c r="E1951" s="10"/>
      <c r="F1951" s="30" t="s">
        <v>89</v>
      </c>
      <c r="G1951" s="10">
        <v>640</v>
      </c>
      <c r="H1951" s="10" t="s">
        <v>129</v>
      </c>
      <c r="I1951" s="61">
        <v>270</v>
      </c>
      <c r="J1951" s="61"/>
      <c r="K1951" s="61">
        <f t="shared" si="291"/>
        <v>270</v>
      </c>
      <c r="L1951" s="61"/>
      <c r="M1951" s="61"/>
      <c r="N1951" s="61">
        <f t="shared" si="292"/>
        <v>0</v>
      </c>
      <c r="O1951" s="61">
        <f t="shared" si="294"/>
        <v>270</v>
      </c>
      <c r="P1951" s="61">
        <f t="shared" si="295"/>
        <v>0</v>
      </c>
      <c r="Q1951" s="61">
        <f t="shared" si="296"/>
        <v>270</v>
      </c>
    </row>
    <row r="1952" spans="2:17" ht="15">
      <c r="B1952" s="20">
        <f t="shared" si="293"/>
        <v>159</v>
      </c>
      <c r="C1952" s="7">
        <v>11</v>
      </c>
      <c r="D1952" s="232" t="s">
        <v>84</v>
      </c>
      <c r="E1952" s="233"/>
      <c r="F1952" s="233"/>
      <c r="G1952" s="233"/>
      <c r="H1952" s="234"/>
      <c r="I1952" s="87">
        <f>I1953</f>
        <v>227016</v>
      </c>
      <c r="J1952" s="87">
        <f>J1953</f>
        <v>0</v>
      </c>
      <c r="K1952" s="87">
        <f t="shared" si="291"/>
        <v>227016</v>
      </c>
      <c r="L1952" s="87"/>
      <c r="M1952" s="87"/>
      <c r="N1952" s="87">
        <f t="shared" si="292"/>
        <v>0</v>
      </c>
      <c r="O1952" s="87">
        <f t="shared" si="294"/>
        <v>227016</v>
      </c>
      <c r="P1952" s="87">
        <f t="shared" si="295"/>
        <v>0</v>
      </c>
      <c r="Q1952" s="87">
        <f t="shared" si="296"/>
        <v>227016</v>
      </c>
    </row>
    <row r="1953" spans="2:17" ht="15">
      <c r="B1953" s="20">
        <f t="shared" si="293"/>
        <v>160</v>
      </c>
      <c r="C1953" s="12"/>
      <c r="D1953" s="12"/>
      <c r="E1953" s="12">
        <v>5</v>
      </c>
      <c r="F1953" s="34"/>
      <c r="G1953" s="12"/>
      <c r="H1953" s="12" t="s">
        <v>104</v>
      </c>
      <c r="I1953" s="90">
        <f>I1954+I1955+I1956+I1964</f>
        <v>227016</v>
      </c>
      <c r="J1953" s="90">
        <f>J1954+J1955+J1956+J1964</f>
        <v>0</v>
      </c>
      <c r="K1953" s="90">
        <f t="shared" si="291"/>
        <v>227016</v>
      </c>
      <c r="L1953" s="90"/>
      <c r="M1953" s="90"/>
      <c r="N1953" s="90">
        <f t="shared" si="292"/>
        <v>0</v>
      </c>
      <c r="O1953" s="90">
        <f t="shared" si="294"/>
        <v>227016</v>
      </c>
      <c r="P1953" s="90">
        <f t="shared" si="295"/>
        <v>0</v>
      </c>
      <c r="Q1953" s="90">
        <f t="shared" si="296"/>
        <v>227016</v>
      </c>
    </row>
    <row r="1954" spans="2:17" ht="12.75">
      <c r="B1954" s="20">
        <f t="shared" si="293"/>
        <v>161</v>
      </c>
      <c r="C1954" s="10"/>
      <c r="D1954" s="10"/>
      <c r="E1954" s="10"/>
      <c r="F1954" s="30" t="s">
        <v>73</v>
      </c>
      <c r="G1954" s="10">
        <v>610</v>
      </c>
      <c r="H1954" s="10" t="s">
        <v>131</v>
      </c>
      <c r="I1954" s="61">
        <v>140000</v>
      </c>
      <c r="J1954" s="61"/>
      <c r="K1954" s="61">
        <f aca="true" t="shared" si="297" ref="K1954:K1964">I1954+J1954</f>
        <v>140000</v>
      </c>
      <c r="L1954" s="61"/>
      <c r="M1954" s="61"/>
      <c r="N1954" s="61">
        <f aca="true" t="shared" si="298" ref="N1954:N1964">L1954+M1954</f>
        <v>0</v>
      </c>
      <c r="O1954" s="61">
        <f t="shared" si="294"/>
        <v>140000</v>
      </c>
      <c r="P1954" s="61">
        <f t="shared" si="295"/>
        <v>0</v>
      </c>
      <c r="Q1954" s="61">
        <f t="shared" si="296"/>
        <v>140000</v>
      </c>
    </row>
    <row r="1955" spans="2:17" ht="12.75">
      <c r="B1955" s="20">
        <f aca="true" t="shared" si="299" ref="B1955:B1964">B1954+1</f>
        <v>162</v>
      </c>
      <c r="C1955" s="10"/>
      <c r="D1955" s="10"/>
      <c r="E1955" s="10"/>
      <c r="F1955" s="30" t="s">
        <v>73</v>
      </c>
      <c r="G1955" s="10">
        <v>620</v>
      </c>
      <c r="H1955" s="10" t="s">
        <v>124</v>
      </c>
      <c r="I1955" s="61">
        <f>53000-600</f>
        <v>52400</v>
      </c>
      <c r="J1955" s="61">
        <v>-500</v>
      </c>
      <c r="K1955" s="61">
        <f t="shared" si="297"/>
        <v>51900</v>
      </c>
      <c r="L1955" s="61"/>
      <c r="M1955" s="61"/>
      <c r="N1955" s="61">
        <f t="shared" si="298"/>
        <v>0</v>
      </c>
      <c r="O1955" s="61">
        <f t="shared" si="294"/>
        <v>52400</v>
      </c>
      <c r="P1955" s="61">
        <f t="shared" si="295"/>
        <v>-500</v>
      </c>
      <c r="Q1955" s="61">
        <f t="shared" si="296"/>
        <v>51900</v>
      </c>
    </row>
    <row r="1956" spans="2:17" ht="12.75">
      <c r="B1956" s="20">
        <f t="shared" si="299"/>
        <v>163</v>
      </c>
      <c r="C1956" s="10"/>
      <c r="D1956" s="10"/>
      <c r="E1956" s="10"/>
      <c r="F1956" s="30" t="s">
        <v>73</v>
      </c>
      <c r="G1956" s="10">
        <v>630</v>
      </c>
      <c r="H1956" s="10" t="s">
        <v>121</v>
      </c>
      <c r="I1956" s="61">
        <f>SUM(I1957:I1963)</f>
        <v>34016</v>
      </c>
      <c r="J1956" s="61">
        <f>SUM(J1957:J1963)</f>
        <v>0</v>
      </c>
      <c r="K1956" s="61">
        <f t="shared" si="297"/>
        <v>34016</v>
      </c>
      <c r="L1956" s="61"/>
      <c r="M1956" s="61"/>
      <c r="N1956" s="61">
        <f t="shared" si="298"/>
        <v>0</v>
      </c>
      <c r="O1956" s="61">
        <f t="shared" si="294"/>
        <v>34016</v>
      </c>
      <c r="P1956" s="61">
        <f t="shared" si="295"/>
        <v>0</v>
      </c>
      <c r="Q1956" s="61">
        <f t="shared" si="296"/>
        <v>34016</v>
      </c>
    </row>
    <row r="1957" spans="2:17" ht="12.75">
      <c r="B1957" s="20">
        <f t="shared" si="299"/>
        <v>164</v>
      </c>
      <c r="C1957" s="4"/>
      <c r="D1957" s="4"/>
      <c r="E1957" s="4"/>
      <c r="F1957" s="31" t="s">
        <v>73</v>
      </c>
      <c r="G1957" s="4">
        <v>631</v>
      </c>
      <c r="H1957" s="4" t="s">
        <v>127</v>
      </c>
      <c r="I1957" s="17">
        <v>400</v>
      </c>
      <c r="J1957" s="17"/>
      <c r="K1957" s="17">
        <f t="shared" si="297"/>
        <v>400</v>
      </c>
      <c r="L1957" s="17"/>
      <c r="M1957" s="17"/>
      <c r="N1957" s="17">
        <f t="shared" si="298"/>
        <v>0</v>
      </c>
      <c r="O1957" s="17">
        <f t="shared" si="294"/>
        <v>400</v>
      </c>
      <c r="P1957" s="17">
        <f t="shared" si="295"/>
        <v>0</v>
      </c>
      <c r="Q1957" s="17">
        <f t="shared" si="296"/>
        <v>400</v>
      </c>
    </row>
    <row r="1958" spans="2:17" ht="12.75">
      <c r="B1958" s="20">
        <f t="shared" si="299"/>
        <v>165</v>
      </c>
      <c r="C1958" s="4"/>
      <c r="D1958" s="4"/>
      <c r="E1958" s="4"/>
      <c r="F1958" s="31" t="s">
        <v>73</v>
      </c>
      <c r="G1958" s="4">
        <v>632</v>
      </c>
      <c r="H1958" s="4" t="s">
        <v>134</v>
      </c>
      <c r="I1958" s="17">
        <v>2300</v>
      </c>
      <c r="J1958" s="17"/>
      <c r="K1958" s="17">
        <f t="shared" si="297"/>
        <v>2300</v>
      </c>
      <c r="L1958" s="17"/>
      <c r="M1958" s="17"/>
      <c r="N1958" s="17">
        <f t="shared" si="298"/>
        <v>0</v>
      </c>
      <c r="O1958" s="17">
        <f t="shared" si="294"/>
        <v>2300</v>
      </c>
      <c r="P1958" s="17">
        <f t="shared" si="295"/>
        <v>0</v>
      </c>
      <c r="Q1958" s="17">
        <f t="shared" si="296"/>
        <v>2300</v>
      </c>
    </row>
    <row r="1959" spans="2:17" ht="12.75">
      <c r="B1959" s="20">
        <f t="shared" si="299"/>
        <v>166</v>
      </c>
      <c r="C1959" s="4"/>
      <c r="D1959" s="4"/>
      <c r="E1959" s="4"/>
      <c r="F1959" s="31" t="s">
        <v>73</v>
      </c>
      <c r="G1959" s="4">
        <v>633</v>
      </c>
      <c r="H1959" s="4" t="s">
        <v>125</v>
      </c>
      <c r="I1959" s="17">
        <v>4360</v>
      </c>
      <c r="J1959" s="17">
        <v>-600</v>
      </c>
      <c r="K1959" s="17">
        <f t="shared" si="297"/>
        <v>3760</v>
      </c>
      <c r="L1959" s="17"/>
      <c r="M1959" s="17"/>
      <c r="N1959" s="17">
        <f t="shared" si="298"/>
        <v>0</v>
      </c>
      <c r="O1959" s="17">
        <f t="shared" si="294"/>
        <v>4360</v>
      </c>
      <c r="P1959" s="17">
        <f t="shared" si="295"/>
        <v>-600</v>
      </c>
      <c r="Q1959" s="17">
        <f t="shared" si="296"/>
        <v>3760</v>
      </c>
    </row>
    <row r="1960" spans="2:17" ht="12.75">
      <c r="B1960" s="20">
        <f t="shared" si="299"/>
        <v>167</v>
      </c>
      <c r="C1960" s="4"/>
      <c r="D1960" s="4"/>
      <c r="E1960" s="4"/>
      <c r="F1960" s="31" t="s">
        <v>73</v>
      </c>
      <c r="G1960" s="4">
        <v>634</v>
      </c>
      <c r="H1960" s="4" t="s">
        <v>132</v>
      </c>
      <c r="I1960" s="17">
        <v>1491</v>
      </c>
      <c r="J1960" s="17"/>
      <c r="K1960" s="17">
        <f t="shared" si="297"/>
        <v>1491</v>
      </c>
      <c r="L1960" s="17"/>
      <c r="M1960" s="17"/>
      <c r="N1960" s="17">
        <f t="shared" si="298"/>
        <v>0</v>
      </c>
      <c r="O1960" s="17">
        <f t="shared" si="294"/>
        <v>1491</v>
      </c>
      <c r="P1960" s="17">
        <f t="shared" si="295"/>
        <v>0</v>
      </c>
      <c r="Q1960" s="17">
        <f t="shared" si="296"/>
        <v>1491</v>
      </c>
    </row>
    <row r="1961" spans="2:17" ht="12.75">
      <c r="B1961" s="20">
        <f t="shared" si="299"/>
        <v>168</v>
      </c>
      <c r="C1961" s="4"/>
      <c r="D1961" s="4"/>
      <c r="E1961" s="4"/>
      <c r="F1961" s="31" t="s">
        <v>73</v>
      </c>
      <c r="G1961" s="4">
        <v>635</v>
      </c>
      <c r="H1961" s="4" t="s">
        <v>133</v>
      </c>
      <c r="I1961" s="17">
        <v>1600</v>
      </c>
      <c r="J1961" s="17"/>
      <c r="K1961" s="17">
        <f t="shared" si="297"/>
        <v>1600</v>
      </c>
      <c r="L1961" s="17"/>
      <c r="M1961" s="17"/>
      <c r="N1961" s="17">
        <f t="shared" si="298"/>
        <v>0</v>
      </c>
      <c r="O1961" s="17">
        <f t="shared" si="294"/>
        <v>1600</v>
      </c>
      <c r="P1961" s="17">
        <f t="shared" si="295"/>
        <v>0</v>
      </c>
      <c r="Q1961" s="17">
        <f t="shared" si="296"/>
        <v>1600</v>
      </c>
    </row>
    <row r="1962" spans="2:17" ht="12.75">
      <c r="B1962" s="20">
        <f t="shared" si="299"/>
        <v>169</v>
      </c>
      <c r="C1962" s="4"/>
      <c r="D1962" s="4"/>
      <c r="E1962" s="4"/>
      <c r="F1962" s="31" t="s">
        <v>73</v>
      </c>
      <c r="G1962" s="4">
        <v>637</v>
      </c>
      <c r="H1962" s="4" t="s">
        <v>122</v>
      </c>
      <c r="I1962" s="17">
        <v>21940</v>
      </c>
      <c r="J1962" s="17">
        <v>600</v>
      </c>
      <c r="K1962" s="17">
        <f t="shared" si="297"/>
        <v>22540</v>
      </c>
      <c r="L1962" s="17"/>
      <c r="M1962" s="17"/>
      <c r="N1962" s="17">
        <f t="shared" si="298"/>
        <v>0</v>
      </c>
      <c r="O1962" s="17">
        <f t="shared" si="294"/>
        <v>21940</v>
      </c>
      <c r="P1962" s="17">
        <f t="shared" si="295"/>
        <v>600</v>
      </c>
      <c r="Q1962" s="17">
        <f t="shared" si="296"/>
        <v>22540</v>
      </c>
    </row>
    <row r="1963" spans="2:17" ht="12.75">
      <c r="B1963" s="20">
        <f t="shared" si="299"/>
        <v>170</v>
      </c>
      <c r="C1963" s="4"/>
      <c r="D1963" s="4"/>
      <c r="E1963" s="4"/>
      <c r="F1963" s="33" t="s">
        <v>73</v>
      </c>
      <c r="G1963" s="4">
        <v>637</v>
      </c>
      <c r="H1963" s="24" t="s">
        <v>290</v>
      </c>
      <c r="I1963" s="17">
        <v>1925</v>
      </c>
      <c r="J1963" s="17"/>
      <c r="K1963" s="17">
        <f t="shared" si="297"/>
        <v>1925</v>
      </c>
      <c r="L1963" s="17"/>
      <c r="M1963" s="17"/>
      <c r="N1963" s="17">
        <f t="shared" si="298"/>
        <v>0</v>
      </c>
      <c r="O1963" s="17">
        <f t="shared" si="294"/>
        <v>1925</v>
      </c>
      <c r="P1963" s="17">
        <f t="shared" si="295"/>
        <v>0</v>
      </c>
      <c r="Q1963" s="17">
        <f t="shared" si="296"/>
        <v>1925</v>
      </c>
    </row>
    <row r="1964" spans="2:17" ht="12.75">
      <c r="B1964" s="20">
        <f t="shared" si="299"/>
        <v>171</v>
      </c>
      <c r="C1964" s="10"/>
      <c r="D1964" s="10"/>
      <c r="E1964" s="10"/>
      <c r="F1964" s="30" t="s">
        <v>73</v>
      </c>
      <c r="G1964" s="10">
        <v>640</v>
      </c>
      <c r="H1964" s="10" t="s">
        <v>129</v>
      </c>
      <c r="I1964" s="61">
        <v>600</v>
      </c>
      <c r="J1964" s="61">
        <v>500</v>
      </c>
      <c r="K1964" s="61">
        <f t="shared" si="297"/>
        <v>1100</v>
      </c>
      <c r="L1964" s="61"/>
      <c r="M1964" s="61"/>
      <c r="N1964" s="61">
        <f t="shared" si="298"/>
        <v>0</v>
      </c>
      <c r="O1964" s="61">
        <f t="shared" si="294"/>
        <v>600</v>
      </c>
      <c r="P1964" s="61">
        <f t="shared" si="295"/>
        <v>500</v>
      </c>
      <c r="Q1964" s="61">
        <f t="shared" si="296"/>
        <v>1100</v>
      </c>
    </row>
    <row r="1967" spans="2:16" ht="27">
      <c r="B1967" s="248" t="s">
        <v>30</v>
      </c>
      <c r="C1967" s="249"/>
      <c r="D1967" s="249"/>
      <c r="E1967" s="249"/>
      <c r="F1967" s="249"/>
      <c r="G1967" s="249"/>
      <c r="H1967" s="249"/>
      <c r="I1967" s="249"/>
      <c r="J1967" s="249"/>
      <c r="K1967" s="249"/>
      <c r="L1967" s="249"/>
      <c r="M1967" s="249"/>
      <c r="N1967" s="249"/>
      <c r="O1967" s="249"/>
      <c r="P1967"/>
    </row>
    <row r="1968" spans="2:17" ht="12.75">
      <c r="B1968" s="244" t="s">
        <v>327</v>
      </c>
      <c r="C1968" s="245"/>
      <c r="D1968" s="245"/>
      <c r="E1968" s="245"/>
      <c r="F1968" s="245"/>
      <c r="G1968" s="245"/>
      <c r="H1968" s="245"/>
      <c r="I1968" s="245"/>
      <c r="J1968" s="245"/>
      <c r="K1968" s="245"/>
      <c r="L1968" s="245"/>
      <c r="M1968" s="245"/>
      <c r="N1968" s="246"/>
      <c r="O1968" s="250" t="s">
        <v>612</v>
      </c>
      <c r="P1968" s="250" t="s">
        <v>642</v>
      </c>
      <c r="Q1968" s="250" t="s">
        <v>644</v>
      </c>
    </row>
    <row r="1969" spans="2:17" ht="12.75">
      <c r="B1969" s="251"/>
      <c r="C1969" s="243" t="s">
        <v>114</v>
      </c>
      <c r="D1969" s="243" t="s">
        <v>115</v>
      </c>
      <c r="E1969" s="243"/>
      <c r="F1969" s="243" t="s">
        <v>116</v>
      </c>
      <c r="G1969" s="247" t="s">
        <v>117</v>
      </c>
      <c r="H1969" s="252" t="s">
        <v>118</v>
      </c>
      <c r="I1969" s="239" t="s">
        <v>609</v>
      </c>
      <c r="J1969" s="209" t="s">
        <v>642</v>
      </c>
      <c r="K1969" s="209" t="s">
        <v>644</v>
      </c>
      <c r="L1969" s="239" t="s">
        <v>610</v>
      </c>
      <c r="M1969" s="209" t="s">
        <v>642</v>
      </c>
      <c r="N1969" s="209" t="s">
        <v>644</v>
      </c>
      <c r="O1969" s="250"/>
      <c r="P1969" s="250"/>
      <c r="Q1969" s="250"/>
    </row>
    <row r="1970" spans="2:17" ht="12.75">
      <c r="B1970" s="251"/>
      <c r="C1970" s="243"/>
      <c r="D1970" s="243"/>
      <c r="E1970" s="243"/>
      <c r="F1970" s="243"/>
      <c r="G1970" s="247"/>
      <c r="H1970" s="252"/>
      <c r="I1970" s="239"/>
      <c r="J1970" s="210"/>
      <c r="K1970" s="210"/>
      <c r="L1970" s="239"/>
      <c r="M1970" s="210"/>
      <c r="N1970" s="210"/>
      <c r="O1970" s="250"/>
      <c r="P1970" s="250"/>
      <c r="Q1970" s="250"/>
    </row>
    <row r="1971" spans="2:17" ht="12.75">
      <c r="B1971" s="251"/>
      <c r="C1971" s="243"/>
      <c r="D1971" s="243"/>
      <c r="E1971" s="243"/>
      <c r="F1971" s="243"/>
      <c r="G1971" s="247"/>
      <c r="H1971" s="252"/>
      <c r="I1971" s="239"/>
      <c r="J1971" s="210"/>
      <c r="K1971" s="210"/>
      <c r="L1971" s="239"/>
      <c r="M1971" s="210"/>
      <c r="N1971" s="210"/>
      <c r="O1971" s="250"/>
      <c r="P1971" s="250"/>
      <c r="Q1971" s="250"/>
    </row>
    <row r="1972" spans="2:17" ht="13.5" thickBot="1">
      <c r="B1972" s="251"/>
      <c r="C1972" s="243"/>
      <c r="D1972" s="243"/>
      <c r="E1972" s="243"/>
      <c r="F1972" s="243"/>
      <c r="G1972" s="247"/>
      <c r="H1972" s="252"/>
      <c r="I1972" s="239"/>
      <c r="J1972" s="255"/>
      <c r="K1972" s="255"/>
      <c r="L1972" s="239"/>
      <c r="M1972" s="255"/>
      <c r="N1972" s="255"/>
      <c r="O1972" s="250"/>
      <c r="P1972" s="250"/>
      <c r="Q1972" s="250"/>
    </row>
    <row r="1973" spans="2:17" ht="16.5" thickTop="1">
      <c r="B1973" s="23">
        <v>1</v>
      </c>
      <c r="C1973" s="256" t="s">
        <v>30</v>
      </c>
      <c r="D1973" s="257"/>
      <c r="E1973" s="257"/>
      <c r="F1973" s="257"/>
      <c r="G1973" s="257"/>
      <c r="H1973" s="258"/>
      <c r="I1973" s="89">
        <f>I1974</f>
        <v>333200</v>
      </c>
      <c r="J1973" s="89">
        <f>J1974</f>
        <v>0</v>
      </c>
      <c r="K1973" s="89">
        <f aca="true" t="shared" si="300" ref="K1973:K1991">I1973+J1973</f>
        <v>333200</v>
      </c>
      <c r="L1973" s="89"/>
      <c r="M1973" s="89"/>
      <c r="N1973" s="89"/>
      <c r="O1973" s="89">
        <f aca="true" t="shared" si="301" ref="O1973:O1991">I1973+L1973</f>
        <v>333200</v>
      </c>
      <c r="P1973" s="89">
        <f aca="true" t="shared" si="302" ref="P1973:P1991">J1973+M1973</f>
        <v>0</v>
      </c>
      <c r="Q1973" s="89">
        <f aca="true" t="shared" si="303" ref="Q1973:Q1991">K1973+N1973</f>
        <v>333200</v>
      </c>
    </row>
    <row r="1974" spans="2:17" ht="15">
      <c r="B1974" s="21">
        <f aca="true" t="shared" si="304" ref="B1974:B1991">B1973+1</f>
        <v>2</v>
      </c>
      <c r="C1974" s="7">
        <v>1</v>
      </c>
      <c r="D1974" s="232" t="s">
        <v>155</v>
      </c>
      <c r="E1974" s="233"/>
      <c r="F1974" s="233"/>
      <c r="G1974" s="233"/>
      <c r="H1974" s="234"/>
      <c r="I1974" s="87">
        <f>I1982+I1975</f>
        <v>333200</v>
      </c>
      <c r="J1974" s="87">
        <f>J1982+J1975</f>
        <v>0</v>
      </c>
      <c r="K1974" s="87">
        <f t="shared" si="300"/>
        <v>333200</v>
      </c>
      <c r="L1974" s="87"/>
      <c r="M1974" s="87"/>
      <c r="N1974" s="87"/>
      <c r="O1974" s="87">
        <f t="shared" si="301"/>
        <v>333200</v>
      </c>
      <c r="P1974" s="87">
        <f t="shared" si="302"/>
        <v>0</v>
      </c>
      <c r="Q1974" s="87">
        <f t="shared" si="303"/>
        <v>333200</v>
      </c>
    </row>
    <row r="1975" spans="2:17" ht="15">
      <c r="B1975" s="21">
        <f t="shared" si="304"/>
        <v>3</v>
      </c>
      <c r="C1975" s="2"/>
      <c r="D1975" s="2">
        <v>1</v>
      </c>
      <c r="E1975" s="238" t="s">
        <v>154</v>
      </c>
      <c r="F1975" s="233"/>
      <c r="G1975" s="233"/>
      <c r="H1975" s="234"/>
      <c r="I1975" s="88">
        <f>I1976+I1979</f>
        <v>295000</v>
      </c>
      <c r="J1975" s="88">
        <f>J1976+J1979</f>
        <v>0</v>
      </c>
      <c r="K1975" s="88">
        <f t="shared" si="300"/>
        <v>295000</v>
      </c>
      <c r="L1975" s="88"/>
      <c r="M1975" s="88"/>
      <c r="N1975" s="88"/>
      <c r="O1975" s="88">
        <f t="shared" si="301"/>
        <v>295000</v>
      </c>
      <c r="P1975" s="88">
        <f t="shared" si="302"/>
        <v>0</v>
      </c>
      <c r="Q1975" s="88">
        <f t="shared" si="303"/>
        <v>295000</v>
      </c>
    </row>
    <row r="1976" spans="2:17" ht="12.75">
      <c r="B1976" s="21">
        <f t="shared" si="304"/>
        <v>4</v>
      </c>
      <c r="C1976" s="10"/>
      <c r="D1976" s="10"/>
      <c r="E1976" s="10"/>
      <c r="F1976" s="30" t="s">
        <v>153</v>
      </c>
      <c r="G1976" s="10">
        <v>630</v>
      </c>
      <c r="H1976" s="10" t="s">
        <v>121</v>
      </c>
      <c r="I1976" s="61">
        <f>I1978+I1977</f>
        <v>215000</v>
      </c>
      <c r="J1976" s="61">
        <f>J1978+J1977</f>
        <v>0</v>
      </c>
      <c r="K1976" s="61">
        <f t="shared" si="300"/>
        <v>215000</v>
      </c>
      <c r="L1976" s="61"/>
      <c r="M1976" s="61"/>
      <c r="N1976" s="61"/>
      <c r="O1976" s="61">
        <f t="shared" si="301"/>
        <v>215000</v>
      </c>
      <c r="P1976" s="61">
        <f t="shared" si="302"/>
        <v>0</v>
      </c>
      <c r="Q1976" s="61">
        <f t="shared" si="303"/>
        <v>215000</v>
      </c>
    </row>
    <row r="1977" spans="2:17" ht="12.75">
      <c r="B1977" s="21">
        <f t="shared" si="304"/>
        <v>5</v>
      </c>
      <c r="C1977" s="4"/>
      <c r="D1977" s="4"/>
      <c r="E1977" s="4"/>
      <c r="F1977" s="31" t="s">
        <v>153</v>
      </c>
      <c r="G1977" s="4">
        <v>636</v>
      </c>
      <c r="H1977" s="4" t="s">
        <v>126</v>
      </c>
      <c r="I1977" s="17">
        <f>9000-5000</f>
        <v>4000</v>
      </c>
      <c r="J1977" s="17"/>
      <c r="K1977" s="17">
        <f t="shared" si="300"/>
        <v>4000</v>
      </c>
      <c r="L1977" s="17"/>
      <c r="M1977" s="17"/>
      <c r="N1977" s="17"/>
      <c r="O1977" s="17">
        <f t="shared" si="301"/>
        <v>4000</v>
      </c>
      <c r="P1977" s="17">
        <f t="shared" si="302"/>
        <v>0</v>
      </c>
      <c r="Q1977" s="17">
        <f t="shared" si="303"/>
        <v>4000</v>
      </c>
    </row>
    <row r="1978" spans="2:17" ht="12.75">
      <c r="B1978" s="21">
        <f t="shared" si="304"/>
        <v>6</v>
      </c>
      <c r="C1978" s="4"/>
      <c r="D1978" s="4"/>
      <c r="E1978" s="4"/>
      <c r="F1978" s="31" t="s">
        <v>153</v>
      </c>
      <c r="G1978" s="4">
        <v>637</v>
      </c>
      <c r="H1978" s="4" t="s">
        <v>122</v>
      </c>
      <c r="I1978" s="17">
        <v>211000</v>
      </c>
      <c r="J1978" s="17"/>
      <c r="K1978" s="17">
        <f t="shared" si="300"/>
        <v>211000</v>
      </c>
      <c r="L1978" s="17"/>
      <c r="M1978" s="17"/>
      <c r="N1978" s="17"/>
      <c r="O1978" s="17">
        <f t="shared" si="301"/>
        <v>211000</v>
      </c>
      <c r="P1978" s="17">
        <f t="shared" si="302"/>
        <v>0</v>
      </c>
      <c r="Q1978" s="17">
        <f t="shared" si="303"/>
        <v>211000</v>
      </c>
    </row>
    <row r="1979" spans="2:17" ht="12.75">
      <c r="B1979" s="21">
        <f t="shared" si="304"/>
        <v>7</v>
      </c>
      <c r="C1979" s="10"/>
      <c r="D1979" s="10"/>
      <c r="E1979" s="10"/>
      <c r="F1979" s="30" t="s">
        <v>153</v>
      </c>
      <c r="G1979" s="10">
        <v>640</v>
      </c>
      <c r="H1979" s="10" t="s">
        <v>129</v>
      </c>
      <c r="I1979" s="61">
        <f>I1980</f>
        <v>80000</v>
      </c>
      <c r="J1979" s="61">
        <f>J1980</f>
        <v>0</v>
      </c>
      <c r="K1979" s="61">
        <f t="shared" si="300"/>
        <v>80000</v>
      </c>
      <c r="L1979" s="61"/>
      <c r="M1979" s="61"/>
      <c r="N1979" s="61"/>
      <c r="O1979" s="61">
        <f t="shared" si="301"/>
        <v>80000</v>
      </c>
      <c r="P1979" s="61">
        <f t="shared" si="302"/>
        <v>0</v>
      </c>
      <c r="Q1979" s="61">
        <f t="shared" si="303"/>
        <v>80000</v>
      </c>
    </row>
    <row r="1980" spans="2:17" ht="12.75">
      <c r="B1980" s="21">
        <f t="shared" si="304"/>
        <v>8</v>
      </c>
      <c r="C1980" s="4"/>
      <c r="D1980" s="4"/>
      <c r="E1980" s="4"/>
      <c r="F1980" s="31" t="s">
        <v>153</v>
      </c>
      <c r="G1980" s="4">
        <v>642</v>
      </c>
      <c r="H1980" s="4" t="s">
        <v>130</v>
      </c>
      <c r="I1980" s="17">
        <v>80000</v>
      </c>
      <c r="J1980" s="17"/>
      <c r="K1980" s="17">
        <f t="shared" si="300"/>
        <v>80000</v>
      </c>
      <c r="L1980" s="17"/>
      <c r="M1980" s="17"/>
      <c r="N1980" s="17"/>
      <c r="O1980" s="17">
        <f t="shared" si="301"/>
        <v>80000</v>
      </c>
      <c r="P1980" s="17">
        <f t="shared" si="302"/>
        <v>0</v>
      </c>
      <c r="Q1980" s="17">
        <f t="shared" si="303"/>
        <v>80000</v>
      </c>
    </row>
    <row r="1981" spans="2:17" ht="15">
      <c r="B1981" s="21">
        <f t="shared" si="304"/>
        <v>9</v>
      </c>
      <c r="C1981" s="2"/>
      <c r="D1981" s="2">
        <v>2</v>
      </c>
      <c r="E1981" s="263" t="s">
        <v>346</v>
      </c>
      <c r="F1981" s="264"/>
      <c r="G1981" s="264"/>
      <c r="H1981" s="265"/>
      <c r="I1981" s="88">
        <v>0</v>
      </c>
      <c r="J1981" s="88">
        <v>0</v>
      </c>
      <c r="K1981" s="88">
        <f t="shared" si="300"/>
        <v>0</v>
      </c>
      <c r="L1981" s="88"/>
      <c r="M1981" s="88"/>
      <c r="N1981" s="88"/>
      <c r="O1981" s="88">
        <f t="shared" si="301"/>
        <v>0</v>
      </c>
      <c r="P1981" s="88">
        <f t="shared" si="302"/>
        <v>0</v>
      </c>
      <c r="Q1981" s="88">
        <f t="shared" si="303"/>
        <v>0</v>
      </c>
    </row>
    <row r="1982" spans="2:17" ht="15">
      <c r="B1982" s="21">
        <f t="shared" si="304"/>
        <v>10</v>
      </c>
      <c r="C1982" s="2"/>
      <c r="D1982" s="2">
        <v>3</v>
      </c>
      <c r="E1982" s="238" t="s">
        <v>190</v>
      </c>
      <c r="F1982" s="233"/>
      <c r="G1982" s="233"/>
      <c r="H1982" s="234"/>
      <c r="I1982" s="88">
        <f>I1983+I1984+I1985+I1991</f>
        <v>38200</v>
      </c>
      <c r="J1982" s="88">
        <f>J1983+J1984+J1985+J1991</f>
        <v>0</v>
      </c>
      <c r="K1982" s="88">
        <f t="shared" si="300"/>
        <v>38200</v>
      </c>
      <c r="L1982" s="88"/>
      <c r="M1982" s="88"/>
      <c r="N1982" s="88"/>
      <c r="O1982" s="88">
        <f t="shared" si="301"/>
        <v>38200</v>
      </c>
      <c r="P1982" s="88">
        <f t="shared" si="302"/>
        <v>0</v>
      </c>
      <c r="Q1982" s="88">
        <f t="shared" si="303"/>
        <v>38200</v>
      </c>
    </row>
    <row r="1983" spans="2:17" ht="12.75">
      <c r="B1983" s="21">
        <f t="shared" si="304"/>
        <v>11</v>
      </c>
      <c r="C1983" s="10"/>
      <c r="D1983" s="10"/>
      <c r="E1983" s="10"/>
      <c r="F1983" s="30" t="s">
        <v>189</v>
      </c>
      <c r="G1983" s="10">
        <v>610</v>
      </c>
      <c r="H1983" s="10" t="s">
        <v>131</v>
      </c>
      <c r="I1983" s="61">
        <v>25200</v>
      </c>
      <c r="J1983" s="61"/>
      <c r="K1983" s="61">
        <f t="shared" si="300"/>
        <v>25200</v>
      </c>
      <c r="L1983" s="61"/>
      <c r="M1983" s="61"/>
      <c r="N1983" s="61"/>
      <c r="O1983" s="61">
        <f t="shared" si="301"/>
        <v>25200</v>
      </c>
      <c r="P1983" s="61">
        <f t="shared" si="302"/>
        <v>0</v>
      </c>
      <c r="Q1983" s="61">
        <f t="shared" si="303"/>
        <v>25200</v>
      </c>
    </row>
    <row r="1984" spans="2:17" ht="12.75">
      <c r="B1984" s="21">
        <f t="shared" si="304"/>
        <v>12</v>
      </c>
      <c r="C1984" s="10"/>
      <c r="D1984" s="10"/>
      <c r="E1984" s="10"/>
      <c r="F1984" s="30" t="s">
        <v>189</v>
      </c>
      <c r="G1984" s="10">
        <v>620</v>
      </c>
      <c r="H1984" s="10" t="s">
        <v>124</v>
      </c>
      <c r="I1984" s="61">
        <v>9250</v>
      </c>
      <c r="J1984" s="61"/>
      <c r="K1984" s="61">
        <f t="shared" si="300"/>
        <v>9250</v>
      </c>
      <c r="L1984" s="61"/>
      <c r="M1984" s="61"/>
      <c r="N1984" s="61"/>
      <c r="O1984" s="61">
        <f t="shared" si="301"/>
        <v>9250</v>
      </c>
      <c r="P1984" s="61">
        <f t="shared" si="302"/>
        <v>0</v>
      </c>
      <c r="Q1984" s="61">
        <f t="shared" si="303"/>
        <v>9250</v>
      </c>
    </row>
    <row r="1985" spans="2:17" ht="12.75">
      <c r="B1985" s="21">
        <f t="shared" si="304"/>
        <v>13</v>
      </c>
      <c r="C1985" s="10"/>
      <c r="D1985" s="10"/>
      <c r="E1985" s="10"/>
      <c r="F1985" s="30" t="s">
        <v>189</v>
      </c>
      <c r="G1985" s="10">
        <v>630</v>
      </c>
      <c r="H1985" s="10" t="s">
        <v>121</v>
      </c>
      <c r="I1985" s="61">
        <f>SUM(I1986:I1990)</f>
        <v>3250</v>
      </c>
      <c r="J1985" s="61">
        <f>SUM(J1986:J1990)</f>
        <v>0</v>
      </c>
      <c r="K1985" s="61">
        <f t="shared" si="300"/>
        <v>3250</v>
      </c>
      <c r="L1985" s="61"/>
      <c r="M1985" s="61"/>
      <c r="N1985" s="61"/>
      <c r="O1985" s="61">
        <f t="shared" si="301"/>
        <v>3250</v>
      </c>
      <c r="P1985" s="61">
        <f t="shared" si="302"/>
        <v>0</v>
      </c>
      <c r="Q1985" s="61">
        <f t="shared" si="303"/>
        <v>3250</v>
      </c>
    </row>
    <row r="1986" spans="2:17" ht="12.75">
      <c r="B1986" s="21">
        <f t="shared" si="304"/>
        <v>14</v>
      </c>
      <c r="C1986" s="4"/>
      <c r="D1986" s="4"/>
      <c r="E1986" s="4"/>
      <c r="F1986" s="31" t="s">
        <v>189</v>
      </c>
      <c r="G1986" s="4">
        <v>632</v>
      </c>
      <c r="H1986" s="4" t="s">
        <v>134</v>
      </c>
      <c r="I1986" s="17">
        <v>400</v>
      </c>
      <c r="J1986" s="17"/>
      <c r="K1986" s="17">
        <f t="shared" si="300"/>
        <v>400</v>
      </c>
      <c r="L1986" s="17"/>
      <c r="M1986" s="17"/>
      <c r="N1986" s="17"/>
      <c r="O1986" s="17">
        <f t="shared" si="301"/>
        <v>400</v>
      </c>
      <c r="P1986" s="17">
        <f t="shared" si="302"/>
        <v>0</v>
      </c>
      <c r="Q1986" s="17">
        <f t="shared" si="303"/>
        <v>400</v>
      </c>
    </row>
    <row r="1987" spans="2:17" ht="12.75">
      <c r="B1987" s="21">
        <f t="shared" si="304"/>
        <v>15</v>
      </c>
      <c r="C1987" s="4"/>
      <c r="D1987" s="4"/>
      <c r="E1987" s="4"/>
      <c r="F1987" s="31" t="s">
        <v>189</v>
      </c>
      <c r="G1987" s="4">
        <v>633</v>
      </c>
      <c r="H1987" s="4" t="s">
        <v>125</v>
      </c>
      <c r="I1987" s="17">
        <v>400</v>
      </c>
      <c r="J1987" s="17"/>
      <c r="K1987" s="17">
        <f t="shared" si="300"/>
        <v>400</v>
      </c>
      <c r="L1987" s="17"/>
      <c r="M1987" s="17"/>
      <c r="N1987" s="17"/>
      <c r="O1987" s="17">
        <f t="shared" si="301"/>
        <v>400</v>
      </c>
      <c r="P1987" s="17">
        <f t="shared" si="302"/>
        <v>0</v>
      </c>
      <c r="Q1987" s="17">
        <f t="shared" si="303"/>
        <v>400</v>
      </c>
    </row>
    <row r="1988" spans="2:17" ht="12.75">
      <c r="B1988" s="21">
        <f t="shared" si="304"/>
        <v>16</v>
      </c>
      <c r="C1988" s="4"/>
      <c r="D1988" s="4"/>
      <c r="E1988" s="4"/>
      <c r="F1988" s="31" t="s">
        <v>189</v>
      </c>
      <c r="G1988" s="4">
        <v>635</v>
      </c>
      <c r="H1988" s="4" t="s">
        <v>133</v>
      </c>
      <c r="I1988" s="17">
        <v>100</v>
      </c>
      <c r="J1988" s="17"/>
      <c r="K1988" s="17">
        <f t="shared" si="300"/>
        <v>100</v>
      </c>
      <c r="L1988" s="17"/>
      <c r="M1988" s="17"/>
      <c r="N1988" s="17"/>
      <c r="O1988" s="17">
        <f t="shared" si="301"/>
        <v>100</v>
      </c>
      <c r="P1988" s="17">
        <f t="shared" si="302"/>
        <v>0</v>
      </c>
      <c r="Q1988" s="17">
        <f t="shared" si="303"/>
        <v>100</v>
      </c>
    </row>
    <row r="1989" spans="2:17" ht="12.75">
      <c r="B1989" s="21">
        <f t="shared" si="304"/>
        <v>17</v>
      </c>
      <c r="C1989" s="4"/>
      <c r="D1989" s="4"/>
      <c r="E1989" s="4"/>
      <c r="F1989" s="31" t="s">
        <v>189</v>
      </c>
      <c r="G1989" s="4">
        <v>637</v>
      </c>
      <c r="H1989" s="4" t="s">
        <v>122</v>
      </c>
      <c r="I1989" s="17">
        <v>1800</v>
      </c>
      <c r="J1989" s="17"/>
      <c r="K1989" s="17">
        <f t="shared" si="300"/>
        <v>1800</v>
      </c>
      <c r="L1989" s="17"/>
      <c r="M1989" s="17"/>
      <c r="N1989" s="17"/>
      <c r="O1989" s="17">
        <f t="shared" si="301"/>
        <v>1800</v>
      </c>
      <c r="P1989" s="17">
        <f t="shared" si="302"/>
        <v>0</v>
      </c>
      <c r="Q1989" s="17">
        <f t="shared" si="303"/>
        <v>1800</v>
      </c>
    </row>
    <row r="1990" spans="2:17" ht="12.75">
      <c r="B1990" s="21">
        <f t="shared" si="304"/>
        <v>18</v>
      </c>
      <c r="C1990" s="4"/>
      <c r="D1990" s="4"/>
      <c r="E1990" s="4"/>
      <c r="F1990" s="33" t="s">
        <v>189</v>
      </c>
      <c r="G1990" s="4">
        <v>637</v>
      </c>
      <c r="H1990" s="24" t="s">
        <v>290</v>
      </c>
      <c r="I1990" s="17">
        <v>550</v>
      </c>
      <c r="J1990" s="17"/>
      <c r="K1990" s="17">
        <f t="shared" si="300"/>
        <v>550</v>
      </c>
      <c r="L1990" s="17"/>
      <c r="M1990" s="17"/>
      <c r="N1990" s="17"/>
      <c r="O1990" s="17">
        <f t="shared" si="301"/>
        <v>550</v>
      </c>
      <c r="P1990" s="17">
        <f t="shared" si="302"/>
        <v>0</v>
      </c>
      <c r="Q1990" s="17">
        <f t="shared" si="303"/>
        <v>550</v>
      </c>
    </row>
    <row r="1991" spans="2:17" ht="12.75">
      <c r="B1991" s="21">
        <f t="shared" si="304"/>
        <v>19</v>
      </c>
      <c r="C1991" s="10"/>
      <c r="D1991" s="10"/>
      <c r="E1991" s="10"/>
      <c r="F1991" s="30" t="s">
        <v>189</v>
      </c>
      <c r="G1991" s="10">
        <v>640</v>
      </c>
      <c r="H1991" s="10" t="s">
        <v>129</v>
      </c>
      <c r="I1991" s="61">
        <v>500</v>
      </c>
      <c r="J1991" s="61"/>
      <c r="K1991" s="61">
        <f t="shared" si="300"/>
        <v>500</v>
      </c>
      <c r="L1991" s="61"/>
      <c r="M1991" s="61"/>
      <c r="N1991" s="61"/>
      <c r="O1991" s="61">
        <f t="shared" si="301"/>
        <v>500</v>
      </c>
      <c r="P1991" s="61">
        <f t="shared" si="302"/>
        <v>0</v>
      </c>
      <c r="Q1991" s="61">
        <f t="shared" si="303"/>
        <v>500</v>
      </c>
    </row>
  </sheetData>
  <sheetProtection/>
  <mergeCells count="318">
    <mergeCell ref="E1982:H1982"/>
    <mergeCell ref="E1981:H1981"/>
    <mergeCell ref="E1975:H1975"/>
    <mergeCell ref="B1967:O1967"/>
    <mergeCell ref="G1969:G1972"/>
    <mergeCell ref="H1969:H1972"/>
    <mergeCell ref="C1973:H1973"/>
    <mergeCell ref="D1974:H1974"/>
    <mergeCell ref="E1969:E1972"/>
    <mergeCell ref="O1968:O1972"/>
    <mergeCell ref="B1969:B1972"/>
    <mergeCell ref="L1969:L1972"/>
    <mergeCell ref="I1969:I1972"/>
    <mergeCell ref="P1968:P1972"/>
    <mergeCell ref="B1968:N1968"/>
    <mergeCell ref="Q1968:Q1972"/>
    <mergeCell ref="J1969:J1972"/>
    <mergeCell ref="K1969:K1972"/>
    <mergeCell ref="M1969:M1972"/>
    <mergeCell ref="N1969:N1972"/>
    <mergeCell ref="C1969:C1972"/>
    <mergeCell ref="D1969:D1972"/>
    <mergeCell ref="F1969:F1972"/>
    <mergeCell ref="D1812:H1812"/>
    <mergeCell ref="D1829:H1829"/>
    <mergeCell ref="E1830:H1830"/>
    <mergeCell ref="E1891:H1891"/>
    <mergeCell ref="D1900:H1900"/>
    <mergeCell ref="E1868:H1868"/>
    <mergeCell ref="D1952:H1952"/>
    <mergeCell ref="D1936:H1936"/>
    <mergeCell ref="D1941:H1941"/>
    <mergeCell ref="E1859:H1859"/>
    <mergeCell ref="C1794:H1794"/>
    <mergeCell ref="D1795:H1795"/>
    <mergeCell ref="D1809:H1809"/>
    <mergeCell ref="D1921:H1921"/>
    <mergeCell ref="E1846:H1846"/>
    <mergeCell ref="D1933:H1933"/>
    <mergeCell ref="B1788:O1788"/>
    <mergeCell ref="O1789:O1793"/>
    <mergeCell ref="B1790:B1793"/>
    <mergeCell ref="C1790:C1793"/>
    <mergeCell ref="D1790:D1793"/>
    <mergeCell ref="D1858:H1858"/>
    <mergeCell ref="F1790:F1793"/>
    <mergeCell ref="E1790:E1793"/>
    <mergeCell ref="H1790:H1793"/>
    <mergeCell ref="L1790:L1793"/>
    <mergeCell ref="P1789:P1793"/>
    <mergeCell ref="Q1789:Q1793"/>
    <mergeCell ref="B1789:N1789"/>
    <mergeCell ref="J1790:J1793"/>
    <mergeCell ref="K1790:K1793"/>
    <mergeCell ref="M1790:M1793"/>
    <mergeCell ref="N1790:N1793"/>
    <mergeCell ref="I1790:I1793"/>
    <mergeCell ref="G1790:G1793"/>
    <mergeCell ref="D1764:H1764"/>
    <mergeCell ref="D1679:D1682"/>
    <mergeCell ref="E1738:H1738"/>
    <mergeCell ref="I1679:I1682"/>
    <mergeCell ref="C1679:C1682"/>
    <mergeCell ref="D1771:H1771"/>
    <mergeCell ref="F1679:F1682"/>
    <mergeCell ref="G1679:G1682"/>
    <mergeCell ref="D1760:H1760"/>
    <mergeCell ref="D1719:H1719"/>
    <mergeCell ref="D1745:H1745"/>
    <mergeCell ref="E1679:E1682"/>
    <mergeCell ref="D1684:H1684"/>
    <mergeCell ref="C1683:H1683"/>
    <mergeCell ref="B1677:O1677"/>
    <mergeCell ref="O1678:O1682"/>
    <mergeCell ref="B1679:B1682"/>
    <mergeCell ref="H1679:H1682"/>
    <mergeCell ref="P1678:P1682"/>
    <mergeCell ref="E1720:H1720"/>
    <mergeCell ref="Q1678:Q1682"/>
    <mergeCell ref="B1678:N1678"/>
    <mergeCell ref="J1679:J1682"/>
    <mergeCell ref="K1679:K1682"/>
    <mergeCell ref="M1679:M1682"/>
    <mergeCell ref="N1679:N1682"/>
    <mergeCell ref="L1679:L1682"/>
    <mergeCell ref="D1639:H1639"/>
    <mergeCell ref="D1648:H1648"/>
    <mergeCell ref="D1664:H1664"/>
    <mergeCell ref="D1667:H1667"/>
    <mergeCell ref="C1623:H1623"/>
    <mergeCell ref="D1624:H1624"/>
    <mergeCell ref="B1617:O1617"/>
    <mergeCell ref="O1618:O1622"/>
    <mergeCell ref="B1619:B1622"/>
    <mergeCell ref="C1619:C1622"/>
    <mergeCell ref="D1619:D1622"/>
    <mergeCell ref="E1619:E1622"/>
    <mergeCell ref="F1619:F1622"/>
    <mergeCell ref="G1619:G1622"/>
    <mergeCell ref="H1619:H1622"/>
    <mergeCell ref="P1618:P1622"/>
    <mergeCell ref="Q1618:Q1622"/>
    <mergeCell ref="B1618:N1618"/>
    <mergeCell ref="J1619:J1622"/>
    <mergeCell ref="K1619:K1622"/>
    <mergeCell ref="M1619:M1622"/>
    <mergeCell ref="N1619:N1622"/>
    <mergeCell ref="L1619:L1622"/>
    <mergeCell ref="I1619:I1622"/>
    <mergeCell ref="B1468:O1468"/>
    <mergeCell ref="O1469:O1473"/>
    <mergeCell ref="B1470:B1473"/>
    <mergeCell ref="E1470:E1473"/>
    <mergeCell ref="C1470:C1473"/>
    <mergeCell ref="D1563:H1563"/>
    <mergeCell ref="L1470:L1473"/>
    <mergeCell ref="E1514:H1514"/>
    <mergeCell ref="E1537:H1537"/>
    <mergeCell ref="E1553:H1553"/>
    <mergeCell ref="E1502:H1502"/>
    <mergeCell ref="H1470:H1473"/>
    <mergeCell ref="F1470:F1473"/>
    <mergeCell ref="D1475:H1475"/>
    <mergeCell ref="G1470:G1473"/>
    <mergeCell ref="E1496:H1496"/>
    <mergeCell ref="C1474:H1474"/>
    <mergeCell ref="D1470:D1473"/>
    <mergeCell ref="I1470:I1473"/>
    <mergeCell ref="D1479:H1479"/>
    <mergeCell ref="D1495:H1495"/>
    <mergeCell ref="P1469:P1473"/>
    <mergeCell ref="Q1469:Q1473"/>
    <mergeCell ref="B1469:N1469"/>
    <mergeCell ref="J1470:J1473"/>
    <mergeCell ref="K1470:K1473"/>
    <mergeCell ref="M1470:M1473"/>
    <mergeCell ref="N1470:N1473"/>
    <mergeCell ref="D617:H617"/>
    <mergeCell ref="F612:F615"/>
    <mergeCell ref="C616:H616"/>
    <mergeCell ref="H612:H615"/>
    <mergeCell ref="G612:G615"/>
    <mergeCell ref="D612:D615"/>
    <mergeCell ref="E612:E615"/>
    <mergeCell ref="D1045:H1045"/>
    <mergeCell ref="D806:H806"/>
    <mergeCell ref="B610:O610"/>
    <mergeCell ref="D1438:H1438"/>
    <mergeCell ref="D1163:H1163"/>
    <mergeCell ref="O611:O615"/>
    <mergeCell ref="L612:L615"/>
    <mergeCell ref="B612:B615"/>
    <mergeCell ref="C612:C615"/>
    <mergeCell ref="I612:I615"/>
    <mergeCell ref="P611:P615"/>
    <mergeCell ref="Q611:Q615"/>
    <mergeCell ref="B611:N611"/>
    <mergeCell ref="J612:J615"/>
    <mergeCell ref="K612:K615"/>
    <mergeCell ref="M612:M615"/>
    <mergeCell ref="N612:N615"/>
    <mergeCell ref="E484:H484"/>
    <mergeCell ref="D491:H491"/>
    <mergeCell ref="C452:H452"/>
    <mergeCell ref="I448:I451"/>
    <mergeCell ref="C448:C451"/>
    <mergeCell ref="D453:H453"/>
    <mergeCell ref="D462:H462"/>
    <mergeCell ref="E463:H463"/>
    <mergeCell ref="F448:F451"/>
    <mergeCell ref="G448:G451"/>
    <mergeCell ref="B446:O446"/>
    <mergeCell ref="H448:H451"/>
    <mergeCell ref="O447:O451"/>
    <mergeCell ref="E448:E451"/>
    <mergeCell ref="B448:B451"/>
    <mergeCell ref="L448:L451"/>
    <mergeCell ref="D448:D451"/>
    <mergeCell ref="P447:P451"/>
    <mergeCell ref="Q447:Q451"/>
    <mergeCell ref="B447:N447"/>
    <mergeCell ref="J448:J451"/>
    <mergeCell ref="K448:K451"/>
    <mergeCell ref="M448:M451"/>
    <mergeCell ref="N448:N451"/>
    <mergeCell ref="D400:H400"/>
    <mergeCell ref="D405:H405"/>
    <mergeCell ref="C340:H340"/>
    <mergeCell ref="D341:H341"/>
    <mergeCell ref="G336:G339"/>
    <mergeCell ref="C336:C339"/>
    <mergeCell ref="D336:D339"/>
    <mergeCell ref="E336:E339"/>
    <mergeCell ref="F336:F339"/>
    <mergeCell ref="D392:H392"/>
    <mergeCell ref="D361:H361"/>
    <mergeCell ref="B334:O334"/>
    <mergeCell ref="L336:L339"/>
    <mergeCell ref="I336:I339"/>
    <mergeCell ref="O335:O339"/>
    <mergeCell ref="B336:B339"/>
    <mergeCell ref="H336:H339"/>
    <mergeCell ref="P335:P339"/>
    <mergeCell ref="Q335:Q339"/>
    <mergeCell ref="B335:N335"/>
    <mergeCell ref="J336:J339"/>
    <mergeCell ref="K336:K339"/>
    <mergeCell ref="M336:M339"/>
    <mergeCell ref="N336:N339"/>
    <mergeCell ref="D298:H298"/>
    <mergeCell ref="O224:O228"/>
    <mergeCell ref="B225:B228"/>
    <mergeCell ref="I225:I228"/>
    <mergeCell ref="D225:D228"/>
    <mergeCell ref="H225:H228"/>
    <mergeCell ref="C229:H229"/>
    <mergeCell ref="D230:H230"/>
    <mergeCell ref="E225:E228"/>
    <mergeCell ref="F225:F228"/>
    <mergeCell ref="B223:O223"/>
    <mergeCell ref="D283:H283"/>
    <mergeCell ref="C225:C228"/>
    <mergeCell ref="L225:L228"/>
    <mergeCell ref="G225:G228"/>
    <mergeCell ref="D235:H235"/>
    <mergeCell ref="D271:H271"/>
    <mergeCell ref="D247:H247"/>
    <mergeCell ref="D260:H260"/>
    <mergeCell ref="D119:H119"/>
    <mergeCell ref="D122:H122"/>
    <mergeCell ref="E123:H123"/>
    <mergeCell ref="P224:P228"/>
    <mergeCell ref="Q224:Q228"/>
    <mergeCell ref="B224:N224"/>
    <mergeCell ref="J225:J228"/>
    <mergeCell ref="K225:K228"/>
    <mergeCell ref="M225:M228"/>
    <mergeCell ref="N225:N228"/>
    <mergeCell ref="B112:O112"/>
    <mergeCell ref="O113:O117"/>
    <mergeCell ref="B114:B117"/>
    <mergeCell ref="C114:C117"/>
    <mergeCell ref="D114:D117"/>
    <mergeCell ref="E114:E117"/>
    <mergeCell ref="G114:G117"/>
    <mergeCell ref="H114:H117"/>
    <mergeCell ref="F114:F117"/>
    <mergeCell ref="L114:L117"/>
    <mergeCell ref="D178:H178"/>
    <mergeCell ref="D192:H192"/>
    <mergeCell ref="E126:H126"/>
    <mergeCell ref="E133:H133"/>
    <mergeCell ref="D140:H140"/>
    <mergeCell ref="D146:H146"/>
    <mergeCell ref="D160:H160"/>
    <mergeCell ref="D173:H173"/>
    <mergeCell ref="C118:H118"/>
    <mergeCell ref="G71:G74"/>
    <mergeCell ref="P113:P117"/>
    <mergeCell ref="Q113:Q117"/>
    <mergeCell ref="B113:N113"/>
    <mergeCell ref="J114:J117"/>
    <mergeCell ref="K114:K117"/>
    <mergeCell ref="M114:M117"/>
    <mergeCell ref="N114:N117"/>
    <mergeCell ref="I114:I117"/>
    <mergeCell ref="D90:H90"/>
    <mergeCell ref="B71:B74"/>
    <mergeCell ref="C71:C74"/>
    <mergeCell ref="D71:D74"/>
    <mergeCell ref="E71:E74"/>
    <mergeCell ref="F71:F74"/>
    <mergeCell ref="H71:H74"/>
    <mergeCell ref="C75:H75"/>
    <mergeCell ref="D76:H76"/>
    <mergeCell ref="P70:P74"/>
    <mergeCell ref="Q70:Q74"/>
    <mergeCell ref="B70:N70"/>
    <mergeCell ref="J71:J74"/>
    <mergeCell ref="K71:K74"/>
    <mergeCell ref="M71:M74"/>
    <mergeCell ref="N71:N74"/>
    <mergeCell ref="I71:I74"/>
    <mergeCell ref="O70:O74"/>
    <mergeCell ref="L71:L74"/>
    <mergeCell ref="P3:P7"/>
    <mergeCell ref="Q3:Q7"/>
    <mergeCell ref="J4:J7"/>
    <mergeCell ref="K4:K7"/>
    <mergeCell ref="M4:M7"/>
    <mergeCell ref="N4:N7"/>
    <mergeCell ref="B2:O2"/>
    <mergeCell ref="O3:O7"/>
    <mergeCell ref="I4:I7"/>
    <mergeCell ref="B4:B7"/>
    <mergeCell ref="H4:H7"/>
    <mergeCell ref="B69:O69"/>
    <mergeCell ref="E17:H17"/>
    <mergeCell ref="E20:H20"/>
    <mergeCell ref="D52:H52"/>
    <mergeCell ref="D55:H55"/>
    <mergeCell ref="D4:D7"/>
    <mergeCell ref="D9:H9"/>
    <mergeCell ref="E10:H10"/>
    <mergeCell ref="B3:N3"/>
    <mergeCell ref="F4:F7"/>
    <mergeCell ref="G4:G7"/>
    <mergeCell ref="C4:C7"/>
    <mergeCell ref="D43:H43"/>
    <mergeCell ref="D53:H53"/>
    <mergeCell ref="D29:H29"/>
    <mergeCell ref="E23:H23"/>
    <mergeCell ref="L4:L7"/>
    <mergeCell ref="D66:H66"/>
    <mergeCell ref="D54:H54"/>
    <mergeCell ref="D63:H63"/>
    <mergeCell ref="C8:H8"/>
    <mergeCell ref="E4:E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L3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49.00390625" style="19" customWidth="1"/>
    <col min="4" max="4" width="12.28125" style="19" customWidth="1"/>
    <col min="5" max="5" width="11.00390625" style="19" customWidth="1"/>
    <col min="6" max="6" width="12.28125" style="19" customWidth="1"/>
    <col min="7" max="7" width="13.28125" style="19" customWidth="1"/>
    <col min="8" max="8" width="9.8515625" style="19" customWidth="1"/>
    <col min="9" max="9" width="13.28125" style="19" customWidth="1"/>
    <col min="10" max="10" width="13.421875" style="19" customWidth="1"/>
    <col min="11" max="11" width="12.28125" style="0" customWidth="1"/>
    <col min="12" max="12" width="14.28125" style="0" customWidth="1"/>
  </cols>
  <sheetData>
    <row r="1" ht="13.5" customHeight="1">
      <c r="A1" t="s">
        <v>108</v>
      </c>
    </row>
    <row r="2" spans="2:12" ht="49.5" customHeight="1">
      <c r="B2" s="273"/>
      <c r="C2" s="273"/>
      <c r="D2" s="153" t="s">
        <v>609</v>
      </c>
      <c r="E2" s="153" t="s">
        <v>642</v>
      </c>
      <c r="F2" s="153" t="s">
        <v>645</v>
      </c>
      <c r="G2" s="153" t="s">
        <v>610</v>
      </c>
      <c r="H2" s="153" t="s">
        <v>642</v>
      </c>
      <c r="I2" s="153" t="s">
        <v>645</v>
      </c>
      <c r="J2" s="153" t="s">
        <v>611</v>
      </c>
      <c r="K2" s="153" t="s">
        <v>642</v>
      </c>
      <c r="L2" s="153" t="s">
        <v>611</v>
      </c>
    </row>
    <row r="3" spans="2:12" ht="3" customHeight="1">
      <c r="B3" s="165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5.75">
      <c r="B4" s="166">
        <v>1</v>
      </c>
      <c r="C4" s="162" t="s">
        <v>396</v>
      </c>
      <c r="D4" s="162">
        <f>Príjmy!G441</f>
        <v>51436596</v>
      </c>
      <c r="E4" s="162">
        <f>Príjmy!H441</f>
        <v>104401</v>
      </c>
      <c r="F4" s="162">
        <f>E4+D4</f>
        <v>51540997</v>
      </c>
      <c r="G4" s="162">
        <f>Príjmy!G484</f>
        <v>7936941</v>
      </c>
      <c r="H4" s="162">
        <f>Príjmy!H484</f>
        <v>157403</v>
      </c>
      <c r="I4" s="162">
        <f>H4+G4</f>
        <v>8094344</v>
      </c>
      <c r="J4" s="162">
        <f aca="true" t="shared" si="0" ref="J4:J17">D4+G4</f>
        <v>59373537</v>
      </c>
      <c r="K4" s="162">
        <f aca="true" t="shared" si="1" ref="K4:K17">E4+H4</f>
        <v>261804</v>
      </c>
      <c r="L4" s="162">
        <f>K4+J4</f>
        <v>59635341</v>
      </c>
    </row>
    <row r="5" spans="2:12" ht="15.75">
      <c r="B5" s="166">
        <v>2</v>
      </c>
      <c r="C5" s="73" t="s">
        <v>397</v>
      </c>
      <c r="D5" s="162">
        <f>SUM(D6:D17)</f>
        <v>50910556</v>
      </c>
      <c r="E5" s="162">
        <f>SUM(E6:E17)</f>
        <v>118851</v>
      </c>
      <c r="F5" s="162">
        <f aca="true" t="shared" si="2" ref="F5:F18">E5+D5</f>
        <v>51029407</v>
      </c>
      <c r="G5" s="162">
        <f>SUM(G6:G17)</f>
        <v>17853790</v>
      </c>
      <c r="H5" s="162">
        <f>SUM(H6:H17)</f>
        <v>142953</v>
      </c>
      <c r="I5" s="162">
        <f aca="true" t="shared" si="3" ref="I5:I19">H5+G5</f>
        <v>17996743</v>
      </c>
      <c r="J5" s="162">
        <f t="shared" si="0"/>
        <v>68764346</v>
      </c>
      <c r="K5" s="162">
        <f t="shared" si="1"/>
        <v>261804</v>
      </c>
      <c r="L5" s="162">
        <f aca="true" t="shared" si="4" ref="L5:L20">K5+J5</f>
        <v>69026150</v>
      </c>
    </row>
    <row r="6" spans="2:12" ht="14.25">
      <c r="B6" s="167">
        <v>3</v>
      </c>
      <c r="C6" s="75" t="s">
        <v>31</v>
      </c>
      <c r="D6" s="151">
        <f>Výdavky!I8</f>
        <v>694190</v>
      </c>
      <c r="E6" s="151">
        <f>Výdavky!J8</f>
        <v>0</v>
      </c>
      <c r="F6" s="151">
        <f t="shared" si="2"/>
        <v>694190</v>
      </c>
      <c r="G6" s="151">
        <f>Výdavky!L8</f>
        <v>751332</v>
      </c>
      <c r="H6" s="151">
        <f>Výdavky!M8</f>
        <v>-95600</v>
      </c>
      <c r="I6" s="151">
        <f t="shared" si="3"/>
        <v>655732</v>
      </c>
      <c r="J6" s="151">
        <f t="shared" si="0"/>
        <v>1445522</v>
      </c>
      <c r="K6" s="151">
        <f t="shared" si="1"/>
        <v>-95600</v>
      </c>
      <c r="L6" s="151">
        <f t="shared" si="4"/>
        <v>1349922</v>
      </c>
    </row>
    <row r="7" spans="2:12" ht="14.25">
      <c r="B7" s="167">
        <v>4</v>
      </c>
      <c r="C7" s="74" t="s">
        <v>32</v>
      </c>
      <c r="D7" s="151">
        <f>Výdavky!I75</f>
        <v>526800</v>
      </c>
      <c r="E7" s="151">
        <f>Výdavky!J75</f>
        <v>0</v>
      </c>
      <c r="F7" s="151">
        <f t="shared" si="2"/>
        <v>526800</v>
      </c>
      <c r="G7" s="151">
        <f>Výdavky!L75</f>
        <v>0</v>
      </c>
      <c r="H7" s="151">
        <f>Výdavky!M75</f>
        <v>0</v>
      </c>
      <c r="I7" s="151">
        <f t="shared" si="3"/>
        <v>0</v>
      </c>
      <c r="J7" s="151">
        <f t="shared" si="0"/>
        <v>526800</v>
      </c>
      <c r="K7" s="151">
        <f t="shared" si="1"/>
        <v>0</v>
      </c>
      <c r="L7" s="151">
        <f t="shared" si="4"/>
        <v>526800</v>
      </c>
    </row>
    <row r="8" spans="2:12" ht="14.25">
      <c r="B8" s="167">
        <v>5</v>
      </c>
      <c r="C8" s="74" t="s">
        <v>33</v>
      </c>
      <c r="D8" s="151">
        <f>Výdavky!I118</f>
        <v>5469314</v>
      </c>
      <c r="E8" s="151">
        <f>Výdavky!J118</f>
        <v>-200</v>
      </c>
      <c r="F8" s="151">
        <f t="shared" si="2"/>
        <v>5469114</v>
      </c>
      <c r="G8" s="151">
        <f>Výdavky!L118</f>
        <v>493602</v>
      </c>
      <c r="H8" s="151">
        <f>Výdavky!M118</f>
        <v>100000</v>
      </c>
      <c r="I8" s="151">
        <f t="shared" si="3"/>
        <v>593602</v>
      </c>
      <c r="J8" s="151">
        <f t="shared" si="0"/>
        <v>5962916</v>
      </c>
      <c r="K8" s="151">
        <f t="shared" si="1"/>
        <v>99800</v>
      </c>
      <c r="L8" s="151">
        <f t="shared" si="4"/>
        <v>6062716</v>
      </c>
    </row>
    <row r="9" spans="2:12" ht="14.25">
      <c r="B9" s="167">
        <v>6</v>
      </c>
      <c r="C9" s="74" t="s">
        <v>34</v>
      </c>
      <c r="D9" s="151">
        <f>Výdavky!I229</f>
        <v>975799</v>
      </c>
      <c r="E9" s="151">
        <f>Výdavky!J229</f>
        <v>18160</v>
      </c>
      <c r="F9" s="151">
        <f t="shared" si="2"/>
        <v>993959</v>
      </c>
      <c r="G9" s="151">
        <f>Výdavky!L229</f>
        <v>35400</v>
      </c>
      <c r="H9" s="151">
        <f>Výdavky!M229</f>
        <v>0</v>
      </c>
      <c r="I9" s="151">
        <f t="shared" si="3"/>
        <v>35400</v>
      </c>
      <c r="J9" s="151">
        <f t="shared" si="0"/>
        <v>1011199</v>
      </c>
      <c r="K9" s="151">
        <f t="shared" si="1"/>
        <v>18160</v>
      </c>
      <c r="L9" s="151">
        <f t="shared" si="4"/>
        <v>1029359</v>
      </c>
    </row>
    <row r="10" spans="2:12" ht="14.25">
      <c r="B10" s="167">
        <v>7</v>
      </c>
      <c r="C10" s="74" t="s">
        <v>35</v>
      </c>
      <c r="D10" s="151">
        <f>Výdavky!I340</f>
        <v>2205956</v>
      </c>
      <c r="E10" s="151">
        <f>Výdavky!J340</f>
        <v>400</v>
      </c>
      <c r="F10" s="151">
        <f t="shared" si="2"/>
        <v>2206356</v>
      </c>
      <c r="G10" s="151">
        <f>Výdavky!L340</f>
        <v>283400</v>
      </c>
      <c r="H10" s="151">
        <f>Výdavky!M340</f>
        <v>0</v>
      </c>
      <c r="I10" s="151">
        <f>H10+G10</f>
        <v>283400</v>
      </c>
      <c r="J10" s="151">
        <f t="shared" si="0"/>
        <v>2489356</v>
      </c>
      <c r="K10" s="151">
        <f t="shared" si="1"/>
        <v>400</v>
      </c>
      <c r="L10" s="151">
        <f t="shared" si="4"/>
        <v>2489756</v>
      </c>
    </row>
    <row r="11" spans="2:12" ht="14.25">
      <c r="B11" s="167">
        <v>8</v>
      </c>
      <c r="C11" s="74" t="s">
        <v>36</v>
      </c>
      <c r="D11" s="151">
        <f>Výdavky!I452</f>
        <v>5635566</v>
      </c>
      <c r="E11" s="151">
        <f>Výdavky!J452</f>
        <v>0</v>
      </c>
      <c r="F11" s="151">
        <f t="shared" si="2"/>
        <v>5635566</v>
      </c>
      <c r="G11" s="151">
        <f>Výdavky!L452</f>
        <v>4838992</v>
      </c>
      <c r="H11" s="151">
        <f>Výdavky!M452</f>
        <v>105600</v>
      </c>
      <c r="I11" s="151">
        <f t="shared" si="3"/>
        <v>4944592</v>
      </c>
      <c r="J11" s="151">
        <f t="shared" si="0"/>
        <v>10474558</v>
      </c>
      <c r="K11" s="151">
        <f t="shared" si="1"/>
        <v>105600</v>
      </c>
      <c r="L11" s="151">
        <f t="shared" si="4"/>
        <v>10580158</v>
      </c>
    </row>
    <row r="12" spans="2:12" ht="14.25">
      <c r="B12" s="167">
        <v>9</v>
      </c>
      <c r="C12" s="74" t="s">
        <v>37</v>
      </c>
      <c r="D12" s="151">
        <f>Výdavky!I616</f>
        <v>23616654</v>
      </c>
      <c r="E12" s="151">
        <f>Výdavky!J616</f>
        <v>15388</v>
      </c>
      <c r="F12" s="151">
        <f t="shared" si="2"/>
        <v>23632042</v>
      </c>
      <c r="G12" s="151">
        <f>Výdavky!L616</f>
        <v>1159039</v>
      </c>
      <c r="H12" s="151">
        <f>Výdavky!M616</f>
        <v>14153</v>
      </c>
      <c r="I12" s="151">
        <f t="shared" si="3"/>
        <v>1173192</v>
      </c>
      <c r="J12" s="151">
        <f t="shared" si="0"/>
        <v>24775693</v>
      </c>
      <c r="K12" s="151">
        <f t="shared" si="1"/>
        <v>29541</v>
      </c>
      <c r="L12" s="151">
        <f t="shared" si="4"/>
        <v>24805234</v>
      </c>
    </row>
    <row r="13" spans="2:12" ht="14.25">
      <c r="B13" s="167">
        <v>10</v>
      </c>
      <c r="C13" s="74" t="s">
        <v>0</v>
      </c>
      <c r="D13" s="151">
        <f>Výdavky!I1474</f>
        <v>2140690</v>
      </c>
      <c r="E13" s="151">
        <f>Výdavky!J1474</f>
        <v>39145</v>
      </c>
      <c r="F13" s="151">
        <f t="shared" si="2"/>
        <v>2179835</v>
      </c>
      <c r="G13" s="151">
        <f>Výdavky!L1474</f>
        <v>5623287</v>
      </c>
      <c r="H13" s="151">
        <f>Výdavky!M1474</f>
        <v>-10000</v>
      </c>
      <c r="I13" s="151">
        <f t="shared" si="3"/>
        <v>5613287</v>
      </c>
      <c r="J13" s="151">
        <f t="shared" si="0"/>
        <v>7763977</v>
      </c>
      <c r="K13" s="151">
        <f t="shared" si="1"/>
        <v>29145</v>
      </c>
      <c r="L13" s="151">
        <f t="shared" si="4"/>
        <v>7793122</v>
      </c>
    </row>
    <row r="14" spans="2:12" ht="14.25">
      <c r="B14" s="167">
        <v>11</v>
      </c>
      <c r="C14" s="74" t="s">
        <v>38</v>
      </c>
      <c r="D14" s="151">
        <f>Výdavky!I1623</f>
        <v>616505</v>
      </c>
      <c r="E14" s="151">
        <f>Výdavky!J1623</f>
        <v>-5936</v>
      </c>
      <c r="F14" s="151">
        <f t="shared" si="2"/>
        <v>610569</v>
      </c>
      <c r="G14" s="151">
        <f>Výdavky!L1623</f>
        <v>2535880</v>
      </c>
      <c r="H14" s="151">
        <f>Výdavky!M1623</f>
        <v>0</v>
      </c>
      <c r="I14" s="151">
        <f t="shared" si="3"/>
        <v>2535880</v>
      </c>
      <c r="J14" s="151">
        <f t="shared" si="0"/>
        <v>3152385</v>
      </c>
      <c r="K14" s="151">
        <f t="shared" si="1"/>
        <v>-5936</v>
      </c>
      <c r="L14" s="151">
        <f t="shared" si="4"/>
        <v>3146449</v>
      </c>
    </row>
    <row r="15" spans="2:12" ht="14.25">
      <c r="B15" s="167">
        <v>12</v>
      </c>
      <c r="C15" s="74" t="s">
        <v>39</v>
      </c>
      <c r="D15" s="151">
        <f>Výdavky!I1683</f>
        <v>4490681</v>
      </c>
      <c r="E15" s="151">
        <f>Výdavky!J1683</f>
        <v>51644</v>
      </c>
      <c r="F15" s="151">
        <f t="shared" si="2"/>
        <v>4542325</v>
      </c>
      <c r="G15" s="151">
        <f>Výdavky!L1683</f>
        <v>1325668</v>
      </c>
      <c r="H15" s="151">
        <f>Výdavky!M1683</f>
        <v>28800</v>
      </c>
      <c r="I15" s="151">
        <f t="shared" si="3"/>
        <v>1354468</v>
      </c>
      <c r="J15" s="151">
        <f t="shared" si="0"/>
        <v>5816349</v>
      </c>
      <c r="K15" s="151">
        <f t="shared" si="1"/>
        <v>80444</v>
      </c>
      <c r="L15" s="151">
        <f t="shared" si="4"/>
        <v>5896793</v>
      </c>
    </row>
    <row r="16" spans="2:12" ht="14.25">
      <c r="B16" s="167">
        <v>13</v>
      </c>
      <c r="C16" s="74" t="s">
        <v>40</v>
      </c>
      <c r="D16" s="151">
        <f>Výdavky!I1794</f>
        <v>4205201</v>
      </c>
      <c r="E16" s="151">
        <f>Výdavky!J1794</f>
        <v>250</v>
      </c>
      <c r="F16" s="151">
        <f t="shared" si="2"/>
        <v>4205451</v>
      </c>
      <c r="G16" s="151">
        <f>Výdavky!L1794</f>
        <v>807190</v>
      </c>
      <c r="H16" s="151">
        <f>Výdavky!M1794</f>
        <v>0</v>
      </c>
      <c r="I16" s="151">
        <f t="shared" si="3"/>
        <v>807190</v>
      </c>
      <c r="J16" s="151">
        <f t="shared" si="0"/>
        <v>5012391</v>
      </c>
      <c r="K16" s="151">
        <f t="shared" si="1"/>
        <v>250</v>
      </c>
      <c r="L16" s="151">
        <f t="shared" si="4"/>
        <v>5012641</v>
      </c>
    </row>
    <row r="17" spans="2:12" ht="14.25">
      <c r="B17" s="167">
        <v>14</v>
      </c>
      <c r="C17" s="74" t="s">
        <v>41</v>
      </c>
      <c r="D17" s="151">
        <f>Výdavky!I1973</f>
        <v>333200</v>
      </c>
      <c r="E17" s="151">
        <f>Výdavky!J1973</f>
        <v>0</v>
      </c>
      <c r="F17" s="151">
        <f t="shared" si="2"/>
        <v>333200</v>
      </c>
      <c r="G17" s="151">
        <f>Výdavky!L1973</f>
        <v>0</v>
      </c>
      <c r="H17" s="151">
        <f>Výdavky!M1973</f>
        <v>0</v>
      </c>
      <c r="I17" s="151">
        <f t="shared" si="3"/>
        <v>0</v>
      </c>
      <c r="J17" s="151">
        <f t="shared" si="0"/>
        <v>333200</v>
      </c>
      <c r="K17" s="151">
        <f t="shared" si="1"/>
        <v>0</v>
      </c>
      <c r="L17" s="151">
        <f t="shared" si="4"/>
        <v>333200</v>
      </c>
    </row>
    <row r="18" spans="2:12" ht="15.75">
      <c r="B18" s="166">
        <v>15</v>
      </c>
      <c r="C18" s="72" t="s">
        <v>42</v>
      </c>
      <c r="D18" s="162">
        <f>D4-D5</f>
        <v>526040</v>
      </c>
      <c r="E18" s="162">
        <f>E4-E5</f>
        <v>-14450</v>
      </c>
      <c r="F18" s="162">
        <f t="shared" si="2"/>
        <v>511590</v>
      </c>
      <c r="G18" s="150"/>
      <c r="H18" s="150"/>
      <c r="I18" s="150"/>
      <c r="J18" s="150"/>
      <c r="K18" s="150"/>
      <c r="L18" s="150"/>
    </row>
    <row r="19" spans="2:12" ht="15.75">
      <c r="B19" s="166">
        <v>16</v>
      </c>
      <c r="C19" s="72" t="s">
        <v>43</v>
      </c>
      <c r="D19" s="73"/>
      <c r="E19" s="73"/>
      <c r="F19" s="73"/>
      <c r="G19" s="162">
        <f>G4-G5</f>
        <v>-9916849</v>
      </c>
      <c r="H19" s="162">
        <f>H4-H5</f>
        <v>14450</v>
      </c>
      <c r="I19" s="162">
        <f t="shared" si="3"/>
        <v>-9902399</v>
      </c>
      <c r="J19" s="150"/>
      <c r="K19" s="150"/>
      <c r="L19" s="150"/>
    </row>
    <row r="20" spans="2:12" ht="15.75">
      <c r="B20" s="166">
        <v>17</v>
      </c>
      <c r="C20" s="72" t="s">
        <v>44</v>
      </c>
      <c r="D20" s="73"/>
      <c r="E20" s="73"/>
      <c r="F20" s="73"/>
      <c r="G20" s="73"/>
      <c r="H20" s="73"/>
      <c r="I20" s="73"/>
      <c r="J20" s="162">
        <f>J4-J5</f>
        <v>-9390809</v>
      </c>
      <c r="K20" s="162">
        <f>K4-K5</f>
        <v>0</v>
      </c>
      <c r="L20" s="162">
        <f t="shared" si="4"/>
        <v>-9390809</v>
      </c>
    </row>
    <row r="21" ht="6" customHeight="1"/>
    <row r="22" spans="2:12" ht="15">
      <c r="B22" s="274" t="s">
        <v>107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</row>
    <row r="23" spans="2:12" ht="15.75">
      <c r="B23" s="107">
        <v>1</v>
      </c>
      <c r="C23" s="275" t="s">
        <v>45</v>
      </c>
      <c r="D23" s="276"/>
      <c r="E23" s="276"/>
      <c r="F23" s="276"/>
      <c r="G23" s="276"/>
      <c r="H23" s="276"/>
      <c r="I23" s="277"/>
      <c r="J23" s="163">
        <f>SUM(J24:J29)</f>
        <v>11502109</v>
      </c>
      <c r="K23" s="163">
        <f>SUM(K24:K29)</f>
        <v>0</v>
      </c>
      <c r="L23" s="163">
        <f>J23+K23</f>
        <v>11502109</v>
      </c>
    </row>
    <row r="24" spans="2:12" ht="12.75">
      <c r="B24" s="107">
        <f>B23+1</f>
        <v>2</v>
      </c>
      <c r="C24" s="266" t="s">
        <v>416</v>
      </c>
      <c r="D24" s="267"/>
      <c r="E24" s="267"/>
      <c r="F24" s="267"/>
      <c r="G24" s="267"/>
      <c r="H24" s="172"/>
      <c r="I24" s="172"/>
      <c r="J24" s="129">
        <f>17067+461138</f>
        <v>478205</v>
      </c>
      <c r="K24" s="129"/>
      <c r="L24" s="129">
        <f aca="true" t="shared" si="5" ref="L24:L35">J24+K24</f>
        <v>478205</v>
      </c>
    </row>
    <row r="25" spans="2:12" ht="12.75">
      <c r="B25" s="107">
        <f aca="true" t="shared" si="6" ref="B25:B35">B24+1</f>
        <v>3</v>
      </c>
      <c r="C25" s="266" t="s">
        <v>491</v>
      </c>
      <c r="D25" s="267"/>
      <c r="E25" s="267"/>
      <c r="F25" s="267"/>
      <c r="G25" s="267"/>
      <c r="H25" s="172"/>
      <c r="I25" s="172"/>
      <c r="J25" s="129">
        <f>7328200+3000+3641262</f>
        <v>10972462</v>
      </c>
      <c r="K25" s="129"/>
      <c r="L25" s="129">
        <f t="shared" si="5"/>
        <v>10972462</v>
      </c>
    </row>
    <row r="26" spans="2:12" ht="12.75">
      <c r="B26" s="107">
        <f t="shared" si="6"/>
        <v>4</v>
      </c>
      <c r="C26" s="171" t="s">
        <v>603</v>
      </c>
      <c r="D26" s="172"/>
      <c r="E26" s="172"/>
      <c r="F26" s="172"/>
      <c r="G26" s="172"/>
      <c r="H26" s="172"/>
      <c r="I26" s="172"/>
      <c r="J26" s="129">
        <v>11663</v>
      </c>
      <c r="K26" s="129"/>
      <c r="L26" s="129">
        <f t="shared" si="5"/>
        <v>11663</v>
      </c>
    </row>
    <row r="27" spans="2:12" ht="12.75">
      <c r="B27" s="107">
        <f t="shared" si="6"/>
        <v>5</v>
      </c>
      <c r="C27" s="266" t="s">
        <v>417</v>
      </c>
      <c r="D27" s="267"/>
      <c r="E27" s="267"/>
      <c r="F27" s="267"/>
      <c r="G27" s="267"/>
      <c r="H27" s="172"/>
      <c r="I27" s="172"/>
      <c r="J27" s="129">
        <f>2400+4500</f>
        <v>6900</v>
      </c>
      <c r="K27" s="129"/>
      <c r="L27" s="129">
        <f t="shared" si="5"/>
        <v>6900</v>
      </c>
    </row>
    <row r="28" spans="2:12" ht="12.75">
      <c r="B28" s="107">
        <f t="shared" si="6"/>
        <v>6</v>
      </c>
      <c r="C28" s="171" t="s">
        <v>622</v>
      </c>
      <c r="D28" s="172"/>
      <c r="E28" s="172"/>
      <c r="F28" s="172"/>
      <c r="G28" s="172"/>
      <c r="H28" s="172"/>
      <c r="I28" s="172"/>
      <c r="J28" s="129">
        <v>1879</v>
      </c>
      <c r="K28" s="129"/>
      <c r="L28" s="129">
        <f t="shared" si="5"/>
        <v>1879</v>
      </c>
    </row>
    <row r="29" spans="2:12" ht="12.75">
      <c r="B29" s="107">
        <f t="shared" si="6"/>
        <v>7</v>
      </c>
      <c r="C29" s="171" t="s">
        <v>631</v>
      </c>
      <c r="D29" s="172"/>
      <c r="E29" s="172"/>
      <c r="F29" s="172"/>
      <c r="G29" s="172"/>
      <c r="H29" s="172"/>
      <c r="I29" s="172"/>
      <c r="J29" s="129">
        <v>31000</v>
      </c>
      <c r="K29" s="129"/>
      <c r="L29" s="129">
        <f t="shared" si="5"/>
        <v>31000</v>
      </c>
    </row>
    <row r="30" spans="2:12" ht="15.75">
      <c r="B30" s="107">
        <f t="shared" si="6"/>
        <v>8</v>
      </c>
      <c r="C30" s="275" t="s">
        <v>46</v>
      </c>
      <c r="D30" s="276"/>
      <c r="E30" s="276"/>
      <c r="F30" s="276"/>
      <c r="G30" s="276"/>
      <c r="H30" s="276"/>
      <c r="I30" s="277"/>
      <c r="J30" s="163">
        <f>SUM(J31:J34)</f>
        <v>2111300</v>
      </c>
      <c r="K30" s="163">
        <f>SUM(K31:K34)</f>
        <v>0</v>
      </c>
      <c r="L30" s="163">
        <f t="shared" si="5"/>
        <v>2111300</v>
      </c>
    </row>
    <row r="31" spans="2:12" ht="12.75">
      <c r="B31" s="107">
        <f t="shared" si="6"/>
        <v>9</v>
      </c>
      <c r="C31" s="266" t="s">
        <v>418</v>
      </c>
      <c r="D31" s="267"/>
      <c r="E31" s="267"/>
      <c r="F31" s="267"/>
      <c r="G31" s="267"/>
      <c r="H31" s="172"/>
      <c r="I31" s="172"/>
      <c r="J31" s="129">
        <v>2006300</v>
      </c>
      <c r="K31" s="129"/>
      <c r="L31" s="129">
        <f t="shared" si="5"/>
        <v>2006300</v>
      </c>
    </row>
    <row r="32" spans="2:12" ht="12.75">
      <c r="B32" s="107">
        <f t="shared" si="6"/>
        <v>10</v>
      </c>
      <c r="C32" s="266" t="s">
        <v>419</v>
      </c>
      <c r="D32" s="267"/>
      <c r="E32" s="267"/>
      <c r="F32" s="267"/>
      <c r="G32" s="267"/>
      <c r="H32" s="172"/>
      <c r="I32" s="172"/>
      <c r="J32" s="129">
        <v>30000</v>
      </c>
      <c r="K32" s="129"/>
      <c r="L32" s="129">
        <f t="shared" si="5"/>
        <v>30000</v>
      </c>
    </row>
    <row r="33" spans="2:12" ht="12.75">
      <c r="B33" s="107">
        <f t="shared" si="6"/>
        <v>11</v>
      </c>
      <c r="C33" s="266" t="s">
        <v>420</v>
      </c>
      <c r="D33" s="267"/>
      <c r="E33" s="267"/>
      <c r="F33" s="267"/>
      <c r="G33" s="267"/>
      <c r="H33" s="172"/>
      <c r="I33" s="172"/>
      <c r="J33" s="129">
        <v>50000</v>
      </c>
      <c r="K33" s="129"/>
      <c r="L33" s="129">
        <f t="shared" si="5"/>
        <v>50000</v>
      </c>
    </row>
    <row r="34" spans="2:12" ht="13.5" thickBot="1">
      <c r="B34" s="107">
        <f t="shared" si="6"/>
        <v>12</v>
      </c>
      <c r="C34" s="266" t="s">
        <v>421</v>
      </c>
      <c r="D34" s="267"/>
      <c r="E34" s="267"/>
      <c r="F34" s="267"/>
      <c r="G34" s="267"/>
      <c r="H34" s="172"/>
      <c r="I34" s="172"/>
      <c r="J34" s="129">
        <v>25000</v>
      </c>
      <c r="K34" s="129"/>
      <c r="L34" s="129">
        <f t="shared" si="5"/>
        <v>25000</v>
      </c>
    </row>
    <row r="35" spans="2:12" ht="16.5" thickTop="1">
      <c r="B35" s="107">
        <f t="shared" si="6"/>
        <v>13</v>
      </c>
      <c r="C35" s="268" t="s">
        <v>47</v>
      </c>
      <c r="D35" s="269"/>
      <c r="E35" s="269"/>
      <c r="F35" s="269"/>
      <c r="G35" s="269"/>
      <c r="H35" s="269"/>
      <c r="I35" s="270"/>
      <c r="J35" s="164">
        <f>J20+J23-J30</f>
        <v>0</v>
      </c>
      <c r="K35" s="164">
        <f>K20+K23-K30</f>
        <v>0</v>
      </c>
      <c r="L35" s="164">
        <f t="shared" si="5"/>
        <v>0</v>
      </c>
    </row>
    <row r="36" ht="12.75">
      <c r="J36" s="152"/>
    </row>
    <row r="37" spans="2:12" ht="47.25" customHeight="1">
      <c r="B37" s="271" t="s">
        <v>490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</row>
    <row r="38" spans="2:12" ht="32.25" customHeight="1">
      <c r="B38" s="272" t="s">
        <v>494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</row>
  </sheetData>
  <sheetProtection/>
  <mergeCells count="14">
    <mergeCell ref="B2:C2"/>
    <mergeCell ref="C24:G24"/>
    <mergeCell ref="B22:L22"/>
    <mergeCell ref="C23:I23"/>
    <mergeCell ref="C30:I30"/>
    <mergeCell ref="C34:G34"/>
    <mergeCell ref="C32:G32"/>
    <mergeCell ref="C33:G33"/>
    <mergeCell ref="C27:G27"/>
    <mergeCell ref="C31:G31"/>
    <mergeCell ref="C35:I35"/>
    <mergeCell ref="B37:L37"/>
    <mergeCell ref="B38:L38"/>
    <mergeCell ref="C25:G25"/>
  </mergeCells>
  <printOptions/>
  <pageMargins left="0" right="0.15748031496062992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2021-09-20T07:14:12Z</cp:lastPrinted>
  <dcterms:created xsi:type="dcterms:W3CDTF">2014-05-27T11:25:41Z</dcterms:created>
  <dcterms:modified xsi:type="dcterms:W3CDTF">2021-09-30T12:31:51Z</dcterms:modified>
  <cp:category/>
  <cp:version/>
  <cp:contentType/>
  <cp:contentStatus/>
</cp:coreProperties>
</file>