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0\Záverečný účet 2020\"/>
    </mc:Choice>
  </mc:AlternateContent>
  <xr:revisionPtr revIDLastSave="0" documentId="13_ncr:1_{FD1D420C-6A7E-4657-94F2-262A5ED052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zamest_ZŠ" sheetId="22" r:id="rId22"/>
    <sheet name="Počet_žiakov_a_tried" sheetId="23" r:id="rId23"/>
    <sheet name="Zoznam_org_" sheetId="24" r:id="rId24"/>
    <sheet name="ESA" sheetId="25" r:id="rId25"/>
  </sheets>
  <definedNames>
    <definedName name="_xlnm.Print_Area" localSheetId="6">Bežné_dotácie!$C$2:$F$47</definedName>
    <definedName name="_xlnm.Print_Area" localSheetId="17">'BV-funkčná_kl_'!$B$2:$G$52</definedName>
    <definedName name="_xlnm.Print_Area" localSheetId="10">Dotácie_kultúra!$B$1:$E$68</definedName>
    <definedName name="_xlnm.Print_Area" localSheetId="8">Dotácie_na_šport_1!$B$3:$D$55</definedName>
    <definedName name="_xlnm.Print_Area" localSheetId="9">Dotácie_na_šport_2!$B$3:$E$56</definedName>
    <definedName name="_xlnm.Print_Area" localSheetId="12">Dotácie_v_oblasti_školstva!$B$3:$E$31</definedName>
    <definedName name="_xlnm.Print_Area" localSheetId="13">Dotácie_v_oblasti_ŽP!$B$3:$E$17</definedName>
    <definedName name="_xlnm.Print_Area" localSheetId="11">Dotácie_v_soc_oblasti!$B$2:$E$24</definedName>
    <definedName name="_xlnm.Print_Area" localSheetId="24">ESA!$B$2:$D$31</definedName>
    <definedName name="_xlnm.Print_Area" localSheetId="20">FO_podľa_RK!$B$2:$F$15</definedName>
    <definedName name="_xlnm.Print_Area" localSheetId="7">Kapitálové_dotácie!$B$1:$E$20</definedName>
    <definedName name="_xlnm.Print_Area" localSheetId="18">'KV-funkčná_kl_'!$B$2:$G$31</definedName>
    <definedName name="_xlnm.Print_Area" localSheetId="4">Materské_školy!$B$2:$I$73</definedName>
    <definedName name="_xlnm.Print_Area" localSheetId="1">MHSL!$B$1:$H$66</definedName>
    <definedName name="_xlnm.Print_Area" localSheetId="21">Počet_zamest_ZŠ!$B$2:$I$20</definedName>
    <definedName name="_xlnm.Print_Area" localSheetId="22">Počet_žiakov_a_tried!$A$2:$S$27</definedName>
    <definedName name="_xlnm.Print_Area" localSheetId="14">Pohľadávky!$B$1:$E$25</definedName>
    <definedName name="_xlnm.Print_Area" localSheetId="15">Prehľad_dlhu!$B$1:$J$57</definedName>
    <definedName name="_xlnm.Print_Area" localSheetId="2">SSMT!$B$2:$G$65</definedName>
    <definedName name="_xlnm.Print_Area" localSheetId="0">Súvahy!$B$3:$L$23</definedName>
    <definedName name="_xlnm.Print_Area" localSheetId="3">ŠZMT!$B$1:$H$28</definedName>
    <definedName name="_xlnm.Print_Area" localSheetId="19">Výdavky_ek_kl_!$B$3:$F$31</definedName>
    <definedName name="_xlnm.Print_Area" localSheetId="16">Vývoj_dlhovej_služby!$B$2:$I$42</definedName>
    <definedName name="_xlnm.Print_Area" localSheetId="5">Základné_školy!$B$1:$L$303</definedName>
    <definedName name="_xlnm.Print_Area" localSheetId="23">Zoznam_org_!$B$2:$D$21</definedName>
  </definedNames>
  <calcPr calcId="191029"/>
</workbook>
</file>

<file path=xl/calcChain.xml><?xml version="1.0" encoding="utf-8"?>
<calcChain xmlns="http://schemas.openxmlformats.org/spreadsheetml/2006/main">
  <c r="F10" i="19" l="1"/>
  <c r="G10" i="19"/>
  <c r="E10" i="19"/>
  <c r="F28" i="19"/>
  <c r="G28" i="19"/>
  <c r="E28" i="19"/>
  <c r="E9" i="14" l="1"/>
  <c r="E23" i="13"/>
  <c r="E22" i="12"/>
  <c r="E55" i="11"/>
  <c r="E63" i="11"/>
  <c r="E62" i="11"/>
  <c r="E19" i="11"/>
  <c r="E17" i="11"/>
  <c r="B23" i="10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22" i="10"/>
  <c r="E24" i="10"/>
  <c r="E23" i="10"/>
  <c r="E10" i="10"/>
  <c r="D24" i="9"/>
  <c r="K300" i="6"/>
  <c r="K299" i="6"/>
  <c r="K298" i="6"/>
  <c r="K297" i="6"/>
  <c r="K296" i="6"/>
  <c r="K295" i="6"/>
  <c r="K294" i="6"/>
  <c r="K293" i="6"/>
  <c r="K291" i="6"/>
  <c r="K290" i="6"/>
  <c r="J301" i="6"/>
  <c r="J300" i="6"/>
  <c r="J299" i="6"/>
  <c r="J298" i="6"/>
  <c r="J297" i="6"/>
  <c r="J296" i="6"/>
  <c r="J295" i="6"/>
  <c r="J294" i="6"/>
  <c r="J293" i="6"/>
  <c r="J291" i="6"/>
  <c r="J290" i="6"/>
  <c r="I301" i="6"/>
  <c r="I298" i="6"/>
  <c r="I296" i="6"/>
  <c r="H301" i="6"/>
  <c r="H298" i="6"/>
  <c r="H296" i="6"/>
  <c r="G301" i="6"/>
  <c r="G298" i="6"/>
  <c r="G296" i="6"/>
  <c r="F295" i="6"/>
  <c r="E302" i="6"/>
  <c r="E301" i="6"/>
  <c r="E298" i="6"/>
  <c r="E296" i="6"/>
  <c r="D301" i="6"/>
  <c r="D298" i="6"/>
  <c r="D296" i="6"/>
  <c r="C298" i="6"/>
  <c r="C297" i="6"/>
  <c r="C295" i="6"/>
  <c r="C294" i="6"/>
  <c r="C291" i="6"/>
  <c r="C290" i="6"/>
  <c r="E286" i="6"/>
  <c r="E284" i="6"/>
  <c r="E283" i="6"/>
  <c r="E282" i="6"/>
  <c r="I256" i="6"/>
  <c r="I255" i="6"/>
  <c r="I254" i="6"/>
  <c r="I253" i="6"/>
  <c r="I252" i="6"/>
  <c r="I251" i="6"/>
  <c r="I250" i="6"/>
  <c r="I249" i="6"/>
  <c r="I247" i="6"/>
  <c r="I246" i="6"/>
  <c r="H229" i="6"/>
  <c r="H228" i="6"/>
  <c r="H227" i="6"/>
  <c r="H226" i="6"/>
  <c r="H225" i="6"/>
  <c r="H224" i="6"/>
  <c r="H223" i="6"/>
  <c r="H221" i="6"/>
  <c r="H220" i="6"/>
  <c r="C178" i="6"/>
  <c r="J183" i="6"/>
  <c r="J182" i="6"/>
  <c r="J181" i="6"/>
  <c r="J180" i="6"/>
  <c r="J179" i="6"/>
  <c r="J177" i="6"/>
  <c r="J176" i="6"/>
  <c r="K149" i="6"/>
  <c r="I123" i="6"/>
  <c r="I122" i="6"/>
  <c r="I121" i="6"/>
  <c r="I120" i="6"/>
  <c r="I119" i="6"/>
  <c r="I118" i="6"/>
  <c r="I117" i="6"/>
  <c r="I116" i="6"/>
  <c r="I115" i="6"/>
  <c r="I113" i="6"/>
  <c r="I112" i="6"/>
  <c r="J94" i="6"/>
  <c r="J93" i="6"/>
  <c r="J92" i="6"/>
  <c r="J91" i="6"/>
  <c r="J90" i="6"/>
  <c r="J89" i="6"/>
  <c r="J88" i="6"/>
  <c r="J87" i="6"/>
  <c r="J85" i="6"/>
  <c r="J84" i="6"/>
  <c r="J56" i="6"/>
  <c r="J55" i="6"/>
  <c r="J54" i="6"/>
  <c r="J53" i="6"/>
  <c r="J52" i="6"/>
  <c r="J51" i="6"/>
  <c r="J50" i="6"/>
  <c r="J49" i="6"/>
  <c r="J48" i="6"/>
  <c r="J46" i="6"/>
  <c r="J45" i="6"/>
  <c r="J27" i="6"/>
  <c r="J26" i="6"/>
  <c r="J25" i="6"/>
  <c r="J24" i="6"/>
  <c r="J23" i="6"/>
  <c r="J22" i="6"/>
  <c r="J21" i="6"/>
  <c r="J20" i="6"/>
  <c r="J18" i="6"/>
  <c r="J17" i="6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56" i="5"/>
  <c r="D19" i="4"/>
  <c r="E19" i="4"/>
  <c r="F19" i="4"/>
  <c r="G19" i="4"/>
  <c r="C19" i="4"/>
  <c r="G65" i="2"/>
  <c r="G64" i="2"/>
  <c r="G62" i="2"/>
  <c r="G61" i="2"/>
  <c r="G60" i="2"/>
  <c r="G59" i="2"/>
  <c r="G58" i="2"/>
  <c r="G57" i="2"/>
  <c r="G56" i="2"/>
  <c r="G53" i="2"/>
  <c r="G52" i="2"/>
  <c r="I18" i="17" l="1"/>
  <c r="I14" i="17"/>
  <c r="I12" i="17" l="1"/>
  <c r="D23" i="25"/>
  <c r="D20" i="25"/>
  <c r="G56" i="16" l="1"/>
  <c r="H56" i="16" s="1"/>
  <c r="J56" i="16" s="1"/>
  <c r="G54" i="16"/>
  <c r="H54" i="16" s="1"/>
  <c r="J54" i="16" s="1"/>
  <c r="J43" i="16"/>
  <c r="G41" i="16"/>
  <c r="H41" i="16" s="1"/>
  <c r="J41" i="16" s="1"/>
  <c r="G39" i="16"/>
  <c r="G37" i="16"/>
  <c r="H37" i="16" s="1"/>
  <c r="J37" i="16" s="1"/>
  <c r="G35" i="16"/>
  <c r="G32" i="16"/>
  <c r="H32" i="16" s="1"/>
  <c r="J32" i="16" s="1"/>
  <c r="G29" i="16"/>
  <c r="H29" i="16" s="1"/>
  <c r="J29" i="16" s="1"/>
  <c r="J26" i="16"/>
  <c r="G23" i="16"/>
  <c r="H23" i="16" s="1"/>
  <c r="J23" i="16" s="1"/>
  <c r="G20" i="16"/>
  <c r="G17" i="16"/>
  <c r="G14" i="16"/>
  <c r="H14" i="16" s="1"/>
  <c r="D14" i="16"/>
  <c r="G11" i="16"/>
  <c r="H11" i="16" s="1"/>
  <c r="J11" i="16" s="1"/>
  <c r="G8" i="16"/>
  <c r="H8" i="16" s="1"/>
  <c r="J8" i="16" s="1"/>
  <c r="F7" i="16"/>
  <c r="E7" i="16"/>
  <c r="G5" i="16"/>
  <c r="J14" i="16" l="1"/>
  <c r="H5" i="16"/>
  <c r="J5" i="16" s="1"/>
  <c r="H39" i="16"/>
  <c r="J39" i="16" s="1"/>
  <c r="H20" i="16"/>
  <c r="J20" i="16" s="1"/>
  <c r="H17" i="16"/>
  <c r="J17" i="16" s="1"/>
  <c r="H35" i="16"/>
  <c r="J35" i="16" s="1"/>
  <c r="E20" i="8" l="1"/>
  <c r="E68" i="11" l="1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E47" i="3"/>
  <c r="D47" i="3"/>
  <c r="F58" i="3"/>
  <c r="F61" i="3"/>
  <c r="E61" i="3"/>
  <c r="D61" i="3"/>
  <c r="G64" i="3"/>
  <c r="F47" i="3"/>
  <c r="C47" i="3"/>
  <c r="C61" i="3"/>
  <c r="E35" i="3"/>
  <c r="E6" i="3"/>
  <c r="G72" i="5" l="1"/>
  <c r="G48" i="5"/>
  <c r="D57" i="2"/>
  <c r="I178" i="6"/>
  <c r="I184" i="6" s="1"/>
  <c r="H248" i="6"/>
  <c r="H257" i="6" s="1"/>
  <c r="E178" i="6"/>
  <c r="E184" i="6" s="1"/>
  <c r="E86" i="6"/>
  <c r="E95" i="6" s="1"/>
  <c r="I47" i="6"/>
  <c r="I57" i="6" s="1"/>
  <c r="K158" i="6"/>
  <c r="J151" i="6"/>
  <c r="J159" i="6" s="1"/>
  <c r="H114" i="6"/>
  <c r="H124" i="6" s="1"/>
  <c r="K157" i="6"/>
  <c r="K156" i="6"/>
  <c r="K155" i="6"/>
  <c r="K154" i="6"/>
  <c r="K153" i="6"/>
  <c r="K152" i="6"/>
  <c r="K150" i="6"/>
  <c r="I19" i="6"/>
  <c r="I28" i="6" s="1"/>
  <c r="I86" i="6"/>
  <c r="I95" i="6" s="1"/>
  <c r="D55" i="9"/>
  <c r="F292" i="6" l="1"/>
  <c r="F303" i="6" s="1"/>
  <c r="L298" i="6"/>
  <c r="L296" i="6"/>
  <c r="K292" i="6"/>
  <c r="E15" i="14"/>
  <c r="K303" i="6" l="1"/>
  <c r="E11" i="21"/>
  <c r="E7" i="21" s="1"/>
  <c r="D11" i="21"/>
  <c r="D7" i="21" s="1"/>
  <c r="F7" i="21"/>
  <c r="E22" i="20"/>
  <c r="F22" i="20"/>
  <c r="D22" i="20"/>
  <c r="D21" i="20" s="1"/>
  <c r="F37" i="18"/>
  <c r="G37" i="18"/>
  <c r="E37" i="18"/>
  <c r="E11" i="1"/>
  <c r="D11" i="1"/>
  <c r="E56" i="10" l="1"/>
  <c r="E31" i="13"/>
  <c r="E15" i="10"/>
  <c r="G12" i="17" l="1"/>
  <c r="H12" i="17" l="1"/>
  <c r="H14" i="17"/>
  <c r="H18" i="17"/>
  <c r="C12" i="17"/>
  <c r="D12" i="17"/>
  <c r="E12" i="17"/>
  <c r="F12" i="17"/>
  <c r="D14" i="17"/>
  <c r="E14" i="17"/>
  <c r="F14" i="17"/>
  <c r="F16" i="17"/>
  <c r="F18" i="17" s="1"/>
  <c r="D18" i="17"/>
  <c r="E18" i="17"/>
  <c r="D300" i="6"/>
  <c r="E300" i="6"/>
  <c r="G300" i="6"/>
  <c r="H300" i="6"/>
  <c r="I300" i="6"/>
  <c r="D299" i="6"/>
  <c r="E299" i="6"/>
  <c r="G299" i="6"/>
  <c r="H299" i="6"/>
  <c r="I299" i="6"/>
  <c r="D297" i="6"/>
  <c r="E297" i="6"/>
  <c r="G297" i="6"/>
  <c r="H297" i="6"/>
  <c r="I297" i="6"/>
  <c r="D295" i="6"/>
  <c r="E295" i="6"/>
  <c r="G295" i="6"/>
  <c r="H295" i="6"/>
  <c r="I295" i="6"/>
  <c r="D294" i="6"/>
  <c r="E294" i="6"/>
  <c r="G294" i="6"/>
  <c r="H294" i="6"/>
  <c r="I294" i="6"/>
  <c r="D293" i="6"/>
  <c r="E293" i="6"/>
  <c r="G293" i="6"/>
  <c r="H293" i="6"/>
  <c r="I293" i="6"/>
  <c r="D291" i="6"/>
  <c r="E291" i="6"/>
  <c r="G291" i="6"/>
  <c r="H291" i="6"/>
  <c r="I291" i="6"/>
  <c r="D290" i="6"/>
  <c r="E290" i="6"/>
  <c r="G290" i="6"/>
  <c r="H290" i="6"/>
  <c r="I290" i="6"/>
  <c r="E279" i="6"/>
  <c r="E278" i="6"/>
  <c r="E285" i="6"/>
  <c r="E281" i="6"/>
  <c r="E280" i="6"/>
  <c r="E21" i="20"/>
  <c r="F21" i="20"/>
  <c r="E24" i="12"/>
  <c r="L301" i="6" l="1"/>
  <c r="L295" i="6"/>
  <c r="L302" i="6"/>
  <c r="L300" i="6"/>
  <c r="L299" i="6"/>
  <c r="L297" i="6"/>
  <c r="L294" i="6"/>
  <c r="L293" i="6"/>
  <c r="L291" i="6"/>
  <c r="L290" i="6"/>
  <c r="E287" i="6"/>
  <c r="H292" i="6"/>
  <c r="H303" i="6" s="1"/>
  <c r="G292" i="6"/>
  <c r="D292" i="6"/>
  <c r="J292" i="6"/>
  <c r="J303" i="6" s="1"/>
  <c r="E292" i="6"/>
  <c r="E303" i="6" s="1"/>
  <c r="I292" i="6"/>
  <c r="I303" i="6" s="1"/>
  <c r="C292" i="6"/>
  <c r="C303" i="6" s="1"/>
  <c r="G303" i="6" l="1"/>
  <c r="L292" i="6"/>
  <c r="D303" i="6"/>
  <c r="L303" i="6" l="1"/>
  <c r="H47" i="6" l="1"/>
  <c r="H57" i="6" s="1"/>
  <c r="I151" i="6" l="1"/>
  <c r="I159" i="6" s="1"/>
  <c r="C47" i="6" l="1"/>
  <c r="D47" i="6"/>
  <c r="D57" i="6" s="1"/>
  <c r="E47" i="6"/>
  <c r="E57" i="6" s="1"/>
  <c r="F47" i="6"/>
  <c r="F57" i="6" s="1"/>
  <c r="G47" i="6"/>
  <c r="G57" i="6" s="1"/>
  <c r="C86" i="6"/>
  <c r="D86" i="6"/>
  <c r="F86" i="6"/>
  <c r="F95" i="6" s="1"/>
  <c r="G86" i="6"/>
  <c r="H86" i="6"/>
  <c r="C114" i="6"/>
  <c r="D114" i="6"/>
  <c r="D124" i="6" s="1"/>
  <c r="E114" i="6"/>
  <c r="E124" i="6" s="1"/>
  <c r="F114" i="6"/>
  <c r="F124" i="6" s="1"/>
  <c r="G114" i="6"/>
  <c r="G124" i="6" s="1"/>
  <c r="C151" i="6"/>
  <c r="C159" i="6" s="1"/>
  <c r="D151" i="6"/>
  <c r="D159" i="6" s="1"/>
  <c r="E151" i="6"/>
  <c r="E159" i="6" s="1"/>
  <c r="F151" i="6"/>
  <c r="F159" i="6" s="1"/>
  <c r="G151" i="6"/>
  <c r="G159" i="6" s="1"/>
  <c r="H151" i="6"/>
  <c r="H159" i="6" s="1"/>
  <c r="C19" i="6"/>
  <c r="D19" i="6"/>
  <c r="E19" i="6"/>
  <c r="E28" i="6" s="1"/>
  <c r="F19" i="6"/>
  <c r="F28" i="6" s="1"/>
  <c r="G19" i="6"/>
  <c r="G28" i="6" s="1"/>
  <c r="H19" i="6"/>
  <c r="H28" i="6" s="1"/>
  <c r="I114" i="6" l="1"/>
  <c r="C124" i="6"/>
  <c r="I124" i="6" s="1"/>
  <c r="J86" i="6"/>
  <c r="C57" i="6"/>
  <c r="J57" i="6" s="1"/>
  <c r="J47" i="6"/>
  <c r="C28" i="6"/>
  <c r="J19" i="6"/>
  <c r="K159" i="6"/>
  <c r="K151" i="6"/>
  <c r="D28" i="6"/>
  <c r="H26" i="4"/>
  <c r="H25" i="4"/>
  <c r="H24" i="4"/>
  <c r="H23" i="4"/>
  <c r="H22" i="4"/>
  <c r="H21" i="4"/>
  <c r="H20" i="4"/>
  <c r="H18" i="4"/>
  <c r="H17" i="4"/>
  <c r="J28" i="6" l="1"/>
  <c r="E34" i="2"/>
  <c r="E43" i="2" s="1"/>
  <c r="G55" i="2"/>
  <c r="G19" i="2"/>
  <c r="G28" i="2" s="1"/>
  <c r="F19" i="2"/>
  <c r="F28" i="2" s="1"/>
  <c r="E19" i="2"/>
  <c r="E28" i="2" s="1"/>
  <c r="D19" i="2"/>
  <c r="D28" i="2" s="1"/>
  <c r="C19" i="2"/>
  <c r="C28" i="2" s="1"/>
  <c r="G54" i="2" l="1"/>
  <c r="G62" i="3"/>
  <c r="G61" i="3"/>
  <c r="G60" i="3"/>
  <c r="G59" i="3"/>
  <c r="G58" i="3"/>
  <c r="G57" i="3"/>
  <c r="G56" i="3"/>
  <c r="G54" i="3"/>
  <c r="G53" i="3"/>
  <c r="F13" i="21" l="1"/>
  <c r="E13" i="21"/>
  <c r="D13" i="21"/>
  <c r="F10" i="20"/>
  <c r="F7" i="20" s="1"/>
  <c r="E10" i="20"/>
  <c r="E7" i="20" s="1"/>
  <c r="D10" i="20"/>
  <c r="D7" i="20" s="1"/>
  <c r="G24" i="19"/>
  <c r="F24" i="19"/>
  <c r="E24" i="19"/>
  <c r="G20" i="19"/>
  <c r="F20" i="19"/>
  <c r="E20" i="19"/>
  <c r="G18" i="19"/>
  <c r="F18" i="19"/>
  <c r="E18" i="19"/>
  <c r="G15" i="19"/>
  <c r="F15" i="19"/>
  <c r="E15" i="19"/>
  <c r="G12" i="19"/>
  <c r="F12" i="19"/>
  <c r="E12" i="19"/>
  <c r="G8" i="19"/>
  <c r="F8" i="19"/>
  <c r="E8" i="19"/>
  <c r="G47" i="18"/>
  <c r="F47" i="18"/>
  <c r="E47" i="18"/>
  <c r="G32" i="18"/>
  <c r="F32" i="18"/>
  <c r="E32" i="18"/>
  <c r="G27" i="18"/>
  <c r="F27" i="18"/>
  <c r="E27" i="18"/>
  <c r="G24" i="18"/>
  <c r="F24" i="18"/>
  <c r="E24" i="18"/>
  <c r="G19" i="18"/>
  <c r="F19" i="18"/>
  <c r="E19" i="18"/>
  <c r="G16" i="18"/>
  <c r="F16" i="18"/>
  <c r="E16" i="18"/>
  <c r="G14" i="18"/>
  <c r="F14" i="18"/>
  <c r="E14" i="18"/>
  <c r="G7" i="18"/>
  <c r="F7" i="18"/>
  <c r="E7" i="18"/>
  <c r="G18" i="17"/>
  <c r="G14" i="17"/>
  <c r="D23" i="15"/>
  <c r="C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C374" i="6"/>
  <c r="C383" i="6" s="1"/>
  <c r="E369" i="6"/>
  <c r="C350" i="6"/>
  <c r="C359" i="6" s="1"/>
  <c r="E345" i="6"/>
  <c r="G248" i="6"/>
  <c r="G257" i="6" s="1"/>
  <c r="F248" i="6"/>
  <c r="F257" i="6" s="1"/>
  <c r="E248" i="6"/>
  <c r="E257" i="6" s="1"/>
  <c r="D248" i="6"/>
  <c r="D257" i="6" s="1"/>
  <c r="C248" i="6"/>
  <c r="E243" i="6"/>
  <c r="G222" i="6"/>
  <c r="G230" i="6" s="1"/>
  <c r="F222" i="6"/>
  <c r="F230" i="6" s="1"/>
  <c r="E222" i="6"/>
  <c r="E230" i="6" s="1"/>
  <c r="D222" i="6"/>
  <c r="D230" i="6" s="1"/>
  <c r="C222" i="6"/>
  <c r="E217" i="6"/>
  <c r="H178" i="6"/>
  <c r="H184" i="6" s="1"/>
  <c r="G178" i="6"/>
  <c r="G184" i="6" s="1"/>
  <c r="F178" i="6"/>
  <c r="F184" i="6" s="1"/>
  <c r="D178" i="6"/>
  <c r="D184" i="6" s="1"/>
  <c r="E173" i="6"/>
  <c r="E146" i="6"/>
  <c r="E109" i="6"/>
  <c r="H95" i="6"/>
  <c r="G95" i="6"/>
  <c r="D95" i="6"/>
  <c r="E81" i="6"/>
  <c r="E42" i="6"/>
  <c r="E14" i="6"/>
  <c r="G27" i="4"/>
  <c r="F27" i="4"/>
  <c r="E27" i="4"/>
  <c r="D27" i="4"/>
  <c r="E12" i="4"/>
  <c r="F55" i="3"/>
  <c r="F63" i="3" s="1"/>
  <c r="E55" i="3"/>
  <c r="E63" i="3" s="1"/>
  <c r="D55" i="3"/>
  <c r="D63" i="3" s="1"/>
  <c r="C55" i="3"/>
  <c r="C63" i="3" s="1"/>
  <c r="F41" i="3"/>
  <c r="F49" i="3" s="1"/>
  <c r="E41" i="3"/>
  <c r="E49" i="3" s="1"/>
  <c r="D41" i="3"/>
  <c r="D49" i="3" s="1"/>
  <c r="C41" i="3"/>
  <c r="E28" i="3"/>
  <c r="E23" i="3"/>
  <c r="E20" i="3"/>
  <c r="E18" i="3"/>
  <c r="E16" i="3"/>
  <c r="E12" i="3"/>
  <c r="F54" i="2"/>
  <c r="F64" i="2" s="1"/>
  <c r="E54" i="2"/>
  <c r="E64" i="2" s="1"/>
  <c r="D54" i="2"/>
  <c r="D64" i="2" s="1"/>
  <c r="C54" i="2"/>
  <c r="C64" i="2" s="1"/>
  <c r="F34" i="2"/>
  <c r="F43" i="2" s="1"/>
  <c r="D34" i="2"/>
  <c r="D43" i="2" s="1"/>
  <c r="C34" i="2"/>
  <c r="C43" i="2" s="1"/>
  <c r="E4" i="2"/>
  <c r="K23" i="1"/>
  <c r="J23" i="1"/>
  <c r="I23" i="1"/>
  <c r="H23" i="1"/>
  <c r="G23" i="1"/>
  <c r="F23" i="1"/>
  <c r="E23" i="1"/>
  <c r="D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L13" i="1"/>
  <c r="L12" i="1"/>
  <c r="E14" i="1"/>
  <c r="L10" i="1"/>
  <c r="L9" i="1"/>
  <c r="L8" i="1"/>
  <c r="L7" i="1"/>
  <c r="L6" i="1"/>
  <c r="C257" i="6" l="1"/>
  <c r="I257" i="6" s="1"/>
  <c r="I248" i="6"/>
  <c r="H222" i="6"/>
  <c r="J178" i="6"/>
  <c r="C184" i="6"/>
  <c r="J184" i="6" s="1"/>
  <c r="H19" i="4"/>
  <c r="F7" i="19"/>
  <c r="G7" i="19"/>
  <c r="E6" i="18"/>
  <c r="C230" i="6"/>
  <c r="H230" i="6" s="1"/>
  <c r="L11" i="1"/>
  <c r="D26" i="25"/>
  <c r="D13" i="25"/>
  <c r="E23" i="15"/>
  <c r="F6" i="18"/>
  <c r="L23" i="1"/>
  <c r="C49" i="3"/>
  <c r="G63" i="3" s="1"/>
  <c r="G55" i="3"/>
  <c r="E7" i="19"/>
  <c r="E5" i="3"/>
  <c r="G6" i="18"/>
  <c r="D10" i="25"/>
  <c r="D6" i="25" s="1"/>
  <c r="C95" i="6"/>
  <c r="J95" i="6" s="1"/>
  <c r="C27" i="4"/>
  <c r="H27" i="4" s="1"/>
  <c r="D14" i="1"/>
  <c r="L14" i="1" s="1"/>
  <c r="D18" i="25" l="1"/>
  <c r="D27" i="25" s="1"/>
  <c r="D17" i="25"/>
</calcChain>
</file>

<file path=xl/sharedStrings.xml><?xml version="1.0" encoding="utf-8"?>
<sst xmlns="http://schemas.openxmlformats.org/spreadsheetml/2006/main" count="1626" uniqueCount="1058">
  <si>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</si>
  <si>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</si>
  <si>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</si>
  <si>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</si>
  <si>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</si>
  <si>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</si>
  <si>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</si>
  <si>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</si>
  <si>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</si>
  <si>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</si>
  <si>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</si>
  <si>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</si>
  <si>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</si>
  <si>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</si>
  <si>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</si>
  <si>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</si>
  <si>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</si>
  <si>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</si>
  <si>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</si>
  <si>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</si>
  <si>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</si>
  <si>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</si>
  <si>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</si>
  <si>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</si>
  <si>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</si>
  <si>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</si>
  <si>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</si>
  <si>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</si>
  <si>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</si>
  <si>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</si>
  <si>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</si>
  <si>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</si>
  <si>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</si>
  <si>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</si>
  <si>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</si>
  <si>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</si>
  <si>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</si>
  <si>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</si>
  <si>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</si>
  <si>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16.</t>
  </si>
  <si>
    <t>Výnosy budúcich období</t>
  </si>
  <si>
    <t>Bankové úvery a ostatné prijaté výpomoci</t>
  </si>
  <si>
    <t>P A S Í V A   celkom</t>
  </si>
  <si>
    <t>Príloha č.1</t>
  </si>
  <si>
    <t>Mestské hospodárstvo a správa lesov m.r.o.</t>
  </si>
  <si>
    <t>Bežné a kapitálové  príjmy</t>
  </si>
  <si>
    <t>210: Príjmy z podnikania a vlastníctva majetku</t>
  </si>
  <si>
    <t>222: Pokuty, penále a iné sankcie</t>
  </si>
  <si>
    <t>223 001: Za predaj výrobkov, tovarov a služieb</t>
  </si>
  <si>
    <t>292 006: Z náhrad z poistného plnenia</t>
  </si>
  <si>
    <t>292 012: Z dobropisov</t>
  </si>
  <si>
    <t>292 017: Vratky</t>
  </si>
  <si>
    <t>292 027: Iné</t>
  </si>
  <si>
    <t>Výdavky</t>
  </si>
  <si>
    <t>Program 4:  Služby občanom Podprogram 4: Verejné toalety</t>
  </si>
  <si>
    <t>Program 4:  Služby občanom Podprogram 5: Prevádzka mestských trhovísk</t>
  </si>
  <si>
    <t>Program 4:  Služby občanom Podprogram 7:  Miestne média</t>
  </si>
  <si>
    <t>Program 5: Bezpečnosť Podprogram 2: Verejné osvetlenie</t>
  </si>
  <si>
    <t>Program 6: Doprava Podprogram 2: Správa a údržba pozemných komunikácií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</si>
  <si>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</si>
  <si>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</si>
  <si>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</si>
  <si>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</si>
  <si>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</si>
  <si>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</si>
  <si>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</si>
  <si>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</si>
  <si>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</si>
  <si>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</si>
  <si>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</si>
  <si>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</si>
  <si>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Program 8: Šport a mládež Podprogram 3 Prvok: 3 Zimný štadión</t>
  </si>
  <si>
    <t>Program 8: Šport a mládež Podprogram 4: Mobiliár mesta a detské ihriská</t>
  </si>
  <si>
    <t>Program 8: Šport a mládež Podprogram 3 Prvok 5: Mobilná ľadová plocha</t>
  </si>
  <si>
    <t xml:space="preserve">Program 10: Životné prostredie  Podprogram 1: Verejná zeleň </t>
  </si>
  <si>
    <t>Program 10: Životné prostredie Podprogram 5: Fontány</t>
  </si>
  <si>
    <t>Program 10: Životné prostredie Podprogram 6: Podporná činnosť</t>
  </si>
  <si>
    <t>620: Poistné</t>
  </si>
  <si>
    <t>631: Cestovné náhrady</t>
  </si>
  <si>
    <t>Spolu výdavky MHSL m.r.o.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</si>
  <si>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</si>
  <si>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</si>
  <si>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</si>
  <si>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</si>
  <si>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</si>
  <si>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</si>
  <si>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</si>
  <si>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</si>
  <si>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</si>
  <si>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</si>
  <si>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</si>
  <si>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</si>
  <si>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</si>
  <si>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</si>
  <si>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</si>
  <si>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</si>
  <si>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</si>
  <si>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212 003 - Prenájom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</si>
  <si>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</si>
  <si>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</si>
  <si>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</si>
  <si>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</si>
  <si>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</si>
  <si>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</si>
  <si>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223 004: Prebytočný materiál</t>
  </si>
  <si>
    <t>292 017: vratky</t>
  </si>
  <si>
    <t>292 012: dobropisy</t>
  </si>
  <si>
    <t>292 019: príjmy z refundácie</t>
  </si>
  <si>
    <t>311: dary</t>
  </si>
  <si>
    <t>453: prostriedky z minulých rokov</t>
  </si>
  <si>
    <t>Program 11: Sociálne služby Podprogram 1: Detské jasle</t>
  </si>
  <si>
    <t>Program 11: Sociálne služby Podprogram 4: Nocľaháreň</t>
  </si>
  <si>
    <t>Program 11: Sociálne služby Podprogram 4: Nízkoprahové denné centrum</t>
  </si>
  <si>
    <t>Program 11: Sociálne služby Podprogram 5 prvok 2:  Zariadenie pre seniorov</t>
  </si>
  <si>
    <t>631: Cestovné</t>
  </si>
  <si>
    <t xml:space="preserve">Bežné výdavky </t>
  </si>
  <si>
    <t>Program 11: Sociálne služby Podprogram 6: Zariadenie opatrovateľskej služby</t>
  </si>
  <si>
    <t>Program 11: Sociálne služby Podprogram 7: Terénna opatrovateľská služba</t>
  </si>
  <si>
    <t>Program 11: Sociálne služby Podprogram 10: Prepravná služba</t>
  </si>
  <si>
    <t>Program 11: Sociálne služby Podprogram 11: Manažment SSMT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</si>
  <si>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</si>
  <si>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</si>
  <si>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</si>
  <si>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</si>
  <si>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</si>
  <si>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</si>
  <si>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</si>
  <si>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</si>
  <si>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</si>
  <si>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</si>
  <si>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453: Prostriedky z predchádzajúcich rokov</t>
  </si>
  <si>
    <t>Program 7: Vzdelávanie Podprogram 1: Materské školy</t>
  </si>
  <si>
    <t>Program 7: Vzdelávanie Podprogram 2: Základné školy</t>
  </si>
  <si>
    <t>Program 7: Vzdelávanie Podprogram 3:  Voľno časové vzdelávanie</t>
  </si>
  <si>
    <t>Program 7: Vzdelávanie Podprogram 4: Školské jedálne</t>
  </si>
  <si>
    <t>Program 7: Vzdelávanie Podprogram 5: Politika vzdelávania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</si>
  <si>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</si>
  <si>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</si>
  <si>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</si>
  <si>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</si>
  <si>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</si>
  <si>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</si>
  <si>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</si>
  <si>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</si>
  <si>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</si>
  <si>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</si>
  <si>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</si>
  <si>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</si>
  <si>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</si>
  <si>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</si>
  <si>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</si>
  <si>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</si>
  <si>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</si>
  <si>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</si>
  <si>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</si>
  <si>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</si>
  <si>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</si>
  <si>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</si>
  <si>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</si>
  <si>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</si>
  <si>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</si>
  <si>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</si>
  <si>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</si>
  <si>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</si>
  <si>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</si>
  <si>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311: Granty</t>
  </si>
  <si>
    <t>312: Transfery v rámci verejnej správy</t>
  </si>
  <si>
    <t>09.6.0.2. Školské stravovanie I.stupeň</t>
  </si>
  <si>
    <t>09.6.0.3. Školské stravovanie II.stupeň</t>
  </si>
  <si>
    <t>09.5.0. Zar. pre záujmové vzdelávanie</t>
  </si>
  <si>
    <t>Základná škola Kubranská</t>
  </si>
  <si>
    <t>717: Rekonštrukcie</t>
  </si>
  <si>
    <t>Základná škola Na dolinách</t>
  </si>
  <si>
    <t>Základná škola Bezruča</t>
  </si>
  <si>
    <t>Základná škola Hodžova</t>
  </si>
  <si>
    <t>636: Prenájom</t>
  </si>
  <si>
    <t>Základná škola Východná</t>
  </si>
  <si>
    <t>292 012: z dobropisov</t>
  </si>
  <si>
    <t>636: Nájom</t>
  </si>
  <si>
    <t>Základná škola Dlhé Hony</t>
  </si>
  <si>
    <t>Základná škola Veľkomoravská</t>
  </si>
  <si>
    <t>Základné školy spolu</t>
  </si>
  <si>
    <t>453: Prostriedky z minulých rokov</t>
  </si>
  <si>
    <t>713: Nákup strojov, prístrojov</t>
  </si>
  <si>
    <t>Základná umelecká škola Karola Pádivého m.r.o.</t>
  </si>
  <si>
    <t>223 002: Za školy a školské zariadenia</t>
  </si>
  <si>
    <t>09.5.0. Zar.pre záujmové vzdelávanie</t>
  </si>
  <si>
    <t>223 002: poplatky rodičov za letné tábory</t>
  </si>
  <si>
    <t>Príloha č.6</t>
  </si>
  <si>
    <t>P.č.</t>
  </si>
  <si>
    <t>Poskytovateľ dotácie</t>
  </si>
  <si>
    <t>Druh dotácie</t>
  </si>
  <si>
    <t>Výška dotácie v EUR</t>
  </si>
  <si>
    <t>Dotácie na školstvo</t>
  </si>
  <si>
    <t>Ostatné dotácie</t>
  </si>
  <si>
    <t xml:space="preserve"> </t>
  </si>
  <si>
    <t>Príloha č.8</t>
  </si>
  <si>
    <t>Príjemca dotácie činnosť</t>
  </si>
  <si>
    <t>Dotácie pre mládež</t>
  </si>
  <si>
    <t>Dotácie na výnimočné akcie</t>
  </si>
  <si>
    <t>Príjemca dotácie</t>
  </si>
  <si>
    <t>Účel dotácie</t>
  </si>
  <si>
    <t>Príloha č.9</t>
  </si>
  <si>
    <t xml:space="preserve">Príjemca dotácie </t>
  </si>
  <si>
    <t>Príloha č.10</t>
  </si>
  <si>
    <t>Príloha č.11</t>
  </si>
  <si>
    <t>Príjemca dotácie a názov projektu</t>
  </si>
  <si>
    <t>Príloha č.12</t>
  </si>
  <si>
    <t>Príloha č.13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</si>
  <si>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</si>
  <si>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</si>
  <si>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</si>
  <si>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</si>
  <si>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</si>
  <si>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</si>
  <si>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</si>
  <si>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zo vstupného</t>
  </si>
  <si>
    <t>Daň za ubytovanie</t>
  </si>
  <si>
    <t>Miestny poplatok za KO a DSO</t>
  </si>
  <si>
    <t>Nájomné zmluvy</t>
  </si>
  <si>
    <t>Z predaja a nájmu bytov a nebyt. priestorov</t>
  </si>
  <si>
    <t>Pokuty</t>
  </si>
  <si>
    <t>Za znečisťovanie ovzdušia</t>
  </si>
  <si>
    <t xml:space="preserve">Z lotérií a iných podobných hier </t>
  </si>
  <si>
    <t>Neuhradené faktúry</t>
  </si>
  <si>
    <t>Príjmy budúcich období</t>
  </si>
  <si>
    <t>Ostatné pohľadávky</t>
  </si>
  <si>
    <t>Úvery</t>
  </si>
  <si>
    <t>Poskytovateľ úveru</t>
  </si>
  <si>
    <t xml:space="preserve">Zmluva č. </t>
  </si>
  <si>
    <t>Výška poskytnutého úveru</t>
  </si>
  <si>
    <t>1.splátka úveru</t>
  </si>
  <si>
    <t>Splátky</t>
  </si>
  <si>
    <t>Splátky spolu od 1.splátky úveru</t>
  </si>
  <si>
    <t>Splatnosť úveru</t>
  </si>
  <si>
    <t xml:space="preserve">Zostatok úveru </t>
  </si>
  <si>
    <t>zo dňa</t>
  </si>
  <si>
    <t>v EUR</t>
  </si>
  <si>
    <t>Štátny fond rozvoja bývania, 61 b.j.</t>
  </si>
  <si>
    <t>309/308/2002</t>
  </si>
  <si>
    <t>mesačne vrátane úroku</t>
  </si>
  <si>
    <t>300/149/2017</t>
  </si>
  <si>
    <t>jún 2018</t>
  </si>
  <si>
    <t>vždy do 15.na účte</t>
  </si>
  <si>
    <t>2048</t>
  </si>
  <si>
    <t>trvalý príkaz v čsob</t>
  </si>
  <si>
    <t>Štátny fond rozvoja bývania 26 b.j.</t>
  </si>
  <si>
    <t>300/202/2018</t>
  </si>
  <si>
    <t>Slovenská sporiteľňa a.s.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</si>
  <si>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</si>
  <si>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</si>
  <si>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</si>
  <si>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</si>
  <si>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</si>
  <si>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</si>
  <si>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</si>
  <si>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</si>
  <si>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</si>
  <si>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</si>
  <si>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</si>
  <si>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</si>
  <si>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</si>
  <si>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</si>
  <si>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</si>
  <si>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</si>
  <si>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</si>
  <si>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</si>
  <si>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</si>
  <si>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</si>
  <si>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</si>
  <si>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</si>
  <si>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</si>
  <si>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</si>
  <si>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</si>
  <si>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</si>
  <si>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</si>
  <si>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</si>
  <si>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</si>
  <si>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</si>
  <si>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</si>
  <si>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</si>
  <si>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</si>
  <si>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</si>
  <si>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</si>
  <si>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</si>
  <si>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</si>
  <si>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Dodávateľské investičné úvery</t>
  </si>
  <si>
    <t>SLSP a.s./Dohoda o reštr. - ERES</t>
  </si>
  <si>
    <t>dodatok 1,2,3</t>
  </si>
  <si>
    <t>31.1.2011</t>
  </si>
  <si>
    <t>vždy posl. v mesiaci</t>
  </si>
  <si>
    <t>19.8.2010</t>
  </si>
  <si>
    <t>mesačne 4 889,76 €</t>
  </si>
  <si>
    <t>SLSP a.s./Dohoda o reštr. - VOD-EKO</t>
  </si>
  <si>
    <t>7.7.2010</t>
  </si>
  <si>
    <t>mesačne 10 499,09 €</t>
  </si>
  <si>
    <t>Príloha č. 15</t>
  </si>
  <si>
    <t xml:space="preserve">Na konci roka 2013 bol prijatý nový zákon o rozpočtových pravidlách územnej samosprávy v znení neskorších predpisov, ktorý sprísnil hranice možného zadlženia samospráv. Do roku 2014 sa do dlhovej služby definovanej zákonom počítali len bankové úvery, od 1.1.2014 sa dlhová služba  rozšírila o investičné dodávateľské úvery. Maximálna možná výška dlhovej služby je stanovená na 60% bežných príjmov predchádzajúceho rozpočtového roka. 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</si>
  <si>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</si>
  <si>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</si>
  <si>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</si>
  <si>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</si>
  <si>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</si>
  <si>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</si>
  <si>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</si>
  <si>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</si>
  <si>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a)   celková suma dlhu ku koncu rozpočtového roka neprekročí 60% skutočných bežných príjmov predchádzajúceho rozpočtového roka a 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</si>
  <si>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</si>
  <si>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t>Príloha č.16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</si>
  <si>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</si>
  <si>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</si>
  <si>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</si>
  <si>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</si>
  <si>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</si>
  <si>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</si>
  <si>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</si>
  <si>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</si>
  <si>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</si>
  <si>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</si>
  <si>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</si>
  <si>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</si>
  <si>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</si>
  <si>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</si>
  <si>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01.6.0.</t>
  </si>
  <si>
    <t>Vš.verejné služby inde neklas.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</si>
  <si>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</si>
  <si>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</si>
  <si>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</si>
  <si>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</si>
  <si>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</si>
  <si>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</si>
  <si>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</si>
  <si>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</si>
  <si>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</si>
  <si>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</si>
  <si>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</si>
  <si>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</si>
  <si>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</si>
  <si>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</si>
  <si>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</si>
  <si>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</si>
  <si>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</si>
  <si>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</si>
  <si>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</si>
  <si>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</si>
  <si>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</si>
  <si>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</si>
  <si>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</si>
  <si>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</si>
  <si>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</si>
  <si>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</si>
  <si>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</si>
  <si>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</si>
  <si>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</si>
  <si>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</si>
  <si>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</si>
  <si>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</si>
  <si>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</si>
  <si>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</si>
  <si>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</si>
  <si>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</si>
  <si>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</si>
  <si>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</si>
  <si>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</si>
  <si>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</si>
  <si>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</si>
  <si>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</si>
  <si>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</si>
  <si>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</si>
  <si>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</si>
  <si>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</si>
  <si>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</si>
  <si>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</si>
  <si>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</si>
  <si>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</si>
  <si>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</si>
  <si>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</si>
  <si>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</si>
  <si>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</si>
  <si>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</si>
  <si>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</si>
  <si>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</si>
  <si>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</si>
  <si>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</si>
  <si>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</si>
  <si>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</si>
  <si>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</si>
  <si>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</si>
  <si>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</si>
  <si>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</si>
  <si>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</si>
  <si>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</si>
  <si>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</si>
  <si>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</si>
  <si>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</si>
  <si>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</si>
  <si>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</si>
  <si>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</si>
  <si>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</si>
  <si>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</si>
  <si>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</si>
  <si>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</t>
  </si>
  <si>
    <t>Múzeá a galérie</t>
  </si>
  <si>
    <t>Obradné siene + nábož.</t>
  </si>
  <si>
    <t>10</t>
  </si>
  <si>
    <t>Invalidita a ťažké zdravotné postihnutie</t>
  </si>
  <si>
    <t>Príloha č.18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</si>
  <si>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</si>
  <si>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</si>
  <si>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</si>
  <si>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</si>
  <si>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</si>
  <si>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</si>
  <si>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</si>
  <si>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</si>
  <si>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</si>
  <si>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</si>
  <si>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</si>
  <si>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</si>
  <si>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</si>
  <si>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</si>
  <si>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</si>
  <si>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</si>
  <si>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</si>
  <si>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</si>
  <si>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</si>
  <si>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</si>
  <si>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</si>
  <si>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Príjmové operácie spolu</t>
  </si>
  <si>
    <t>Odplata za postúpené pohľadávky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</si>
  <si>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</si>
  <si>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</si>
  <si>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</si>
  <si>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</si>
  <si>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</si>
  <si>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</si>
  <si>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</si>
  <si>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</si>
  <si>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</si>
  <si>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</si>
  <si>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</si>
  <si>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</si>
  <si>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</si>
  <si>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</si>
  <si>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</si>
  <si>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</si>
  <si>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</si>
  <si>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</si>
  <si>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</si>
  <si>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</si>
  <si>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</si>
  <si>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</si>
  <si>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</si>
  <si>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škola/trieda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</si>
  <si>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</si>
  <si>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</si>
  <si>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</si>
  <si>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</si>
  <si>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</si>
  <si>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</si>
  <si>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</si>
  <si>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</si>
  <si>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</si>
  <si>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</si>
  <si>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</si>
  <si>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</si>
  <si>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</si>
  <si>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</si>
  <si>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</si>
  <si>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</si>
  <si>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</si>
  <si>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</si>
  <si>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Priemerná naplnenosť</t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</si>
  <si>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</si>
  <si>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</si>
  <si>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</si>
  <si>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</si>
  <si>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</si>
  <si>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</si>
  <si>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</si>
  <si>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</si>
  <si>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</si>
  <si>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</si>
  <si>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</si>
  <si>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</si>
  <si>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</si>
  <si>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</si>
  <si>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</si>
  <si>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</si>
  <si>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</si>
  <si>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 23</t>
  </si>
  <si>
    <t>Číslo riadku</t>
  </si>
  <si>
    <t>Ukazovateľ (hlavná kategória ekonomickej klasifikácie)</t>
  </si>
  <si>
    <t>Suma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</si>
  <si>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</si>
  <si>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</si>
  <si>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</si>
  <si>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</si>
  <si>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</si>
  <si>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</si>
  <si>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</si>
  <si>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</si>
  <si>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</si>
  <si>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</si>
  <si>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</si>
  <si>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</si>
  <si>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</si>
  <si>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</si>
  <si>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</si>
  <si>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 31.12. predchádzajúceho obdobia</t>
    </r>
  </si>
  <si>
    <t>Zmena stavu vybraných záväzkov (+,-) (r.19 - r.18)</t>
  </si>
  <si>
    <r>
      <t xml:space="preserve">Stav vybraných záväzkov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</si>
  <si>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Arial"/>
        <family val="2"/>
        <charset val="238"/>
      </rPr>
      <t>k 31.12. predchádzajúceho obdobia</t>
    </r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</si>
  <si>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</si>
  <si>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</si>
  <si>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</si>
  <si>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</si>
  <si>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</si>
  <si>
    <t>Program 10: Životné prostredie Podprogram 1: Verejná zeleň - Brezina a Soblahov</t>
  </si>
  <si>
    <t>Program 8: Šport a mládež Podprogram 3 Prvok 4: Plavárne</t>
  </si>
  <si>
    <t>312 001: transfer</t>
  </si>
  <si>
    <t>231: Príjem z predaja kapitálových aktív</t>
  </si>
  <si>
    <t>10.4.0. Soc. pomoc obč.núdzi</t>
  </si>
  <si>
    <t>08.1.0. Rekreácie, kultúra a náboženstvo</t>
  </si>
  <si>
    <t>713: Nákup strojov, prístrojov, zariadení</t>
  </si>
  <si>
    <t>717: Realizácia stavieb a ich tech.zhodnotenia</t>
  </si>
  <si>
    <t>k 31.12.2019</t>
  </si>
  <si>
    <t>Medzigeneračné učenie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</si>
  <si>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</si>
  <si>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</si>
  <si>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</si>
  <si>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</si>
  <si>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</si>
  <si>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</si>
  <si>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</si>
  <si>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</si>
  <si>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</si>
  <si>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</si>
  <si>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</si>
  <si>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</si>
  <si>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</si>
  <si>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</si>
  <si>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</si>
  <si>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</si>
  <si>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</si>
  <si>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</si>
  <si>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</si>
  <si>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</si>
  <si>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</si>
  <si>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</si>
  <si>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</si>
  <si>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</si>
  <si>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</si>
  <si>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</si>
  <si>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</si>
  <si>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</si>
  <si>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</si>
  <si>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</si>
  <si>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</si>
  <si>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</si>
  <si>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</si>
  <si>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</si>
  <si>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</si>
  <si>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</si>
  <si>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</si>
  <si>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</si>
  <si>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</si>
  <si>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</si>
  <si>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</si>
  <si>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</si>
  <si>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</si>
  <si>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</si>
  <si>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</si>
  <si>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</si>
  <si>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</si>
  <si>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</si>
  <si>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</si>
  <si>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</si>
  <si>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</si>
  <si>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</si>
  <si>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</si>
  <si>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</si>
  <si>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62</t>
  </si>
  <si>
    <t>63</t>
  </si>
  <si>
    <t>64</t>
  </si>
  <si>
    <t>65</t>
  </si>
  <si>
    <t>536/CC/19</t>
  </si>
  <si>
    <t>31.1.2020</t>
  </si>
  <si>
    <t>posledná: 17 044 €</t>
  </si>
  <si>
    <t>Centrum voľného času, m.r.o.</t>
  </si>
  <si>
    <t xml:space="preserve"> V súlade s § 17, ods. 6 zákona č.583/2004 Z.z. o rozpočtových pravidlách územnej samosprávy a o zmene a doplnení niektorých zákonov v znení neskorších predpisov môže obec na splnenie svojich úloh prijať návratné zdroje financovania len ak:</t>
  </si>
  <si>
    <t>Zostatok prostriedkov z predchádzajúcich rokov</t>
  </si>
  <si>
    <t>2049</t>
  </si>
  <si>
    <t>mesačne: 17 084 €</t>
  </si>
  <si>
    <t>Revitalizácia školského dvora</t>
  </si>
  <si>
    <t>09.1.2.1.   Primárne vzdelávanie s bežnou star.</t>
  </si>
  <si>
    <t>09.2.1.1. Nižšie sek. vzdelávanie všeobecné s bežnou star.</t>
  </si>
  <si>
    <t>Príloha č.7</t>
  </si>
  <si>
    <t>Mesto Trenčín nemalo v roku 2020 zriadené príspevkové organizácie</t>
  </si>
  <si>
    <t>Prijaté bežné dotácie v roku 2020</t>
  </si>
  <si>
    <t>Prijaté kapitálové dotácie v roku 2020</t>
  </si>
  <si>
    <t>Dotácie v oblasti športu a mládeže v roku 2020</t>
  </si>
  <si>
    <t>Dotácie v  oblasti kultúry  v roku 2020</t>
  </si>
  <si>
    <t>Dotácie v sociálnej oblasti v roku 2020</t>
  </si>
  <si>
    <t>Dotácie v  oblasti školstva  v roku 2020</t>
  </si>
  <si>
    <t>Dotácie v  oblasti životného prostredia  v roku 2020</t>
  </si>
  <si>
    <t>Nevyč.dot. 2019</t>
  </si>
  <si>
    <t>k 31.12.2020</t>
  </si>
  <si>
    <t>Pohľadávky Mesta Trenčín k 31.12.2020</t>
  </si>
  <si>
    <t>Bežné výdavky podľa funkčnej klasifikácie k 31.12.2020</t>
  </si>
  <si>
    <t>Kapitálové výdavky podľa funkčnej klasifikácie k 31.12.2020</t>
  </si>
  <si>
    <t>Bežné a kapitálové výdavky podľa ekonomickej klasifikácie k 31.12.2020</t>
  </si>
  <si>
    <t>Finančné operácie podľa ekonomickej  klasifikácie k 31.12.2020</t>
  </si>
  <si>
    <t>OZ Silnejší slabším</t>
  </si>
  <si>
    <t>Objavujme a chráňme</t>
  </si>
  <si>
    <t>Včelárska nedeľa</t>
  </si>
  <si>
    <t>RZ pri MS Kubranská 20, Trenčín</t>
  </si>
  <si>
    <t>OZ rodičov pri MŠ Stromová 3, Trenčín</t>
  </si>
  <si>
    <t>Malí pestovatelia - záhradníci</t>
  </si>
  <si>
    <t>OZ Zaži Trenčín</t>
  </si>
  <si>
    <t>Čistá Brezina 2020</t>
  </si>
  <si>
    <t>OZ Alegro</t>
  </si>
  <si>
    <t>Okolie je našou súčasťou a my sme súčasťou okolia</t>
  </si>
  <si>
    <t>Lesná učebňa</t>
  </si>
  <si>
    <t>Silnejší slabším o.z</t>
  </si>
  <si>
    <t>Stredná športová škola,ktorej súčasťou je školský internát</t>
  </si>
  <si>
    <t>Spoločnými silami pre zdravie</t>
  </si>
  <si>
    <t>Friday nights</t>
  </si>
  <si>
    <t>Radosť detí</t>
  </si>
  <si>
    <t>Iambitious</t>
  </si>
  <si>
    <t>I AMbitious</t>
  </si>
  <si>
    <t>TeCeMko</t>
  </si>
  <si>
    <t>Dobrovoľníčenie nás baví</t>
  </si>
  <si>
    <t>TRAKT</t>
  </si>
  <si>
    <t>Filmový workshop 2</t>
  </si>
  <si>
    <t xml:space="preserve">Zlatá tehlička, o. z. </t>
  </si>
  <si>
    <t>OZ Rodičov pri MŠ, Šafárikova</t>
  </si>
  <si>
    <t xml:space="preserve">Združenie rodičov a priateľov školy pri MŠ, Medňanského </t>
  </si>
  <si>
    <t>Združenie rodičov a priateľov školy pri ZŠ, Na dolinách</t>
  </si>
  <si>
    <t>OZ rodičov pri MŠ, Ul. 28.októbra</t>
  </si>
  <si>
    <t>Združenie rodičov pri MŠ, J. Halašu</t>
  </si>
  <si>
    <t xml:space="preserve">Verejná knižnica M. Rešetku </t>
  </si>
  <si>
    <t xml:space="preserve">Združenie rodičov pri ZŠ, Dlhé Hony </t>
  </si>
  <si>
    <t>Združenie rodičov a priateľov ZŠ, Na dolinách</t>
  </si>
  <si>
    <t>Občianske združenie Komenský</t>
  </si>
  <si>
    <t>Deťom, n.f.</t>
  </si>
  <si>
    <t>Združenie rodičov a priateľov školy ZŠ, Na dolinách</t>
  </si>
  <si>
    <t>OZ Handrbolka</t>
  </si>
  <si>
    <t xml:space="preserve">OZ pri ZŠ, Kubranská Archa </t>
  </si>
  <si>
    <t>Slimáčik - Dieťa v centre pozornosti už v MŠ</t>
  </si>
  <si>
    <t>Rada rodičovského združenia pri ZŠ, Hodžova</t>
  </si>
  <si>
    <t xml:space="preserve">Zaži Trenčín </t>
  </si>
  <si>
    <t xml:space="preserve">OZ Alegro </t>
  </si>
  <si>
    <t>Krok za krokom vo finančnom vzdelávaní</t>
  </si>
  <si>
    <t>Vedomosti do hrsti!</t>
  </si>
  <si>
    <t>Nordic walking pre deti</t>
  </si>
  <si>
    <t>Meduškine záhony plné prekvapení</t>
  </si>
  <si>
    <t>Čitateľský twinning ZŠ, Na dolinách a ZŠ Kubranská</t>
  </si>
  <si>
    <t>Zdravé nohy, zdravá chôdza</t>
  </si>
  <si>
    <t>Čo dokáže škôlkar - Keramikárik</t>
  </si>
  <si>
    <t xml:space="preserve">Motivačné a vzdelávacie súťaže pre deti </t>
  </si>
  <si>
    <t>Učenie hrou</t>
  </si>
  <si>
    <t>Kompenzačné pomôcky a odborná literatúra do učebne špecifických predmetov</t>
  </si>
  <si>
    <t>Modernizácia školských dielní</t>
  </si>
  <si>
    <t>Zriadenie učebne špecifických predmetov</t>
  </si>
  <si>
    <t>Zvýšenie efektivity vzdelávania žiakov so zdravotným znevýhodnením</t>
  </si>
  <si>
    <t>Ekozáhradka - revitalizácia školskej záhrady</t>
  </si>
  <si>
    <t>Pre zdravý chrbát a zdravé nohy športujeme a hop do prírody!</t>
  </si>
  <si>
    <t>Škola a galéria 2020</t>
  </si>
  <si>
    <t>Zlepšenie podmienok vzdelávania pre žiakov so zdravotným znevýhodnením</t>
  </si>
  <si>
    <t>Podpora včasnej diagnostiky ako nástroj primárnej, sekundárnaj a terciárnej prevencie ŠVVP</t>
  </si>
  <si>
    <t>Oblečme Vianoce do piesní</t>
  </si>
  <si>
    <t>Buďme spolu lepší tím</t>
  </si>
  <si>
    <t>Kŕmenie vtákov v zime a stavba kŕmidiel</t>
  </si>
  <si>
    <t>Deti, sme tu pre vás!</t>
  </si>
  <si>
    <t>Súbor letných workshopov a aktivít</t>
  </si>
  <si>
    <t>Športový klub polície v Trenčíne</t>
  </si>
  <si>
    <t>Cross Run Opatova 2020</t>
  </si>
  <si>
    <t>Kultúrne centrum SIHOŤ</t>
  </si>
  <si>
    <t>6. ročník Trenčín inline 2020 - Majstrovstvá Slovenska MARATÓN</t>
  </si>
  <si>
    <t>LUAN, občianske združenie</t>
  </si>
  <si>
    <t>PREBUDENIE DRAKA 2020</t>
  </si>
  <si>
    <t>Tanečný klub Dukla Trenčín</t>
  </si>
  <si>
    <t>Laugiricio cup 2020 IO WDSF</t>
  </si>
  <si>
    <t>Športový klub Real team Trenčín, o.z.</t>
  </si>
  <si>
    <t>Slovenský pohár deti a mládeže v karate, 1.kolo</t>
  </si>
  <si>
    <t>Medzinárodný turnaj 5.ročníkov - memoriál Jozefa Hantáka 2020</t>
  </si>
  <si>
    <t>Plavecké preteky Veľká cena primátora mesta Trenčín zdravotne znevýhodnenej mládeže a 5. Majstrovstvá Slovenska v plávaní mládeže s Downovým syndrómom (október/2020),</t>
  </si>
  <si>
    <t>Tenisové centrum mládeže Trenčín</t>
  </si>
  <si>
    <t>VIII.ročník " Detská športová olympiáda "</t>
  </si>
  <si>
    <t>AUTIS</t>
  </si>
  <si>
    <t>Benefičný beh Pro Autis 8.ročník</t>
  </si>
  <si>
    <t>Športový klub nepočujúcich Trenčín</t>
  </si>
  <si>
    <t>Sportkemp o.z.</t>
  </si>
  <si>
    <t>Night Run Trenčín</t>
  </si>
  <si>
    <t>Golfový a športový klub Trenčín</t>
  </si>
  <si>
    <t>Golf pre všetkých</t>
  </si>
  <si>
    <t>Martin Vlnka s.r.o.</t>
  </si>
  <si>
    <t>Trenčiansky polmaratón</t>
  </si>
  <si>
    <t>Tanečný klub Aura Dance</t>
  </si>
  <si>
    <t>Moderná koncepcia približovania telesnej kultúry a športu deťom predškolského veku v Trenčíne.</t>
  </si>
  <si>
    <t>Telovýchovná jednota Štadión Trenčín</t>
  </si>
  <si>
    <t>3x3 basketbalový indoor turnaj 2020 v Trenčíne</t>
  </si>
  <si>
    <t>Spojená škola internátna, Ľ. Stárka 12, Trenčín</t>
  </si>
  <si>
    <t>Letná atletická paralympiáda</t>
  </si>
  <si>
    <t>Centrum včasnej intervencie Trenčín, n.o.</t>
  </si>
  <si>
    <t>Pohyb je pre každého</t>
  </si>
  <si>
    <t>Buď lepší, o.z.</t>
  </si>
  <si>
    <t>Buď lepší - Challenge day 10</t>
  </si>
  <si>
    <t>Olympiáda CVČ</t>
  </si>
  <si>
    <t>Tenisový klub AS Trenčín</t>
  </si>
  <si>
    <t>"Vrchárska koruna Trenčianska"</t>
  </si>
  <si>
    <t>Free Trenčín</t>
  </si>
  <si>
    <t>Laugaricio Combat Club o.z</t>
  </si>
  <si>
    <t>Šport nás spája pre detské domovy</t>
  </si>
  <si>
    <t>TJ Dukla Trenčín</t>
  </si>
  <si>
    <t>usporiadanie medzinárodného turnaja Veľká cena Trenčína - Memoriál Mlyneka</t>
  </si>
  <si>
    <t>AS Trenčín, a.s.</t>
  </si>
  <si>
    <t>This is my sen</t>
  </si>
  <si>
    <t>ŠPORTOVÁ AKADĚMIA TRENČÍN</t>
  </si>
  <si>
    <t>Športovo hádzanársky kemp 2020</t>
  </si>
  <si>
    <t>Trenčiansky kolkársky klub</t>
  </si>
  <si>
    <t>Turnaj mládeže 6 klubov - hostiteľ TKK Trenčín jeden turnaj</t>
  </si>
  <si>
    <t>Považský paraglidingový klub</t>
  </si>
  <si>
    <t>Laugarício Paragliding Open 2020</t>
  </si>
  <si>
    <t>Kultúrne centrum Sihoť</t>
  </si>
  <si>
    <t>Trenčianska bežecká liga</t>
  </si>
  <si>
    <t>hokejbalový turnaj o pohár Sihote</t>
  </si>
  <si>
    <t>Elite Fight Promotion</t>
  </si>
  <si>
    <t>Muay Thai Evening 11</t>
  </si>
  <si>
    <t>Stolnotenisový klub Keraming Trenčín</t>
  </si>
  <si>
    <t>Usporiadanie pohára Oslobodenia mesta Trenčína s medzinárodnou účasťou</t>
  </si>
  <si>
    <t>Jednota SOKOL Trenčín</t>
  </si>
  <si>
    <t>Malá olympiáda sokolskej všestrannosti</t>
  </si>
  <si>
    <t>Hviezdy deťom</t>
  </si>
  <si>
    <t>Trenčiansky futbalový klub 1939 Záblatie</t>
  </si>
  <si>
    <t>Letný futbalový turnaj prípraviek</t>
  </si>
  <si>
    <t>ŠK 1. FBC TRENČÍN</t>
  </si>
  <si>
    <t>#MY SME FLORBAL</t>
  </si>
  <si>
    <t>ILYO-TAEKWONDO Trenčín o.z.</t>
  </si>
  <si>
    <t>Trenčín Open 2020  – International Taekwondo WT tournament</t>
  </si>
  <si>
    <t>Pro sport team o.z</t>
  </si>
  <si>
    <t>Enduro cup stred - 3 ročník</t>
  </si>
  <si>
    <t>Zaži Trenčín OZ</t>
  </si>
  <si>
    <t>Športová olympiáda pre zdravotne postihnutých</t>
  </si>
  <si>
    <t>Športový klub Dračia légia 2012 Trenčín</t>
  </si>
  <si>
    <t>Laugaricio Trencin - klub karate Slovakia</t>
  </si>
  <si>
    <t>TJ Štadión Trenčín</t>
  </si>
  <si>
    <t>Mestká únia malého futbalu v Trenčíne</t>
  </si>
  <si>
    <t>Otužilci a zimní plavci Trenčianske tulene</t>
  </si>
  <si>
    <t>TK ASICS Trenčín</t>
  </si>
  <si>
    <t>Vzpieračský klub KOFI Trenčín</t>
  </si>
  <si>
    <t>HONKADORI AIKIDO DOJO – TRENČÍN</t>
  </si>
  <si>
    <t>Považská sokolská župa M.R.Štefánika</t>
  </si>
  <si>
    <t>Unipláž</t>
  </si>
  <si>
    <t>Slovenská asociácia silných mužov</t>
  </si>
  <si>
    <t>ABADÁ Capoeira Trenčín - Capoeira Vrbové o.z.</t>
  </si>
  <si>
    <t>Kanoistický klub TTS</t>
  </si>
  <si>
    <t>Klub slovenských turistov regionálna rada Trenčín</t>
  </si>
  <si>
    <t>TJ CEVA Trenčín</t>
  </si>
  <si>
    <t>Dračia Légia Trenčín</t>
  </si>
  <si>
    <t>BADMINTON KLUB MI TRENČÍN</t>
  </si>
  <si>
    <t>Karate Klub Ekonóm Trenčín o.z.</t>
  </si>
  <si>
    <t>Laugaricio Combat Club</t>
  </si>
  <si>
    <t>LUAN, o.z.</t>
  </si>
  <si>
    <t>Victory Gym Trenčín / Elite Fight Promotion, O.Z.</t>
  </si>
  <si>
    <t>Letci Trenčín, o.z.</t>
  </si>
  <si>
    <t>Kraso Trenčín</t>
  </si>
  <si>
    <t>Musher klub Trenčín</t>
  </si>
  <si>
    <t>Športová Akadémia Trenčín</t>
  </si>
  <si>
    <t>Nordic Walking Trenčín a okolie</t>
  </si>
  <si>
    <t>Vysokohorský klub VK Trenčín</t>
  </si>
  <si>
    <t>ILYO - TAEKWONDO Trenčín</t>
  </si>
  <si>
    <t>TJ Slávia ŠG Trenčín</t>
  </si>
  <si>
    <t>Fitness Gabrhel</t>
  </si>
  <si>
    <t>bikeacademy.sk</t>
  </si>
  <si>
    <t>CLIMBERG ŠPORTOVÝ KLUB</t>
  </si>
  <si>
    <t>ADOS SALUS, s.r.o.</t>
  </si>
  <si>
    <t>Kompresný prístroj pre zlepšenie kvality života seniorov pri ochoreniach dolných končatín</t>
  </si>
  <si>
    <t>AUTIS, n.o.</t>
  </si>
  <si>
    <t>Podporme samostatnosť u detí s autizmom</t>
  </si>
  <si>
    <t>Centrum nepočujúcich ANEPS Trenčín</t>
  </si>
  <si>
    <t>Sociálno-rekondičný pobyt nepočujúcich</t>
  </si>
  <si>
    <t>Centrum včasnej intervencie Trenčín</t>
  </si>
  <si>
    <t>Hudba ako prostriedok komunikácie a relaxácie</t>
  </si>
  <si>
    <t>Klub abstinentov Trenčín, o.z.</t>
  </si>
  <si>
    <t>Rodinná terénna terapia 2020</t>
  </si>
  <si>
    <t>Laugarício Combat Club o.z.</t>
  </si>
  <si>
    <t>Pomáhame do poslednej kvapky krvi</t>
  </si>
  <si>
    <t>LUNA, n.o.</t>
  </si>
  <si>
    <t>Záhradný domček pre rôzne formy terapie vzťahovej väzby medzi matkou a dieťaťom</t>
  </si>
  <si>
    <t>Organizácia postihnutých chronickými chorobami v Trenčíne</t>
  </si>
  <si>
    <t>Rekondično-vzdelávací pobyt v penzióne Zora v Tatranskej Lomnici</t>
  </si>
  <si>
    <t>OZ Amazonky, pobočka Trenčín</t>
  </si>
  <si>
    <t>Kurz nordic walking zameraný na špecifické potreby onkologického pacienta</t>
  </si>
  <si>
    <t>Rotary Club Trenčín Laugarício</t>
  </si>
  <si>
    <t>Vykurovanie prevádzky chránenej dielne - kaviareň Na ceste</t>
  </si>
  <si>
    <t>Slovenský zväz sclerosis multiplex Klub SM pri SZSM Trenčín</t>
  </si>
  <si>
    <t>Liečebno-rehabilitačný pobyt v kúpeľoch</t>
  </si>
  <si>
    <t>Slovenský zväz telesne postihnutých, ZO 17</t>
  </si>
  <si>
    <t>Rekondícia ťažko telesne postihnutých</t>
  </si>
  <si>
    <t>Slovenský zväz telesne postihnutých, ZO 57</t>
  </si>
  <si>
    <t>Rekondično-integračný program pre členov ZO</t>
  </si>
  <si>
    <t>Únia nevidiacich a slabozrakých Slovenska</t>
  </si>
  <si>
    <t>Zvýšenie ochrany osobných údajov klientov na krajskom stredisku v Trenčíne</t>
  </si>
  <si>
    <t>Základná organizácia nedoslýchavých v Trenčíne</t>
  </si>
  <si>
    <t>Činnosť a organizovanie ozdravno-rehabilitačných aktivít pre členov ZOND v roku 2020</t>
  </si>
  <si>
    <t>Dotácia na činnosť v roku 2020</t>
  </si>
  <si>
    <t>JDS ZO 02 - Akadémia tretieho veku</t>
  </si>
  <si>
    <t>Akadémia tretieho veku</t>
  </si>
  <si>
    <t>01.3.2.</t>
  </si>
  <si>
    <t>Poskytnutá dotácia</t>
  </si>
  <si>
    <t>Dotácie v oblasti športu na činnosť v roku 2020</t>
  </si>
  <si>
    <t>Prepočítaný počet zamestnancov základných škôl  v šk.roku roku 2020/2021</t>
  </si>
  <si>
    <t>stav k 15.9.2020</t>
  </si>
  <si>
    <t xml:space="preserve">POČTY ŽIAKOV A TRIED V ROČNÍKOCH V ZŠ V ŠK. ROKU 2020/2021 </t>
  </si>
  <si>
    <t>Prípravný ročník</t>
  </si>
  <si>
    <t>1. - 4.r. (vrátane prípravného roč.)</t>
  </si>
  <si>
    <t>Kubranská - Aprogén</t>
  </si>
  <si>
    <r>
      <t xml:space="preserve">ZUŠ - 1056 žiakov (do 15 r. aj nad 15 r.), 531 individuálne; 525 skupinové vyučovanie; pokles </t>
    </r>
    <r>
      <rPr>
        <b/>
        <u/>
        <sz val="10"/>
        <color rgb="FF000000"/>
        <rFont val="Arial"/>
        <family val="2"/>
        <charset val="238"/>
      </rPr>
      <t xml:space="preserve"> o 48 žiakov</t>
    </r>
  </si>
  <si>
    <r>
      <t xml:space="preserve">CVČ -  359, </t>
    </r>
    <r>
      <rPr>
        <b/>
        <u/>
        <sz val="10"/>
        <rFont val="Arial"/>
        <family val="2"/>
        <charset val="238"/>
      </rPr>
      <t>pokles o 187 žiakov</t>
    </r>
  </si>
  <si>
    <r>
      <t>MŠ - 1 442 detí, z toho 488 predškolákov;</t>
    </r>
    <r>
      <rPr>
        <b/>
        <u/>
        <sz val="10"/>
        <rFont val="Arial"/>
        <family val="2"/>
        <charset val="238"/>
      </rPr>
      <t xml:space="preserve"> pokles  o 50 detí</t>
    </r>
  </si>
  <si>
    <r>
      <t xml:space="preserve">ŠKD - 1730 žiakov - </t>
    </r>
    <r>
      <rPr>
        <b/>
        <u/>
        <sz val="10"/>
        <rFont val="Arial"/>
        <family val="2"/>
        <charset val="238"/>
      </rPr>
      <t>pokles o 12 detí</t>
    </r>
  </si>
  <si>
    <r>
      <t>IIŽ - 158 žiakov -</t>
    </r>
    <r>
      <rPr>
        <b/>
        <u/>
        <sz val="10"/>
        <rFont val="Arial"/>
        <family val="2"/>
        <charset val="238"/>
      </rPr>
      <t xml:space="preserve"> o 30  viac ako vlani</t>
    </r>
  </si>
  <si>
    <r>
      <t xml:space="preserve">ZŠ - 4474 žiakov - </t>
    </r>
    <r>
      <rPr>
        <b/>
        <u/>
        <sz val="10"/>
        <rFont val="Arial"/>
        <family val="2"/>
        <charset val="238"/>
      </rPr>
      <t>o 35 viac ako vlani</t>
    </r>
  </si>
  <si>
    <t>Ministerstvo vnútra SR</t>
  </si>
  <si>
    <t>Dotácia na úhradu cestovných nákladov žiakov</t>
  </si>
  <si>
    <t>Dotácia na osobné náklady asistentov učiteľov</t>
  </si>
  <si>
    <t>Dotácia na vzdelávacie poukazy</t>
  </si>
  <si>
    <t>Dotácia na prenesené kompetnencie na odchodné</t>
  </si>
  <si>
    <t>Dotácia na prenesené kompetnencie - mzdy, odvody, tovary a služby</t>
  </si>
  <si>
    <t>Dotácia na jazykový kurz</t>
  </si>
  <si>
    <t>Dotácia na rekreačné poukazy</t>
  </si>
  <si>
    <t>Dotácia na príspevok  na žiakov  zo sociálne znevýhodneného prostredia</t>
  </si>
  <si>
    <t>Dotácia na učebnice</t>
  </si>
  <si>
    <t>Finančné prostriedky na výchovu a vzdelávanie pre materské školy</t>
  </si>
  <si>
    <t>Prenesený výkon štátnej správy - školský úrad</t>
  </si>
  <si>
    <t>Dotácia na príspevok školy v prírode</t>
  </si>
  <si>
    <t>dotácia na príspevok na lyžiarske kurzy</t>
  </si>
  <si>
    <t>Úrad práce, sociálnych vecí a rodiny SR</t>
  </si>
  <si>
    <t>Dotácia na školské potreby pre deti v hmotnej núdzi</t>
  </si>
  <si>
    <t>Dotácia na podpory výchovy k stravovacím návykom ("obedy zadarmo")</t>
  </si>
  <si>
    <t>Príspevok na podporu udržania zamestnanosti v MŠ</t>
  </si>
  <si>
    <t>Ministerstvo práce, sociálnych vecí a rodiny SR</t>
  </si>
  <si>
    <t>Projekt: "Pomáhajúce profesie v edukácii detí a žiakov II"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</si>
  <si>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</si>
  <si>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</si>
  <si>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</si>
  <si>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</si>
  <si>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Ministerstvo dopravy a výstavby SR</t>
  </si>
  <si>
    <t>Prenesený výkon štátnej správy na úseku miest. účel.komunikácií</t>
  </si>
  <si>
    <t>Prenesený výkon štátnej správy v oblasti stav.poriadku  vr.vyvlast.</t>
  </si>
  <si>
    <t>Ministerstvo práce, sociálnych veci a rodiny SR</t>
  </si>
  <si>
    <t>Dotácia na financovanie soc.služby v zariadení  sociálnych služieb</t>
  </si>
  <si>
    <t>Odmeny pre zamestnancov v I. línii (SSmT)</t>
  </si>
  <si>
    <t>Dotácia na humanitárnu pomoc - nákup vitamínov pre seniorov</t>
  </si>
  <si>
    <t>Dotácia na podporu rozvoja sociálnych služieb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</si>
  <si>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</si>
  <si>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</si>
  <si>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</si>
  <si>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Dotácia  - voľby do NR SR</t>
  </si>
  <si>
    <t>Prídavky na deti</t>
  </si>
  <si>
    <t>Ministerstvo pôdohospodárstva a rozvoja vidieka SR</t>
  </si>
  <si>
    <t>Nenávratný finančný príspevok na podporu administratívnych kapacít SO pre IROP mesta Trenčín</t>
  </si>
  <si>
    <t>Ministerstvo životného prostredia SR</t>
  </si>
  <si>
    <t>NFP Obnova MŠ Kubranská</t>
  </si>
  <si>
    <t>Enviromentálny fond</t>
  </si>
  <si>
    <t>Finančný príspevok z enviromentálneho fondu</t>
  </si>
  <si>
    <t>Štatistický úrad SR</t>
  </si>
  <si>
    <t>Dotácia Sčítanie obyvateľov, domov a bytov 2021</t>
  </si>
  <si>
    <t>Refundácie súvisiace s COVID-19</t>
  </si>
  <si>
    <t>Dobrovoľná požiarna ochrana SR</t>
  </si>
  <si>
    <t>Zabezpečenie akcieschopnosti  DHZO Trenčín-Opatová</t>
  </si>
  <si>
    <t>Zabezpečenie akcieschopnosti  DHZO Trenčín-Záblatie</t>
  </si>
  <si>
    <t>Ministerstvo hospodárstva SR</t>
  </si>
  <si>
    <t xml:space="preserve">Refundácia - nájomné </t>
  </si>
  <si>
    <t>Dary - účet pre Trenčín - na koronavírus</t>
  </si>
  <si>
    <t>02.2.0. Civilná ochrana</t>
  </si>
  <si>
    <t>229017: Z vratiek</t>
  </si>
  <si>
    <t>09.6.0.1. Predprimárne vzdelanie</t>
  </si>
  <si>
    <t>312: Transfery:</t>
  </si>
  <si>
    <t>Súvaha Mesta Trenčín a mestských rozpočtových organizácií mesta  k 31.12.2020</t>
  </si>
  <si>
    <t>223 001: Za jasle odborné činnosti</t>
  </si>
  <si>
    <t>223 001: Odborné činnosti</t>
  </si>
  <si>
    <t>292 027: manká a škody</t>
  </si>
  <si>
    <t>Fyzické osoby</t>
  </si>
  <si>
    <t>Nová Vlna</t>
  </si>
  <si>
    <t>Výstavy súčasného vizuálneho umenia V</t>
  </si>
  <si>
    <t xml:space="preserve">Folklórný súbor ČÁKOVEC </t>
  </si>
  <si>
    <t>Vianočná Opatová 2020</t>
  </si>
  <si>
    <t>Dychová hudba Textilanka</t>
  </si>
  <si>
    <t>Kultúrne leto na Zámostí 2020</t>
  </si>
  <si>
    <t>Dobrá novina - Vianočné CD DH Textilanka</t>
  </si>
  <si>
    <t>Hospic Milosrdných sestier</t>
  </si>
  <si>
    <t>X. benefičný koncert na podporu Hospicu Milosrdných sestier</t>
  </si>
  <si>
    <t xml:space="preserve">DFS Radosť v Trenčíne </t>
  </si>
  <si>
    <t xml:space="preserve">Uchovávanie a rozvíjanie tradičnej ľudovej kultúry výchovou v DFS Radosť </t>
  </si>
  <si>
    <t>AMADEUS</t>
  </si>
  <si>
    <t>Opatovské hody 2020</t>
  </si>
  <si>
    <t>Veselé Zlatovce, o.z.</t>
  </si>
  <si>
    <t>Zachovávanie kultúrnych tradícií a zvyklostí v mestskej časti Zlatovce</t>
  </si>
  <si>
    <t>Silnejší slabším</t>
  </si>
  <si>
    <t>Bavíme sa bez bariér 2. ročník</t>
  </si>
  <si>
    <t>Adventný festival speváckych zborov Daj boh šťastia...2020</t>
  </si>
  <si>
    <t xml:space="preserve">Dobre nech je tomu domu &amp; Z našej kuchyne </t>
  </si>
  <si>
    <t>"DNI SIHOTE TRENČÍN"</t>
  </si>
  <si>
    <t>DNI SIHOTE 2020</t>
  </si>
  <si>
    <t>Otvor srdce, daruj knihu</t>
  </si>
  <si>
    <t>X-Mas dance show</t>
  </si>
  <si>
    <t>Folklór severu</t>
  </si>
  <si>
    <t>HALA o.z.</t>
  </si>
  <si>
    <t xml:space="preserve">Dočasné skulptúry </t>
  </si>
  <si>
    <t>Trenčan, folklórny súbor Gymnázia Ľ. Štúra Trenčín</t>
  </si>
  <si>
    <t>Činnosť FS Trenčan</t>
  </si>
  <si>
    <t>ŠKRUPINKA Trenčín</t>
  </si>
  <si>
    <t>Krojové a nástrojové vybavenie MSS Škrupinka</t>
  </si>
  <si>
    <t xml:space="preserve">CPR Trenčín o.z.     </t>
  </si>
  <si>
    <t>Deň rodiny v Trenčíne 2020</t>
  </si>
  <si>
    <t>KOLOMAŽ, združenie pre súčasné umenie</t>
  </si>
  <si>
    <t>Otvorený kultúrny priestor 2020: SYN-TÉZA</t>
  </si>
  <si>
    <t>Komorný orchester mesta Trenčín</t>
  </si>
  <si>
    <t>Činnosť KOMT v r. 2020</t>
  </si>
  <si>
    <t xml:space="preserve">Dogma Divadlo </t>
  </si>
  <si>
    <t>činnosť Dogma Divadla na rok 2020</t>
  </si>
  <si>
    <t>COOLTÚRNE o.z.</t>
  </si>
  <si>
    <t xml:space="preserve">festival Priestor </t>
  </si>
  <si>
    <t>Kultúrne centrum Kubra</t>
  </si>
  <si>
    <t>Doplnenie krojov pre DFS Kubranček</t>
  </si>
  <si>
    <t>Trenčianska jazzová spoločnosť Fenix</t>
  </si>
  <si>
    <t>XXVII.  Trenčiansky jazzový festival Jazz pod hradom</t>
  </si>
  <si>
    <t>Jazz v meste</t>
  </si>
  <si>
    <t xml:space="preserve">Občianske združenie Country tanečný súbor Maryland </t>
  </si>
  <si>
    <t>Záujmová umelecká činnosť - podpora fungovania súboru</t>
  </si>
  <si>
    <t>Džamál</t>
  </si>
  <si>
    <t xml:space="preserve">Laugaricio orient festival 2020 - téme festivalu krása ženy </t>
  </si>
  <si>
    <t>Tanečno-svetelná šou</t>
  </si>
  <si>
    <t>Seniorklub Družba Trenčín</t>
  </si>
  <si>
    <t>Činnosť FS Seniorklub Družba Trenčín 2020</t>
  </si>
  <si>
    <t>Tanečná skupina Goonies, o.z.</t>
  </si>
  <si>
    <t>Tanečná rozprávka Vianoc 2020</t>
  </si>
  <si>
    <t>Činnosť TS Goonies v roku 2020</t>
  </si>
  <si>
    <t xml:space="preserve">TRAKT </t>
  </si>
  <si>
    <t>Kreatívna platforma</t>
  </si>
  <si>
    <t>Folklórny súbor Nadšenci</t>
  </si>
  <si>
    <t>Činnosť FS Nadšenci 2020</t>
  </si>
  <si>
    <t>XIII. tanečný dom v Trenčíne</t>
  </si>
  <si>
    <t>Klub detí a mládeže TIGRÍKY</t>
  </si>
  <si>
    <t xml:space="preserve">Vianočný galaprogram Tancujúcich Tigríkov </t>
  </si>
  <si>
    <t>Festival Punkáči deťom 2020</t>
  </si>
  <si>
    <t xml:space="preserve">Občianske združenie Naše Záblatie </t>
  </si>
  <si>
    <t xml:space="preserve">Udržiavanie tradícií v mestskej časti Záblatie </t>
  </si>
  <si>
    <t>SPOLOČNOSŤ PRE UMENIE A LITERATÚRU</t>
  </si>
  <si>
    <t>Literárne soirée</t>
  </si>
  <si>
    <t>TEDx Trenčín 2020- Sedmička</t>
  </si>
  <si>
    <t>Trenčania pre Trenčín</t>
  </si>
  <si>
    <t xml:space="preserve">Kultúrne leto na severe </t>
  </si>
  <si>
    <t xml:space="preserve">Trenčianske folklórne združenie STODOLA </t>
  </si>
  <si>
    <t>Hojné požehnanie Vám nesieme</t>
  </si>
  <si>
    <t xml:space="preserve">Kroje pre uvádzačov programov </t>
  </si>
  <si>
    <t>Folklórny súbor Družba</t>
  </si>
  <si>
    <t>Činnosť a materiálové vybavenie súboru - sústredenia 2020</t>
  </si>
  <si>
    <t>LampArt</t>
  </si>
  <si>
    <t>ArtKino Metro Trenčín</t>
  </si>
  <si>
    <t>Trenčiansky spevácky zbor</t>
  </si>
  <si>
    <t>Zachovanie a rizvoj zborového spevu v Trenčíne</t>
  </si>
  <si>
    <t>festival dychových hudieb Okolo Trenčína</t>
  </si>
  <si>
    <t>Susan Slovakia, s.r.o.</t>
  </si>
  <si>
    <t>Bella (a) cappella</t>
  </si>
  <si>
    <t>Literárne mecheche</t>
  </si>
  <si>
    <t>Coffee Sheep, s.r.o.</t>
  </si>
  <si>
    <t>KULTURSHEEP</t>
  </si>
  <si>
    <t>OLDIES FEST so špeciálnymi hosťami</t>
  </si>
  <si>
    <t>Ing. Katarína Vidal</t>
  </si>
  <si>
    <t xml:space="preserve">Tance pre radosť </t>
  </si>
  <si>
    <t>Galéria Miloša Alexandra Bazovského v Trenčíne</t>
  </si>
  <si>
    <t>Leto v galérii</t>
  </si>
  <si>
    <t>Stretnutie s ...</t>
  </si>
  <si>
    <t>Kreatívne reči / Kreatívne rozhovory / Otvorený dialóg / Kreatívny dialóg / Rozhovory u Miloša</t>
  </si>
  <si>
    <t>NA VIANOCE DOMA</t>
  </si>
  <si>
    <t>Dni maximiliána Hella 2020</t>
  </si>
  <si>
    <t>Cirkevný zbor Evanjelickej cirkvi augsburského vyznania na Slovensku so sídlom v Trenčíne</t>
  </si>
  <si>
    <t xml:space="preserve">Dotácia na činnosť Trenčianskeho evanjelického spevokolu ZVON na rok 2020 </t>
  </si>
  <si>
    <t>Činnosť speváckeho zboru Piarissimo</t>
  </si>
  <si>
    <t>Nadácia EHP</t>
  </si>
  <si>
    <t>Ministerstvo školstva, vedy, výskumu a športu SR</t>
  </si>
  <si>
    <t>Dotácia na zlepšenie vybavenia školskej jedálne v základných a stredných školách</t>
  </si>
  <si>
    <t>Ministerstvo financií  SR</t>
  </si>
  <si>
    <t>Dotácia na kúpu starého železničného mostu</t>
  </si>
  <si>
    <t>NFP Zvýšenie metskej mobility budovaním siete cyklistickej infraštruktúry v TN: Vetva D - ul. Zlatovská a Prepojenie ul.Zlatovská - Hlavná</t>
  </si>
  <si>
    <t>Sprostredkovateľský orgán pre IROP</t>
  </si>
  <si>
    <t>NFP Modernizácia priestorov ZŠ Novomeského</t>
  </si>
  <si>
    <t>NFP Modernizácia priestorov ZŠ Dlhé Hony</t>
  </si>
  <si>
    <t>NFP Modernizácia priestorov ZŠ Veľkomoravská</t>
  </si>
  <si>
    <t>NFP Modernizácia priestorov ZŠ Hodžova</t>
  </si>
  <si>
    <t>NFP Zelené pľúca mesta - Revitalizácia priestoru átria</t>
  </si>
  <si>
    <t>NFP Plán udržateľnej mobility funkčného územia Trenčína</t>
  </si>
  <si>
    <t>NFP Zlepšenie enviromentálnych aspektov v meste Trenčín - vybudovanie prvkov zelenej infraštruktúry pri regenerácii vnútrobloku Halašu</t>
  </si>
  <si>
    <t>Ministerstvo životného prostredia  SR</t>
  </si>
  <si>
    <t>NFP Zvýšenie metskej mobility budovaním siete cyklistickej infraštruktúry v TN: Chodník a cyklotrasa Kasárenská</t>
  </si>
  <si>
    <t>Horizon 2020</t>
  </si>
  <si>
    <t xml:space="preserve">Fundacion Cartif </t>
  </si>
  <si>
    <t>Prehľad dlhu v zmysle § 17, ods. 6,7 zákona č. 583/2004 o rozpočtových pravidlách územnej samosprávy v znení neskorších predpisov k 31.12.2020</t>
  </si>
  <si>
    <t>Splátky od 1.1.2020 do 31.12.2020</t>
  </si>
  <si>
    <t xml:space="preserve"> k 31.12.2020 v EUR</t>
  </si>
  <si>
    <t>361/CC/20</t>
  </si>
  <si>
    <t>31.1.2021</t>
  </si>
  <si>
    <t>mesačne: 13 333 €</t>
  </si>
  <si>
    <t>posledná: 13 373 €</t>
  </si>
  <si>
    <t>Ministerstvo financií SR</t>
  </si>
  <si>
    <t>2020/128/0613</t>
  </si>
  <si>
    <t>do 31.10.2024</t>
  </si>
  <si>
    <t>ročne 320.130 €</t>
  </si>
  <si>
    <t>do 31.10.2025</t>
  </si>
  <si>
    <t>do 31.10.2026</t>
  </si>
  <si>
    <t>do 31.10.2027</t>
  </si>
  <si>
    <t>Štátny fond rozvoja bývania 48 b.j.</t>
  </si>
  <si>
    <t>NFP - Podpora administratívnych kapacít SO pre IROP mesta Trenčín</t>
  </si>
  <si>
    <t>Výsledok hospodárenia Mesta Trenčín v metodike ESA 2010 za rok 2020</t>
  </si>
  <si>
    <t>Ministerstvo investícií, regionálneho rozvoja a informatizácie SR</t>
  </si>
  <si>
    <t>Dotácia -  Obnova mobiliáru v Parku M.R.Štefánika</t>
  </si>
  <si>
    <t xml:space="preserve">  Vývoj dlhovej služby Mesta Trenčín v rokoch  2014-2020 vo väzbe  na zákon č.583/2004 Z.z. o rozpočtových pravidlách územnej samosprávy  a o zmene a doplnení niektorých zákonov v znení neskorších predpisov </t>
  </si>
  <si>
    <r>
      <t xml:space="preserve">Slnko Sihote  </t>
    </r>
    <r>
      <rPr>
        <sz val="8"/>
        <color rgb="FF000000"/>
        <rFont val="Arial"/>
        <family val="2"/>
        <charset val="238"/>
      </rPr>
      <t>(poskytnutá dotácia 450 €, nevyčerpaná, t.j. vrátená na účet mesta 450 €)</t>
    </r>
  </si>
  <si>
    <r>
      <t>Južania</t>
    </r>
    <r>
      <rPr>
        <sz val="9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(poskytnutá dotácia 800 €, nevyčerpaná, t.j. vrátená na účet mesta 41,33 €)</t>
    </r>
  </si>
  <si>
    <r>
      <t>BAMBULA</t>
    </r>
    <r>
      <rPr>
        <sz val="9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(poskytnutá dotácia 1.477 €, nevyčerpaná, t.j. vrátená na účet mesta 1.215 €)</t>
    </r>
  </si>
  <si>
    <r>
      <t xml:space="preserve">Tanečný klub Dukla Trenčín </t>
    </r>
    <r>
      <rPr>
        <sz val="8"/>
        <color theme="1"/>
        <rFont val="Arial"/>
        <family val="2"/>
        <charset val="238"/>
      </rPr>
      <t>(poskytnutá dotácia 2.867 €, nevyčerpaná, t.j. vrátená na účet mesta 2.502 €)</t>
    </r>
  </si>
  <si>
    <r>
      <t xml:space="preserve">Športový klub Real team Trenčín, o.z. </t>
    </r>
    <r>
      <rPr>
        <sz val="8"/>
        <color theme="1"/>
        <rFont val="Arial"/>
        <family val="2"/>
        <charset val="238"/>
      </rPr>
      <t>(poskytnutá dotácia 1.250 €, nevyčerpaná, t.j. vrátená na účet mesta 353 €)</t>
    </r>
  </si>
  <si>
    <r>
      <t xml:space="preserve">Hokejový klub Dukla Trenčín n.o. </t>
    </r>
    <r>
      <rPr>
        <sz val="8"/>
        <color theme="1"/>
        <rFont val="Arial"/>
        <family val="2"/>
        <charset val="238"/>
      </rPr>
      <t>(poskytnutá dotácia 513 €, nevyčerpaná, t.j. vrátená na účet mesta 516 €)</t>
    </r>
  </si>
  <si>
    <r>
      <t xml:space="preserve">Spoločnosť Downovho syndrómu na Slovensku </t>
    </r>
    <r>
      <rPr>
        <sz val="8"/>
        <color theme="1"/>
        <rFont val="Arial"/>
        <family val="2"/>
        <charset val="238"/>
      </rPr>
      <t>(poskytnutá dotácia 1.061 €, nevyčerpaná, t.j. vrátená na účet mesta 1.061 €)</t>
    </r>
  </si>
  <si>
    <r>
      <t xml:space="preserve">Občianske združenie Kolotoč pri Centre voľného času v Trenčíne </t>
    </r>
    <r>
      <rPr>
        <sz val="8"/>
        <color theme="1"/>
        <rFont val="Arial"/>
        <family val="2"/>
        <charset val="238"/>
      </rPr>
      <t>(poskytnutá dotácia 378 €, nevyčerpaná, t.j. vrátená na účet mesta 378 €)</t>
    </r>
  </si>
  <si>
    <r>
      <t xml:space="preserve">TJ Dukla Trenčín </t>
    </r>
    <r>
      <rPr>
        <sz val="8"/>
        <color theme="1"/>
        <rFont val="Arial"/>
        <family val="2"/>
        <charset val="238"/>
      </rPr>
      <t>(poskytnutá dotácia 516 €, nevyčerpaná, t.j. vrátená na účet mesta 516 €)</t>
    </r>
  </si>
  <si>
    <t>Občianske združenie Hudobné aktivity   (poskytnutá dotácia 300 €, nevyčerpaná, t.j. vrátená na účet mesta 300 €)</t>
  </si>
  <si>
    <r>
      <t xml:space="preserve">DFS Kornička  </t>
    </r>
    <r>
      <rPr>
        <sz val="8"/>
        <rFont val="Arial"/>
        <family val="2"/>
        <charset val="238"/>
      </rPr>
      <t>(poskytnutá dotácia 500 €, nevyčerpaná, t.j. vrátená na účet mesta 500 €)</t>
    </r>
  </si>
  <si>
    <r>
      <t xml:space="preserve">Trenčianska nadácia </t>
    </r>
    <r>
      <rPr>
        <sz val="8"/>
        <rFont val="Arial"/>
        <family val="2"/>
        <charset val="238"/>
      </rPr>
      <t xml:space="preserve"> (poskytnutá dotácia 400 €, nevyčerpaná, t.j. vrátená na účet mesta 134,80 €)</t>
    </r>
  </si>
  <si>
    <r>
      <t xml:space="preserve">Tanečný klub Aura Dance </t>
    </r>
    <r>
      <rPr>
        <sz val="8"/>
        <rFont val="Arial"/>
        <family val="2"/>
        <charset val="238"/>
      </rPr>
      <t>(poskytnutá dotácia 700 €, nevyčerpaná, t.j. vrátená na účet mesta 700 €)</t>
    </r>
  </si>
  <si>
    <r>
      <t xml:space="preserve">Občianske združenie Hudobno spevácka folklórna skupina "OPATOVANI" </t>
    </r>
    <r>
      <rPr>
        <sz val="8"/>
        <color theme="1"/>
        <rFont val="Arial"/>
        <family val="2"/>
        <charset val="238"/>
      </rPr>
      <t>(poskytnutá dotácia 400 €, nevyčerpaná, t.j. vrátená na účet mesta 32 €)</t>
    </r>
  </si>
  <si>
    <r>
      <t xml:space="preserve">Džamál </t>
    </r>
    <r>
      <rPr>
        <sz val="8"/>
        <rFont val="Arial"/>
        <family val="2"/>
        <charset val="238"/>
      </rPr>
      <t>(poskytnutá dotácia 500 €, nevyčerpaná, t.j. vrátená na účet mesta 500 €)</t>
    </r>
  </si>
  <si>
    <r>
      <t>Punkáči deťom</t>
    </r>
    <r>
      <rPr>
        <sz val="8"/>
        <rFont val="Arial"/>
        <family val="2"/>
        <charset val="238"/>
      </rPr>
      <t xml:space="preserve"> (poskytnutá dotácia 500 €, nevyčerpaná, t.j. vrátená na účet mesta 500 €)</t>
    </r>
  </si>
  <si>
    <r>
      <t xml:space="preserve">Projekt Slamka, o.z. </t>
    </r>
    <r>
      <rPr>
        <sz val="8"/>
        <color rgb="FF000000"/>
        <rFont val="Arial"/>
        <family val="2"/>
        <charset val="238"/>
      </rPr>
      <t>(poskytnutá dotácia 700 €, nevyčerpaná, t.j. vrátená na účet mesta 700 €)</t>
    </r>
  </si>
  <si>
    <r>
      <t xml:space="preserve">Trenčianske folklórne združenie STODOLA </t>
    </r>
    <r>
      <rPr>
        <sz val="8"/>
        <rFont val="Arial"/>
        <family val="2"/>
        <charset val="238"/>
      </rPr>
      <t xml:space="preserve"> (poskytnutá dotácia 300 €, nevyčerpaná, t.j. vrátená na účet mesta 300 €)</t>
    </r>
  </si>
  <si>
    <r>
      <t xml:space="preserve">Clover Media s.r.o </t>
    </r>
    <r>
      <rPr>
        <sz val="8"/>
        <rFont val="Arial"/>
        <family val="2"/>
        <charset val="238"/>
      </rPr>
      <t>(poskytnutá dotácia 1.200 €, nevyčerpaná, t.j. vrátená na účet mesta 132,88 €)</t>
    </r>
  </si>
  <si>
    <r>
      <t xml:space="preserve">Atomic verlag, s.r.o. </t>
    </r>
    <r>
      <rPr>
        <sz val="8"/>
        <rFont val="Arial"/>
        <family val="2"/>
        <charset val="238"/>
      </rPr>
      <t>(poskytnutá dotácia 500 €, nevyčerpaná, t.j. vrátená na účet mesta 500 €)</t>
    </r>
  </si>
  <si>
    <r>
      <t>Multi party, s.r.o.</t>
    </r>
    <r>
      <rPr>
        <sz val="8"/>
        <rFont val="Arial"/>
        <family val="2"/>
        <charset val="238"/>
      </rPr>
      <t xml:space="preserve">  (poskytnutá dotácia 900 €, nevyčerpaná, t.j. vrátená na účet mesta 900 €)</t>
    </r>
  </si>
  <si>
    <r>
      <t xml:space="preserve">Galéria Miloša Alexandra Bazovského v Trenčíne  </t>
    </r>
    <r>
      <rPr>
        <sz val="8"/>
        <rFont val="Arial"/>
        <family val="2"/>
        <charset val="238"/>
      </rPr>
      <t>(poskytnutá dotácia 700 €, nevyčerpaná, t.j. vrátená na účet mesta 505,12 €)</t>
    </r>
  </si>
  <si>
    <r>
      <t xml:space="preserve">Galéria Miloša Alexandra Bazovského v Trenčíne </t>
    </r>
    <r>
      <rPr>
        <sz val="8"/>
        <rFont val="Arial"/>
        <family val="2"/>
        <charset val="238"/>
      </rPr>
      <t xml:space="preserve"> (poskytnutá dotácia 500 €, nevyčerpaná, t.j. vrátená na účet mesta 100 €)</t>
    </r>
  </si>
  <si>
    <r>
      <t xml:space="preserve">Trenčianske osvetové stredisko v Trenčíne </t>
    </r>
    <r>
      <rPr>
        <sz val="8"/>
        <rFont val="Arial"/>
        <family val="2"/>
        <charset val="238"/>
      </rPr>
      <t xml:space="preserve"> (poskytnutá dotácia 800 €, nevyčerpaná, t.j. vrátená na účet mesta 800 €)</t>
    </r>
  </si>
  <si>
    <r>
      <t xml:space="preserve">Rehoľa piaristov na Slovensku   </t>
    </r>
    <r>
      <rPr>
        <sz val="8"/>
        <rFont val="Arial"/>
        <family val="2"/>
        <charset val="238"/>
      </rPr>
      <t>(poskytnutá dotácia 200 €, nevyčerpaná, t.j. vrátená na účet mesta 200 €)</t>
    </r>
  </si>
  <si>
    <r>
      <t xml:space="preserve">Piaristické gymnázium J. Braneckého v Trenčíne </t>
    </r>
    <r>
      <rPr>
        <sz val="8"/>
        <rFont val="Arial"/>
        <family val="2"/>
        <charset val="238"/>
      </rPr>
      <t xml:space="preserve"> (poskytnutá dotácia 700 €, nevyčerpaná, t.j. vrátená na účet mesta 700 €)</t>
    </r>
  </si>
  <si>
    <r>
      <t xml:space="preserve">Zväz diabetikov Slovenska, ZO DIAVIA Trenčín </t>
    </r>
    <r>
      <rPr>
        <sz val="8"/>
        <color rgb="FF000000"/>
        <rFont val="Arial"/>
        <family val="2"/>
        <charset val="238"/>
      </rPr>
      <t xml:space="preserve"> (poskytnutá dotácia 1.200 €, nevyčerpaná, t.j. vrátená na účet mesta 444 €)</t>
    </r>
  </si>
  <si>
    <r>
      <t xml:space="preserve">OZ Kolotoč pri CVČ Trenčín </t>
    </r>
    <r>
      <rPr>
        <sz val="8"/>
        <color theme="1"/>
        <rFont val="Arial"/>
        <family val="2"/>
        <charset val="238"/>
      </rPr>
      <t>(poskytnutá dotácia 332 €, nevyčerpaná, t.j. vrátená na účet mesta 332 €)</t>
    </r>
  </si>
  <si>
    <r>
      <t xml:space="preserve">Galéria A. M. Bazovského </t>
    </r>
    <r>
      <rPr>
        <sz val="8"/>
        <color rgb="FF000000"/>
        <rFont val="Arial"/>
        <family val="2"/>
        <charset val="238"/>
      </rPr>
      <t>(poskytnutá dotácia 305 €, nevyčerpaná, t.j. vrátená na účet mesta 139,76 €)</t>
    </r>
  </si>
  <si>
    <r>
      <t xml:space="preserve">TeCemKo - Trenčianske centrum mládeže - Tímovačky </t>
    </r>
    <r>
      <rPr>
        <sz val="8"/>
        <color theme="1"/>
        <rFont val="Arial"/>
        <family val="2"/>
        <charset val="238"/>
      </rPr>
      <t>(poskytnutá dotácia 313 €, nevyčerpaná, t.j. vrátená na účet mesta 313 €)</t>
    </r>
  </si>
  <si>
    <r>
      <t>Základná organizácia slovenského zväzu včelárov (</t>
    </r>
    <r>
      <rPr>
        <sz val="8"/>
        <color rgb="FF000000"/>
        <rFont val="Arial"/>
        <family val="2"/>
        <charset val="238"/>
      </rPr>
      <t>poskytnutá dotácia 2.000 €, nevyčerpaná, t.j. vrátená na účet mesta 510 €)</t>
    </r>
  </si>
  <si>
    <t>Staroba</t>
  </si>
  <si>
    <t>Rekonštrukcia a modernizácia</t>
  </si>
  <si>
    <t>Ostatné kapitálové výdavky</t>
  </si>
  <si>
    <t>Bankové úvery</t>
  </si>
  <si>
    <t>Ostatné úvery, pôžičky a návratné finančné výpomoci</t>
  </si>
  <si>
    <t>Prevod prostriedkov z peňažných fondov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</si>
</sst>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0&quot; &quot;[$€-41B];[Red]&quot;-&quot;#,##0.00&quot; &quot;[$€-41B]"/>
    <numFmt numFmtId="166" formatCode="d&quot;.&quot;m&quot;.&quot;yyyy"/>
    <numFmt numFmtId="167" formatCode="#,##0.0"/>
    <numFmt numFmtId="168" formatCode="#,##0.00\ &quot;Sk&quot;"/>
    <numFmt numFmtId="169" formatCode="#,##0.00\ [$€-1];\-#,##0.00\ [$€-1]"/>
    <numFmt numFmtId="170" formatCode="#,##0.00\ [$€-1]"/>
    <numFmt numFmtId="171" formatCode="#,##0.00\ &quot;€&quot;;[Red]#,##0.00\ &quot;€&quot;"/>
  </numFmts>
  <fonts count="6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8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13"/>
      <color rgb="FFFFFFFF"/>
      <name val="Arial"/>
      <family val="2"/>
      <charset val="238"/>
    </font>
    <font>
      <b/>
      <sz val="13"/>
      <color rgb="FFC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C00000"/>
      <name val="Calibri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5"/>
      <color rgb="FFC00000"/>
      <name val="Arial"/>
      <family val="2"/>
      <charset val="238"/>
    </font>
    <font>
      <sz val="10"/>
      <color rgb="FF000000"/>
      <name val="Arial CE"/>
      <charset val="238"/>
    </font>
    <font>
      <b/>
      <sz val="12"/>
      <color rgb="FFC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9933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rgb="FFFFFFFF"/>
      <name val="Arial CE"/>
      <charset val="238"/>
    </font>
    <font>
      <b/>
      <sz val="9"/>
      <color indexed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538DD5"/>
        <bgColor rgb="FF538DD5"/>
      </patternFill>
    </fill>
    <fill>
      <patternFill patternType="solid">
        <fgColor rgb="FF8DB4E2"/>
        <bgColor rgb="FF8DB4E2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rgb="FFB4C6E7"/>
        <bgColor rgb="FFB4C6E7"/>
      </patternFill>
    </fill>
    <fill>
      <patternFill patternType="solid">
        <fgColor rgb="FF548235"/>
        <bgColor rgb="FF548235"/>
      </patternFill>
    </fill>
    <fill>
      <patternFill patternType="solid">
        <fgColor rgb="FFA9D08E"/>
        <bgColor rgb="FFA9D08E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C6E7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rgb="FF366092"/>
      </patternFill>
    </fill>
    <fill>
      <patternFill patternType="solid">
        <fgColor theme="2" tint="-9.9978637043366805E-2"/>
        <bgColor rgb="FFC5D9F1"/>
      </patternFill>
    </fill>
    <fill>
      <patternFill patternType="solid">
        <fgColor rgb="FFFFCCCC"/>
        <bgColor rgb="FFC5D9F1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FC000"/>
        <bgColor rgb="FFC5D9F1"/>
      </patternFill>
    </fill>
    <fill>
      <patternFill patternType="solid">
        <fgColor rgb="FFFF0000"/>
        <bgColor rgb="FFC5D9F1"/>
      </patternFill>
    </fill>
    <fill>
      <patternFill patternType="solid">
        <fgColor theme="5" tint="0.39997558519241921"/>
        <bgColor rgb="FFC5D9F1"/>
      </patternFill>
    </fill>
    <fill>
      <patternFill patternType="solid">
        <fgColor rgb="FFFFCCCC"/>
        <bgColor rgb="FFB8CCE4"/>
      </patternFill>
    </fill>
    <fill>
      <patternFill patternType="solid">
        <fgColor rgb="FFFFFF6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DB4E2"/>
        <bgColor rgb="FF366092"/>
      </patternFill>
    </fill>
    <fill>
      <patternFill patternType="solid">
        <fgColor rgb="FF1F4E78"/>
        <bgColor rgb="FF366092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</cellStyleXfs>
  <cellXfs count="939">
    <xf numFmtId="0" fontId="0" fillId="0" borderId="0" xfId="0"/>
    <xf numFmtId="0" fontId="12" fillId="0" borderId="0" xfId="0" applyFont="1"/>
    <xf numFmtId="0" fontId="14" fillId="2" borderId="1" xfId="0" applyFont="1" applyFill="1" applyBorder="1"/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3" fontId="16" fillId="3" borderId="8" xfId="0" applyNumberFormat="1" applyFont="1" applyFill="1" applyBorder="1"/>
    <xf numFmtId="0" fontId="14" fillId="2" borderId="9" xfId="0" applyFont="1" applyFill="1" applyBorder="1" applyAlignment="1">
      <alignment horizontal="center"/>
    </xf>
    <xf numFmtId="0" fontId="15" fillId="2" borderId="10" xfId="0" applyFont="1" applyFill="1" applyBorder="1"/>
    <xf numFmtId="3" fontId="15" fillId="2" borderId="10" xfId="0" applyNumberFormat="1" applyFont="1" applyFill="1" applyBorder="1"/>
    <xf numFmtId="3" fontId="15" fillId="2" borderId="11" xfId="0" applyNumberFormat="1" applyFont="1" applyFill="1" applyBorder="1"/>
    <xf numFmtId="3" fontId="15" fillId="2" borderId="12" xfId="0" applyNumberFormat="1" applyFon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3" fontId="11" fillId="0" borderId="14" xfId="0" applyNumberFormat="1" applyFont="1" applyBorder="1"/>
    <xf numFmtId="3" fontId="11" fillId="0" borderId="15" xfId="0" applyNumberFormat="1" applyFont="1" applyBorder="1"/>
    <xf numFmtId="3" fontId="16" fillId="3" borderId="16" xfId="0" applyNumberFormat="1" applyFont="1" applyFill="1" applyBorder="1"/>
    <xf numFmtId="0" fontId="17" fillId="2" borderId="17" xfId="0" applyFont="1" applyFill="1" applyBorder="1" applyAlignment="1">
      <alignment horizontal="center"/>
    </xf>
    <xf numFmtId="0" fontId="15" fillId="2" borderId="18" xfId="0" applyFont="1" applyFill="1" applyBorder="1"/>
    <xf numFmtId="3" fontId="15" fillId="2" borderId="18" xfId="0" applyNumberFormat="1" applyFont="1" applyFill="1" applyBorder="1"/>
    <xf numFmtId="3" fontId="15" fillId="2" borderId="19" xfId="0" applyNumberFormat="1" applyFont="1" applyFill="1" applyBorder="1"/>
    <xf numFmtId="3" fontId="15" fillId="2" borderId="20" xfId="0" applyNumberFormat="1" applyFont="1" applyFill="1" applyBorder="1"/>
    <xf numFmtId="0" fontId="11" fillId="0" borderId="0" xfId="0" applyFont="1"/>
    <xf numFmtId="0" fontId="15" fillId="4" borderId="21" xfId="0" applyFont="1" applyFill="1" applyBorder="1"/>
    <xf numFmtId="0" fontId="15" fillId="4" borderId="22" xfId="0" applyFont="1" applyFill="1" applyBorder="1"/>
    <xf numFmtId="3" fontId="15" fillId="4" borderId="23" xfId="0" applyNumberFormat="1" applyFont="1" applyFill="1" applyBorder="1"/>
    <xf numFmtId="3" fontId="11" fillId="0" borderId="24" xfId="0" applyNumberFormat="1" applyFont="1" applyBorder="1"/>
    <xf numFmtId="3" fontId="11" fillId="0" borderId="25" xfId="0" applyNumberFormat="1" applyFont="1" applyBorder="1"/>
    <xf numFmtId="3" fontId="11" fillId="0" borderId="25" xfId="0" applyNumberFormat="1" applyFont="1" applyBorder="1" applyAlignment="1">
      <alignment horizontal="right"/>
    </xf>
    <xf numFmtId="0" fontId="11" fillId="0" borderId="26" xfId="0" applyFont="1" applyBorder="1"/>
    <xf numFmtId="0" fontId="11" fillId="0" borderId="27" xfId="0" applyFont="1" applyBorder="1"/>
    <xf numFmtId="3" fontId="11" fillId="0" borderId="28" xfId="0" applyNumberFormat="1" applyFont="1" applyBorder="1" applyAlignment="1">
      <alignment horizontal="right"/>
    </xf>
    <xf numFmtId="0" fontId="11" fillId="0" borderId="29" xfId="0" applyFont="1" applyBorder="1"/>
    <xf numFmtId="0" fontId="11" fillId="0" borderId="30" xfId="0" applyFont="1" applyBorder="1"/>
    <xf numFmtId="3" fontId="11" fillId="0" borderId="31" xfId="0" applyNumberFormat="1" applyFont="1" applyBorder="1" applyAlignment="1">
      <alignment horizontal="right"/>
    </xf>
    <xf numFmtId="0" fontId="19" fillId="0" borderId="0" xfId="0" applyFont="1"/>
    <xf numFmtId="3" fontId="16" fillId="0" borderId="0" xfId="0" applyNumberFormat="1" applyFont="1"/>
    <xf numFmtId="0" fontId="20" fillId="0" borderId="0" xfId="0" applyFont="1"/>
    <xf numFmtId="0" fontId="12" fillId="0" borderId="0" xfId="0" applyFont="1" applyAlignment="1">
      <alignment horizontal="center" vertical="center"/>
    </xf>
    <xf numFmtId="0" fontId="15" fillId="2" borderId="32" xfId="0" applyFont="1" applyFill="1" applyBorder="1" applyAlignment="1">
      <alignment horizontal="left" vertical="center"/>
    </xf>
    <xf numFmtId="0" fontId="21" fillId="2" borderId="3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5" borderId="9" xfId="0" applyFont="1" applyFill="1" applyBorder="1" applyAlignment="1">
      <alignment horizontal="left" vertical="center" wrapText="1"/>
    </xf>
    <xf numFmtId="3" fontId="22" fillId="5" borderId="10" xfId="0" applyNumberFormat="1" applyFont="1" applyFill="1" applyBorder="1"/>
    <xf numFmtId="3" fontId="22" fillId="5" borderId="24" xfId="0" applyNumberFormat="1" applyFont="1" applyFill="1" applyBorder="1"/>
    <xf numFmtId="3" fontId="12" fillId="0" borderId="0" xfId="0" applyNumberFormat="1" applyFont="1"/>
    <xf numFmtId="0" fontId="22" fillId="5" borderId="5" xfId="0" applyFont="1" applyFill="1" applyBorder="1" applyAlignment="1">
      <alignment horizontal="left" vertical="center" wrapText="1"/>
    </xf>
    <xf numFmtId="3" fontId="22" fillId="5" borderId="6" xfId="0" applyNumberFormat="1" applyFont="1" applyFill="1" applyBorder="1"/>
    <xf numFmtId="3" fontId="22" fillId="5" borderId="25" xfId="0" applyNumberFormat="1" applyFont="1" applyFill="1" applyBorder="1"/>
    <xf numFmtId="0" fontId="20" fillId="0" borderId="5" xfId="0" applyFont="1" applyBorder="1" applyAlignment="1">
      <alignment horizontal="left" vertical="center" wrapText="1"/>
    </xf>
    <xf numFmtId="3" fontId="20" fillId="0" borderId="6" xfId="0" applyNumberFormat="1" applyFont="1" applyBorder="1"/>
    <xf numFmtId="3" fontId="20" fillId="0" borderId="25" xfId="0" applyNumberFormat="1" applyFont="1" applyBorder="1"/>
    <xf numFmtId="0" fontId="14" fillId="0" borderId="0" xfId="0" applyFont="1"/>
    <xf numFmtId="0" fontId="23" fillId="0" borderId="5" xfId="0" applyFont="1" applyBorder="1" applyAlignment="1">
      <alignment horizontal="left" vertical="center" wrapText="1"/>
    </xf>
    <xf numFmtId="3" fontId="24" fillId="0" borderId="6" xfId="0" applyNumberFormat="1" applyFont="1" applyBorder="1"/>
    <xf numFmtId="3" fontId="20" fillId="6" borderId="25" xfId="0" applyNumberFormat="1" applyFont="1" applyFill="1" applyBorder="1"/>
    <xf numFmtId="3" fontId="14" fillId="0" borderId="0" xfId="0" applyNumberFormat="1" applyFont="1"/>
    <xf numFmtId="0" fontId="15" fillId="2" borderId="5" xfId="0" applyFont="1" applyFill="1" applyBorder="1" applyAlignment="1">
      <alignment horizontal="left" vertical="center" wrapText="1"/>
    </xf>
    <xf numFmtId="3" fontId="15" fillId="2" borderId="6" xfId="0" applyNumberFormat="1" applyFont="1" applyFill="1" applyBorder="1"/>
    <xf numFmtId="3" fontId="15" fillId="2" borderId="25" xfId="0" applyNumberFormat="1" applyFont="1" applyFill="1" applyBorder="1"/>
    <xf numFmtId="3" fontId="19" fillId="0" borderId="0" xfId="0" applyNumberFormat="1" applyFont="1"/>
    <xf numFmtId="0" fontId="12" fillId="0" borderId="0" xfId="0" applyFont="1" applyAlignment="1">
      <alignment vertical="center"/>
    </xf>
    <xf numFmtId="0" fontId="15" fillId="2" borderId="34" xfId="0" applyFont="1" applyFill="1" applyBorder="1" applyAlignment="1">
      <alignment horizontal="left" vertical="center" wrapText="1"/>
    </xf>
    <xf numFmtId="3" fontId="15" fillId="2" borderId="35" xfId="0" applyNumberFormat="1" applyFont="1" applyFill="1" applyBorder="1" applyAlignment="1">
      <alignment vertical="center"/>
    </xf>
    <xf numFmtId="3" fontId="15" fillId="2" borderId="31" xfId="0" applyNumberFormat="1" applyFont="1" applyFill="1" applyBorder="1" applyAlignment="1">
      <alignment vertical="center"/>
    </xf>
    <xf numFmtId="0" fontId="22" fillId="6" borderId="0" xfId="0" applyFont="1" applyFill="1" applyAlignment="1">
      <alignment horizontal="center" vertical="center" wrapText="1"/>
    </xf>
    <xf numFmtId="3" fontId="22" fillId="6" borderId="0" xfId="0" applyNumberFormat="1" applyFont="1" applyFill="1"/>
    <xf numFmtId="3" fontId="20" fillId="6" borderId="0" xfId="0" applyNumberFormat="1" applyFont="1" applyFill="1"/>
    <xf numFmtId="0" fontId="12" fillId="6" borderId="0" xfId="0" applyFont="1" applyFill="1"/>
    <xf numFmtId="0" fontId="22" fillId="6" borderId="5" xfId="0" applyFont="1" applyFill="1" applyBorder="1" applyAlignment="1">
      <alignment horizontal="left" vertical="center" wrapText="1"/>
    </xf>
    <xf numFmtId="3" fontId="20" fillId="6" borderId="6" xfId="0" applyNumberFormat="1" applyFont="1" applyFill="1" applyBorder="1"/>
    <xf numFmtId="3" fontId="15" fillId="6" borderId="0" xfId="0" applyNumberFormat="1" applyFont="1" applyFill="1"/>
    <xf numFmtId="3" fontId="15" fillId="6" borderId="0" xfId="0" applyNumberFormat="1" applyFont="1" applyFill="1" applyAlignment="1">
      <alignment vertical="center"/>
    </xf>
    <xf numFmtId="0" fontId="21" fillId="2" borderId="36" xfId="0" applyFont="1" applyFill="1" applyBorder="1" applyAlignment="1">
      <alignment horizontal="center" vertical="center" wrapText="1"/>
    </xf>
    <xf numFmtId="3" fontId="22" fillId="5" borderId="37" xfId="0" applyNumberFormat="1" applyFont="1" applyFill="1" applyBorder="1"/>
    <xf numFmtId="3" fontId="22" fillId="5" borderId="38" xfId="0" applyNumberFormat="1" applyFont="1" applyFill="1" applyBorder="1"/>
    <xf numFmtId="3" fontId="20" fillId="0" borderId="38" xfId="0" applyNumberFormat="1" applyFont="1" applyBorder="1"/>
    <xf numFmtId="3" fontId="22" fillId="6" borderId="6" xfId="0" applyNumberFormat="1" applyFont="1" applyFill="1" applyBorder="1"/>
    <xf numFmtId="3" fontId="15" fillId="2" borderId="39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5" fillId="0" borderId="0" xfId="0" applyFont="1"/>
    <xf numFmtId="3" fontId="26" fillId="2" borderId="23" xfId="0" applyNumberFormat="1" applyFont="1" applyFill="1" applyBorder="1" applyAlignment="1">
      <alignment vertical="center"/>
    </xf>
    <xf numFmtId="3" fontId="16" fillId="5" borderId="24" xfId="0" applyNumberFormat="1" applyFont="1" applyFill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3" fontId="16" fillId="5" borderId="25" xfId="0" applyNumberFormat="1" applyFont="1" applyFill="1" applyBorder="1" applyAlignment="1">
      <alignment horizontal="right"/>
    </xf>
    <xf numFmtId="3" fontId="20" fillId="0" borderId="25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3" fontId="20" fillId="0" borderId="25" xfId="0" applyNumberFormat="1" applyFont="1" applyBorder="1" applyAlignment="1" applyProtection="1">
      <alignment horizontal="right"/>
      <protection locked="0"/>
    </xf>
    <xf numFmtId="0" fontId="22" fillId="5" borderId="13" xfId="0" applyFont="1" applyFill="1" applyBorder="1" applyAlignment="1">
      <alignment horizontal="left" vertical="center" wrapText="1"/>
    </xf>
    <xf numFmtId="3" fontId="22" fillId="5" borderId="14" xfId="0" applyNumberFormat="1" applyFont="1" applyFill="1" applyBorder="1"/>
    <xf numFmtId="0" fontId="27" fillId="2" borderId="17" xfId="0" applyFont="1" applyFill="1" applyBorder="1" applyAlignment="1">
      <alignment horizontal="left" vertical="center" wrapText="1"/>
    </xf>
    <xf numFmtId="3" fontId="15" fillId="2" borderId="18" xfId="0" applyNumberFormat="1" applyFont="1" applyFill="1" applyBorder="1" applyAlignment="1">
      <alignment vertical="center"/>
    </xf>
    <xf numFmtId="0" fontId="21" fillId="2" borderId="42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/>
    </xf>
    <xf numFmtId="3" fontId="22" fillId="5" borderId="44" xfId="0" applyNumberFormat="1" applyFont="1" applyFill="1" applyBorder="1"/>
    <xf numFmtId="3" fontId="22" fillId="5" borderId="12" xfId="0" applyNumberFormat="1" applyFont="1" applyFill="1" applyBorder="1"/>
    <xf numFmtId="3" fontId="22" fillId="5" borderId="7" xfId="0" applyNumberFormat="1" applyFont="1" applyFill="1" applyBorder="1"/>
    <xf numFmtId="3" fontId="22" fillId="5" borderId="8" xfId="0" applyNumberFormat="1" applyFont="1" applyFill="1" applyBorder="1"/>
    <xf numFmtId="3" fontId="20" fillId="0" borderId="7" xfId="0" applyNumberFormat="1" applyFont="1" applyBorder="1"/>
    <xf numFmtId="3" fontId="20" fillId="0" borderId="8" xfId="0" applyNumberFormat="1" applyFont="1" applyBorder="1"/>
    <xf numFmtId="3" fontId="22" fillId="5" borderId="15" xfId="0" applyNumberFormat="1" applyFont="1" applyFill="1" applyBorder="1"/>
    <xf numFmtId="3" fontId="22" fillId="5" borderId="16" xfId="0" applyNumberFormat="1" applyFont="1" applyFill="1" applyBorder="1"/>
    <xf numFmtId="3" fontId="15" fillId="2" borderId="19" xfId="0" applyNumberFormat="1" applyFont="1" applyFill="1" applyBorder="1" applyAlignment="1">
      <alignment vertical="center"/>
    </xf>
    <xf numFmtId="3" fontId="15" fillId="2" borderId="2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3" fontId="11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3" fontId="11" fillId="0" borderId="25" xfId="0" applyNumberFormat="1" applyFont="1" applyBorder="1" applyAlignment="1">
      <alignment horizontal="right" vertical="center"/>
    </xf>
    <xf numFmtId="0" fontId="11" fillId="0" borderId="46" xfId="0" applyFont="1" applyBorder="1"/>
    <xf numFmtId="0" fontId="11" fillId="0" borderId="47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7" fillId="2" borderId="32" xfId="0" applyFont="1" applyFill="1" applyBorder="1" applyAlignment="1">
      <alignment horizontal="left" vertical="center"/>
    </xf>
    <xf numFmtId="3" fontId="22" fillId="5" borderId="10" xfId="0" applyNumberFormat="1" applyFont="1" applyFill="1" applyBorder="1" applyAlignment="1">
      <alignment vertical="center"/>
    </xf>
    <xf numFmtId="3" fontId="22" fillId="5" borderId="6" xfId="0" applyNumberFormat="1" applyFont="1" applyFill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11" fillId="0" borderId="0" xfId="0" applyNumberFormat="1" applyFont="1"/>
    <xf numFmtId="0" fontId="11" fillId="0" borderId="0" xfId="2" applyFont="1" applyFill="1" applyAlignment="1"/>
    <xf numFmtId="0" fontId="11" fillId="0" borderId="0" xfId="2" applyFont="1" applyFill="1" applyAlignment="1">
      <alignment vertical="center"/>
    </xf>
    <xf numFmtId="0" fontId="0" fillId="0" borderId="0" xfId="0" applyFill="1"/>
    <xf numFmtId="0" fontId="13" fillId="0" borderId="0" xfId="0" applyFont="1"/>
    <xf numFmtId="0" fontId="27" fillId="2" borderId="50" xfId="0" applyFont="1" applyFill="1" applyBorder="1" applyAlignment="1">
      <alignment horizontal="left" vertical="center"/>
    </xf>
    <xf numFmtId="3" fontId="11" fillId="0" borderId="56" xfId="0" applyNumberFormat="1" applyFont="1" applyBorder="1"/>
    <xf numFmtId="3" fontId="11" fillId="0" borderId="6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right" vertical="center" wrapText="1"/>
    </xf>
    <xf numFmtId="3" fontId="27" fillId="2" borderId="56" xfId="0" applyNumberFormat="1" applyFont="1" applyFill="1" applyBorder="1" applyAlignment="1">
      <alignment vertical="center"/>
    </xf>
    <xf numFmtId="0" fontId="23" fillId="2" borderId="50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left" vertical="center" wrapText="1"/>
    </xf>
    <xf numFmtId="3" fontId="19" fillId="3" borderId="56" xfId="0" applyNumberFormat="1" applyFont="1" applyFill="1" applyBorder="1"/>
    <xf numFmtId="0" fontId="19" fillId="3" borderId="6" xfId="0" applyFont="1" applyFill="1" applyBorder="1" applyAlignment="1">
      <alignment horizontal="left" vertical="center" wrapText="1"/>
    </xf>
    <xf numFmtId="3" fontId="19" fillId="3" borderId="6" xfId="0" applyNumberFormat="1" applyFont="1" applyFill="1" applyBorder="1"/>
    <xf numFmtId="0" fontId="11" fillId="0" borderId="6" xfId="0" applyFont="1" applyBorder="1" applyAlignment="1">
      <alignment horizontal="left" vertical="center" wrapText="1"/>
    </xf>
    <xf numFmtId="0" fontId="19" fillId="3" borderId="50" xfId="0" applyFont="1" applyFill="1" applyBorder="1" applyAlignment="1">
      <alignment horizontal="left" vertical="center" wrapText="1"/>
    </xf>
    <xf numFmtId="3" fontId="19" fillId="3" borderId="50" xfId="0" applyNumberFormat="1" applyFont="1" applyFill="1" applyBorder="1"/>
    <xf numFmtId="0" fontId="27" fillId="2" borderId="56" xfId="0" applyFont="1" applyFill="1" applyBorder="1" applyAlignment="1">
      <alignment horizontal="left" vertical="center" wrapText="1"/>
    </xf>
    <xf numFmtId="4" fontId="11" fillId="0" borderId="0" xfId="0" applyNumberFormat="1" applyFont="1"/>
    <xf numFmtId="3" fontId="19" fillId="3" borderId="14" xfId="0" applyNumberFormat="1" applyFont="1" applyFill="1" applyBorder="1"/>
    <xf numFmtId="3" fontId="11" fillId="0" borderId="6" xfId="0" applyNumberFormat="1" applyFont="1" applyBorder="1" applyAlignment="1">
      <alignment horizontal="right"/>
    </xf>
    <xf numFmtId="0" fontId="11" fillId="0" borderId="59" xfId="0" applyFont="1" applyBorder="1"/>
    <xf numFmtId="3" fontId="11" fillId="0" borderId="50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56" xfId="0" applyNumberFormat="1" applyFont="1" applyBorder="1" applyAlignment="1">
      <alignment horizontal="right"/>
    </xf>
    <xf numFmtId="3" fontId="27" fillId="2" borderId="5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3" fontId="11" fillId="0" borderId="50" xfId="0" applyNumberFormat="1" applyFont="1" applyBorder="1"/>
    <xf numFmtId="4" fontId="11" fillId="0" borderId="0" xfId="0" applyNumberFormat="1" applyFont="1" applyAlignment="1">
      <alignment horizontal="right"/>
    </xf>
    <xf numFmtId="3" fontId="19" fillId="3" borderId="6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center" vertical="center" wrapText="1"/>
    </xf>
    <xf numFmtId="3" fontId="15" fillId="2" borderId="56" xfId="0" applyNumberFormat="1" applyFont="1" applyFill="1" applyBorder="1" applyAlignment="1">
      <alignment horizontal="right" vertical="center"/>
    </xf>
    <xf numFmtId="3" fontId="15" fillId="2" borderId="56" xfId="0" applyNumberFormat="1" applyFont="1" applyFill="1" applyBorder="1" applyAlignment="1">
      <alignment vertical="center"/>
    </xf>
    <xf numFmtId="0" fontId="19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11" fillId="0" borderId="60" xfId="0" applyNumberFormat="1" applyFont="1" applyBorder="1"/>
    <xf numFmtId="0" fontId="15" fillId="2" borderId="56" xfId="0" applyFont="1" applyFill="1" applyBorder="1" applyAlignment="1">
      <alignment horizontal="left" vertical="center" wrapText="1"/>
    </xf>
    <xf numFmtId="3" fontId="19" fillId="0" borderId="60" xfId="0" applyNumberFormat="1" applyFont="1" applyBorder="1"/>
    <xf numFmtId="3" fontId="15" fillId="2" borderId="56" xfId="0" applyNumberFormat="1" applyFont="1" applyFill="1" applyBorder="1"/>
    <xf numFmtId="0" fontId="23" fillId="2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3" fontId="19" fillId="3" borderId="25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5" fillId="0" borderId="0" xfId="0" applyFont="1"/>
    <xf numFmtId="3" fontId="20" fillId="0" borderId="0" xfId="0" applyNumberFormat="1" applyFont="1"/>
    <xf numFmtId="0" fontId="1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3" fontId="11" fillId="0" borderId="0" xfId="0" applyNumberFormat="1" applyFont="1" applyAlignment="1">
      <alignment horizontal="right" textRotation="180"/>
    </xf>
    <xf numFmtId="0" fontId="31" fillId="0" borderId="0" xfId="0" applyFont="1"/>
    <xf numFmtId="0" fontId="12" fillId="0" borderId="0" xfId="11" applyFont="1" applyFill="1" applyAlignment="1"/>
    <xf numFmtId="0" fontId="12" fillId="0" borderId="0" xfId="11" applyFont="1" applyFill="1" applyAlignment="1">
      <alignment horizontal="center"/>
    </xf>
    <xf numFmtId="0" fontId="11" fillId="0" borderId="0" xfId="11" applyFont="1" applyFill="1" applyAlignment="1">
      <alignment horizontal="right" vertical="center"/>
    </xf>
    <xf numFmtId="0" fontId="12" fillId="0" borderId="0" xfId="11" applyFont="1" applyFill="1" applyAlignment="1">
      <alignment vertical="center"/>
    </xf>
    <xf numFmtId="3" fontId="12" fillId="0" borderId="0" xfId="11" applyNumberFormat="1" applyFont="1" applyFill="1" applyAlignment="1"/>
    <xf numFmtId="3" fontId="0" fillId="0" borderId="0" xfId="0" applyNumberFormat="1"/>
    <xf numFmtId="0" fontId="0" fillId="0" borderId="0" xfId="0" applyAlignment="1">
      <alignment shrinkToFit="1"/>
    </xf>
    <xf numFmtId="0" fontId="11" fillId="0" borderId="6" xfId="0" applyFont="1" applyBorder="1" applyAlignment="1">
      <alignment vertical="center" wrapText="1"/>
    </xf>
    <xf numFmtId="165" fontId="4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2" fillId="0" borderId="0" xfId="12" applyFont="1" applyFill="1" applyAlignment="1"/>
    <xf numFmtId="0" fontId="12" fillId="0" borderId="0" xfId="12" applyFont="1" applyFill="1" applyAlignment="1">
      <alignment horizontal="right"/>
    </xf>
    <xf numFmtId="0" fontId="11" fillId="0" borderId="0" xfId="12" applyFont="1" applyFill="1" applyAlignment="1">
      <alignment horizontal="right"/>
    </xf>
    <xf numFmtId="0" fontId="12" fillId="0" borderId="0" xfId="12" applyFont="1" applyFill="1" applyAlignment="1">
      <alignment horizontal="center"/>
    </xf>
    <xf numFmtId="0" fontId="20" fillId="0" borderId="0" xfId="12" applyFont="1" applyFill="1" applyAlignment="1">
      <alignment horizontal="right"/>
    </xf>
    <xf numFmtId="49" fontId="15" fillId="2" borderId="62" xfId="0" applyNumberFormat="1" applyFont="1" applyFill="1" applyBorder="1" applyAlignment="1">
      <alignment horizontal="center"/>
    </xf>
    <xf numFmtId="49" fontId="15" fillId="2" borderId="25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horizontal="justify" vertical="top" wrapText="1"/>
    </xf>
    <xf numFmtId="3" fontId="11" fillId="0" borderId="38" xfId="0" applyNumberFormat="1" applyFont="1" applyBorder="1" applyAlignment="1">
      <alignment horizontal="right" vertical="top" wrapText="1"/>
    </xf>
    <xf numFmtId="0" fontId="19" fillId="3" borderId="5" xfId="0" applyFont="1" applyFill="1" applyBorder="1" applyAlignment="1">
      <alignment horizontal="justify" vertical="center" wrapText="1"/>
    </xf>
    <xf numFmtId="3" fontId="11" fillId="0" borderId="38" xfId="0" applyNumberFormat="1" applyFont="1" applyBorder="1" applyAlignment="1">
      <alignment horizontal="right" vertical="center" wrapText="1"/>
    </xf>
    <xf numFmtId="0" fontId="19" fillId="3" borderId="13" xfId="0" applyFont="1" applyFill="1" applyBorder="1" applyAlignment="1">
      <alignment horizontal="justify" vertical="top" wrapText="1"/>
    </xf>
    <xf numFmtId="3" fontId="11" fillId="0" borderId="57" xfId="0" applyNumberFormat="1" applyFont="1" applyBorder="1" applyAlignment="1">
      <alignment horizontal="right" vertical="top" wrapText="1"/>
    </xf>
    <xf numFmtId="3" fontId="11" fillId="0" borderId="28" xfId="0" applyNumberFormat="1" applyFont="1" applyBorder="1"/>
    <xf numFmtId="0" fontId="15" fillId="2" borderId="17" xfId="0" applyFont="1" applyFill="1" applyBorder="1" applyAlignment="1">
      <alignment horizontal="justify" vertical="center" wrapText="1"/>
    </xf>
    <xf numFmtId="3" fontId="15" fillId="2" borderId="6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17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9" fillId="0" borderId="5" xfId="0" applyFont="1" applyBorder="1"/>
    <xf numFmtId="3" fontId="11" fillId="6" borderId="6" xfId="0" applyNumberFormat="1" applyFont="1" applyFill="1" applyBorder="1" applyAlignment="1">
      <alignment horizontal="right"/>
    </xf>
    <xf numFmtId="3" fontId="11" fillId="10" borderId="25" xfId="0" applyNumberFormat="1" applyFont="1" applyFill="1" applyBorder="1" applyAlignment="1">
      <alignment horizontal="right"/>
    </xf>
    <xf numFmtId="3" fontId="19" fillId="6" borderId="6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10" borderId="25" xfId="0" applyNumberFormat="1" applyFont="1" applyFill="1" applyBorder="1" applyAlignment="1">
      <alignment horizontal="right"/>
    </xf>
    <xf numFmtId="0" fontId="19" fillId="0" borderId="5" xfId="0" applyFont="1" applyBorder="1" applyAlignment="1">
      <alignment wrapText="1"/>
    </xf>
    <xf numFmtId="10" fontId="19" fillId="6" borderId="6" xfId="0" applyNumberFormat="1" applyFont="1" applyFill="1" applyBorder="1" applyAlignment="1">
      <alignment horizontal="right" vertical="center"/>
    </xf>
    <xf numFmtId="10" fontId="19" fillId="0" borderId="6" xfId="0" applyNumberFormat="1" applyFont="1" applyBorder="1" applyAlignment="1">
      <alignment horizontal="right" vertical="center"/>
    </xf>
    <xf numFmtId="10" fontId="19" fillId="10" borderId="25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wrapText="1"/>
    </xf>
    <xf numFmtId="10" fontId="19" fillId="6" borderId="14" xfId="0" applyNumberFormat="1" applyFont="1" applyFill="1" applyBorder="1" applyAlignment="1">
      <alignment horizontal="right" vertical="center"/>
    </xf>
    <xf numFmtId="10" fontId="19" fillId="0" borderId="14" xfId="0" applyNumberFormat="1" applyFont="1" applyBorder="1" applyAlignment="1">
      <alignment horizontal="right" vertical="center"/>
    </xf>
    <xf numFmtId="3" fontId="19" fillId="6" borderId="14" xfId="0" applyNumberFormat="1" applyFont="1" applyFill="1" applyBorder="1" applyAlignment="1">
      <alignment horizontal="right" vertical="center"/>
    </xf>
    <xf numFmtId="3" fontId="19" fillId="10" borderId="28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vertical="center" wrapText="1"/>
    </xf>
    <xf numFmtId="10" fontId="19" fillId="6" borderId="35" xfId="0" applyNumberFormat="1" applyFont="1" applyFill="1" applyBorder="1" applyAlignment="1">
      <alignment horizontal="right" vertical="center"/>
    </xf>
    <xf numFmtId="10" fontId="19" fillId="0" borderId="35" xfId="0" applyNumberFormat="1" applyFont="1" applyBorder="1" applyAlignment="1">
      <alignment horizontal="right" vertical="center"/>
    </xf>
    <xf numFmtId="10" fontId="19" fillId="10" borderId="31" xfId="0" applyNumberFormat="1" applyFont="1" applyFill="1" applyBorder="1" applyAlignment="1">
      <alignment horizontal="right" vertical="center"/>
    </xf>
    <xf numFmtId="0" fontId="16" fillId="0" borderId="0" xfId="0" applyFont="1"/>
    <xf numFmtId="10" fontId="12" fillId="0" borderId="0" xfId="0" applyNumberFormat="1" applyFont="1" applyAlignment="1">
      <alignment horizontal="right"/>
    </xf>
    <xf numFmtId="0" fontId="11" fillId="6" borderId="0" xfId="0" applyFont="1" applyFill="1"/>
    <xf numFmtId="0" fontId="45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62" xfId="0" applyFont="1" applyFill="1" applyBorder="1" applyAlignment="1">
      <alignment horizontal="center" vertical="center" wrapText="1"/>
    </xf>
    <xf numFmtId="3" fontId="26" fillId="2" borderId="50" xfId="0" applyNumberFormat="1" applyFont="1" applyFill="1" applyBorder="1" applyAlignment="1">
      <alignment vertical="center"/>
    </xf>
    <xf numFmtId="3" fontId="26" fillId="2" borderId="48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49" fontId="19" fillId="3" borderId="67" xfId="0" applyNumberFormat="1" applyFont="1" applyFill="1" applyBorder="1" applyAlignment="1">
      <alignment vertical="center" wrapText="1"/>
    </xf>
    <xf numFmtId="3" fontId="19" fillId="3" borderId="56" xfId="0" applyNumberFormat="1" applyFont="1" applyFill="1" applyBorder="1" applyAlignment="1">
      <alignment vertical="center"/>
    </xf>
    <xf numFmtId="3" fontId="19" fillId="3" borderId="64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center" wrapText="1"/>
    </xf>
    <xf numFmtId="49" fontId="11" fillId="0" borderId="5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right" vertical="center"/>
    </xf>
    <xf numFmtId="49" fontId="19" fillId="6" borderId="5" xfId="0" applyNumberFormat="1" applyFont="1" applyFill="1" applyBorder="1" applyAlignment="1">
      <alignment vertical="center" wrapText="1"/>
    </xf>
    <xf numFmtId="49" fontId="11" fillId="0" borderId="34" xfId="0" applyNumberFormat="1" applyFont="1" applyBorder="1" applyAlignment="1">
      <alignment vertical="center" wrapText="1"/>
    </xf>
    <xf numFmtId="0" fontId="11" fillId="0" borderId="35" xfId="0" applyFont="1" applyBorder="1" applyAlignment="1">
      <alignment horizontal="left" vertical="center" wrapText="1"/>
    </xf>
    <xf numFmtId="3" fontId="11" fillId="0" borderId="35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4" fontId="19" fillId="0" borderId="0" xfId="0" applyNumberFormat="1" applyFont="1"/>
    <xf numFmtId="0" fontId="1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49" fontId="19" fillId="3" borderId="67" xfId="0" applyNumberFormat="1" applyFont="1" applyFill="1" applyBorder="1" applyAlignment="1">
      <alignment vertical="top" wrapText="1"/>
    </xf>
    <xf numFmtId="3" fontId="19" fillId="3" borderId="64" xfId="0" applyNumberFormat="1" applyFont="1" applyFill="1" applyBorder="1"/>
    <xf numFmtId="49" fontId="11" fillId="0" borderId="5" xfId="0" applyNumberFormat="1" applyFont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49" fontId="19" fillId="3" borderId="5" xfId="0" applyNumberFormat="1" applyFont="1" applyFill="1" applyBorder="1" applyAlignment="1">
      <alignment vertical="top" wrapText="1"/>
    </xf>
    <xf numFmtId="0" fontId="19" fillId="3" borderId="6" xfId="0" applyFont="1" applyFill="1" applyBorder="1" applyAlignment="1">
      <alignment vertical="top" wrapText="1"/>
    </xf>
    <xf numFmtId="3" fontId="19" fillId="3" borderId="25" xfId="0" applyNumberFormat="1" applyFont="1" applyFill="1" applyBorder="1"/>
    <xf numFmtId="49" fontId="11" fillId="0" borderId="5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49" fontId="11" fillId="0" borderId="34" xfId="0" applyNumberFormat="1" applyFont="1" applyBorder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vertical="center" wrapText="1"/>
    </xf>
    <xf numFmtId="3" fontId="15" fillId="2" borderId="50" xfId="0" applyNumberFormat="1" applyFont="1" applyFill="1" applyBorder="1" applyAlignment="1">
      <alignment horizontal="right" vertical="center"/>
    </xf>
    <xf numFmtId="3" fontId="15" fillId="2" borderId="48" xfId="0" applyNumberFormat="1" applyFont="1" applyFill="1" applyBorder="1" applyAlignment="1">
      <alignment horizontal="right" vertical="center"/>
    </xf>
    <xf numFmtId="0" fontId="19" fillId="3" borderId="67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vertical="top" wrapText="1"/>
    </xf>
    <xf numFmtId="3" fontId="19" fillId="3" borderId="6" xfId="0" applyNumberFormat="1" applyFont="1" applyFill="1" applyBorder="1" applyAlignment="1">
      <alignment horizontal="right" vertical="center"/>
    </xf>
    <xf numFmtId="3" fontId="19" fillId="3" borderId="25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top" wrapText="1"/>
    </xf>
    <xf numFmtId="3" fontId="11" fillId="0" borderId="35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1" fillId="6" borderId="0" xfId="0" applyNumberFormat="1" applyFont="1" applyFill="1"/>
    <xf numFmtId="0" fontId="46" fillId="0" borderId="0" xfId="0" applyFont="1" applyAlignment="1">
      <alignment vertical="center" wrapText="1"/>
    </xf>
    <xf numFmtId="0" fontId="15" fillId="2" borderId="6" xfId="0" applyFont="1" applyFill="1" applyBorder="1" applyAlignment="1">
      <alignment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/>
    <xf numFmtId="0" fontId="12" fillId="0" borderId="2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66" fontId="11" fillId="0" borderId="25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left" indent="2"/>
    </xf>
    <xf numFmtId="0" fontId="12" fillId="0" borderId="6" xfId="0" applyFont="1" applyBorder="1" applyAlignment="1">
      <alignment horizontal="left" indent="2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7" fillId="11" borderId="6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vertical="center"/>
    </xf>
    <xf numFmtId="3" fontId="19" fillId="12" borderId="6" xfId="0" applyNumberFormat="1" applyFont="1" applyFill="1" applyBorder="1" applyAlignment="1">
      <alignment horizontal="right" vertical="center"/>
    </xf>
    <xf numFmtId="3" fontId="19" fillId="0" borderId="60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vertical="center"/>
    </xf>
    <xf numFmtId="3" fontId="27" fillId="11" borderId="6" xfId="0" applyNumberFormat="1" applyFont="1" applyFill="1" applyBorder="1" applyAlignment="1">
      <alignment horizontal="right" vertical="center"/>
    </xf>
    <xf numFmtId="3" fontId="27" fillId="0" borderId="60" xfId="0" applyNumberFormat="1" applyFont="1" applyFill="1" applyBorder="1" applyAlignment="1">
      <alignment horizontal="right" vertical="center"/>
    </xf>
    <xf numFmtId="0" fontId="27" fillId="11" borderId="6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49" fillId="12" borderId="6" xfId="0" applyFont="1" applyFill="1" applyBorder="1" applyAlignment="1">
      <alignment vertical="center"/>
    </xf>
    <xf numFmtId="3" fontId="49" fillId="12" borderId="6" xfId="0" applyNumberFormat="1" applyFont="1" applyFill="1" applyBorder="1" applyAlignment="1">
      <alignment horizontal="right" vertical="center"/>
    </xf>
    <xf numFmtId="3" fontId="49" fillId="0" borderId="60" xfId="0" applyNumberFormat="1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center" vertical="center"/>
    </xf>
    <xf numFmtId="3" fontId="15" fillId="11" borderId="6" xfId="0" applyNumberFormat="1" applyFont="1" applyFill="1" applyBorder="1" applyAlignment="1">
      <alignment horizontal="right" vertical="center"/>
    </xf>
    <xf numFmtId="3" fontId="15" fillId="0" borderId="6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21" fillId="13" borderId="72" xfId="0" applyFont="1" applyFill="1" applyBorder="1" applyAlignment="1">
      <alignment horizontal="center" vertical="center" wrapText="1"/>
    </xf>
    <xf numFmtId="3" fontId="22" fillId="14" borderId="72" xfId="0" applyNumberFormat="1" applyFont="1" applyFill="1" applyBorder="1"/>
    <xf numFmtId="3" fontId="20" fillId="15" borderId="72" xfId="0" applyNumberFormat="1" applyFont="1" applyFill="1" applyBorder="1"/>
    <xf numFmtId="3" fontId="20" fillId="16" borderId="72" xfId="0" applyNumberFormat="1" applyFont="1" applyFill="1" applyBorder="1"/>
    <xf numFmtId="3" fontId="15" fillId="13" borderId="72" xfId="0" applyNumberFormat="1" applyFont="1" applyFill="1" applyBorder="1"/>
    <xf numFmtId="3" fontId="15" fillId="13" borderId="72" xfId="0" applyNumberFormat="1" applyFont="1" applyFill="1" applyBorder="1" applyAlignment="1">
      <alignment vertical="center"/>
    </xf>
    <xf numFmtId="0" fontId="21" fillId="13" borderId="60" xfId="0" applyFont="1" applyFill="1" applyBorder="1" applyAlignment="1">
      <alignment horizontal="center" vertical="center" wrapText="1"/>
    </xf>
    <xf numFmtId="3" fontId="22" fillId="14" borderId="60" xfId="0" applyNumberFormat="1" applyFont="1" applyFill="1" applyBorder="1"/>
    <xf numFmtId="3" fontId="20" fillId="15" borderId="60" xfId="0" applyNumberFormat="1" applyFont="1" applyFill="1" applyBorder="1"/>
    <xf numFmtId="3" fontId="20" fillId="16" borderId="60" xfId="0" applyNumberFormat="1" applyFont="1" applyFill="1" applyBorder="1"/>
    <xf numFmtId="3" fontId="15" fillId="13" borderId="60" xfId="0" applyNumberFormat="1" applyFont="1" applyFill="1" applyBorder="1"/>
    <xf numFmtId="3" fontId="15" fillId="13" borderId="60" xfId="0" applyNumberFormat="1" applyFont="1" applyFill="1" applyBorder="1" applyAlignment="1">
      <alignment vertical="center"/>
    </xf>
    <xf numFmtId="0" fontId="21" fillId="13" borderId="0" xfId="0" applyFont="1" applyFill="1" applyBorder="1" applyAlignment="1">
      <alignment horizontal="center" vertical="center" wrapText="1"/>
    </xf>
    <xf numFmtId="3" fontId="22" fillId="14" borderId="0" xfId="0" applyNumberFormat="1" applyFont="1" applyFill="1" applyBorder="1"/>
    <xf numFmtId="3" fontId="20" fillId="15" borderId="0" xfId="0" applyNumberFormat="1" applyFont="1" applyFill="1" applyBorder="1"/>
    <xf numFmtId="3" fontId="20" fillId="16" borderId="0" xfId="0" applyNumberFormat="1" applyFont="1" applyFill="1" applyBorder="1"/>
    <xf numFmtId="3" fontId="15" fillId="13" borderId="0" xfId="0" applyNumberFormat="1" applyFont="1" applyFill="1" applyBorder="1"/>
    <xf numFmtId="3" fontId="15" fillId="13" borderId="0" xfId="0" applyNumberFormat="1" applyFont="1" applyFill="1" applyBorder="1" applyAlignment="1">
      <alignment vertical="center"/>
    </xf>
    <xf numFmtId="0" fontId="11" fillId="0" borderId="0" xfId="0" applyFont="1"/>
    <xf numFmtId="0" fontId="0" fillId="0" borderId="0" xfId="0"/>
    <xf numFmtId="0" fontId="11" fillId="0" borderId="0" xfId="0" applyFont="1"/>
    <xf numFmtId="0" fontId="0" fillId="0" borderId="0" xfId="0"/>
    <xf numFmtId="0" fontId="11" fillId="0" borderId="0" xfId="0" applyFont="1"/>
    <xf numFmtId="0" fontId="11" fillId="0" borderId="1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11" applyFont="1"/>
    <xf numFmtId="0" fontId="13" fillId="0" borderId="0" xfId="11" applyFont="1" applyAlignment="1">
      <alignment horizontal="center" vertical="center"/>
    </xf>
    <xf numFmtId="0" fontId="36" fillId="6" borderId="0" xfId="11" applyFont="1" applyFill="1" applyAlignment="1">
      <alignment horizontal="left" vertical="center"/>
    </xf>
    <xf numFmtId="0" fontId="15" fillId="2" borderId="33" xfId="11" applyFont="1" applyFill="1" applyBorder="1" applyAlignment="1">
      <alignment vertical="center"/>
    </xf>
    <xf numFmtId="0" fontId="7" fillId="0" borderId="0" xfId="28"/>
    <xf numFmtId="0" fontId="0" fillId="0" borderId="0" xfId="0"/>
    <xf numFmtId="0" fontId="0" fillId="0" borderId="0" xfId="0"/>
    <xf numFmtId="0" fontId="0" fillId="0" borderId="0" xfId="0"/>
    <xf numFmtId="0" fontId="55" fillId="2" borderId="56" xfId="0" applyFont="1" applyFill="1" applyBorder="1" applyAlignment="1">
      <alignment horizontal="left" vertical="center" wrapText="1"/>
    </xf>
    <xf numFmtId="3" fontId="55" fillId="2" borderId="56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3" fontId="23" fillId="2" borderId="62" xfId="0" applyNumberFormat="1" applyFont="1" applyFill="1" applyBorder="1" applyAlignment="1">
      <alignment horizontal="center" vertical="center" wrapText="1"/>
    </xf>
    <xf numFmtId="3" fontId="13" fillId="0" borderId="0" xfId="11" applyNumberFormat="1" applyFont="1" applyAlignment="1">
      <alignment horizontal="center" vertical="center"/>
    </xf>
    <xf numFmtId="3" fontId="12" fillId="0" borderId="0" xfId="11" applyNumberFormat="1" applyFont="1"/>
    <xf numFmtId="3" fontId="12" fillId="0" borderId="0" xfId="11" applyNumberFormat="1" applyFont="1" applyFill="1" applyAlignment="1">
      <alignment vertical="center"/>
    </xf>
    <xf numFmtId="3" fontId="7" fillId="0" borderId="0" xfId="28" applyNumberFormat="1"/>
    <xf numFmtId="0" fontId="27" fillId="2" borderId="50" xfId="0" applyFont="1" applyFill="1" applyBorder="1" applyAlignment="1">
      <alignment horizontal="left" vertical="center"/>
    </xf>
    <xf numFmtId="0" fontId="0" fillId="0" borderId="0" xfId="0"/>
    <xf numFmtId="0" fontId="21" fillId="2" borderId="50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30"/>
    <xf numFmtId="0" fontId="11" fillId="0" borderId="0" xfId="2" applyFont="1"/>
    <xf numFmtId="0" fontId="11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0" fontId="28" fillId="0" borderId="0" xfId="2" applyFont="1"/>
    <xf numFmtId="0" fontId="29" fillId="0" borderId="0" xfId="2" applyFont="1"/>
    <xf numFmtId="0" fontId="27" fillId="2" borderId="9" xfId="2" applyFont="1" applyFill="1" applyBorder="1" applyAlignment="1">
      <alignment horizontal="left"/>
    </xf>
    <xf numFmtId="3" fontId="19" fillId="7" borderId="10" xfId="2" applyNumberFormat="1" applyFont="1" applyFill="1" applyBorder="1" applyAlignment="1">
      <alignment horizontal="center"/>
    </xf>
    <xf numFmtId="3" fontId="19" fillId="5" borderId="24" xfId="2" applyNumberFormat="1" applyFont="1" applyFill="1" applyBorder="1" applyAlignment="1">
      <alignment horizontal="right"/>
    </xf>
    <xf numFmtId="0" fontId="27" fillId="2" borderId="5" xfId="2" applyFont="1" applyFill="1" applyBorder="1" applyAlignment="1">
      <alignment horizontal="left"/>
    </xf>
    <xf numFmtId="3" fontId="19" fillId="7" borderId="6" xfId="2" applyNumberFormat="1" applyFont="1" applyFill="1" applyBorder="1" applyAlignment="1">
      <alignment horizontal="center"/>
    </xf>
    <xf numFmtId="3" fontId="11" fillId="0" borderId="6" xfId="2" applyNumberFormat="1" applyFont="1" applyBorder="1" applyAlignment="1">
      <alignment horizontal="right"/>
    </xf>
    <xf numFmtId="3" fontId="19" fillId="5" borderId="25" xfId="2" applyNumberFormat="1" applyFont="1" applyFill="1" applyBorder="1" applyAlignment="1">
      <alignment horizontal="right"/>
    </xf>
    <xf numFmtId="0" fontId="5" fillId="0" borderId="0" xfId="4" applyFont="1"/>
    <xf numFmtId="0" fontId="27" fillId="2" borderId="13" xfId="2" applyFont="1" applyFill="1" applyBorder="1" applyAlignment="1">
      <alignment horizontal="left"/>
    </xf>
    <xf numFmtId="3" fontId="19" fillId="7" borderId="14" xfId="2" applyNumberFormat="1" applyFont="1" applyFill="1" applyBorder="1" applyAlignment="1">
      <alignment horizontal="center"/>
    </xf>
    <xf numFmtId="0" fontId="11" fillId="0" borderId="0" xfId="2" applyFont="1" applyAlignment="1">
      <alignment vertical="center"/>
    </xf>
    <xf numFmtId="0" fontId="27" fillId="2" borderId="17" xfId="2" applyFont="1" applyFill="1" applyBorder="1" applyAlignment="1">
      <alignment horizontal="center" vertical="center"/>
    </xf>
    <xf numFmtId="3" fontId="27" fillId="2" borderId="18" xfId="2" applyNumberFormat="1" applyFont="1" applyFill="1" applyBorder="1" applyAlignment="1">
      <alignment horizontal="center" vertical="center"/>
    </xf>
    <xf numFmtId="3" fontId="27" fillId="2" borderId="39" xfId="2" applyNumberFormat="1" applyFont="1" applyFill="1" applyBorder="1" applyAlignment="1">
      <alignment horizontal="right" vertical="center"/>
    </xf>
    <xf numFmtId="0" fontId="27" fillId="2" borderId="53" xfId="2" applyFont="1" applyFill="1" applyBorder="1" applyAlignment="1">
      <alignment horizontal="left"/>
    </xf>
    <xf numFmtId="3" fontId="19" fillId="7" borderId="54" xfId="2" applyNumberFormat="1" applyFont="1" applyFill="1" applyBorder="1" applyAlignment="1">
      <alignment horizontal="center"/>
    </xf>
    <xf numFmtId="3" fontId="19" fillId="8" borderId="54" xfId="2" applyNumberFormat="1" applyFont="1" applyFill="1" applyBorder="1" applyAlignment="1">
      <alignment horizontal="right"/>
    </xf>
    <xf numFmtId="3" fontId="11" fillId="8" borderId="54" xfId="2" applyNumberFormat="1" applyFont="1" applyFill="1" applyBorder="1" applyAlignment="1">
      <alignment horizontal="right"/>
    </xf>
    <xf numFmtId="3" fontId="11" fillId="0" borderId="54" xfId="2" applyNumberFormat="1" applyFont="1" applyBorder="1" applyAlignment="1">
      <alignment horizontal="right"/>
    </xf>
    <xf numFmtId="3" fontId="19" fillId="5" borderId="55" xfId="2" applyNumberFormat="1" applyFont="1" applyFill="1" applyBorder="1" applyAlignment="1">
      <alignment horizontal="right"/>
    </xf>
    <xf numFmtId="3" fontId="11" fillId="0" borderId="0" xfId="2" applyNumberFormat="1" applyFont="1"/>
    <xf numFmtId="0" fontId="5" fillId="0" borderId="0" xfId="31"/>
    <xf numFmtId="0" fontId="27" fillId="2" borderId="50" xfId="2" applyFont="1" applyFill="1" applyBorder="1" applyAlignment="1">
      <alignment horizontal="center" vertical="center"/>
    </xf>
    <xf numFmtId="0" fontId="27" fillId="2" borderId="48" xfId="2" applyFont="1" applyFill="1" applyBorder="1" applyAlignment="1">
      <alignment horizontal="center" vertical="center"/>
    </xf>
    <xf numFmtId="3" fontId="27" fillId="2" borderId="18" xfId="2" applyNumberFormat="1" applyFont="1" applyFill="1" applyBorder="1" applyAlignment="1">
      <alignment horizontal="right" vertical="center"/>
    </xf>
    <xf numFmtId="0" fontId="19" fillId="0" borderId="0" xfId="2" applyFont="1" applyAlignment="1">
      <alignment horizontal="center" vertical="center"/>
    </xf>
    <xf numFmtId="3" fontId="19" fillId="0" borderId="0" xfId="2" applyNumberFormat="1" applyFont="1" applyAlignment="1">
      <alignment horizontal="right" vertical="center"/>
    </xf>
    <xf numFmtId="0" fontId="27" fillId="2" borderId="63" xfId="2" applyFont="1" applyFill="1" applyBorder="1" applyAlignment="1">
      <alignment horizontal="left"/>
    </xf>
    <xf numFmtId="3" fontId="11" fillId="0" borderId="0" xfId="2" applyNumberFormat="1" applyFont="1" applyAlignment="1">
      <alignment vertical="center"/>
    </xf>
    <xf numFmtId="3" fontId="19" fillId="8" borderId="7" xfId="2" applyNumberFormat="1" applyFont="1" applyFill="1" applyBorder="1" applyAlignment="1">
      <alignment horizontal="right"/>
    </xf>
    <xf numFmtId="3" fontId="54" fillId="0" borderId="73" xfId="30" applyNumberFormat="1" applyFont="1" applyBorder="1"/>
    <xf numFmtId="3" fontId="19" fillId="5" borderId="79" xfId="2" applyNumberFormat="1" applyFont="1" applyFill="1" applyBorder="1" applyAlignment="1">
      <alignment horizontal="right"/>
    </xf>
    <xf numFmtId="3" fontId="54" fillId="0" borderId="84" xfId="30" applyNumberFormat="1" applyFont="1" applyBorder="1"/>
    <xf numFmtId="3" fontId="19" fillId="5" borderId="83" xfId="2" applyNumberFormat="1" applyFont="1" applyFill="1" applyBorder="1" applyAlignment="1">
      <alignment horizontal="right"/>
    </xf>
    <xf numFmtId="3" fontId="54" fillId="0" borderId="75" xfId="30" applyNumberFormat="1" applyFont="1" applyBorder="1"/>
    <xf numFmtId="3" fontId="19" fillId="5" borderId="80" xfId="2" applyNumberFormat="1" applyFont="1" applyFill="1" applyBorder="1" applyAlignment="1">
      <alignment horizontal="right"/>
    </xf>
    <xf numFmtId="3" fontId="54" fillId="0" borderId="85" xfId="30" applyNumberFormat="1" applyFont="1" applyBorder="1"/>
    <xf numFmtId="3" fontId="54" fillId="0" borderId="86" xfId="30" applyNumberFormat="1" applyFont="1" applyBorder="1"/>
    <xf numFmtId="3" fontId="54" fillId="0" borderId="87" xfId="30" applyNumberFormat="1" applyFont="1" applyBorder="1"/>
    <xf numFmtId="3" fontId="54" fillId="0" borderId="88" xfId="30" applyNumberFormat="1" applyFont="1" applyBorder="1"/>
    <xf numFmtId="3" fontId="54" fillId="0" borderId="89" xfId="30" applyNumberFormat="1" applyFont="1" applyBorder="1"/>
    <xf numFmtId="3" fontId="54" fillId="0" borderId="90" xfId="30" applyNumberFormat="1" applyFont="1" applyBorder="1"/>
    <xf numFmtId="3" fontId="54" fillId="0" borderId="91" xfId="30" applyNumberFormat="1" applyFont="1" applyBorder="1"/>
    <xf numFmtId="3" fontId="54" fillId="0" borderId="92" xfId="30" applyNumberFormat="1" applyFont="1" applyBorder="1"/>
    <xf numFmtId="3" fontId="54" fillId="0" borderId="93" xfId="30" applyNumberFormat="1" applyFont="1" applyBorder="1"/>
    <xf numFmtId="3" fontId="19" fillId="5" borderId="48" xfId="2" applyNumberFormat="1" applyFont="1" applyFill="1" applyBorder="1" applyAlignment="1">
      <alignment horizontal="right"/>
    </xf>
    <xf numFmtId="3" fontId="5" fillId="0" borderId="0" xfId="30" applyNumberFormat="1"/>
    <xf numFmtId="3" fontId="19" fillId="8" borderId="88" xfId="2" applyNumberFormat="1" applyFont="1" applyFill="1" applyBorder="1" applyAlignment="1">
      <alignment horizontal="right"/>
    </xf>
    <xf numFmtId="0" fontId="5" fillId="0" borderId="0" xfId="31"/>
    <xf numFmtId="0" fontId="12" fillId="0" borderId="0" xfId="31" applyFont="1"/>
    <xf numFmtId="0" fontId="12" fillId="0" borderId="0" xfId="12" applyFont="1"/>
    <xf numFmtId="0" fontId="12" fillId="0" borderId="0" xfId="12" applyFont="1" applyAlignment="1">
      <alignment horizontal="right"/>
    </xf>
    <xf numFmtId="0" fontId="11" fillId="0" borderId="0" xfId="12" applyFont="1" applyAlignment="1">
      <alignment horizontal="right"/>
    </xf>
    <xf numFmtId="0" fontId="12" fillId="0" borderId="0" xfId="12" applyFont="1" applyAlignment="1">
      <alignment horizontal="center"/>
    </xf>
    <xf numFmtId="0" fontId="20" fillId="0" borderId="0" xfId="12" applyFont="1" applyAlignment="1">
      <alignment horizontal="right"/>
    </xf>
    <xf numFmtId="0" fontId="15" fillId="2" borderId="1" xfId="12" applyFont="1" applyFill="1" applyBorder="1" applyAlignment="1">
      <alignment horizontal="center" vertical="center"/>
    </xf>
    <xf numFmtId="0" fontId="15" fillId="2" borderId="2" xfId="12" applyFont="1" applyFill="1" applyBorder="1" applyAlignment="1">
      <alignment vertical="center"/>
    </xf>
    <xf numFmtId="0" fontId="11" fillId="0" borderId="5" xfId="12" applyFont="1" applyBorder="1" applyAlignment="1">
      <alignment horizontal="center" vertical="center"/>
    </xf>
    <xf numFmtId="0" fontId="11" fillId="0" borderId="15" xfId="12" applyFont="1" applyBorder="1" applyAlignment="1">
      <alignment vertical="center" shrinkToFit="1"/>
    </xf>
    <xf numFmtId="49" fontId="42" fillId="0" borderId="6" xfId="12" applyNumberFormat="1" applyFont="1" applyBorder="1" applyAlignment="1">
      <alignment horizontal="left" vertical="center"/>
    </xf>
    <xf numFmtId="0" fontId="5" fillId="0" borderId="0" xfId="12" applyFont="1"/>
    <xf numFmtId="0" fontId="11" fillId="0" borderId="14" xfId="12" applyFont="1" applyBorder="1" applyAlignment="1">
      <alignment vertical="center" shrinkToFit="1"/>
    </xf>
    <xf numFmtId="49" fontId="42" fillId="0" borderId="6" xfId="12" applyNumberFormat="1" applyFont="1" applyBorder="1" applyAlignment="1">
      <alignment horizontal="left" vertical="center" wrapText="1"/>
    </xf>
    <xf numFmtId="0" fontId="11" fillId="0" borderId="6" xfId="12" applyFont="1" applyBorder="1" applyAlignment="1">
      <alignment vertical="center" shrinkToFit="1"/>
    </xf>
    <xf numFmtId="0" fontId="11" fillId="0" borderId="14" xfId="12" applyFont="1" applyBorder="1" applyAlignment="1">
      <alignment vertical="center" wrapText="1" shrinkToFit="1"/>
    </xf>
    <xf numFmtId="0" fontId="12" fillId="0" borderId="0" xfId="31" applyFont="1" applyAlignment="1">
      <alignment horizontal="right"/>
    </xf>
    <xf numFmtId="0" fontId="12" fillId="0" borderId="0" xfId="33" applyFont="1"/>
    <xf numFmtId="0" fontId="12" fillId="0" borderId="0" xfId="33" applyFont="1" applyAlignment="1">
      <alignment horizontal="right"/>
    </xf>
    <xf numFmtId="0" fontId="11" fillId="0" borderId="77" xfId="11" applyFont="1" applyBorder="1" applyAlignment="1">
      <alignment horizontal="center" vertical="center"/>
    </xf>
    <xf numFmtId="0" fontId="11" fillId="0" borderId="82" xfId="11" applyFont="1" applyBorder="1" applyAlignment="1">
      <alignment horizontal="center" vertical="center"/>
    </xf>
    <xf numFmtId="0" fontId="11" fillId="0" borderId="73" xfId="11" applyFont="1" applyBorder="1" applyAlignment="1">
      <alignment vertical="center"/>
    </xf>
    <xf numFmtId="0" fontId="11" fillId="0" borderId="73" xfId="11" applyFont="1" applyBorder="1" applyAlignment="1">
      <alignment vertical="center" wrapText="1"/>
    </xf>
    <xf numFmtId="0" fontId="11" fillId="0" borderId="5" xfId="11" applyFont="1" applyBorder="1" applyAlignment="1">
      <alignment horizontal="center" vertical="center"/>
    </xf>
    <xf numFmtId="0" fontId="15" fillId="2" borderId="3" xfId="11" applyFont="1" applyFill="1" applyBorder="1" applyAlignment="1">
      <alignment vertical="center"/>
    </xf>
    <xf numFmtId="0" fontId="15" fillId="2" borderId="1" xfId="11" applyFont="1" applyFill="1" applyBorder="1" applyAlignment="1">
      <alignment horizontal="center" vertical="center"/>
    </xf>
    <xf numFmtId="0" fontId="15" fillId="2" borderId="2" xfId="11" applyFont="1" applyFill="1" applyBorder="1" applyAlignment="1">
      <alignment vertical="center"/>
    </xf>
    <xf numFmtId="0" fontId="11" fillId="0" borderId="5" xfId="11" applyFont="1" applyBorder="1" applyAlignment="1">
      <alignment horizontal="center"/>
    </xf>
    <xf numFmtId="0" fontId="0" fillId="0" borderId="0" xfId="0"/>
    <xf numFmtId="0" fontId="11" fillId="0" borderId="14" xfId="0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center"/>
    </xf>
    <xf numFmtId="0" fontId="27" fillId="2" borderId="2" xfId="12" applyFont="1" applyFill="1" applyBorder="1" applyAlignment="1">
      <alignment vertical="center"/>
    </xf>
    <xf numFmtId="0" fontId="27" fillId="2" borderId="23" xfId="12" applyFont="1" applyFill="1" applyBorder="1" applyAlignment="1">
      <alignment horizontal="center" vertical="center" wrapText="1"/>
    </xf>
    <xf numFmtId="0" fontId="11" fillId="15" borderId="28" xfId="12" applyFont="1" applyFill="1" applyBorder="1" applyAlignment="1">
      <alignment vertical="center"/>
    </xf>
    <xf numFmtId="3" fontId="11" fillId="16" borderId="25" xfId="12" applyNumberFormat="1" applyFont="1" applyFill="1" applyBorder="1" applyAlignment="1">
      <alignment vertical="center" wrapText="1"/>
    </xf>
    <xf numFmtId="0" fontId="0" fillId="0" borderId="0" xfId="0"/>
    <xf numFmtId="0" fontId="12" fillId="15" borderId="0" xfId="0" applyFont="1" applyFill="1"/>
    <xf numFmtId="0" fontId="12" fillId="0" borderId="0" xfId="36" applyFont="1"/>
    <xf numFmtId="167" fontId="12" fillId="0" borderId="0" xfId="36" applyNumberFormat="1" applyFont="1"/>
    <xf numFmtId="4" fontId="12" fillId="0" borderId="0" xfId="36" applyNumberFormat="1" applyFont="1"/>
    <xf numFmtId="0" fontId="3" fillId="0" borderId="0" xfId="37"/>
    <xf numFmtId="0" fontId="12" fillId="0" borderId="0" xfId="37" applyFont="1"/>
    <xf numFmtId="0" fontId="27" fillId="2" borderId="67" xfId="2" applyFont="1" applyFill="1" applyBorder="1" applyAlignment="1">
      <alignment horizontal="left"/>
    </xf>
    <xf numFmtId="2" fontId="11" fillId="6" borderId="68" xfId="2" applyNumberFormat="1" applyFont="1" applyFill="1" applyBorder="1" applyAlignment="1">
      <alignment horizontal="center" vertical="center"/>
    </xf>
    <xf numFmtId="4" fontId="11" fillId="6" borderId="68" xfId="2" applyNumberFormat="1" applyFont="1" applyFill="1" applyBorder="1" applyAlignment="1">
      <alignment horizontal="center" vertical="center"/>
    </xf>
    <xf numFmtId="4" fontId="11" fillId="6" borderId="68" xfId="2" applyNumberFormat="1" applyFont="1" applyFill="1" applyBorder="1" applyAlignment="1">
      <alignment horizontal="center"/>
    </xf>
    <xf numFmtId="4" fontId="11" fillId="3" borderId="64" xfId="2" applyNumberFormat="1" applyFont="1" applyFill="1" applyBorder="1" applyAlignment="1">
      <alignment horizontal="center"/>
    </xf>
    <xf numFmtId="0" fontId="27" fillId="2" borderId="5" xfId="2" applyFont="1" applyFill="1" applyBorder="1" applyAlignment="1">
      <alignment horizontal="left"/>
    </xf>
    <xf numFmtId="2" fontId="11" fillId="6" borderId="38" xfId="2" applyNumberFormat="1" applyFont="1" applyFill="1" applyBorder="1" applyAlignment="1">
      <alignment horizontal="center" vertical="center"/>
    </xf>
    <xf numFmtId="4" fontId="11" fillId="6" borderId="38" xfId="2" applyNumberFormat="1" applyFont="1" applyFill="1" applyBorder="1" applyAlignment="1">
      <alignment horizontal="center" vertical="center"/>
    </xf>
    <xf numFmtId="4" fontId="11" fillId="6" borderId="38" xfId="2" applyNumberFormat="1" applyFont="1" applyFill="1" applyBorder="1" applyAlignment="1">
      <alignment horizontal="center"/>
    </xf>
    <xf numFmtId="0" fontId="11" fillId="6" borderId="38" xfId="2" applyNumberFormat="1" applyFont="1" applyFill="1" applyBorder="1" applyAlignment="1">
      <alignment horizontal="center"/>
    </xf>
    <xf numFmtId="4" fontId="11" fillId="6" borderId="57" xfId="2" applyNumberFormat="1" applyFont="1" applyFill="1" applyBorder="1" applyAlignment="1">
      <alignment horizontal="center" vertical="center"/>
    </xf>
    <xf numFmtId="4" fontId="11" fillId="6" borderId="6" xfId="2" applyNumberFormat="1" applyFont="1" applyFill="1" applyBorder="1" applyAlignment="1">
      <alignment horizontal="center" vertical="center"/>
    </xf>
    <xf numFmtId="2" fontId="11" fillId="6" borderId="7" xfId="2" applyNumberFormat="1" applyFont="1" applyFill="1" applyBorder="1" applyAlignment="1">
      <alignment horizontal="center" vertical="center"/>
    </xf>
    <xf numFmtId="0" fontId="27" fillId="2" borderId="13" xfId="2" applyFont="1" applyFill="1" applyBorder="1" applyAlignment="1">
      <alignment horizontal="left"/>
    </xf>
    <xf numFmtId="2" fontId="11" fillId="6" borderId="57" xfId="2" applyNumberFormat="1" applyFont="1" applyFill="1" applyBorder="1" applyAlignment="1">
      <alignment horizontal="center" vertical="center"/>
    </xf>
    <xf numFmtId="4" fontId="11" fillId="6" borderId="57" xfId="2" applyNumberFormat="1" applyFont="1" applyFill="1" applyBorder="1" applyAlignment="1">
      <alignment horizontal="center"/>
    </xf>
    <xf numFmtId="0" fontId="11" fillId="6" borderId="57" xfId="2" applyNumberFormat="1" applyFont="1" applyFill="1" applyBorder="1" applyAlignment="1">
      <alignment horizontal="center"/>
    </xf>
    <xf numFmtId="0" fontId="27" fillId="2" borderId="34" xfId="2" applyFont="1" applyFill="1" applyBorder="1" applyAlignment="1">
      <alignment horizontal="center" vertical="center"/>
    </xf>
    <xf numFmtId="4" fontId="27" fillId="2" borderId="69" xfId="2" applyNumberFormat="1" applyFont="1" applyFill="1" applyBorder="1" applyAlignment="1">
      <alignment horizontal="center" vertical="center"/>
    </xf>
    <xf numFmtId="2" fontId="27" fillId="2" borderId="69" xfId="2" applyNumberFormat="1" applyFont="1" applyFill="1" applyBorder="1" applyAlignment="1">
      <alignment horizontal="center" vertical="center"/>
    </xf>
    <xf numFmtId="4" fontId="27" fillId="2" borderId="31" xfId="2" applyNumberFormat="1" applyFont="1" applyFill="1" applyBorder="1" applyAlignment="1">
      <alignment horizontal="center" vertical="center"/>
    </xf>
    <xf numFmtId="0" fontId="12" fillId="0" borderId="0" xfId="37" applyFont="1"/>
    <xf numFmtId="0" fontId="12" fillId="0" borderId="0" xfId="37" applyFont="1" applyAlignment="1">
      <alignment horizontal="right"/>
    </xf>
    <xf numFmtId="0" fontId="12" fillId="0" borderId="0" xfId="37" applyFont="1" applyAlignment="1">
      <alignment vertical="center"/>
    </xf>
    <xf numFmtId="2" fontId="54" fillId="6" borderId="38" xfId="2" applyNumberFormat="1" applyFont="1" applyFill="1" applyBorder="1" applyAlignment="1">
      <alignment horizontal="center" vertical="center"/>
    </xf>
    <xf numFmtId="4" fontId="54" fillId="6" borderId="38" xfId="2" applyNumberFormat="1" applyFont="1" applyFill="1" applyBorder="1" applyAlignment="1">
      <alignment horizontal="center" vertical="center"/>
    </xf>
    <xf numFmtId="4" fontId="54" fillId="6" borderId="38" xfId="2" applyNumberFormat="1" applyFont="1" applyFill="1" applyBorder="1" applyAlignment="1">
      <alignment horizontal="center"/>
    </xf>
    <xf numFmtId="0" fontId="54" fillId="6" borderId="38" xfId="2" applyNumberFormat="1" applyFont="1" applyFill="1" applyBorder="1" applyAlignment="1">
      <alignment horizontal="center"/>
    </xf>
    <xf numFmtId="4" fontId="54" fillId="3" borderId="64" xfId="2" applyNumberFormat="1" applyFont="1" applyFill="1" applyBorder="1" applyAlignment="1">
      <alignment horizontal="center"/>
    </xf>
    <xf numFmtId="2" fontId="54" fillId="6" borderId="27" xfId="2" applyNumberFormat="1" applyFont="1" applyFill="1" applyBorder="1" applyAlignment="1">
      <alignment horizontal="center" vertical="center"/>
    </xf>
    <xf numFmtId="4" fontId="54" fillId="6" borderId="6" xfId="2" applyNumberFormat="1" applyFont="1" applyFill="1" applyBorder="1" applyAlignment="1">
      <alignment horizontal="center" vertical="center"/>
    </xf>
    <xf numFmtId="2" fontId="54" fillId="6" borderId="66" xfId="2" applyNumberFormat="1" applyFont="1" applyFill="1" applyBorder="1" applyAlignment="1">
      <alignment horizontal="center" vertical="center"/>
    </xf>
    <xf numFmtId="0" fontId="50" fillId="20" borderId="5" xfId="37" applyFont="1" applyFill="1" applyBorder="1" applyAlignment="1">
      <alignment vertical="center"/>
    </xf>
    <xf numFmtId="0" fontId="50" fillId="20" borderId="6" xfId="37" applyFont="1" applyFill="1" applyBorder="1" applyAlignment="1">
      <alignment horizontal="center" vertical="center" wrapText="1"/>
    </xf>
    <xf numFmtId="0" fontId="50" fillId="20" borderId="6" xfId="37" applyFont="1" applyFill="1" applyBorder="1" applyAlignment="1">
      <alignment horizontal="center" vertical="center"/>
    </xf>
    <xf numFmtId="0" fontId="52" fillId="20" borderId="6" xfId="37" applyFont="1" applyFill="1" applyBorder="1" applyAlignment="1">
      <alignment horizontal="center" vertical="center" wrapText="1"/>
    </xf>
    <xf numFmtId="3" fontId="11" fillId="0" borderId="6" xfId="37" applyNumberFormat="1" applyFont="1" applyBorder="1" applyAlignment="1">
      <alignment horizontal="center" vertical="center"/>
    </xf>
    <xf numFmtId="3" fontId="19" fillId="21" borderId="6" xfId="37" applyNumberFormat="1" applyFont="1" applyFill="1" applyBorder="1" applyAlignment="1">
      <alignment horizontal="center" vertical="center"/>
    </xf>
    <xf numFmtId="3" fontId="19" fillId="22" borderId="6" xfId="37" applyNumberFormat="1" applyFont="1" applyFill="1" applyBorder="1" applyAlignment="1">
      <alignment horizontal="center" vertical="center"/>
    </xf>
    <xf numFmtId="3" fontId="11" fillId="23" borderId="6" xfId="37" applyNumberFormat="1" applyFont="1" applyFill="1" applyBorder="1" applyAlignment="1">
      <alignment horizontal="center" vertical="center"/>
    </xf>
    <xf numFmtId="0" fontId="11" fillId="0" borderId="25" xfId="37" applyFont="1" applyBorder="1" applyAlignment="1">
      <alignment horizontal="center" vertical="center"/>
    </xf>
    <xf numFmtId="0" fontId="50" fillId="20" borderId="5" xfId="37" applyFont="1" applyFill="1" applyBorder="1" applyAlignment="1">
      <alignment vertical="center" wrapText="1"/>
    </xf>
    <xf numFmtId="3" fontId="11" fillId="0" borderId="6" xfId="37" applyNumberFormat="1" applyFont="1" applyBorder="1" applyAlignment="1" applyProtection="1">
      <alignment horizontal="center" vertical="center"/>
      <protection hidden="1"/>
    </xf>
    <xf numFmtId="3" fontId="60" fillId="21" borderId="6" xfId="37" applyNumberFormat="1" applyFont="1" applyFill="1" applyBorder="1" applyAlignment="1">
      <alignment horizontal="center" vertical="center"/>
    </xf>
    <xf numFmtId="3" fontId="60" fillId="22" borderId="6" xfId="37" applyNumberFormat="1" applyFont="1" applyFill="1" applyBorder="1" applyAlignment="1">
      <alignment horizontal="center" vertical="center"/>
    </xf>
    <xf numFmtId="3" fontId="19" fillId="24" borderId="6" xfId="37" applyNumberFormat="1" applyFont="1" applyFill="1" applyBorder="1" applyAlignment="1">
      <alignment horizontal="center" vertical="center"/>
    </xf>
    <xf numFmtId="3" fontId="19" fillId="25" borderId="6" xfId="37" applyNumberFormat="1" applyFont="1" applyFill="1" applyBorder="1" applyAlignment="1">
      <alignment horizontal="center" vertical="center"/>
    </xf>
    <xf numFmtId="3" fontId="19" fillId="26" borderId="6" xfId="37" applyNumberFormat="1" applyFont="1" applyFill="1" applyBorder="1" applyAlignment="1">
      <alignment horizontal="center" vertical="center"/>
    </xf>
    <xf numFmtId="0" fontId="19" fillId="22" borderId="25" xfId="37" applyFont="1" applyFill="1" applyBorder="1" applyAlignment="1">
      <alignment horizontal="center" vertical="center"/>
    </xf>
    <xf numFmtId="0" fontId="50" fillId="13" borderId="5" xfId="37" applyFont="1" applyFill="1" applyBorder="1" applyAlignment="1">
      <alignment vertical="center"/>
    </xf>
    <xf numFmtId="3" fontId="19" fillId="0" borderId="6" xfId="37" applyNumberFormat="1" applyFont="1" applyBorder="1" applyAlignment="1">
      <alignment horizontal="center" vertical="center"/>
    </xf>
    <xf numFmtId="3" fontId="19" fillId="6" borderId="6" xfId="37" applyNumberFormat="1" applyFont="1" applyFill="1" applyBorder="1" applyAlignment="1">
      <alignment horizontal="center" vertical="center"/>
    </xf>
    <xf numFmtId="0" fontId="11" fillId="0" borderId="25" xfId="37" applyFont="1" applyBorder="1" applyAlignment="1">
      <alignment vertical="center"/>
    </xf>
    <xf numFmtId="0" fontId="50" fillId="13" borderId="34" xfId="37" applyFont="1" applyFill="1" applyBorder="1" applyAlignment="1">
      <alignment vertical="center" wrapText="1"/>
    </xf>
    <xf numFmtId="3" fontId="11" fillId="0" borderId="35" xfId="37" applyNumberFormat="1" applyFont="1" applyBorder="1" applyAlignment="1">
      <alignment horizontal="center" vertical="center"/>
    </xf>
    <xf numFmtId="3" fontId="19" fillId="22" borderId="35" xfId="37" applyNumberFormat="1" applyFont="1" applyFill="1" applyBorder="1" applyAlignment="1">
      <alignment horizontal="center" vertical="center"/>
    </xf>
    <xf numFmtId="3" fontId="11" fillId="6" borderId="35" xfId="37" applyNumberFormat="1" applyFont="1" applyFill="1" applyBorder="1" applyAlignment="1">
      <alignment horizontal="center" vertical="center"/>
    </xf>
    <xf numFmtId="0" fontId="11" fillId="0" borderId="31" xfId="37" applyFont="1" applyBorder="1" applyAlignment="1">
      <alignment vertical="center"/>
    </xf>
    <xf numFmtId="0" fontId="51" fillId="0" borderId="0" xfId="37" applyFont="1"/>
    <xf numFmtId="0" fontId="50" fillId="20" borderId="25" xfId="37" applyFont="1" applyFill="1" applyBorder="1" applyAlignment="1">
      <alignment horizontal="center" vertical="center" wrapText="1"/>
    </xf>
    <xf numFmtId="0" fontId="11" fillId="0" borderId="0" xfId="37" applyFont="1"/>
    <xf numFmtId="0" fontId="0" fillId="0" borderId="0" xfId="0"/>
    <xf numFmtId="0" fontId="11" fillId="0" borderId="5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38"/>
    <xf numFmtId="0" fontId="12" fillId="0" borderId="0" xfId="38" applyFont="1"/>
    <xf numFmtId="0" fontId="11" fillId="0" borderId="0" xfId="38" applyFont="1" applyAlignment="1">
      <alignment horizontal="right"/>
    </xf>
    <xf numFmtId="0" fontId="20" fillId="0" borderId="61" xfId="38" applyFont="1" applyBorder="1" applyAlignment="1">
      <alignment horizontal="center"/>
    </xf>
    <xf numFmtId="0" fontId="20" fillId="0" borderId="61" xfId="38" applyFont="1" applyBorder="1"/>
    <xf numFmtId="4" fontId="20" fillId="0" borderId="61" xfId="38" applyNumberFormat="1" applyFont="1" applyBorder="1"/>
    <xf numFmtId="0" fontId="23" fillId="2" borderId="1" xfId="38" applyFont="1" applyFill="1" applyBorder="1" applyAlignment="1">
      <alignment horizontal="center" vertical="center"/>
    </xf>
    <xf numFmtId="0" fontId="15" fillId="2" borderId="2" xfId="38" applyFont="1" applyFill="1" applyBorder="1" applyAlignment="1">
      <alignment vertical="center"/>
    </xf>
    <xf numFmtId="4" fontId="23" fillId="2" borderId="62" xfId="38" applyNumberFormat="1" applyFont="1" applyFill="1" applyBorder="1" applyAlignment="1">
      <alignment horizontal="center" vertical="center" wrapText="1"/>
    </xf>
    <xf numFmtId="0" fontId="11" fillId="0" borderId="5" xfId="38" applyFont="1" applyBorder="1" applyAlignment="1">
      <alignment horizontal="center"/>
    </xf>
    <xf numFmtId="0" fontId="51" fillId="0" borderId="73" xfId="38" applyFont="1" applyBorder="1"/>
    <xf numFmtId="0" fontId="51" fillId="0" borderId="73" xfId="38" applyFont="1" applyBorder="1" applyAlignment="1">
      <alignment vertical="center"/>
    </xf>
    <xf numFmtId="0" fontId="51" fillId="0" borderId="73" xfId="38" applyFont="1" applyBorder="1" applyAlignment="1">
      <alignment vertical="center" wrapText="1"/>
    </xf>
    <xf numFmtId="0" fontId="30" fillId="0" borderId="0" xfId="38" applyFont="1"/>
    <xf numFmtId="0" fontId="51" fillId="0" borderId="75" xfId="38" applyFont="1" applyBorder="1" applyAlignment="1">
      <alignment horizontal="left" vertical="center"/>
    </xf>
    <xf numFmtId="0" fontId="12" fillId="0" borderId="0" xfId="38" applyFont="1" applyAlignment="1">
      <alignment vertical="center"/>
    </xf>
    <xf numFmtId="0" fontId="31" fillId="0" borderId="0" xfId="38" applyFont="1" applyAlignment="1">
      <alignment vertical="center"/>
    </xf>
    <xf numFmtId="0" fontId="32" fillId="0" borderId="0" xfId="38" applyFont="1" applyAlignment="1">
      <alignment vertical="center"/>
    </xf>
    <xf numFmtId="0" fontId="51" fillId="0" borderId="75" xfId="38" applyFont="1" applyBorder="1"/>
    <xf numFmtId="4" fontId="12" fillId="0" borderId="0" xfId="38" applyNumberFormat="1" applyFont="1"/>
    <xf numFmtId="3" fontId="12" fillId="0" borderId="0" xfId="38" applyNumberFormat="1" applyFont="1"/>
    <xf numFmtId="4" fontId="51" fillId="0" borderId="79" xfId="38" applyNumberFormat="1" applyFont="1" applyBorder="1"/>
    <xf numFmtId="4" fontId="51" fillId="0" borderId="79" xfId="38" applyNumberFormat="1" applyFont="1" applyBorder="1" applyAlignment="1">
      <alignment vertical="center"/>
    </xf>
    <xf numFmtId="0" fontId="51" fillId="0" borderId="0" xfId="38" applyFont="1" applyBorder="1"/>
    <xf numFmtId="4" fontId="51" fillId="0" borderId="94" xfId="38" applyNumberFormat="1" applyFont="1" applyBorder="1"/>
    <xf numFmtId="0" fontId="54" fillId="0" borderId="0" xfId="38" applyFont="1"/>
    <xf numFmtId="4" fontId="51" fillId="0" borderId="79" xfId="38" applyNumberFormat="1" applyFont="1" applyBorder="1" applyAlignment="1">
      <alignment vertical="center" wrapText="1"/>
    </xf>
    <xf numFmtId="4" fontId="54" fillId="0" borderId="79" xfId="38" applyNumberFormat="1" applyFont="1" applyBorder="1"/>
    <xf numFmtId="4" fontId="54" fillId="0" borderId="79" xfId="38" applyNumberFormat="1" applyFont="1" applyBorder="1" applyAlignment="1">
      <alignment horizontal="right"/>
    </xf>
    <xf numFmtId="4" fontId="51" fillId="0" borderId="80" xfId="38" applyNumberFormat="1" applyFont="1" applyBorder="1"/>
    <xf numFmtId="4" fontId="37" fillId="3" borderId="25" xfId="38" applyNumberFormat="1" applyFont="1" applyFill="1" applyBorder="1" applyAlignment="1">
      <alignment vertical="center"/>
    </xf>
    <xf numFmtId="4" fontId="26" fillId="2" borderId="31" xfId="38" applyNumberFormat="1" applyFont="1" applyFill="1" applyBorder="1" applyAlignment="1">
      <alignment vertical="center"/>
    </xf>
    <xf numFmtId="0" fontId="51" fillId="0" borderId="75" xfId="38" applyFont="1" applyFill="1" applyBorder="1" applyAlignment="1">
      <alignment vertical="center" wrapText="1"/>
    </xf>
    <xf numFmtId="0" fontId="54" fillId="0" borderId="73" xfId="38" applyFont="1" applyFill="1" applyBorder="1" applyAlignment="1">
      <alignment vertical="center" wrapText="1"/>
    </xf>
    <xf numFmtId="4" fontId="51" fillId="0" borderId="80" xfId="38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3" fontId="11" fillId="0" borderId="0" xfId="0" applyNumberFormat="1" applyFont="1" applyBorder="1"/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/>
    </xf>
    <xf numFmtId="3" fontId="15" fillId="2" borderId="0" xfId="0" applyNumberFormat="1" applyFont="1" applyFill="1" applyBorder="1"/>
    <xf numFmtId="0" fontId="27" fillId="13" borderId="0" xfId="0" applyFont="1" applyFill="1" applyBorder="1" applyAlignment="1">
      <alignment horizontal="left" vertical="center"/>
    </xf>
    <xf numFmtId="3" fontId="11" fillId="15" borderId="0" xfId="0" applyNumberFormat="1" applyFont="1" applyFill="1" applyBorder="1"/>
    <xf numFmtId="3" fontId="11" fillId="15" borderId="0" xfId="0" applyNumberFormat="1" applyFont="1" applyFill="1" applyBorder="1" applyAlignment="1">
      <alignment horizontal="right" vertical="center" wrapText="1"/>
    </xf>
    <xf numFmtId="3" fontId="11" fillId="15" borderId="0" xfId="0" applyNumberFormat="1" applyFont="1" applyFill="1" applyBorder="1" applyAlignment="1">
      <alignment horizontal="right"/>
    </xf>
    <xf numFmtId="3" fontId="27" fillId="13" borderId="0" xfId="0" applyNumberFormat="1" applyFont="1" applyFill="1" applyBorder="1" applyAlignment="1">
      <alignment horizontal="right" vertical="center"/>
    </xf>
    <xf numFmtId="3" fontId="27" fillId="13" borderId="0" xfId="0" applyNumberFormat="1" applyFont="1" applyFill="1" applyBorder="1" applyAlignment="1">
      <alignment vertical="center"/>
    </xf>
    <xf numFmtId="3" fontId="50" fillId="13" borderId="0" xfId="0" applyNumberFormat="1" applyFont="1" applyFill="1" applyBorder="1" applyAlignment="1">
      <alignment vertical="center"/>
    </xf>
    <xf numFmtId="3" fontId="61" fillId="13" borderId="0" xfId="0" applyNumberFormat="1" applyFont="1" applyFill="1" applyBorder="1" applyAlignment="1">
      <alignment horizontal="right" vertical="center"/>
    </xf>
    <xf numFmtId="0" fontId="51" fillId="15" borderId="75" xfId="38" applyFont="1" applyFill="1" applyBorder="1"/>
    <xf numFmtId="0" fontId="51" fillId="15" borderId="96" xfId="38" applyFont="1" applyFill="1" applyBorder="1"/>
    <xf numFmtId="4" fontId="51" fillId="0" borderId="95" xfId="38" applyNumberFormat="1" applyFont="1" applyBorder="1"/>
    <xf numFmtId="0" fontId="51" fillId="0" borderId="0" xfId="0" applyFont="1"/>
    <xf numFmtId="4" fontId="51" fillId="0" borderId="0" xfId="0" applyNumberFormat="1" applyFont="1"/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 horizontal="center"/>
    </xf>
    <xf numFmtId="3" fontId="11" fillId="0" borderId="25" xfId="0" applyNumberFormat="1" applyFont="1" applyFill="1" applyBorder="1" applyAlignment="1">
      <alignment horizontal="right"/>
    </xf>
    <xf numFmtId="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 vertical="center"/>
    </xf>
    <xf numFmtId="3" fontId="19" fillId="0" borderId="28" xfId="0" applyNumberFormat="1" applyFont="1" applyFill="1" applyBorder="1" applyAlignment="1">
      <alignment horizontal="right" vertical="center"/>
    </xf>
    <xf numFmtId="10" fontId="19" fillId="0" borderId="31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center"/>
    </xf>
    <xf numFmtId="3" fontId="11" fillId="17" borderId="7" xfId="0" applyNumberFormat="1" applyFont="1" applyFill="1" applyBorder="1" applyAlignment="1">
      <alignment horizontal="right"/>
    </xf>
    <xf numFmtId="3" fontId="19" fillId="17" borderId="7" xfId="0" applyNumberFormat="1" applyFont="1" applyFill="1" applyBorder="1" applyAlignment="1">
      <alignment horizontal="right"/>
    </xf>
    <xf numFmtId="10" fontId="19" fillId="17" borderId="7" xfId="0" applyNumberFormat="1" applyFont="1" applyFill="1" applyBorder="1" applyAlignment="1">
      <alignment horizontal="right" vertical="center"/>
    </xf>
    <xf numFmtId="3" fontId="19" fillId="17" borderId="15" xfId="0" applyNumberFormat="1" applyFont="1" applyFill="1" applyBorder="1" applyAlignment="1">
      <alignment horizontal="right" vertical="center"/>
    </xf>
    <xf numFmtId="10" fontId="19" fillId="17" borderId="105" xfId="0" applyNumberFormat="1" applyFont="1" applyFill="1" applyBorder="1" applyAlignment="1">
      <alignment horizontal="right" vertical="center"/>
    </xf>
    <xf numFmtId="0" fontId="0" fillId="0" borderId="0" xfId="0"/>
    <xf numFmtId="3" fontId="20" fillId="0" borderId="31" xfId="0" applyNumberFormat="1" applyFont="1" applyBorder="1" applyAlignment="1" applyProtection="1">
      <alignment horizontal="right"/>
      <protection locked="0"/>
    </xf>
    <xf numFmtId="3" fontId="22" fillId="6" borderId="7" xfId="0" applyNumberFormat="1" applyFont="1" applyFill="1" applyBorder="1"/>
    <xf numFmtId="3" fontId="15" fillId="2" borderId="7" xfId="0" applyNumberFormat="1" applyFont="1" applyFill="1" applyBorder="1"/>
    <xf numFmtId="3" fontId="15" fillId="2" borderId="105" xfId="0" applyNumberFormat="1" applyFont="1" applyFill="1" applyBorder="1" applyAlignment="1">
      <alignment vertical="center"/>
    </xf>
    <xf numFmtId="0" fontId="15" fillId="2" borderId="43" xfId="0" applyFont="1" applyFill="1" applyBorder="1" applyAlignment="1">
      <alignment horizontal="center" vertical="center" wrapText="1"/>
    </xf>
    <xf numFmtId="3" fontId="19" fillId="0" borderId="8" xfId="0" applyNumberFormat="1" applyFont="1" applyBorder="1"/>
    <xf numFmtId="3" fontId="16" fillId="6" borderId="8" xfId="0" applyNumberFormat="1" applyFont="1" applyFill="1" applyBorder="1"/>
    <xf numFmtId="3" fontId="15" fillId="2" borderId="106" xfId="0" applyNumberFormat="1" applyFont="1" applyFill="1" applyBorder="1" applyAlignment="1">
      <alignment vertical="center"/>
    </xf>
    <xf numFmtId="3" fontId="61" fillId="30" borderId="8" xfId="0" applyNumberFormat="1" applyFont="1" applyFill="1" applyBorder="1"/>
    <xf numFmtId="3" fontId="50" fillId="30" borderId="8" xfId="0" applyNumberFormat="1" applyFont="1" applyFill="1" applyBorder="1"/>
    <xf numFmtId="3" fontId="50" fillId="30" borderId="12" xfId="0" applyNumberFormat="1" applyFont="1" applyFill="1" applyBorder="1"/>
    <xf numFmtId="3" fontId="22" fillId="5" borderId="44" xfId="0" applyNumberFormat="1" applyFont="1" applyFill="1" applyBorder="1" applyAlignment="1">
      <alignment vertical="center"/>
    </xf>
    <xf numFmtId="3" fontId="22" fillId="5" borderId="7" xfId="0" applyNumberFormat="1" applyFont="1" applyFill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0" fontId="27" fillId="2" borderId="43" xfId="0" applyFont="1" applyFill="1" applyBorder="1" applyAlignment="1">
      <alignment horizontal="center" vertical="center"/>
    </xf>
    <xf numFmtId="3" fontId="22" fillId="5" borderId="12" xfId="0" applyNumberFormat="1" applyFont="1" applyFill="1" applyBorder="1" applyAlignment="1">
      <alignment vertical="center"/>
    </xf>
    <xf numFmtId="3" fontId="22" fillId="5" borderId="8" xfId="0" applyNumberFormat="1" applyFont="1" applyFill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7" fillId="2" borderId="18" xfId="0" applyNumberFormat="1" applyFont="1" applyFill="1" applyBorder="1" applyAlignment="1">
      <alignment vertical="center"/>
    </xf>
    <xf numFmtId="3" fontId="27" fillId="2" borderId="19" xfId="0" applyNumberFormat="1" applyFont="1" applyFill="1" applyBorder="1" applyAlignment="1">
      <alignment vertical="center"/>
    </xf>
    <xf numFmtId="3" fontId="27" fillId="2" borderId="20" xfId="0" applyNumberFormat="1" applyFont="1" applyFill="1" applyBorder="1" applyAlignment="1">
      <alignment vertical="center"/>
    </xf>
    <xf numFmtId="3" fontId="19" fillId="8" borderId="107" xfId="2" applyNumberFormat="1" applyFont="1" applyFill="1" applyBorder="1" applyAlignment="1">
      <alignment horizontal="right"/>
    </xf>
    <xf numFmtId="0" fontId="55" fillId="0" borderId="0" xfId="2" applyFont="1" applyFill="1" applyBorder="1" applyAlignment="1"/>
    <xf numFmtId="0" fontId="27" fillId="0" borderId="0" xfId="2" applyFont="1" applyFill="1" applyBorder="1" applyAlignment="1">
      <alignment vertical="center"/>
    </xf>
    <xf numFmtId="0" fontId="27" fillId="2" borderId="14" xfId="2" applyFont="1" applyFill="1" applyBorder="1" applyAlignment="1">
      <alignment horizontal="center" vertical="center"/>
    </xf>
    <xf numFmtId="0" fontId="27" fillId="2" borderId="28" xfId="2" applyFont="1" applyFill="1" applyBorder="1" applyAlignment="1">
      <alignment horizontal="center" vertical="center"/>
    </xf>
    <xf numFmtId="3" fontId="11" fillId="0" borderId="50" xfId="2" applyNumberFormat="1" applyFont="1" applyBorder="1" applyAlignment="1">
      <alignment horizontal="right"/>
    </xf>
    <xf numFmtId="3" fontId="27" fillId="2" borderId="10" xfId="0" applyNumberFormat="1" applyFont="1" applyFill="1" applyBorder="1" applyAlignment="1">
      <alignment vertical="center"/>
    </xf>
    <xf numFmtId="0" fontId="27" fillId="2" borderId="10" xfId="0" applyFont="1" applyFill="1" applyBorder="1" applyAlignment="1">
      <alignment horizontal="left" vertical="center" wrapText="1"/>
    </xf>
    <xf numFmtId="3" fontId="19" fillId="3" borderId="50" xfId="0" applyNumberFormat="1" applyFont="1" applyFill="1" applyBorder="1" applyAlignment="1">
      <alignment horizontal="right" vertical="center"/>
    </xf>
    <xf numFmtId="3" fontId="19" fillId="3" borderId="50" xfId="0" applyNumberFormat="1" applyFont="1" applyFill="1" applyBorder="1" applyAlignment="1">
      <alignment vertical="center"/>
    </xf>
    <xf numFmtId="3" fontId="27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19" fillId="3" borderId="14" xfId="0" applyNumberFormat="1" applyFont="1" applyFill="1" applyBorder="1" applyAlignment="1">
      <alignment vertical="center"/>
    </xf>
    <xf numFmtId="0" fontId="22" fillId="3" borderId="56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50" xfId="0" applyFont="1" applyFill="1" applyBorder="1" applyAlignment="1">
      <alignment horizontal="left" vertical="center" wrapText="1"/>
    </xf>
    <xf numFmtId="0" fontId="23" fillId="2" borderId="50" xfId="0" applyFont="1" applyFill="1" applyBorder="1" applyAlignment="1">
      <alignment horizontal="left" vertical="center"/>
    </xf>
    <xf numFmtId="0" fontId="12" fillId="0" borderId="0" xfId="0" applyFont="1" applyFill="1"/>
    <xf numFmtId="0" fontId="51" fillId="0" borderId="75" xfId="0" applyFont="1" applyFill="1" applyBorder="1" applyAlignment="1">
      <alignment vertical="center"/>
    </xf>
    <xf numFmtId="0" fontId="51" fillId="0" borderId="75" xfId="0" applyFont="1" applyFill="1" applyBorder="1"/>
    <xf numFmtId="0" fontId="51" fillId="0" borderId="75" xfId="0" applyFont="1" applyFill="1" applyBorder="1" applyAlignment="1">
      <alignment wrapText="1"/>
    </xf>
    <xf numFmtId="0" fontId="51" fillId="0" borderId="73" xfId="0" applyFont="1" applyFill="1" applyBorder="1" applyAlignment="1">
      <alignment vertical="center"/>
    </xf>
    <xf numFmtId="0" fontId="51" fillId="0" borderId="73" xfId="0" applyFont="1" applyFill="1" applyBorder="1" applyAlignment="1">
      <alignment vertical="center" wrapText="1"/>
    </xf>
    <xf numFmtId="0" fontId="51" fillId="0" borderId="73" xfId="0" applyFont="1" applyFill="1" applyBorder="1" applyAlignment="1">
      <alignment horizontal="left" vertical="center" wrapText="1"/>
    </xf>
    <xf numFmtId="0" fontId="51" fillId="15" borderId="73" xfId="0" applyFont="1" applyFill="1" applyBorder="1" applyAlignment="1">
      <alignment vertical="center" wrapText="1"/>
    </xf>
    <xf numFmtId="0" fontId="51" fillId="0" borderId="73" xfId="0" applyFont="1" applyBorder="1" applyAlignment="1">
      <alignment vertical="center" wrapText="1"/>
    </xf>
    <xf numFmtId="0" fontId="51" fillId="0" borderId="75" xfId="0" applyFont="1" applyFill="1" applyBorder="1" applyAlignment="1">
      <alignment horizontal="left" vertical="center" wrapText="1"/>
    </xf>
    <xf numFmtId="0" fontId="51" fillId="0" borderId="75" xfId="0" applyFont="1" applyBorder="1" applyAlignment="1">
      <alignment vertical="center" wrapText="1"/>
    </xf>
    <xf numFmtId="4" fontId="51" fillId="0" borderId="80" xfId="0" applyNumberFormat="1" applyFont="1" applyFill="1" applyBorder="1" applyAlignment="1">
      <alignment vertical="center"/>
    </xf>
    <xf numFmtId="4" fontId="51" fillId="0" borderId="79" xfId="0" applyNumberFormat="1" applyFont="1" applyFill="1" applyBorder="1" applyAlignment="1">
      <alignment vertical="center"/>
    </xf>
    <xf numFmtId="4" fontId="51" fillId="15" borderId="79" xfId="0" applyNumberFormat="1" applyFont="1" applyFill="1" applyBorder="1" applyAlignment="1">
      <alignment vertical="center"/>
    </xf>
    <xf numFmtId="4" fontId="51" fillId="15" borderId="80" xfId="0" applyNumberFormat="1" applyFont="1" applyFill="1" applyBorder="1" applyAlignment="1">
      <alignment vertical="center"/>
    </xf>
    <xf numFmtId="4" fontId="15" fillId="2" borderId="31" xfId="0" applyNumberFormat="1" applyFont="1" applyFill="1" applyBorder="1" applyAlignment="1">
      <alignment vertical="center"/>
    </xf>
    <xf numFmtId="0" fontId="27" fillId="2" borderId="2" xfId="12" applyFont="1" applyFill="1" applyBorder="1" applyAlignment="1">
      <alignment horizontal="center" vertical="center" wrapText="1"/>
    </xf>
    <xf numFmtId="0" fontId="54" fillId="15" borderId="6" xfId="35" applyFont="1" applyFill="1" applyBorder="1"/>
    <xf numFmtId="3" fontId="54" fillId="15" borderId="6" xfId="35" applyNumberFormat="1" applyFont="1" applyFill="1" applyBorder="1"/>
    <xf numFmtId="3" fontId="54" fillId="15" borderId="6" xfId="35" applyNumberFormat="1" applyFont="1" applyFill="1" applyBorder="1" applyAlignment="1">
      <alignment wrapText="1"/>
    </xf>
    <xf numFmtId="0" fontId="11" fillId="0" borderId="13" xfId="11" applyFont="1" applyBorder="1" applyAlignment="1">
      <alignment horizontal="center"/>
    </xf>
    <xf numFmtId="0" fontId="54" fillId="15" borderId="14" xfId="35" applyFont="1" applyFill="1" applyBorder="1"/>
    <xf numFmtId="3" fontId="54" fillId="15" borderId="14" xfId="35" applyNumberFormat="1" applyFont="1" applyFill="1" applyBorder="1"/>
    <xf numFmtId="0" fontId="12" fillId="0" borderId="17" xfId="11" applyFont="1" applyBorder="1"/>
    <xf numFmtId="0" fontId="26" fillId="2" borderId="18" xfId="11" applyFont="1" applyFill="1" applyBorder="1" applyAlignment="1">
      <alignment vertical="center"/>
    </xf>
    <xf numFmtId="3" fontId="26" fillId="2" borderId="18" xfId="11" applyNumberFormat="1" applyFont="1" applyFill="1" applyBorder="1" applyAlignment="1">
      <alignment horizontal="right" vertical="center"/>
    </xf>
    <xf numFmtId="0" fontId="54" fillId="15" borderId="73" xfId="35" applyFont="1" applyFill="1" applyBorder="1" applyAlignment="1">
      <alignment vertical="center" wrapText="1"/>
    </xf>
    <xf numFmtId="0" fontId="11" fillId="0" borderId="5" xfId="11" applyFont="1" applyBorder="1" applyAlignment="1">
      <alignment horizontal="center" vertical="center" wrapText="1"/>
    </xf>
    <xf numFmtId="0" fontId="11" fillId="0" borderId="13" xfId="11" applyFont="1" applyBorder="1" applyAlignment="1">
      <alignment horizontal="center" vertical="center" wrapText="1"/>
    </xf>
    <xf numFmtId="3" fontId="11" fillId="0" borderId="79" xfId="11" applyNumberFormat="1" applyFont="1" applyBorder="1" applyAlignment="1">
      <alignment vertical="center"/>
    </xf>
    <xf numFmtId="3" fontId="11" fillId="0" borderId="79" xfId="11" applyNumberFormat="1" applyFont="1" applyBorder="1" applyAlignment="1">
      <alignment vertical="center" wrapText="1"/>
    </xf>
    <xf numFmtId="0" fontId="11" fillId="0" borderId="110" xfId="11" applyFont="1" applyBorder="1" applyAlignment="1">
      <alignment horizontal="center" vertical="center"/>
    </xf>
    <xf numFmtId="0" fontId="11" fillId="0" borderId="75" xfId="11" applyFont="1" applyBorder="1" applyAlignment="1">
      <alignment vertical="center" wrapText="1"/>
    </xf>
    <xf numFmtId="3" fontId="11" fillId="0" borderId="80" xfId="11" applyNumberFormat="1" applyFont="1" applyBorder="1" applyAlignment="1">
      <alignment vertical="center" wrapText="1"/>
    </xf>
    <xf numFmtId="0" fontId="26" fillId="2" borderId="111" xfId="11" applyFont="1" applyFill="1" applyBorder="1" applyAlignment="1">
      <alignment horizontal="left" vertical="center"/>
    </xf>
    <xf numFmtId="0" fontId="26" fillId="2" borderId="112" xfId="11" applyFont="1" applyFill="1" applyBorder="1" applyAlignment="1">
      <alignment horizontal="left" vertical="center"/>
    </xf>
    <xf numFmtId="3" fontId="26" fillId="2" borderId="113" xfId="11" applyNumberFormat="1" applyFont="1" applyFill="1" applyBorder="1" applyAlignment="1">
      <alignment horizontal="right" vertical="center"/>
    </xf>
    <xf numFmtId="0" fontId="54" fillId="15" borderId="75" xfId="35" applyFont="1" applyFill="1" applyBorder="1" applyAlignment="1">
      <alignment vertical="center" wrapText="1"/>
    </xf>
    <xf numFmtId="0" fontId="37" fillId="2" borderId="17" xfId="11" applyFont="1" applyFill="1" applyBorder="1" applyAlignment="1">
      <alignment horizontal="left" vertical="center"/>
    </xf>
    <xf numFmtId="0" fontId="56" fillId="2" borderId="18" xfId="11" applyFont="1" applyFill="1" applyBorder="1" applyAlignment="1">
      <alignment vertical="center"/>
    </xf>
    <xf numFmtId="3" fontId="26" fillId="2" borderId="39" xfId="11" applyNumberFormat="1" applyFont="1" applyFill="1" applyBorder="1" applyAlignment="1">
      <alignment horizontal="right" vertical="center"/>
    </xf>
    <xf numFmtId="0" fontId="11" fillId="15" borderId="73" xfId="39" applyFont="1" applyFill="1" applyBorder="1" applyAlignment="1">
      <alignment vertical="center" wrapText="1"/>
    </xf>
    <xf numFmtId="164" fontId="27" fillId="9" borderId="98" xfId="28" applyNumberFormat="1" applyFont="1" applyFill="1" applyBorder="1" applyAlignment="1">
      <alignment horizontal="center" vertical="center"/>
    </xf>
    <xf numFmtId="0" fontId="27" fillId="9" borderId="99" xfId="28" applyFont="1" applyFill="1" applyBorder="1" applyAlignment="1">
      <alignment horizontal="center" vertical="center"/>
    </xf>
    <xf numFmtId="3" fontId="54" fillId="15" borderId="79" xfId="35" applyNumberFormat="1" applyFont="1" applyFill="1" applyBorder="1" applyAlignment="1">
      <alignment vertical="center" wrapText="1"/>
    </xf>
    <xf numFmtId="3" fontId="54" fillId="15" borderId="114" xfId="35" applyNumberFormat="1" applyFont="1" applyFill="1" applyBorder="1" applyAlignment="1">
      <alignment vertical="center" wrapText="1"/>
    </xf>
    <xf numFmtId="3" fontId="54" fillId="15" borderId="80" xfId="35" applyNumberFormat="1" applyFont="1" applyFill="1" applyBorder="1" applyAlignment="1">
      <alignment vertical="center" wrapText="1"/>
    </xf>
    <xf numFmtId="49" fontId="51" fillId="15" borderId="103" xfId="28" applyNumberFormat="1" applyFont="1" applyFill="1" applyBorder="1" applyAlignment="1">
      <alignment horizontal="center" vertical="center"/>
    </xf>
    <xf numFmtId="0" fontId="51" fillId="15" borderId="73" xfId="39" applyFont="1" applyFill="1" applyBorder="1" applyAlignment="1">
      <alignment horizontal="left" vertical="center" wrapText="1"/>
    </xf>
    <xf numFmtId="3" fontId="51" fillId="15" borderId="101" xfId="39" applyNumberFormat="1" applyFont="1" applyFill="1" applyBorder="1" applyAlignment="1">
      <alignment vertical="center"/>
    </xf>
    <xf numFmtId="0" fontId="54" fillId="15" borderId="73" xfId="39" applyFont="1" applyFill="1" applyBorder="1" applyAlignment="1">
      <alignment vertical="center" wrapText="1"/>
    </xf>
    <xf numFmtId="3" fontId="54" fillId="15" borderId="101" xfId="39" applyNumberFormat="1" applyFont="1" applyFill="1" applyBorder="1" applyAlignment="1">
      <alignment vertical="center"/>
    </xf>
    <xf numFmtId="0" fontId="51" fillId="15" borderId="73" xfId="39" applyFont="1" applyFill="1" applyBorder="1" applyAlignment="1">
      <alignment vertical="center" wrapText="1"/>
    </xf>
    <xf numFmtId="49" fontId="51" fillId="0" borderId="103" xfId="28" applyNumberFormat="1" applyFont="1" applyFill="1" applyBorder="1" applyAlignment="1">
      <alignment horizontal="center" vertical="center"/>
    </xf>
    <xf numFmtId="49" fontId="51" fillId="15" borderId="78" xfId="28" applyNumberFormat="1" applyFont="1" applyFill="1" applyBorder="1" applyAlignment="1">
      <alignment horizontal="center" vertical="center"/>
    </xf>
    <xf numFmtId="0" fontId="51" fillId="15" borderId="75" xfId="39" applyFont="1" applyFill="1" applyBorder="1" applyAlignment="1">
      <alignment horizontal="left" vertical="center" wrapText="1"/>
    </xf>
    <xf numFmtId="3" fontId="51" fillId="15" borderId="115" xfId="39" applyNumberFormat="1" applyFont="1" applyFill="1" applyBorder="1" applyAlignment="1">
      <alignment vertical="center"/>
    </xf>
    <xf numFmtId="0" fontId="67" fillId="9" borderId="116" xfId="28" applyFont="1" applyFill="1" applyBorder="1" applyAlignment="1">
      <alignment horizontal="left" vertical="center" wrapText="1"/>
    </xf>
    <xf numFmtId="0" fontId="67" fillId="9" borderId="117" xfId="28" applyFont="1" applyFill="1" applyBorder="1" applyAlignment="1">
      <alignment horizontal="left" vertical="center" wrapText="1"/>
    </xf>
    <xf numFmtId="3" fontId="67" fillId="9" borderId="117" xfId="28" applyNumberFormat="1" applyFont="1" applyFill="1" applyBorder="1" applyAlignment="1">
      <alignment vertical="center"/>
    </xf>
    <xf numFmtId="3" fontId="67" fillId="9" borderId="118" xfId="28" applyNumberFormat="1" applyFont="1" applyFill="1" applyBorder="1" applyAlignment="1">
      <alignment vertical="center"/>
    </xf>
    <xf numFmtId="0" fontId="11" fillId="15" borderId="75" xfId="39" applyFont="1" applyFill="1" applyBorder="1" applyAlignment="1">
      <alignment vertical="center" wrapText="1"/>
    </xf>
    <xf numFmtId="49" fontId="51" fillId="15" borderId="104" xfId="28" applyNumberFormat="1" applyFont="1" applyFill="1" applyBorder="1" applyAlignment="1">
      <alignment horizontal="center" vertical="center"/>
    </xf>
    <xf numFmtId="0" fontId="51" fillId="15" borderId="76" xfId="39" applyFont="1" applyFill="1" applyBorder="1" applyAlignment="1">
      <alignment horizontal="left" vertical="center" wrapText="1"/>
    </xf>
    <xf numFmtId="0" fontId="11" fillId="15" borderId="76" xfId="39" applyFont="1" applyFill="1" applyBorder="1" applyAlignment="1">
      <alignment vertical="center" wrapText="1"/>
    </xf>
    <xf numFmtId="3" fontId="51" fillId="15" borderId="119" xfId="39" applyNumberFormat="1" applyFont="1" applyFill="1" applyBorder="1" applyAlignment="1">
      <alignment vertical="center"/>
    </xf>
    <xf numFmtId="49" fontId="51" fillId="15" borderId="102" xfId="28" applyNumberFormat="1" applyFont="1" applyFill="1" applyBorder="1" applyAlignment="1">
      <alignment horizontal="center" vertical="center"/>
    </xf>
    <xf numFmtId="0" fontId="51" fillId="15" borderId="102" xfId="39" applyFont="1" applyFill="1" applyBorder="1" applyAlignment="1">
      <alignment horizontal="left" vertical="center" wrapText="1"/>
    </xf>
    <xf numFmtId="0" fontId="11" fillId="15" borderId="102" xfId="39" applyFont="1" applyFill="1" applyBorder="1" applyAlignment="1">
      <alignment vertical="center" wrapText="1"/>
    </xf>
    <xf numFmtId="3" fontId="51" fillId="15" borderId="102" xfId="39" applyNumberFormat="1" applyFont="1" applyFill="1" applyBorder="1" applyAlignment="1">
      <alignment vertical="center"/>
    </xf>
    <xf numFmtId="49" fontId="51" fillId="15" borderId="0" xfId="28" applyNumberFormat="1" applyFont="1" applyFill="1" applyBorder="1" applyAlignment="1">
      <alignment horizontal="center" vertical="center"/>
    </xf>
    <xf numFmtId="0" fontId="51" fillId="15" borderId="0" xfId="39" applyFont="1" applyFill="1" applyBorder="1" applyAlignment="1">
      <alignment horizontal="left" vertical="center" wrapText="1"/>
    </xf>
    <xf numFmtId="0" fontId="11" fillId="15" borderId="0" xfId="39" applyFont="1" applyFill="1" applyBorder="1" applyAlignment="1">
      <alignment vertical="center" wrapText="1"/>
    </xf>
    <xf numFmtId="3" fontId="51" fillId="15" borderId="0" xfId="39" applyNumberFormat="1" applyFont="1" applyFill="1" applyBorder="1" applyAlignment="1">
      <alignment vertical="center"/>
    </xf>
    <xf numFmtId="49" fontId="51" fillId="15" borderId="97" xfId="28" applyNumberFormat="1" applyFont="1" applyFill="1" applyBorder="1" applyAlignment="1">
      <alignment horizontal="center" vertical="center"/>
    </xf>
    <xf numFmtId="0" fontId="51" fillId="15" borderId="97" xfId="39" applyFont="1" applyFill="1" applyBorder="1" applyAlignment="1">
      <alignment horizontal="left" vertical="center" wrapText="1"/>
    </xf>
    <xf numFmtId="0" fontId="11" fillId="15" borderId="97" xfId="39" applyFont="1" applyFill="1" applyBorder="1" applyAlignment="1">
      <alignment vertical="center" wrapText="1"/>
    </xf>
    <xf numFmtId="3" fontId="51" fillId="15" borderId="97" xfId="39" applyNumberFormat="1" applyFont="1" applyFill="1" applyBorder="1" applyAlignment="1">
      <alignment vertical="center"/>
    </xf>
    <xf numFmtId="3" fontId="27" fillId="31" borderId="100" xfId="12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right" vertical="center"/>
    </xf>
    <xf numFmtId="3" fontId="11" fillId="16" borderId="25" xfId="0" applyNumberFormat="1" applyFont="1" applyFill="1" applyBorder="1" applyAlignment="1">
      <alignment horizontal="right" vertical="center"/>
    </xf>
    <xf numFmtId="3" fontId="11" fillId="16" borderId="28" xfId="0" applyNumberFormat="1" applyFont="1" applyFill="1" applyBorder="1" applyAlignment="1">
      <alignment horizontal="right" vertical="center"/>
    </xf>
    <xf numFmtId="0" fontId="26" fillId="2" borderId="17" xfId="0" applyFont="1" applyFill="1" applyBorder="1" applyAlignment="1">
      <alignment vertical="center"/>
    </xf>
    <xf numFmtId="3" fontId="26" fillId="2" borderId="39" xfId="0" applyNumberFormat="1" applyFont="1" applyFill="1" applyBorder="1" applyAlignment="1">
      <alignment horizontal="right" vertical="center"/>
    </xf>
    <xf numFmtId="0" fontId="27" fillId="2" borderId="62" xfId="12" applyFont="1" applyFill="1" applyBorder="1" applyAlignment="1">
      <alignment horizontal="center" vertical="center" wrapText="1"/>
    </xf>
    <xf numFmtId="0" fontId="11" fillId="0" borderId="5" xfId="12" applyFont="1" applyBorder="1" applyAlignment="1">
      <alignment horizontal="center" vertical="center" wrapText="1"/>
    </xf>
    <xf numFmtId="0" fontId="11" fillId="0" borderId="6" xfId="12" applyFont="1" applyBorder="1" applyAlignment="1">
      <alignment vertical="center" wrapText="1"/>
    </xf>
    <xf numFmtId="0" fontId="11" fillId="0" borderId="6" xfId="12" applyFont="1" applyBorder="1" applyAlignment="1">
      <alignment horizontal="left" vertical="center" wrapText="1"/>
    </xf>
    <xf numFmtId="49" fontId="11" fillId="0" borderId="6" xfId="12" applyNumberFormat="1" applyFont="1" applyBorder="1" applyAlignment="1">
      <alignment vertical="center" wrapText="1"/>
    </xf>
    <xf numFmtId="0" fontId="54" fillId="0" borderId="6" xfId="34" applyFont="1" applyBorder="1" applyAlignment="1">
      <alignment vertical="center" wrapText="1"/>
    </xf>
    <xf numFmtId="0" fontId="54" fillId="0" borderId="6" xfId="34" applyFont="1" applyBorder="1" applyAlignment="1">
      <alignment horizontal="left" vertical="center" wrapText="1"/>
    </xf>
    <xf numFmtId="0" fontId="54" fillId="15" borderId="25" xfId="34" applyFont="1" applyFill="1" applyBorder="1" applyAlignment="1">
      <alignment horizontal="center" vertical="center"/>
    </xf>
    <xf numFmtId="49" fontId="54" fillId="0" borderId="6" xfId="34" applyNumberFormat="1" applyFont="1" applyBorder="1" applyAlignment="1">
      <alignment vertical="center" wrapText="1"/>
    </xf>
    <xf numFmtId="49" fontId="57" fillId="0" borderId="6" xfId="34" applyNumberFormat="1" applyFont="1" applyBorder="1" applyAlignment="1">
      <alignment vertical="center" wrapText="1"/>
    </xf>
    <xf numFmtId="0" fontId="57" fillId="0" borderId="6" xfId="34" applyFont="1" applyBorder="1" applyAlignment="1">
      <alignment vertical="center" wrapText="1"/>
    </xf>
    <xf numFmtId="0" fontId="11" fillId="0" borderId="13" xfId="12" applyFont="1" applyBorder="1" applyAlignment="1">
      <alignment horizontal="center" vertical="center" wrapText="1"/>
    </xf>
    <xf numFmtId="0" fontId="57" fillId="0" borderId="14" xfId="34" applyFont="1" applyBorder="1" applyAlignment="1">
      <alignment vertical="center" wrapText="1"/>
    </xf>
    <xf numFmtId="49" fontId="54" fillId="0" borderId="14" xfId="34" applyNumberFormat="1" applyFont="1" applyBorder="1" applyAlignment="1">
      <alignment vertical="center" wrapText="1"/>
    </xf>
    <xf numFmtId="0" fontId="54" fillId="15" borderId="28" xfId="34" applyFont="1" applyFill="1" applyBorder="1" applyAlignment="1">
      <alignment horizontal="center" vertical="center"/>
    </xf>
    <xf numFmtId="0" fontId="26" fillId="2" borderId="17" xfId="12" applyFont="1" applyFill="1" applyBorder="1" applyAlignment="1">
      <alignment horizontal="left" vertical="center"/>
    </xf>
    <xf numFmtId="3" fontId="26" fillId="2" borderId="39" xfId="12" applyNumberFormat="1" applyFont="1" applyFill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/>
    </xf>
    <xf numFmtId="49" fontId="42" fillId="0" borderId="14" xfId="12" applyNumberFormat="1" applyFont="1" applyBorder="1" applyAlignment="1">
      <alignment horizontal="left" vertical="center" wrapText="1"/>
    </xf>
    <xf numFmtId="3" fontId="11" fillId="16" borderId="28" xfId="12" applyNumberFormat="1" applyFont="1" applyFill="1" applyBorder="1" applyAlignment="1">
      <alignment vertical="center" wrapText="1"/>
    </xf>
    <xf numFmtId="3" fontId="26" fillId="2" borderId="39" xfId="12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 horizontal="center" vertical="center" wrapText="1"/>
    </xf>
    <xf numFmtId="170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0" fontId="68" fillId="29" borderId="73" xfId="0" applyFont="1" applyFill="1" applyBorder="1" applyAlignment="1">
      <alignment horizontal="center" vertical="center"/>
    </xf>
    <xf numFmtId="4" fontId="68" fillId="29" borderId="73" xfId="0" applyNumberFormat="1" applyFont="1" applyFill="1" applyBorder="1" applyAlignment="1">
      <alignment horizontal="center" vertical="center" wrapText="1"/>
    </xf>
    <xf numFmtId="4" fontId="68" fillId="29" borderId="73" xfId="0" applyNumberFormat="1" applyFont="1" applyFill="1" applyBorder="1" applyAlignment="1">
      <alignment horizontal="center" vertical="center"/>
    </xf>
    <xf numFmtId="0" fontId="63" fillId="0" borderId="73" xfId="0" applyFont="1" applyBorder="1" applyAlignment="1">
      <alignment horizontal="center"/>
    </xf>
    <xf numFmtId="14" fontId="63" fillId="0" borderId="73" xfId="0" applyNumberFormat="1" applyFont="1" applyBorder="1" applyAlignment="1">
      <alignment horizontal="center"/>
    </xf>
    <xf numFmtId="4" fontId="63" fillId="0" borderId="73" xfId="0" applyNumberFormat="1" applyFont="1" applyBorder="1" applyAlignment="1">
      <alignment horizontal="center"/>
    </xf>
    <xf numFmtId="168" fontId="63" fillId="0" borderId="73" xfId="0" applyNumberFormat="1" applyFont="1" applyBorder="1" applyAlignment="1">
      <alignment horizontal="center"/>
    </xf>
    <xf numFmtId="169" fontId="63" fillId="0" borderId="73" xfId="0" applyNumberFormat="1" applyFont="1" applyBorder="1" applyAlignment="1">
      <alignment horizontal="center"/>
    </xf>
    <xf numFmtId="170" fontId="63" fillId="0" borderId="73" xfId="0" applyNumberFormat="1" applyFont="1" applyBorder="1" applyAlignment="1">
      <alignment horizontal="center"/>
    </xf>
    <xf numFmtId="49" fontId="63" fillId="0" borderId="73" xfId="0" applyNumberFormat="1" applyFont="1" applyBorder="1" applyAlignment="1">
      <alignment horizontal="center"/>
    </xf>
    <xf numFmtId="171" fontId="63" fillId="0" borderId="73" xfId="0" applyNumberFormat="1" applyFont="1" applyBorder="1" applyAlignment="1">
      <alignment horizontal="center"/>
    </xf>
    <xf numFmtId="14" fontId="63" fillId="0" borderId="73" xfId="0" applyNumberFormat="1" applyFont="1" applyBorder="1" applyAlignment="1">
      <alignment horizontal="center" vertical="center"/>
    </xf>
    <xf numFmtId="170" fontId="63" fillId="0" borderId="73" xfId="0" applyNumberFormat="1" applyFont="1" applyBorder="1" applyAlignment="1">
      <alignment horizontal="center" vertical="center"/>
    </xf>
    <xf numFmtId="49" fontId="63" fillId="0" borderId="73" xfId="0" applyNumberFormat="1" applyFont="1" applyBorder="1" applyAlignment="1">
      <alignment horizontal="center" vertical="center"/>
    </xf>
    <xf numFmtId="4" fontId="63" fillId="0" borderId="7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3" fontId="15" fillId="2" borderId="25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1" fillId="0" borderId="5" xfId="0" applyFont="1" applyFill="1" applyBorder="1"/>
    <xf numFmtId="0" fontId="18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/>
    </xf>
    <xf numFmtId="0" fontId="20" fillId="0" borderId="5" xfId="0" applyFont="1" applyFill="1" applyBorder="1" applyAlignment="1" applyProtection="1">
      <alignment horizontal="left"/>
      <protection locked="0"/>
    </xf>
    <xf numFmtId="0" fontId="20" fillId="0" borderId="63" xfId="0" applyFont="1" applyFill="1" applyBorder="1" applyAlignment="1">
      <alignment horizontal="left" wrapText="1"/>
    </xf>
    <xf numFmtId="0" fontId="20" fillId="0" borderId="58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left"/>
    </xf>
    <xf numFmtId="3" fontId="20" fillId="0" borderId="5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26" fillId="2" borderId="40" xfId="0" applyFont="1" applyFill="1" applyBorder="1" applyAlignment="1">
      <alignment vertical="center"/>
    </xf>
    <xf numFmtId="0" fontId="16" fillId="5" borderId="9" xfId="0" applyFont="1" applyFill="1" applyBorder="1" applyAlignment="1">
      <alignment horizontal="left"/>
    </xf>
    <xf numFmtId="0" fontId="15" fillId="2" borderId="17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5" fillId="2" borderId="4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27" fillId="2" borderId="32" xfId="2" applyFont="1" applyFill="1" applyBorder="1" applyAlignment="1">
      <alignment horizontal="center" vertical="center" wrapText="1"/>
    </xf>
    <xf numFmtId="0" fontId="27" fillId="2" borderId="81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7" fillId="2" borderId="3" xfId="2" applyFont="1" applyFill="1" applyBorder="1" applyAlignment="1">
      <alignment horizontal="center" vertical="center"/>
    </xf>
    <xf numFmtId="0" fontId="27" fillId="2" borderId="108" xfId="2" applyFont="1" applyFill="1" applyBorder="1" applyAlignment="1">
      <alignment horizontal="center" vertical="center"/>
    </xf>
    <xf numFmtId="0" fontId="27" fillId="2" borderId="109" xfId="2" applyFont="1" applyFill="1" applyBorder="1" applyAlignment="1">
      <alignment horizontal="center" vertical="center"/>
    </xf>
    <xf numFmtId="0" fontId="27" fillId="18" borderId="25" xfId="2" applyFont="1" applyFill="1" applyBorder="1" applyAlignment="1">
      <alignment horizontal="center" vertical="center"/>
    </xf>
    <xf numFmtId="0" fontId="27" fillId="18" borderId="28" xfId="2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27" fillId="18" borderId="1" xfId="2" applyFont="1" applyFill="1" applyBorder="1" applyAlignment="1">
      <alignment horizontal="left" vertical="center" wrapText="1"/>
    </xf>
    <xf numFmtId="0" fontId="27" fillId="18" borderId="5" xfId="2" applyFont="1" applyFill="1" applyBorder="1" applyAlignment="1">
      <alignment horizontal="left" vertical="center" wrapText="1"/>
    </xf>
    <xf numFmtId="0" fontId="27" fillId="18" borderId="49" xfId="2" applyFont="1" applyFill="1" applyBorder="1" applyAlignment="1">
      <alignment horizontal="left" vertical="center" wrapText="1"/>
    </xf>
    <xf numFmtId="0" fontId="27" fillId="18" borderId="2" xfId="2" applyFont="1" applyFill="1" applyBorder="1" applyAlignment="1">
      <alignment horizontal="center" vertical="center" wrapText="1"/>
    </xf>
    <xf numFmtId="0" fontId="27" fillId="18" borderId="6" xfId="2" applyFont="1" applyFill="1" applyBorder="1" applyAlignment="1">
      <alignment horizontal="center" vertical="center" wrapText="1"/>
    </xf>
    <xf numFmtId="0" fontId="27" fillId="18" borderId="50" xfId="2" applyFont="1" applyFill="1" applyBorder="1" applyAlignment="1">
      <alignment horizontal="center" vertical="center" wrapText="1"/>
    </xf>
    <xf numFmtId="0" fontId="27" fillId="18" borderId="6" xfId="2" applyFont="1" applyFill="1" applyBorder="1" applyAlignment="1">
      <alignment horizontal="center" vertical="center"/>
    </xf>
    <xf numFmtId="0" fontId="27" fillId="18" borderId="14" xfId="2" applyFont="1" applyFill="1" applyBorder="1" applyAlignment="1">
      <alignment horizontal="center" vertical="center"/>
    </xf>
    <xf numFmtId="0" fontId="55" fillId="19" borderId="3" xfId="2" applyFont="1" applyFill="1" applyBorder="1" applyAlignment="1">
      <alignment horizontal="center"/>
    </xf>
    <xf numFmtId="0" fontId="55" fillId="19" borderId="108" xfId="2" applyFont="1" applyFill="1" applyBorder="1" applyAlignment="1">
      <alignment horizontal="center"/>
    </xf>
    <xf numFmtId="0" fontId="55" fillId="19" borderId="109" xfId="2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5" fillId="2" borderId="10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/>
    </xf>
    <xf numFmtId="0" fontId="27" fillId="2" borderId="5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/>
    <xf numFmtId="0" fontId="27" fillId="2" borderId="10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left" vertical="center" wrapText="1"/>
    </xf>
    <xf numFmtId="0" fontId="13" fillId="0" borderId="0" xfId="38" applyFont="1" applyAlignment="1">
      <alignment horizontal="center"/>
    </xf>
    <xf numFmtId="0" fontId="19" fillId="3" borderId="5" xfId="38" applyFont="1" applyFill="1" applyBorder="1" applyAlignment="1">
      <alignment horizontal="center" vertical="center"/>
    </xf>
    <xf numFmtId="0" fontId="16" fillId="3" borderId="5" xfId="38" applyFont="1" applyFill="1" applyBorder="1" applyAlignment="1">
      <alignment horizontal="center" vertical="center"/>
    </xf>
    <xf numFmtId="0" fontId="2" fillId="0" borderId="0" xfId="38"/>
    <xf numFmtId="0" fontId="33" fillId="2" borderId="34" xfId="38" applyFont="1" applyFill="1" applyBorder="1" applyAlignment="1">
      <alignment vertical="center"/>
    </xf>
    <xf numFmtId="0" fontId="12" fillId="0" borderId="0" xfId="0" applyFont="1"/>
    <xf numFmtId="0" fontId="34" fillId="0" borderId="0" xfId="0" applyFont="1" applyAlignment="1">
      <alignment horizontal="center"/>
    </xf>
    <xf numFmtId="0" fontId="13" fillId="0" borderId="0" xfId="11" applyFont="1" applyFill="1" applyAlignment="1">
      <alignment horizontal="center" vertical="center" wrapText="1"/>
    </xf>
    <xf numFmtId="0" fontId="13" fillId="0" borderId="0" xfId="11" applyFont="1" applyAlignment="1">
      <alignment horizontal="center" vertical="center"/>
    </xf>
    <xf numFmtId="0" fontId="36" fillId="6" borderId="0" xfId="11" applyFont="1" applyFill="1" applyAlignment="1">
      <alignment horizontal="left" vertical="center"/>
    </xf>
    <xf numFmtId="0" fontId="0" fillId="0" borderId="0" xfId="0"/>
    <xf numFmtId="3" fontId="7" fillId="0" borderId="0" xfId="28" applyNumberFormat="1" applyAlignment="1">
      <alignment horizontal="right"/>
    </xf>
    <xf numFmtId="0" fontId="7" fillId="0" borderId="0" xfId="28" applyAlignment="1"/>
    <xf numFmtId="0" fontId="38" fillId="0" borderId="0" xfId="28" applyFont="1" applyAlignment="1">
      <alignment horizontal="center"/>
    </xf>
    <xf numFmtId="0" fontId="41" fillId="0" borderId="0" xfId="0" applyFont="1" applyAlignment="1">
      <alignment horizontal="center"/>
    </xf>
    <xf numFmtId="0" fontId="26" fillId="2" borderId="18" xfId="0" applyFont="1" applyFill="1" applyBorder="1" applyAlignment="1">
      <alignment vertical="center"/>
    </xf>
    <xf numFmtId="0" fontId="41" fillId="0" borderId="0" xfId="12" applyFont="1" applyFill="1" applyAlignment="1">
      <alignment horizontal="center" vertical="center"/>
    </xf>
    <xf numFmtId="0" fontId="26" fillId="2" borderId="18" xfId="12" applyFont="1" applyFill="1" applyBorder="1" applyAlignment="1">
      <alignment horizontal="left" vertical="center"/>
    </xf>
    <xf numFmtId="0" fontId="41" fillId="0" borderId="0" xfId="12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63" fillId="0" borderId="73" xfId="0" applyFont="1" applyBorder="1" applyAlignment="1">
      <alignment horizontal="center" vertical="center" wrapText="1"/>
    </xf>
    <xf numFmtId="4" fontId="63" fillId="0" borderId="73" xfId="0" applyNumberFormat="1" applyFont="1" applyBorder="1" applyAlignment="1">
      <alignment horizontal="center" vertical="center" wrapText="1"/>
    </xf>
    <xf numFmtId="4" fontId="63" fillId="0" borderId="73" xfId="0" applyNumberFormat="1" applyFont="1" applyBorder="1" applyAlignment="1">
      <alignment horizontal="right" vertical="center"/>
    </xf>
    <xf numFmtId="4" fontId="63" fillId="0" borderId="73" xfId="0" applyNumberFormat="1" applyFont="1" applyBorder="1" applyAlignment="1">
      <alignment horizontal="center" vertical="center"/>
    </xf>
    <xf numFmtId="14" fontId="63" fillId="0" borderId="73" xfId="0" applyNumberFormat="1" applyFont="1" applyBorder="1" applyAlignment="1">
      <alignment horizontal="center" vertical="center"/>
    </xf>
    <xf numFmtId="4" fontId="63" fillId="15" borderId="73" xfId="0" applyNumberFormat="1" applyFont="1" applyFill="1" applyBorder="1" applyAlignment="1">
      <alignment horizontal="center" vertical="center"/>
    </xf>
    <xf numFmtId="0" fontId="68" fillId="29" borderId="73" xfId="0" applyFont="1" applyFill="1" applyBorder="1" applyAlignment="1">
      <alignment horizontal="center" vertical="center"/>
    </xf>
    <xf numFmtId="4" fontId="68" fillId="29" borderId="73" xfId="0" applyNumberFormat="1" applyFont="1" applyFill="1" applyBorder="1" applyAlignment="1">
      <alignment horizontal="center" vertical="center" wrapText="1"/>
    </xf>
    <xf numFmtId="4" fontId="68" fillId="29" borderId="73" xfId="0" applyNumberFormat="1" applyFont="1" applyFill="1" applyBorder="1" applyAlignment="1">
      <alignment horizontal="center" vertical="center"/>
    </xf>
    <xf numFmtId="14" fontId="68" fillId="29" borderId="73" xfId="0" applyNumberFormat="1" applyFont="1" applyFill="1" applyBorder="1" applyAlignment="1">
      <alignment horizontal="center" vertical="center" wrapText="1"/>
    </xf>
    <xf numFmtId="4" fontId="63" fillId="0" borderId="73" xfId="0" applyNumberFormat="1" applyFont="1" applyBorder="1" applyAlignment="1">
      <alignment horizontal="right" vertical="center" wrapText="1"/>
    </xf>
    <xf numFmtId="0" fontId="63" fillId="0" borderId="73" xfId="0" applyFont="1" applyBorder="1" applyAlignment="1">
      <alignment horizontal="left" vertical="center" wrapText="1"/>
    </xf>
    <xf numFmtId="4" fontId="63" fillId="0" borderId="73" xfId="0" applyNumberFormat="1" applyFont="1" applyBorder="1" applyAlignment="1">
      <alignment vertical="center"/>
    </xf>
    <xf numFmtId="49" fontId="63" fillId="0" borderId="73" xfId="0" applyNumberFormat="1" applyFont="1" applyBorder="1" applyAlignment="1">
      <alignment horizontal="center" vertical="center"/>
    </xf>
    <xf numFmtId="0" fontId="63" fillId="0" borderId="73" xfId="0" applyFont="1" applyBorder="1" applyAlignment="1">
      <alignment horizontal="left" vertical="center"/>
    </xf>
    <xf numFmtId="0" fontId="62" fillId="0" borderId="0" xfId="0" applyFont="1" applyBorder="1" applyAlignment="1">
      <alignment horizontal="center" wrapText="1"/>
    </xf>
    <xf numFmtId="0" fontId="68" fillId="29" borderId="73" xfId="0" applyFont="1" applyFill="1" applyBorder="1" applyAlignment="1">
      <alignment horizontal="center" vertical="center" wrapText="1"/>
    </xf>
    <xf numFmtId="0" fontId="62" fillId="28" borderId="74" xfId="0" applyFont="1" applyFill="1" applyBorder="1" applyAlignment="1">
      <alignment horizontal="left"/>
    </xf>
    <xf numFmtId="0" fontId="62" fillId="28" borderId="120" xfId="0" applyFont="1" applyFill="1" applyBorder="1" applyAlignment="1">
      <alignment horizontal="left"/>
    </xf>
    <xf numFmtId="0" fontId="62" fillId="28" borderId="121" xfId="0" applyFont="1" applyFill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19" fillId="3" borderId="6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top" wrapText="1"/>
    </xf>
    <xf numFmtId="0" fontId="19" fillId="3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2" borderId="1" xfId="0" applyFill="1" applyBorder="1"/>
    <xf numFmtId="0" fontId="3" fillId="0" borderId="0" xfId="36"/>
    <xf numFmtId="0" fontId="13" fillId="0" borderId="0" xfId="36" applyFont="1" applyAlignment="1">
      <alignment horizontal="center"/>
    </xf>
    <xf numFmtId="0" fontId="54" fillId="2" borderId="40" xfId="36" applyFont="1" applyFill="1" applyBorder="1"/>
    <xf numFmtId="0" fontId="23" fillId="2" borderId="51" xfId="2" applyFont="1" applyFill="1" applyBorder="1" applyAlignment="1">
      <alignment horizontal="center" vertical="center" wrapText="1"/>
    </xf>
    <xf numFmtId="0" fontId="23" fillId="2" borderId="52" xfId="2" applyFont="1" applyFill="1" applyBorder="1" applyAlignment="1">
      <alignment horizontal="center" vertical="center" wrapText="1"/>
    </xf>
    <xf numFmtId="0" fontId="51" fillId="0" borderId="0" xfId="37" applyFont="1"/>
    <xf numFmtId="0" fontId="51" fillId="27" borderId="0" xfId="37" applyFont="1" applyFill="1" applyAlignment="1">
      <alignment horizontal="left"/>
    </xf>
    <xf numFmtId="0" fontId="11" fillId="0" borderId="0" xfId="37" applyFont="1" applyAlignment="1">
      <alignment wrapText="1"/>
    </xf>
    <xf numFmtId="0" fontId="51" fillId="0" borderId="0" xfId="37" applyFont="1" applyAlignment="1">
      <alignment horizontal="left"/>
    </xf>
    <xf numFmtId="0" fontId="3" fillId="0" borderId="0" xfId="37"/>
    <xf numFmtId="0" fontId="16" fillId="0" borderId="61" xfId="37" applyFont="1" applyBorder="1" applyAlignment="1">
      <alignment horizontal="right"/>
    </xf>
    <xf numFmtId="0" fontId="59" fillId="20" borderId="70" xfId="37" applyFont="1" applyFill="1" applyBorder="1" applyAlignment="1">
      <alignment horizontal="center"/>
    </xf>
    <xf numFmtId="0" fontId="3" fillId="0" borderId="71" xfId="37" applyBorder="1"/>
    <xf numFmtId="0" fontId="48" fillId="0" borderId="70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Excel Built-in Normal" xfId="1" xr:uid="{00000000-0005-0000-0000-000000000000}"/>
    <cellStyle name="Excel Built-in Normal 1" xfId="2" xr:uid="{00000000-0005-0000-0000-000001000000}"/>
    <cellStyle name="Normálna" xfId="0" builtinId="0" customBuiltin="1"/>
    <cellStyle name="Normálna 10" xfId="3" xr:uid="{00000000-0005-0000-0000-000002000000}"/>
    <cellStyle name="Normálna 11" xfId="26" xr:uid="{00000000-0005-0000-0000-000003000000}"/>
    <cellStyle name="Normálna 11 2" xfId="31" xr:uid="{C99B6DC4-8A46-4F52-8B57-6BC77BEA40A9}"/>
    <cellStyle name="Normálna 12" xfId="27" xr:uid="{00000000-0005-0000-0000-000004000000}"/>
    <cellStyle name="Normálna 12 2" xfId="33" xr:uid="{F76B0DB6-DE57-4FB6-A380-38D9C8053ADB}"/>
    <cellStyle name="Normálna 12 3" xfId="35" xr:uid="{53BDB5A8-E057-41E5-8C19-BA944CC18181}"/>
    <cellStyle name="Normálna 13" xfId="28" xr:uid="{00000000-0005-0000-0000-000005000000}"/>
    <cellStyle name="Normálna 13 2" xfId="32" xr:uid="{B7244BA8-F247-498E-ADE2-E6227A7321F5}"/>
    <cellStyle name="Normálna 14" xfId="29" xr:uid="{00000000-0005-0000-0000-000006000000}"/>
    <cellStyle name="Normálna 14 2" xfId="37" xr:uid="{CD9F5E34-AE75-429D-8E4C-EA3DF7427BD4}"/>
    <cellStyle name="Normálna 15" xfId="30" xr:uid="{615BB169-64E3-4092-AAFD-954A29086734}"/>
    <cellStyle name="Normálna 16" xfId="34" xr:uid="{9B70B4CE-FF5F-4D81-8430-FB0FCE99C7AD}"/>
    <cellStyle name="Normálna 17" xfId="36" xr:uid="{2C1FE4FB-F292-4FB3-AD4C-E1E3C80D4675}"/>
    <cellStyle name="Normálna 18" xfId="38" xr:uid="{47CD9248-9CB7-4997-9E44-F50CA93712B4}"/>
    <cellStyle name="Normálna 19" xfId="39" xr:uid="{F4DC07EE-CB9E-4E25-A3A5-ED9446A66BB6}"/>
    <cellStyle name="Normálna 2" xfId="4" xr:uid="{00000000-0005-0000-0000-000007000000}"/>
    <cellStyle name="Normálna 2 2" xfId="40" xr:uid="{64231CB5-8033-4EED-838E-5733A807E390}"/>
    <cellStyle name="Normálna 3" xfId="5" xr:uid="{00000000-0005-0000-0000-000008000000}"/>
    <cellStyle name="Normálna 3 2" xfId="6" xr:uid="{00000000-0005-0000-0000-000009000000}"/>
    <cellStyle name="Normálna 3 3" xfId="7" xr:uid="{00000000-0005-0000-0000-00000A000000}"/>
    <cellStyle name="Normálna 4" xfId="8" xr:uid="{00000000-0005-0000-0000-00000B000000}"/>
    <cellStyle name="Normálna 5" xfId="9" xr:uid="{00000000-0005-0000-0000-00000C000000}"/>
    <cellStyle name="Normálna 6" xfId="10" xr:uid="{00000000-0005-0000-0000-00000D000000}"/>
    <cellStyle name="Normálna 7" xfId="11" xr:uid="{00000000-0005-0000-0000-00000E000000}"/>
    <cellStyle name="Normálna 8" xfId="12" xr:uid="{00000000-0005-0000-0000-00000F000000}"/>
    <cellStyle name="Normálna 9" xfId="13" xr:uid="{00000000-0005-0000-0000-000010000000}"/>
    <cellStyle name="normálne 2" xfId="14" xr:uid="{00000000-0005-0000-0000-000012000000}"/>
    <cellStyle name="normálne 2 2" xfId="15" xr:uid="{00000000-0005-0000-0000-000013000000}"/>
    <cellStyle name="normálne 2 2 2" xfId="16" xr:uid="{00000000-0005-0000-0000-000014000000}"/>
    <cellStyle name="normálne 2 2 2 2" xfId="17" xr:uid="{00000000-0005-0000-0000-000015000000}"/>
    <cellStyle name="normálne 2 2 2 3" xfId="18" xr:uid="{00000000-0005-0000-0000-000016000000}"/>
    <cellStyle name="normálne 2 2 3" xfId="19" xr:uid="{00000000-0005-0000-0000-000017000000}"/>
    <cellStyle name="normálne 2 2 4" xfId="20" xr:uid="{00000000-0005-0000-0000-000018000000}"/>
    <cellStyle name="normálne 2 3" xfId="21" xr:uid="{00000000-0005-0000-0000-000019000000}"/>
    <cellStyle name="normálne 2 4" xfId="22" xr:uid="{00000000-0005-0000-0000-00001A000000}"/>
    <cellStyle name="Normálne 2 5" xfId="41" xr:uid="{87C0D2E2-9EC0-4FF4-A1D3-D34556C7302A}"/>
    <cellStyle name="Normálne 2 6" xfId="43" xr:uid="{5D7B5AEE-5122-4523-8563-D45902C8A199}"/>
    <cellStyle name="Normálne 2 7" xfId="45" xr:uid="{8B57D4F4-C6D7-405E-9DDD-CC3C8D7EBE01}"/>
    <cellStyle name="normálne 3" xfId="23" xr:uid="{00000000-0005-0000-0000-00001B000000}"/>
    <cellStyle name="normálne 3 2" xfId="24" xr:uid="{00000000-0005-0000-0000-00001C000000}"/>
    <cellStyle name="normálne 3 3" xfId="25" xr:uid="{00000000-0005-0000-0000-00001D000000}"/>
    <cellStyle name="Normálne 3 4" xfId="42" xr:uid="{43BF8765-F3DE-4777-AE79-BA07702FEA76}"/>
    <cellStyle name="Normálne 3 5" xfId="44" xr:uid="{477C9CBC-EC7F-41E2-A0B7-74D504C6682B}"/>
    <cellStyle name="Normálne 3 6" xfId="46" xr:uid="{82B2E588-C5B5-47C9-8319-43128496CB6E}"/>
  </cellStyles>
  <dxfs count="0"/>
  <tableStyles count="0" defaultTableStyle="TableStyleMedium2" defaultPivotStyle="PivotStyleLight16"/>
  <colors>
    <mruColors>
      <color rgb="FF1F4E78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1800" b="1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Vývoj dlhovej služby Mesta Trenčín  </a:t>
            </a:r>
            <a:b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</a:b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  rokoch 2014 - 2020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sk-SK" sz="1800" b="1" i="0" u="none" strike="noStrike" kern="1200" baseline="0">
              <a:solidFill>
                <a:srgbClr val="404040"/>
              </a:solidFill>
              <a:latin typeface="Calibri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Vývoj_dlhovej_služby!$C$8:$I$8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Vývoj_dlhovej_služby!$C$11:$I$11</c:f>
              <c:numCache>
                <c:formatCode>#,##0</c:formatCode>
                <c:ptCount val="7"/>
                <c:pt idx="0">
                  <c:v>16598</c:v>
                </c:pt>
                <c:pt idx="1">
                  <c:v>14037</c:v>
                </c:pt>
                <c:pt idx="2">
                  <c:v>12053</c:v>
                </c:pt>
                <c:pt idx="3">
                  <c:v>12394</c:v>
                </c:pt>
                <c:pt idx="4">
                  <c:v>13381</c:v>
                </c:pt>
                <c:pt idx="5">
                  <c:v>12837</c:v>
                </c:pt>
                <c:pt idx="6">
                  <c:v>13686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8-4F0F-A770-B95BA199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39008"/>
        <c:axId val="94937472"/>
      </c:areaChart>
      <c:valAx>
        <c:axId val="9493747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BFBFBF">
                  <a:alpha val="36000"/>
                </a:srgb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900" b="0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sk-SK"/>
          </a:p>
        </c:txPr>
        <c:crossAx val="94939008"/>
        <c:crosses val="autoZero"/>
        <c:crossBetween val="midCat"/>
      </c:valAx>
      <c:catAx>
        <c:axId val="949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46" cap="flat" cmpd="sng" algn="ctr">
            <a:solidFill>
              <a:srgbClr val="404040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900" b="0" i="0" u="none" strike="noStrike" kern="1200" cap="all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sk-SK"/>
          </a:p>
        </c:txPr>
        <c:crossAx val="94937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rgbClr val="FFFFFF"/>
        </a:gs>
        <a:gs pos="100000">
          <a:srgbClr val="FFFFFF"/>
        </a:gs>
      </a:gsLst>
      <a:path path="circle">
        <a:fillToRect l="50000" t="-80000" r="50000" b="180000"/>
      </a:path>
    </a:gradFill>
    <a:ln w="9528" cap="flat" cmpd="sng" algn="ctr">
      <a:solidFill>
        <a:srgbClr val="BFBFBF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sk-SK" sz="900" b="0" i="0" u="none" strike="noStrike" kern="1200" baseline="0">
          <a:solidFill>
            <a:srgbClr val="000000"/>
          </a:solidFill>
          <a:latin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21</xdr:row>
      <xdr:rowOff>0</xdr:rowOff>
    </xdr:from>
    <xdr:ext cx="184727" cy="937625"/>
    <xdr:sp macro="" textlink="">
      <xdr:nvSpPr>
        <xdr:cNvPr id="3" name="Obdĺžnik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34</xdr:row>
      <xdr:rowOff>0</xdr:rowOff>
    </xdr:from>
    <xdr:ext cx="184727" cy="937625"/>
    <xdr:sp macro="" textlink="">
      <xdr:nvSpPr>
        <xdr:cNvPr id="7" name="Obdĺžnik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0</xdr:rowOff>
    </xdr:from>
    <xdr:ext cx="184727" cy="937625"/>
    <xdr:sp macro="" textlink="">
      <xdr:nvSpPr>
        <xdr:cNvPr id="6" name="Obdĺžnik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26</xdr:row>
      <xdr:rowOff>2670</xdr:rowOff>
    </xdr:from>
    <xdr:ext cx="184727" cy="937625"/>
    <xdr:sp macro="" textlink="">
      <xdr:nvSpPr>
        <xdr:cNvPr id="5" name="Obdĺžni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0</xdr:rowOff>
    </xdr:from>
    <xdr:ext cx="184727" cy="937625"/>
    <xdr:sp macro="" textlink="">
      <xdr:nvSpPr>
        <xdr:cNvPr id="9" name="Obdĺžnik 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24</xdr:row>
      <xdr:rowOff>2670</xdr:rowOff>
    </xdr:from>
    <xdr:ext cx="184727" cy="937625"/>
    <xdr:sp macro="" textlink="">
      <xdr:nvSpPr>
        <xdr:cNvPr id="4" name="Obdĺžnik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32</xdr:row>
      <xdr:rowOff>0</xdr:rowOff>
    </xdr:from>
    <xdr:ext cx="184727" cy="937625"/>
    <xdr:sp macro="" textlink="">
      <xdr:nvSpPr>
        <xdr:cNvPr id="8" name="Obdĺžnik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24</xdr:row>
      <xdr:rowOff>95253</xdr:rowOff>
    </xdr:from>
    <xdr:ext cx="5648325" cy="2928932"/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L23"/>
  <sheetViews>
    <sheetView tabSelected="1" workbookViewId="0"/>
  </sheetViews>
  <sheetFormatPr defaultRowHeight="14.25" x14ac:dyDescent="0.2"/>
  <cols>
    <col min="1" max="1" width="1.85546875" style="1" customWidth="1"/>
    <col min="2" max="2" width="5.140625" style="1" customWidth="1"/>
    <col min="3" max="3" width="36.7109375" style="1" bestFit="1" customWidth="1"/>
    <col min="4" max="4" width="12.42578125" style="1" bestFit="1" customWidth="1"/>
    <col min="5" max="5" width="11.28515625" style="1" customWidth="1"/>
    <col min="6" max="6" width="8.42578125" style="1" bestFit="1" customWidth="1"/>
    <col min="7" max="7" width="10.140625" style="1" bestFit="1" customWidth="1"/>
    <col min="8" max="8" width="12.140625" style="1" customWidth="1"/>
    <col min="9" max="9" width="11.28515625" style="1" bestFit="1" customWidth="1"/>
    <col min="10" max="10" width="10.7109375" style="1" customWidth="1"/>
    <col min="11" max="11" width="10.28515625" style="1" customWidth="1"/>
    <col min="12" max="12" width="14" style="1" customWidth="1"/>
    <col min="13" max="13" width="9.140625" style="1" customWidth="1"/>
    <col min="14" max="16384" width="9.140625" style="1"/>
  </cols>
  <sheetData>
    <row r="3" spans="2:12" ht="18.75" customHeight="1" x14ac:dyDescent="0.25">
      <c r="C3" s="813" t="s">
        <v>881</v>
      </c>
      <c r="D3" s="813"/>
      <c r="E3" s="813"/>
      <c r="F3" s="813"/>
      <c r="G3" s="813"/>
      <c r="H3" s="813"/>
      <c r="I3" s="813"/>
      <c r="J3" s="813"/>
      <c r="K3" s="813"/>
    </row>
    <row r="4" spans="2:12" ht="15" thickBot="1" x14ac:dyDescent="0.25"/>
    <row r="5" spans="2:12" ht="45" x14ac:dyDescent="0.2">
      <c r="B5" s="2"/>
      <c r="C5" s="3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5" t="s">
        <v>8</v>
      </c>
      <c r="L5" s="6" t="s">
        <v>9</v>
      </c>
    </row>
    <row r="6" spans="2:12" ht="15" x14ac:dyDescent="0.25">
      <c r="B6" s="7" t="s">
        <v>10</v>
      </c>
      <c r="C6" s="8" t="s">
        <v>11</v>
      </c>
      <c r="D6" s="9">
        <v>217573.81</v>
      </c>
      <c r="E6" s="9">
        <v>8000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11">
        <f t="shared" ref="L6:L23" si="0">D6+E6+F6+G6+H6+I6+J6+K6</f>
        <v>225573.81</v>
      </c>
    </row>
    <row r="7" spans="2:12" ht="15" x14ac:dyDescent="0.25">
      <c r="B7" s="7" t="s">
        <v>12</v>
      </c>
      <c r="C7" s="8" t="s">
        <v>13</v>
      </c>
      <c r="D7" s="9">
        <v>153567292.06</v>
      </c>
      <c r="E7" s="9">
        <v>62186132.670000002</v>
      </c>
      <c r="F7" s="9">
        <v>426263.14</v>
      </c>
      <c r="G7" s="9">
        <v>4620992.37</v>
      </c>
      <c r="H7" s="9">
        <v>1497350.38</v>
      </c>
      <c r="I7" s="9">
        <v>9527151.8300000001</v>
      </c>
      <c r="J7" s="9">
        <v>7082.28</v>
      </c>
      <c r="K7" s="10">
        <v>395259.79</v>
      </c>
      <c r="L7" s="11">
        <f t="shared" si="0"/>
        <v>232227524.52000001</v>
      </c>
    </row>
    <row r="8" spans="2:12" ht="15" x14ac:dyDescent="0.25">
      <c r="B8" s="7" t="s">
        <v>14</v>
      </c>
      <c r="C8" s="8" t="s">
        <v>15</v>
      </c>
      <c r="D8" s="9">
        <v>16091773.390000001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11">
        <f t="shared" si="0"/>
        <v>16091773.390000001</v>
      </c>
    </row>
    <row r="9" spans="2:12" ht="15" x14ac:dyDescent="0.25">
      <c r="B9" s="7" t="s">
        <v>16</v>
      </c>
      <c r="C9" s="8" t="s">
        <v>17</v>
      </c>
      <c r="D9" s="9">
        <v>21273.8</v>
      </c>
      <c r="E9" s="9">
        <v>22024.52</v>
      </c>
      <c r="F9" s="9">
        <v>12562.07</v>
      </c>
      <c r="G9" s="9">
        <v>10471.82</v>
      </c>
      <c r="H9" s="9">
        <v>0</v>
      </c>
      <c r="I9" s="9">
        <v>27816.76</v>
      </c>
      <c r="J9" s="9">
        <v>0</v>
      </c>
      <c r="K9" s="10">
        <v>0</v>
      </c>
      <c r="L9" s="11">
        <f t="shared" si="0"/>
        <v>94148.969999999987</v>
      </c>
    </row>
    <row r="10" spans="2:12" ht="15" x14ac:dyDescent="0.25">
      <c r="B10" s="7" t="s">
        <v>18</v>
      </c>
      <c r="C10" s="8" t="s">
        <v>19</v>
      </c>
      <c r="D10" s="9">
        <v>78732168.950000003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  <c r="L10" s="11">
        <f t="shared" si="0"/>
        <v>78732168.950000003</v>
      </c>
    </row>
    <row r="11" spans="2:12" ht="15" x14ac:dyDescent="0.25">
      <c r="B11" s="7" t="s">
        <v>20</v>
      </c>
      <c r="C11" s="8" t="s">
        <v>21</v>
      </c>
      <c r="D11" s="9">
        <f>505640.92+911193.55</f>
        <v>1416834.47</v>
      </c>
      <c r="E11" s="9">
        <f>565.55+30637.34</f>
        <v>31202.89</v>
      </c>
      <c r="F11" s="9">
        <v>88372.86</v>
      </c>
      <c r="G11" s="9">
        <v>0</v>
      </c>
      <c r="H11" s="9">
        <v>0</v>
      </c>
      <c r="I11" s="9">
        <v>4928.37</v>
      </c>
      <c r="J11" s="9">
        <v>0</v>
      </c>
      <c r="K11" s="10">
        <v>0</v>
      </c>
      <c r="L11" s="11">
        <f t="shared" si="0"/>
        <v>1541338.59</v>
      </c>
    </row>
    <row r="12" spans="2:12" ht="15" x14ac:dyDescent="0.25">
      <c r="B12" s="7" t="s">
        <v>22</v>
      </c>
      <c r="C12" s="8" t="s">
        <v>23</v>
      </c>
      <c r="D12" s="9">
        <v>12765676.73</v>
      </c>
      <c r="E12" s="9">
        <v>129223.29</v>
      </c>
      <c r="F12" s="9">
        <v>29317.97</v>
      </c>
      <c r="G12" s="9">
        <v>14473.92</v>
      </c>
      <c r="H12" s="9">
        <v>1988.33</v>
      </c>
      <c r="I12" s="9">
        <v>1115641.55</v>
      </c>
      <c r="J12" s="9">
        <v>2564.7800000000002</v>
      </c>
      <c r="K12" s="10">
        <v>9183.09</v>
      </c>
      <c r="L12" s="11">
        <f t="shared" si="0"/>
        <v>14068069.66</v>
      </c>
    </row>
    <row r="13" spans="2:12" ht="15.75" thickBot="1" x14ac:dyDescent="0.3">
      <c r="B13" s="7" t="s">
        <v>24</v>
      </c>
      <c r="C13" s="8" t="s">
        <v>25</v>
      </c>
      <c r="D13" s="9">
        <v>19791.38</v>
      </c>
      <c r="E13" s="9">
        <v>3422.15</v>
      </c>
      <c r="F13" s="9">
        <v>7853.5</v>
      </c>
      <c r="G13" s="9">
        <v>120007.99</v>
      </c>
      <c r="H13" s="9">
        <v>10116.84</v>
      </c>
      <c r="I13" s="9">
        <v>140119.32</v>
      </c>
      <c r="J13" s="9">
        <v>534.28</v>
      </c>
      <c r="K13" s="10">
        <v>518.67999999999995</v>
      </c>
      <c r="L13" s="11">
        <f t="shared" si="0"/>
        <v>302364.14000000007</v>
      </c>
    </row>
    <row r="14" spans="2:12" customFormat="1" ht="15.75" thickTop="1" x14ac:dyDescent="0.25">
      <c r="B14" s="12"/>
      <c r="C14" s="13" t="s">
        <v>26</v>
      </c>
      <c r="D14" s="14">
        <f t="shared" ref="D14:K14" si="1">SUM(D6:D13)</f>
        <v>262832384.58999997</v>
      </c>
      <c r="E14" s="14">
        <f t="shared" si="1"/>
        <v>62380005.520000003</v>
      </c>
      <c r="F14" s="14">
        <f t="shared" si="1"/>
        <v>564369.54</v>
      </c>
      <c r="G14" s="14">
        <f t="shared" si="1"/>
        <v>4765946.1000000006</v>
      </c>
      <c r="H14" s="14">
        <f t="shared" si="1"/>
        <v>1509455.55</v>
      </c>
      <c r="I14" s="14">
        <f t="shared" si="1"/>
        <v>10815657.83</v>
      </c>
      <c r="J14" s="14">
        <f t="shared" si="1"/>
        <v>10181.34</v>
      </c>
      <c r="K14" s="15">
        <f t="shared" si="1"/>
        <v>404961.56</v>
      </c>
      <c r="L14" s="16">
        <f t="shared" si="0"/>
        <v>343282962.02999997</v>
      </c>
    </row>
    <row r="15" spans="2:12" customFormat="1" ht="15" x14ac:dyDescent="0.25">
      <c r="B15" s="7" t="s">
        <v>27</v>
      </c>
      <c r="C15" s="8" t="s">
        <v>28</v>
      </c>
      <c r="D15" s="9">
        <v>-1459420.72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  <c r="L15" s="11">
        <f t="shared" si="0"/>
        <v>-1459420.72</v>
      </c>
    </row>
    <row r="16" spans="2:12" customFormat="1" ht="15" x14ac:dyDescent="0.25">
      <c r="B16" s="7" t="s">
        <v>29</v>
      </c>
      <c r="C16" s="8" t="s">
        <v>30</v>
      </c>
      <c r="D16" s="9">
        <v>186520771.37</v>
      </c>
      <c r="E16" s="9">
        <v>-106898.68</v>
      </c>
      <c r="F16" s="9">
        <v>-229257.55</v>
      </c>
      <c r="G16" s="9">
        <v>-290468.42</v>
      </c>
      <c r="H16" s="9">
        <v>-29357.35</v>
      </c>
      <c r="I16" s="9">
        <v>-171791.11</v>
      </c>
      <c r="J16" s="9">
        <v>-12508.85</v>
      </c>
      <c r="K16" s="10">
        <v>-76175.12</v>
      </c>
      <c r="L16" s="11">
        <f t="shared" si="0"/>
        <v>185604314.28999999</v>
      </c>
    </row>
    <row r="17" spans="2:12" customFormat="1" ht="15" x14ac:dyDescent="0.25">
      <c r="B17" s="7" t="s">
        <v>31</v>
      </c>
      <c r="C17" s="8" t="s">
        <v>32</v>
      </c>
      <c r="D17" s="9">
        <v>590429.63</v>
      </c>
      <c r="E17" s="9">
        <v>7827</v>
      </c>
      <c r="F17" s="9">
        <v>7229.59</v>
      </c>
      <c r="G17" s="9">
        <v>51705</v>
      </c>
      <c r="H17" s="9">
        <v>1852</v>
      </c>
      <c r="I17" s="9">
        <v>41650.79</v>
      </c>
      <c r="J17" s="9">
        <v>828.82</v>
      </c>
      <c r="K17" s="10">
        <v>2300</v>
      </c>
      <c r="L17" s="11">
        <f t="shared" si="0"/>
        <v>703822.83</v>
      </c>
    </row>
    <row r="18" spans="2:12" customFormat="1" ht="15" x14ac:dyDescent="0.25">
      <c r="B18" s="7" t="s">
        <v>33</v>
      </c>
      <c r="C18" s="8" t="s">
        <v>19</v>
      </c>
      <c r="D18" s="9">
        <v>470109.99</v>
      </c>
      <c r="E18" s="9">
        <v>62225335.560000002</v>
      </c>
      <c r="F18" s="9">
        <v>488774.99</v>
      </c>
      <c r="G18" s="9">
        <v>4620992.37</v>
      </c>
      <c r="H18" s="9">
        <v>1497350.38</v>
      </c>
      <c r="I18" s="9">
        <v>9498165.5800000001</v>
      </c>
      <c r="J18" s="9">
        <v>7082.28</v>
      </c>
      <c r="K18" s="10">
        <v>395259.79</v>
      </c>
      <c r="L18" s="11">
        <f t="shared" si="0"/>
        <v>79203070.940000013</v>
      </c>
    </row>
    <row r="19" spans="2:12" customFormat="1" ht="15" x14ac:dyDescent="0.25">
      <c r="B19" s="7" t="s">
        <v>34</v>
      </c>
      <c r="C19" s="8" t="s">
        <v>35</v>
      </c>
      <c r="D19" s="9">
        <v>3005818.89</v>
      </c>
      <c r="E19" s="9">
        <v>18708.599999999999</v>
      </c>
      <c r="F19" s="9">
        <v>8417.7999999999993</v>
      </c>
      <c r="G19" s="9">
        <v>13802.92</v>
      </c>
      <c r="H19" s="9">
        <v>1988.33</v>
      </c>
      <c r="I19" s="9">
        <v>46378.11</v>
      </c>
      <c r="J19" s="9">
        <v>1760.74</v>
      </c>
      <c r="K19" s="10">
        <v>3947.09</v>
      </c>
      <c r="L19" s="11">
        <f t="shared" si="0"/>
        <v>3100822.48</v>
      </c>
    </row>
    <row r="20" spans="2:12" customFormat="1" ht="15" x14ac:dyDescent="0.25">
      <c r="B20" s="7" t="s">
        <v>36</v>
      </c>
      <c r="C20" s="8" t="s">
        <v>37</v>
      </c>
      <c r="D20" s="9">
        <v>1419662.39</v>
      </c>
      <c r="E20" s="9">
        <v>234334.02</v>
      </c>
      <c r="F20" s="9">
        <v>241580.25</v>
      </c>
      <c r="G20" s="9">
        <v>350622.86</v>
      </c>
      <c r="H20" s="9">
        <v>34686.58</v>
      </c>
      <c r="I20" s="9">
        <v>1341967.22</v>
      </c>
      <c r="J20" s="9">
        <v>13018.35</v>
      </c>
      <c r="K20" s="10">
        <v>79629.8</v>
      </c>
      <c r="L20" s="11">
        <f t="shared" si="0"/>
        <v>3715501.47</v>
      </c>
    </row>
    <row r="21" spans="2:12" customFormat="1" ht="15" x14ac:dyDescent="0.25">
      <c r="B21" s="7" t="s">
        <v>38</v>
      </c>
      <c r="C21" s="8" t="s">
        <v>40</v>
      </c>
      <c r="D21" s="9">
        <v>58598595.5</v>
      </c>
      <c r="E21" s="9">
        <v>699.02</v>
      </c>
      <c r="F21" s="9">
        <v>47624.46</v>
      </c>
      <c r="G21" s="9">
        <v>19291.37</v>
      </c>
      <c r="H21" s="9">
        <v>2935.61</v>
      </c>
      <c r="I21" s="9">
        <v>59287.24</v>
      </c>
      <c r="J21" s="9">
        <v>0</v>
      </c>
      <c r="K21" s="10">
        <v>0</v>
      </c>
      <c r="L21" s="11">
        <f t="shared" si="0"/>
        <v>58728433.200000003</v>
      </c>
    </row>
    <row r="22" spans="2:12" customFormat="1" ht="15.75" thickBot="1" x14ac:dyDescent="0.3">
      <c r="B22" s="17" t="s">
        <v>39</v>
      </c>
      <c r="C22" s="18" t="s">
        <v>41</v>
      </c>
      <c r="D22" s="19">
        <v>13686417.539999999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21">
        <f t="shared" si="0"/>
        <v>13686417.539999999</v>
      </c>
    </row>
    <row r="23" spans="2:12" customFormat="1" ht="16.5" thickTop="1" thickBot="1" x14ac:dyDescent="0.3">
      <c r="B23" s="22"/>
      <c r="C23" s="23" t="s">
        <v>42</v>
      </c>
      <c r="D23" s="24">
        <f t="shared" ref="D23:K23" si="2">SUM(D15:D22)</f>
        <v>262832384.58999997</v>
      </c>
      <c r="E23" s="24">
        <f t="shared" si="2"/>
        <v>62380005.520000011</v>
      </c>
      <c r="F23" s="24">
        <f t="shared" si="2"/>
        <v>564369.54</v>
      </c>
      <c r="G23" s="24">
        <f t="shared" si="2"/>
        <v>4765946.1000000006</v>
      </c>
      <c r="H23" s="24">
        <f t="shared" si="2"/>
        <v>1509455.55</v>
      </c>
      <c r="I23" s="24">
        <f t="shared" si="2"/>
        <v>10815657.83</v>
      </c>
      <c r="J23" s="24">
        <f t="shared" si="2"/>
        <v>10181.34</v>
      </c>
      <c r="K23" s="25">
        <f t="shared" si="2"/>
        <v>404961.56</v>
      </c>
      <c r="L23" s="26">
        <f t="shared" si="0"/>
        <v>343282962.03000003</v>
      </c>
    </row>
  </sheetData>
  <mergeCells count="1">
    <mergeCell ref="C3:K3"/>
  </mergeCells>
  <pageMargins left="0.59055118110236227" right="0.11811023622047245" top="0.74803149606299213" bottom="0.74803149606299213" header="0.31496062992125984" footer="0.31496062992125984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57"/>
  <sheetViews>
    <sheetView workbookViewId="0"/>
  </sheetViews>
  <sheetFormatPr defaultRowHeight="14.25" x14ac:dyDescent="0.2"/>
  <cols>
    <col min="1" max="1" width="9.140625" style="1" customWidth="1"/>
    <col min="2" max="2" width="6.85546875" style="1" customWidth="1"/>
    <col min="3" max="3" width="41.28515625" style="1" customWidth="1"/>
    <col min="4" max="4" width="44.140625" style="1" customWidth="1"/>
    <col min="5" max="5" width="11.5703125" style="51" customWidth="1"/>
    <col min="6" max="6" width="4.42578125" style="1" customWidth="1"/>
    <col min="7" max="7" width="10.140625" style="1" customWidth="1"/>
    <col min="8" max="8" width="35.28515625" style="1" customWidth="1"/>
    <col min="9" max="9" width="49.7109375" style="1" customWidth="1"/>
    <col min="10" max="10" width="9.140625" style="1" customWidth="1"/>
    <col min="11" max="16384" width="9.140625" style="1"/>
  </cols>
  <sheetData>
    <row r="1" spans="1:10" customFormat="1" ht="15" x14ac:dyDescent="0.25">
      <c r="A1" s="1"/>
      <c r="B1" s="190"/>
      <c r="C1" s="190"/>
      <c r="D1" s="190"/>
      <c r="E1" s="194"/>
      <c r="F1" s="190"/>
      <c r="G1" s="190"/>
      <c r="H1" s="190"/>
      <c r="I1" s="190"/>
    </row>
    <row r="2" spans="1:10" customFormat="1" ht="15" x14ac:dyDescent="0.25">
      <c r="A2" s="1"/>
      <c r="B2" s="190"/>
      <c r="C2" s="190"/>
      <c r="D2" s="190"/>
      <c r="E2" s="194"/>
      <c r="F2" s="190"/>
      <c r="G2" s="190"/>
      <c r="H2" s="190"/>
      <c r="I2" s="190"/>
    </row>
    <row r="3" spans="1:10" customFormat="1" ht="18" x14ac:dyDescent="0.25">
      <c r="A3" s="1"/>
      <c r="B3" s="878" t="s">
        <v>601</v>
      </c>
      <c r="C3" s="878"/>
      <c r="D3" s="878"/>
      <c r="E3" s="878"/>
      <c r="F3" s="190"/>
      <c r="G3" s="190"/>
      <c r="H3" s="190"/>
      <c r="I3" s="190"/>
    </row>
    <row r="4" spans="1:10" customFormat="1" ht="11.25" customHeight="1" x14ac:dyDescent="0.25">
      <c r="A4" s="1"/>
      <c r="B4" s="387"/>
      <c r="C4" s="387"/>
      <c r="D4" s="387"/>
      <c r="E4" s="399"/>
      <c r="F4" s="190"/>
      <c r="G4" s="190"/>
      <c r="H4" s="190"/>
      <c r="I4" s="190"/>
    </row>
    <row r="5" spans="1:10" customFormat="1" ht="18" x14ac:dyDescent="0.25">
      <c r="A5" s="1"/>
      <c r="B5" s="879" t="s">
        <v>198</v>
      </c>
      <c r="C5" s="879"/>
      <c r="D5" s="387"/>
      <c r="E5" s="399"/>
      <c r="F5" s="190"/>
      <c r="G5" s="190"/>
      <c r="H5" s="1"/>
      <c r="I5" s="1"/>
      <c r="J5" s="1"/>
    </row>
    <row r="6" spans="1:10" customFormat="1" ht="6" customHeight="1" thickBot="1" x14ac:dyDescent="0.3">
      <c r="A6" s="1"/>
      <c r="B6" s="386"/>
      <c r="C6" s="386"/>
      <c r="D6" s="386"/>
      <c r="E6" s="400"/>
      <c r="F6" s="190"/>
      <c r="G6" s="190"/>
      <c r="H6" s="1"/>
      <c r="I6" s="1"/>
      <c r="J6" s="1"/>
    </row>
    <row r="7" spans="1:10" customFormat="1" ht="25.5" x14ac:dyDescent="0.25">
      <c r="A7" s="1"/>
      <c r="B7" s="487" t="s">
        <v>189</v>
      </c>
      <c r="C7" s="389" t="s">
        <v>200</v>
      </c>
      <c r="D7" s="389" t="s">
        <v>201</v>
      </c>
      <c r="E7" s="494" t="s">
        <v>811</v>
      </c>
      <c r="F7" s="190"/>
      <c r="G7" s="190"/>
      <c r="H7" s="1"/>
      <c r="I7" s="1"/>
      <c r="J7" s="1"/>
    </row>
    <row r="8" spans="1:10" s="67" customFormat="1" x14ac:dyDescent="0.25">
      <c r="B8" s="485">
        <v>1</v>
      </c>
      <c r="C8" s="483" t="s">
        <v>624</v>
      </c>
      <c r="D8" s="483" t="s">
        <v>527</v>
      </c>
      <c r="E8" s="710">
        <v>400</v>
      </c>
      <c r="F8" s="193"/>
      <c r="G8" s="193"/>
    </row>
    <row r="9" spans="1:10" s="67" customFormat="1" x14ac:dyDescent="0.25">
      <c r="B9" s="485">
        <v>2</v>
      </c>
      <c r="C9" s="483" t="s">
        <v>625</v>
      </c>
      <c r="D9" s="483" t="s">
        <v>626</v>
      </c>
      <c r="E9" s="710">
        <v>1200</v>
      </c>
      <c r="F9" s="193"/>
      <c r="G9" s="193"/>
    </row>
    <row r="10" spans="1:10" s="67" customFormat="1" ht="24" x14ac:dyDescent="0.25">
      <c r="B10" s="485">
        <v>3</v>
      </c>
      <c r="C10" s="484" t="s">
        <v>1022</v>
      </c>
      <c r="D10" s="484" t="s">
        <v>627</v>
      </c>
      <c r="E10" s="711">
        <f>800-41</f>
        <v>759</v>
      </c>
      <c r="F10" s="193"/>
      <c r="G10" s="193"/>
    </row>
    <row r="11" spans="1:10" s="67" customFormat="1" ht="24" x14ac:dyDescent="0.25">
      <c r="B11" s="485">
        <v>4</v>
      </c>
      <c r="C11" s="484" t="s">
        <v>1021</v>
      </c>
      <c r="D11" s="483" t="s">
        <v>628</v>
      </c>
      <c r="E11" s="710">
        <v>0</v>
      </c>
      <c r="F11" s="193"/>
      <c r="G11" s="193"/>
    </row>
    <row r="12" spans="1:10" s="67" customFormat="1" x14ac:dyDescent="0.25">
      <c r="B12" s="481">
        <v>5</v>
      </c>
      <c r="C12" s="483" t="s">
        <v>629</v>
      </c>
      <c r="D12" s="483" t="s">
        <v>630</v>
      </c>
      <c r="E12" s="710">
        <v>2130</v>
      </c>
      <c r="F12" s="193"/>
      <c r="G12" s="193"/>
    </row>
    <row r="13" spans="1:10" s="67" customFormat="1" x14ac:dyDescent="0.25">
      <c r="B13" s="482">
        <v>6</v>
      </c>
      <c r="C13" s="483" t="s">
        <v>631</v>
      </c>
      <c r="D13" s="483" t="s">
        <v>632</v>
      </c>
      <c r="E13" s="710">
        <v>400</v>
      </c>
      <c r="F13" s="193"/>
      <c r="G13" s="193"/>
    </row>
    <row r="14" spans="1:10" s="67" customFormat="1" ht="15" thickBot="1" x14ac:dyDescent="0.3">
      <c r="B14" s="712">
        <v>7</v>
      </c>
      <c r="C14" s="713" t="s">
        <v>633</v>
      </c>
      <c r="D14" s="713" t="s">
        <v>634</v>
      </c>
      <c r="E14" s="714">
        <v>1950</v>
      </c>
      <c r="F14" s="193"/>
      <c r="G14" s="193"/>
    </row>
    <row r="15" spans="1:10" s="67" customFormat="1" ht="16.5" customHeight="1" thickTop="1" thickBot="1" x14ac:dyDescent="0.25">
      <c r="B15" s="715"/>
      <c r="C15" s="720" t="s">
        <v>9</v>
      </c>
      <c r="D15" s="716"/>
      <c r="E15" s="717">
        <f>SUM(E8:E14)</f>
        <v>6839</v>
      </c>
      <c r="F15" s="190"/>
      <c r="G15" s="194"/>
    </row>
    <row r="16" spans="1:10" customFormat="1" ht="15" x14ac:dyDescent="0.25">
      <c r="A16" s="1"/>
      <c r="B16" s="190"/>
      <c r="C16" s="190"/>
      <c r="D16" s="190"/>
      <c r="E16" s="401"/>
      <c r="F16" s="190"/>
      <c r="G16" s="194"/>
      <c r="H16" s="1"/>
      <c r="I16" s="1"/>
      <c r="J16" s="1"/>
    </row>
    <row r="17" spans="2:9" s="67" customFormat="1" ht="19.5" customHeight="1" x14ac:dyDescent="0.25">
      <c r="B17" s="388" t="s">
        <v>199</v>
      </c>
      <c r="C17" s="388"/>
      <c r="D17" s="193"/>
      <c r="E17"/>
      <c r="F17" s="190"/>
      <c r="G17" s="190"/>
    </row>
    <row r="18" spans="2:9" s="67" customFormat="1" ht="6.75" customHeight="1" thickBot="1" x14ac:dyDescent="0.3">
      <c r="B18" s="193"/>
      <c r="C18" s="193"/>
      <c r="D18" s="193"/>
      <c r="E18"/>
      <c r="F18" s="190"/>
      <c r="G18" s="190"/>
    </row>
    <row r="19" spans="2:9" s="67" customFormat="1" ht="33" customHeight="1" x14ac:dyDescent="0.2">
      <c r="B19" s="487" t="s">
        <v>189</v>
      </c>
      <c r="C19" s="488" t="s">
        <v>200</v>
      </c>
      <c r="D19" s="486" t="s">
        <v>201</v>
      </c>
      <c r="E19" s="494" t="s">
        <v>811</v>
      </c>
      <c r="F19" s="190"/>
      <c r="G19" s="190"/>
    </row>
    <row r="20" spans="2:9" s="67" customFormat="1" x14ac:dyDescent="0.2">
      <c r="B20" s="708">
        <v>1</v>
      </c>
      <c r="C20" s="707" t="s">
        <v>676</v>
      </c>
      <c r="D20" s="707" t="s">
        <v>677</v>
      </c>
      <c r="E20" s="725">
        <v>229</v>
      </c>
      <c r="F20" s="190"/>
      <c r="G20" s="190"/>
    </row>
    <row r="21" spans="2:9" s="67" customFormat="1" ht="24.75" customHeight="1" x14ac:dyDescent="0.2">
      <c r="B21" s="708">
        <v>2</v>
      </c>
      <c r="C21" s="707" t="s">
        <v>678</v>
      </c>
      <c r="D21" s="707" t="s">
        <v>679</v>
      </c>
      <c r="E21" s="725">
        <v>573</v>
      </c>
      <c r="F21" s="190"/>
      <c r="G21" s="190"/>
    </row>
    <row r="22" spans="2:9" s="67" customFormat="1" x14ac:dyDescent="0.2">
      <c r="B22" s="708">
        <f>B21+1</f>
        <v>3</v>
      </c>
      <c r="C22" s="707" t="s">
        <v>680</v>
      </c>
      <c r="D22" s="707" t="s">
        <v>681</v>
      </c>
      <c r="E22" s="725">
        <v>172</v>
      </c>
      <c r="F22" s="190"/>
      <c r="G22" s="190"/>
    </row>
    <row r="23" spans="2:9" s="67" customFormat="1" ht="35.25" x14ac:dyDescent="0.25">
      <c r="B23" s="708">
        <f t="shared" ref="B23:B55" si="0">B22+1</f>
        <v>4</v>
      </c>
      <c r="C23" s="707" t="s">
        <v>1024</v>
      </c>
      <c r="D23" s="707" t="s">
        <v>683</v>
      </c>
      <c r="E23" s="725">
        <f>2867-2502</f>
        <v>365</v>
      </c>
      <c r="F23" s="193"/>
      <c r="G23" s="193"/>
    </row>
    <row r="24" spans="2:9" s="67" customFormat="1" ht="35.25" x14ac:dyDescent="0.25">
      <c r="B24" s="708">
        <f t="shared" si="0"/>
        <v>5</v>
      </c>
      <c r="C24" s="707" t="s">
        <v>1025</v>
      </c>
      <c r="D24" s="707" t="s">
        <v>685</v>
      </c>
      <c r="E24" s="725">
        <f>1250-353</f>
        <v>897</v>
      </c>
      <c r="F24" s="193"/>
      <c r="G24" s="193"/>
    </row>
    <row r="25" spans="2:9" s="67" customFormat="1" ht="35.25" x14ac:dyDescent="0.25">
      <c r="B25" s="708">
        <f t="shared" si="0"/>
        <v>6</v>
      </c>
      <c r="C25" s="707" t="s">
        <v>1026</v>
      </c>
      <c r="D25" s="707" t="s">
        <v>686</v>
      </c>
      <c r="E25" s="725">
        <v>0</v>
      </c>
      <c r="F25" s="193"/>
      <c r="G25" s="193"/>
    </row>
    <row r="26" spans="2:9" s="67" customFormat="1" ht="51" x14ac:dyDescent="0.25">
      <c r="B26" s="708">
        <f t="shared" si="0"/>
        <v>7</v>
      </c>
      <c r="C26" s="707" t="s">
        <v>1027</v>
      </c>
      <c r="D26" s="707" t="s">
        <v>687</v>
      </c>
      <c r="E26" s="725">
        <v>0</v>
      </c>
      <c r="F26" s="193"/>
      <c r="G26" s="193"/>
    </row>
    <row r="27" spans="2:9" s="67" customFormat="1" x14ac:dyDescent="0.2">
      <c r="B27" s="708">
        <f t="shared" si="0"/>
        <v>8</v>
      </c>
      <c r="C27" s="707" t="s">
        <v>688</v>
      </c>
      <c r="D27" s="707" t="s">
        <v>689</v>
      </c>
      <c r="E27" s="725">
        <v>688</v>
      </c>
      <c r="F27" s="190"/>
      <c r="G27" s="190"/>
    </row>
    <row r="28" spans="2:9" s="67" customFormat="1" x14ac:dyDescent="0.25">
      <c r="B28" s="708">
        <f t="shared" si="0"/>
        <v>9</v>
      </c>
      <c r="C28" s="707" t="s">
        <v>690</v>
      </c>
      <c r="D28" s="707" t="s">
        <v>691</v>
      </c>
      <c r="E28" s="725">
        <v>459</v>
      </c>
      <c r="F28" s="193"/>
      <c r="G28" s="193"/>
    </row>
    <row r="29" spans="2:9" x14ac:dyDescent="0.2">
      <c r="B29" s="708">
        <f t="shared" si="0"/>
        <v>10</v>
      </c>
      <c r="C29" s="707" t="s">
        <v>693</v>
      </c>
      <c r="D29" s="707" t="s">
        <v>694</v>
      </c>
      <c r="E29" s="725">
        <v>459</v>
      </c>
      <c r="F29" s="193"/>
      <c r="G29" s="193"/>
      <c r="H29" s="193"/>
      <c r="I29" s="193"/>
    </row>
    <row r="30" spans="2:9" x14ac:dyDescent="0.2">
      <c r="B30" s="708">
        <f t="shared" si="0"/>
        <v>11</v>
      </c>
      <c r="C30" s="707" t="s">
        <v>695</v>
      </c>
      <c r="D30" s="707" t="s">
        <v>696</v>
      </c>
      <c r="E30" s="726">
        <v>229</v>
      </c>
      <c r="F30" s="193"/>
      <c r="G30" s="193"/>
      <c r="H30" s="193"/>
      <c r="I30" s="193"/>
    </row>
    <row r="31" spans="2:9" x14ac:dyDescent="0.2">
      <c r="B31" s="708">
        <f t="shared" si="0"/>
        <v>12</v>
      </c>
      <c r="C31" s="707" t="s">
        <v>697</v>
      </c>
      <c r="D31" s="707" t="s">
        <v>698</v>
      </c>
      <c r="E31" s="726">
        <v>459</v>
      </c>
      <c r="F31" s="193"/>
      <c r="G31" s="193"/>
      <c r="H31" s="193"/>
      <c r="I31" s="193"/>
    </row>
    <row r="32" spans="2:9" ht="25.5" x14ac:dyDescent="0.2">
      <c r="B32" s="708">
        <f t="shared" si="0"/>
        <v>13</v>
      </c>
      <c r="C32" s="707" t="s">
        <v>688</v>
      </c>
      <c r="D32" s="707" t="s">
        <v>700</v>
      </c>
      <c r="E32" s="725">
        <v>1261</v>
      </c>
    </row>
    <row r="33" spans="2:6" x14ac:dyDescent="0.2">
      <c r="B33" s="708">
        <f t="shared" si="0"/>
        <v>14</v>
      </c>
      <c r="C33" s="707" t="s">
        <v>701</v>
      </c>
      <c r="D33" s="707" t="s">
        <v>702</v>
      </c>
      <c r="E33" s="725">
        <v>229</v>
      </c>
    </row>
    <row r="34" spans="2:6" x14ac:dyDescent="0.2">
      <c r="B34" s="708">
        <f t="shared" si="0"/>
        <v>15</v>
      </c>
      <c r="C34" s="707" t="s">
        <v>703</v>
      </c>
      <c r="D34" s="707" t="s">
        <v>704</v>
      </c>
      <c r="E34" s="725">
        <v>287</v>
      </c>
    </row>
    <row r="35" spans="2:6" x14ac:dyDescent="0.2">
      <c r="B35" s="708">
        <f t="shared" si="0"/>
        <v>16</v>
      </c>
      <c r="C35" s="707" t="s">
        <v>705</v>
      </c>
      <c r="D35" s="707" t="s">
        <v>706</v>
      </c>
      <c r="E35" s="725">
        <v>401</v>
      </c>
      <c r="F35" s="498"/>
    </row>
    <row r="36" spans="2:6" x14ac:dyDescent="0.2">
      <c r="B36" s="708">
        <f t="shared" si="0"/>
        <v>17</v>
      </c>
      <c r="C36" s="707" t="s">
        <v>707</v>
      </c>
      <c r="D36" s="707" t="s">
        <v>708</v>
      </c>
      <c r="E36" s="725">
        <v>459</v>
      </c>
    </row>
    <row r="37" spans="2:6" s="67" customFormat="1" ht="36.75" x14ac:dyDescent="0.25">
      <c r="B37" s="708">
        <f t="shared" si="0"/>
        <v>18</v>
      </c>
      <c r="C37" s="707" t="s">
        <v>1028</v>
      </c>
      <c r="D37" s="707" t="s">
        <v>709</v>
      </c>
      <c r="E37" s="725">
        <v>0</v>
      </c>
    </row>
    <row r="38" spans="2:6" x14ac:dyDescent="0.2">
      <c r="B38" s="708">
        <f t="shared" si="0"/>
        <v>19</v>
      </c>
      <c r="C38" s="707" t="s">
        <v>711</v>
      </c>
      <c r="D38" s="707" t="s">
        <v>712</v>
      </c>
      <c r="E38" s="725">
        <v>287</v>
      </c>
    </row>
    <row r="39" spans="2:6" x14ac:dyDescent="0.2">
      <c r="B39" s="708">
        <f t="shared" si="0"/>
        <v>20</v>
      </c>
      <c r="C39" s="707" t="s">
        <v>713</v>
      </c>
      <c r="D39" s="707" t="s">
        <v>714</v>
      </c>
      <c r="E39" s="725">
        <v>287</v>
      </c>
    </row>
    <row r="40" spans="2:6" ht="25.5" x14ac:dyDescent="0.2">
      <c r="B40" s="708">
        <f t="shared" si="0"/>
        <v>21</v>
      </c>
      <c r="C40" s="707" t="s">
        <v>1029</v>
      </c>
      <c r="D40" s="707" t="s">
        <v>716</v>
      </c>
      <c r="E40" s="725">
        <v>0</v>
      </c>
    </row>
    <row r="41" spans="2:6" x14ac:dyDescent="0.2">
      <c r="B41" s="708">
        <f t="shared" si="0"/>
        <v>22</v>
      </c>
      <c r="C41" s="707" t="s">
        <v>717</v>
      </c>
      <c r="D41" s="707" t="s">
        <v>718</v>
      </c>
      <c r="E41" s="725">
        <v>631</v>
      </c>
    </row>
    <row r="42" spans="2:6" x14ac:dyDescent="0.2">
      <c r="B42" s="708">
        <f t="shared" si="0"/>
        <v>23</v>
      </c>
      <c r="C42" s="707" t="s">
        <v>719</v>
      </c>
      <c r="D42" s="707" t="s">
        <v>720</v>
      </c>
      <c r="E42" s="727">
        <v>287</v>
      </c>
    </row>
    <row r="43" spans="2:6" ht="25.5" x14ac:dyDescent="0.2">
      <c r="B43" s="708">
        <f t="shared" si="0"/>
        <v>24</v>
      </c>
      <c r="C43" s="707" t="s">
        <v>721</v>
      </c>
      <c r="D43" s="707" t="s">
        <v>722</v>
      </c>
      <c r="E43" s="727">
        <v>459</v>
      </c>
    </row>
    <row r="44" spans="2:6" x14ac:dyDescent="0.2">
      <c r="B44" s="708">
        <f t="shared" si="0"/>
        <v>25</v>
      </c>
      <c r="C44" s="707" t="s">
        <v>723</v>
      </c>
      <c r="D44" s="707" t="s">
        <v>724</v>
      </c>
      <c r="E44" s="727">
        <v>115</v>
      </c>
    </row>
    <row r="45" spans="2:6" x14ac:dyDescent="0.2">
      <c r="B45" s="708">
        <f t="shared" si="0"/>
        <v>26</v>
      </c>
      <c r="C45" s="707" t="s">
        <v>725</v>
      </c>
      <c r="D45" s="707" t="s">
        <v>726</v>
      </c>
      <c r="E45" s="727">
        <v>573</v>
      </c>
    </row>
    <row r="46" spans="2:6" x14ac:dyDescent="0.2">
      <c r="B46" s="708">
        <f t="shared" si="0"/>
        <v>27</v>
      </c>
      <c r="C46" s="707" t="s">
        <v>676</v>
      </c>
      <c r="D46" s="707" t="s">
        <v>727</v>
      </c>
      <c r="E46" s="727">
        <v>717</v>
      </c>
    </row>
    <row r="47" spans="2:6" x14ac:dyDescent="0.2">
      <c r="B47" s="708">
        <f t="shared" si="0"/>
        <v>28</v>
      </c>
      <c r="C47" s="707" t="s">
        <v>728</v>
      </c>
      <c r="D47" s="707" t="s">
        <v>729</v>
      </c>
      <c r="E47" s="727">
        <v>860</v>
      </c>
    </row>
    <row r="48" spans="2:6" ht="25.5" x14ac:dyDescent="0.2">
      <c r="B48" s="708">
        <f t="shared" si="0"/>
        <v>29</v>
      </c>
      <c r="C48" s="707" t="s">
        <v>730</v>
      </c>
      <c r="D48" s="707" t="s">
        <v>731</v>
      </c>
      <c r="E48" s="727">
        <v>459</v>
      </c>
    </row>
    <row r="49" spans="2:7" x14ac:dyDescent="0.2">
      <c r="B49" s="708">
        <f t="shared" si="0"/>
        <v>30</v>
      </c>
      <c r="C49" s="707" t="s">
        <v>732</v>
      </c>
      <c r="D49" s="707" t="s">
        <v>733</v>
      </c>
      <c r="E49" s="727">
        <v>258</v>
      </c>
    </row>
    <row r="50" spans="2:7" x14ac:dyDescent="0.2">
      <c r="B50" s="708">
        <f t="shared" si="0"/>
        <v>31</v>
      </c>
      <c r="C50" s="707" t="s">
        <v>717</v>
      </c>
      <c r="D50" s="707" t="s">
        <v>734</v>
      </c>
      <c r="E50" s="727">
        <v>1720</v>
      </c>
    </row>
    <row r="51" spans="2:7" x14ac:dyDescent="0.2">
      <c r="B51" s="708">
        <f t="shared" si="0"/>
        <v>32</v>
      </c>
      <c r="C51" s="707" t="s">
        <v>735</v>
      </c>
      <c r="D51" s="707" t="s">
        <v>736</v>
      </c>
      <c r="E51" s="727">
        <v>917</v>
      </c>
    </row>
    <row r="52" spans="2:7" x14ac:dyDescent="0.2">
      <c r="B52" s="708">
        <f t="shared" si="0"/>
        <v>33</v>
      </c>
      <c r="C52" s="707" t="s">
        <v>737</v>
      </c>
      <c r="D52" s="707" t="s">
        <v>738</v>
      </c>
      <c r="E52" s="727">
        <v>287</v>
      </c>
    </row>
    <row r="53" spans="2:7" ht="25.5" x14ac:dyDescent="0.2">
      <c r="B53" s="708">
        <f t="shared" si="0"/>
        <v>34</v>
      </c>
      <c r="C53" s="707" t="s">
        <v>739</v>
      </c>
      <c r="D53" s="707" t="s">
        <v>740</v>
      </c>
      <c r="E53" s="727">
        <v>688</v>
      </c>
    </row>
    <row r="54" spans="2:7" x14ac:dyDescent="0.2">
      <c r="B54" s="708">
        <f t="shared" si="0"/>
        <v>35</v>
      </c>
      <c r="C54" s="707" t="s">
        <v>741</v>
      </c>
      <c r="D54" s="707" t="s">
        <v>742</v>
      </c>
      <c r="E54" s="727">
        <v>172</v>
      </c>
    </row>
    <row r="55" spans="2:7" ht="15" thickBot="1" x14ac:dyDescent="0.25">
      <c r="B55" s="709">
        <f t="shared" si="0"/>
        <v>36</v>
      </c>
      <c r="C55" s="718" t="s">
        <v>743</v>
      </c>
      <c r="D55" s="718" t="s">
        <v>744</v>
      </c>
      <c r="E55" s="727">
        <v>596</v>
      </c>
    </row>
    <row r="56" spans="2:7" ht="17.25" thickTop="1" thickBot="1" x14ac:dyDescent="0.25">
      <c r="B56" s="719"/>
      <c r="C56" s="720" t="s">
        <v>9</v>
      </c>
      <c r="D56" s="721"/>
      <c r="E56" s="721">
        <f>SUM(E20:E55)</f>
        <v>16480</v>
      </c>
    </row>
    <row r="57" spans="2:7" x14ac:dyDescent="0.2">
      <c r="G57" s="51"/>
    </row>
  </sheetData>
  <mergeCells count="2">
    <mergeCell ref="B3:E3"/>
    <mergeCell ref="B5:C5"/>
  </mergeCells>
  <pageMargins left="0.51181102362204722" right="0.43307086614173229" top="0.19685039370078741" bottom="0.19685039370078741" header="0.51181102362204722" footer="0.51181102362204722"/>
  <pageSetup paperSize="9" scale="80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70"/>
  <sheetViews>
    <sheetView workbookViewId="0"/>
  </sheetViews>
  <sheetFormatPr defaultRowHeight="15" x14ac:dyDescent="0.25"/>
  <cols>
    <col min="1" max="1" width="9.140625" style="396"/>
    <col min="2" max="2" width="6.5703125" customWidth="1"/>
    <col min="3" max="3" width="43.5703125" customWidth="1"/>
    <col min="4" max="4" width="50.7109375" customWidth="1"/>
    <col min="5" max="5" width="12.7109375" style="195" customWidth="1"/>
    <col min="6" max="6" width="9.140625" customWidth="1"/>
  </cols>
  <sheetData>
    <row r="1" spans="2:11" x14ac:dyDescent="0.25">
      <c r="B1" s="390"/>
      <c r="C1" s="390"/>
      <c r="D1" s="881" t="s">
        <v>202</v>
      </c>
      <c r="E1" s="882"/>
    </row>
    <row r="2" spans="2:11" ht="18.75" x14ac:dyDescent="0.3">
      <c r="B2" s="883" t="s">
        <v>602</v>
      </c>
      <c r="C2" s="883"/>
      <c r="D2" s="883"/>
      <c r="E2" s="882"/>
    </row>
    <row r="3" spans="2:11" ht="15.75" thickBot="1" x14ac:dyDescent="0.3">
      <c r="B3" s="390"/>
      <c r="C3" s="390"/>
      <c r="D3" s="390"/>
      <c r="E3" s="402"/>
    </row>
    <row r="4" spans="2:11" ht="27" customHeight="1" x14ac:dyDescent="0.25">
      <c r="B4" s="723" t="s">
        <v>189</v>
      </c>
      <c r="C4" s="724" t="s">
        <v>203</v>
      </c>
      <c r="D4" s="724" t="s">
        <v>201</v>
      </c>
      <c r="E4" s="759" t="s">
        <v>811</v>
      </c>
      <c r="F4" s="196"/>
      <c r="G4" s="880"/>
      <c r="H4" s="880"/>
      <c r="I4" s="880"/>
      <c r="J4" s="880"/>
      <c r="K4" s="880"/>
    </row>
    <row r="5" spans="2:11" x14ac:dyDescent="0.25">
      <c r="B5" s="728" t="s">
        <v>528</v>
      </c>
      <c r="C5" s="729" t="s">
        <v>886</v>
      </c>
      <c r="D5" s="729" t="s">
        <v>887</v>
      </c>
      <c r="E5" s="730">
        <v>1500</v>
      </c>
    </row>
    <row r="6" spans="2:11" x14ac:dyDescent="0.25">
      <c r="B6" s="728" t="s">
        <v>529</v>
      </c>
      <c r="C6" s="729" t="s">
        <v>888</v>
      </c>
      <c r="D6" s="729" t="s">
        <v>889</v>
      </c>
      <c r="E6" s="730">
        <v>500</v>
      </c>
    </row>
    <row r="7" spans="2:11" x14ac:dyDescent="0.25">
      <c r="B7" s="728" t="s">
        <v>530</v>
      </c>
      <c r="C7" s="729" t="s">
        <v>890</v>
      </c>
      <c r="D7" s="722" t="s">
        <v>891</v>
      </c>
      <c r="E7" s="730">
        <v>2600</v>
      </c>
    </row>
    <row r="8" spans="2:11" x14ac:dyDescent="0.25">
      <c r="B8" s="728" t="s">
        <v>531</v>
      </c>
      <c r="C8" s="729" t="s">
        <v>890</v>
      </c>
      <c r="D8" s="722" t="s">
        <v>892</v>
      </c>
      <c r="E8" s="730">
        <v>2300</v>
      </c>
    </row>
    <row r="9" spans="2:11" ht="25.5" x14ac:dyDescent="0.25">
      <c r="B9" s="728" t="s">
        <v>532</v>
      </c>
      <c r="C9" s="729" t="s">
        <v>893</v>
      </c>
      <c r="D9" s="722" t="s">
        <v>894</v>
      </c>
      <c r="E9" s="730">
        <v>900</v>
      </c>
    </row>
    <row r="10" spans="2:11" ht="25.5" x14ac:dyDescent="0.25">
      <c r="B10" s="728" t="s">
        <v>533</v>
      </c>
      <c r="C10" s="729" t="s">
        <v>895</v>
      </c>
      <c r="D10" s="729" t="s">
        <v>896</v>
      </c>
      <c r="E10" s="730">
        <v>2300</v>
      </c>
    </row>
    <row r="11" spans="2:11" x14ac:dyDescent="0.25">
      <c r="B11" s="728" t="s">
        <v>534</v>
      </c>
      <c r="C11" s="729" t="s">
        <v>897</v>
      </c>
      <c r="D11" s="729" t="s">
        <v>898</v>
      </c>
      <c r="E11" s="730">
        <v>2500</v>
      </c>
    </row>
    <row r="12" spans="2:11" ht="25.5" x14ac:dyDescent="0.25">
      <c r="B12" s="728" t="s">
        <v>535</v>
      </c>
      <c r="C12" s="731" t="s">
        <v>899</v>
      </c>
      <c r="D12" s="731" t="s">
        <v>900</v>
      </c>
      <c r="E12" s="730">
        <v>900</v>
      </c>
    </row>
    <row r="13" spans="2:11" x14ac:dyDescent="0.25">
      <c r="B13" s="728" t="s">
        <v>536</v>
      </c>
      <c r="C13" s="729" t="s">
        <v>901</v>
      </c>
      <c r="D13" s="729" t="s">
        <v>902</v>
      </c>
      <c r="E13" s="730">
        <v>1000</v>
      </c>
    </row>
    <row r="14" spans="2:11" ht="38.25" x14ac:dyDescent="0.25">
      <c r="B14" s="728" t="s">
        <v>404</v>
      </c>
      <c r="C14" s="729" t="s">
        <v>1030</v>
      </c>
      <c r="D14" s="729" t="s">
        <v>903</v>
      </c>
      <c r="E14" s="730">
        <v>0</v>
      </c>
    </row>
    <row r="15" spans="2:11" ht="12.75" customHeight="1" x14ac:dyDescent="0.25">
      <c r="B15" s="728" t="s">
        <v>537</v>
      </c>
      <c r="C15" s="729" t="s">
        <v>1031</v>
      </c>
      <c r="D15" s="729" t="s">
        <v>904</v>
      </c>
      <c r="E15" s="730">
        <v>0</v>
      </c>
    </row>
    <row r="16" spans="2:11" x14ac:dyDescent="0.25">
      <c r="B16" s="728" t="s">
        <v>538</v>
      </c>
      <c r="C16" s="731" t="s">
        <v>905</v>
      </c>
      <c r="D16" s="731" t="s">
        <v>906</v>
      </c>
      <c r="E16" s="730">
        <v>2000</v>
      </c>
    </row>
    <row r="17" spans="2:5" ht="24" x14ac:dyDescent="0.25">
      <c r="B17" s="728" t="s">
        <v>539</v>
      </c>
      <c r="C17" s="729" t="s">
        <v>1032</v>
      </c>
      <c r="D17" s="729" t="s">
        <v>907</v>
      </c>
      <c r="E17" s="730">
        <f>400-135</f>
        <v>265</v>
      </c>
    </row>
    <row r="18" spans="2:5" ht="24" x14ac:dyDescent="0.25">
      <c r="B18" s="728" t="s">
        <v>540</v>
      </c>
      <c r="C18" s="729" t="s">
        <v>1033</v>
      </c>
      <c r="D18" s="729" t="s">
        <v>908</v>
      </c>
      <c r="E18" s="730">
        <v>0</v>
      </c>
    </row>
    <row r="19" spans="2:5" ht="36.75" x14ac:dyDescent="0.25">
      <c r="B19" s="728" t="s">
        <v>541</v>
      </c>
      <c r="C19" s="731" t="s">
        <v>1034</v>
      </c>
      <c r="D19" s="731" t="s">
        <v>909</v>
      </c>
      <c r="E19" s="732">
        <f>400-32</f>
        <v>368</v>
      </c>
    </row>
    <row r="20" spans="2:5" x14ac:dyDescent="0.25">
      <c r="B20" s="728" t="s">
        <v>542</v>
      </c>
      <c r="C20" s="731" t="s">
        <v>910</v>
      </c>
      <c r="D20" s="731" t="s">
        <v>911</v>
      </c>
      <c r="E20" s="732">
        <v>1000</v>
      </c>
    </row>
    <row r="21" spans="2:5" ht="25.5" x14ac:dyDescent="0.25">
      <c r="B21" s="728" t="s">
        <v>543</v>
      </c>
      <c r="C21" s="729" t="s">
        <v>912</v>
      </c>
      <c r="D21" s="729" t="s">
        <v>913</v>
      </c>
      <c r="E21" s="732">
        <v>1800</v>
      </c>
    </row>
    <row r="22" spans="2:5" x14ac:dyDescent="0.25">
      <c r="B22" s="728" t="s">
        <v>544</v>
      </c>
      <c r="C22" s="729" t="s">
        <v>914</v>
      </c>
      <c r="D22" s="729" t="s">
        <v>915</v>
      </c>
      <c r="E22" s="732">
        <v>700</v>
      </c>
    </row>
    <row r="23" spans="2:5" x14ac:dyDescent="0.25">
      <c r="B23" s="728" t="s">
        <v>545</v>
      </c>
      <c r="C23" s="729" t="s">
        <v>916</v>
      </c>
      <c r="D23" s="729" t="s">
        <v>917</v>
      </c>
      <c r="E23" s="730">
        <v>2100</v>
      </c>
    </row>
    <row r="24" spans="2:5" x14ac:dyDescent="0.25">
      <c r="B24" s="728" t="s">
        <v>546</v>
      </c>
      <c r="C24" s="729" t="s">
        <v>918</v>
      </c>
      <c r="D24" s="729" t="s">
        <v>919</v>
      </c>
      <c r="E24" s="732">
        <v>2600</v>
      </c>
    </row>
    <row r="25" spans="2:5" x14ac:dyDescent="0.25">
      <c r="B25" s="728" t="s">
        <v>547</v>
      </c>
      <c r="C25" s="729" t="s">
        <v>920</v>
      </c>
      <c r="D25" s="729" t="s">
        <v>921</v>
      </c>
      <c r="E25" s="730">
        <v>500</v>
      </c>
    </row>
    <row r="26" spans="2:5" x14ac:dyDescent="0.25">
      <c r="B26" s="728" t="s">
        <v>548</v>
      </c>
      <c r="C26" s="729" t="s">
        <v>922</v>
      </c>
      <c r="D26" s="729" t="s">
        <v>923</v>
      </c>
      <c r="E26" s="730">
        <v>2300</v>
      </c>
    </row>
    <row r="27" spans="2:5" x14ac:dyDescent="0.25">
      <c r="B27" s="728" t="s">
        <v>549</v>
      </c>
      <c r="C27" s="729" t="s">
        <v>924</v>
      </c>
      <c r="D27" s="722" t="s">
        <v>925</v>
      </c>
      <c r="E27" s="730">
        <v>2600</v>
      </c>
    </row>
    <row r="28" spans="2:5" x14ac:dyDescent="0.25">
      <c r="B28" s="728" t="s">
        <v>550</v>
      </c>
      <c r="C28" s="722" t="s">
        <v>926</v>
      </c>
      <c r="D28" s="722" t="s">
        <v>927</v>
      </c>
      <c r="E28" s="730">
        <v>500</v>
      </c>
    </row>
    <row r="29" spans="2:5" x14ac:dyDescent="0.25">
      <c r="B29" s="728" t="s">
        <v>551</v>
      </c>
      <c r="C29" s="729" t="s">
        <v>928</v>
      </c>
      <c r="D29" s="733" t="s">
        <v>929</v>
      </c>
      <c r="E29" s="730">
        <v>1500</v>
      </c>
    </row>
    <row r="30" spans="2:5" x14ac:dyDescent="0.25">
      <c r="B30" s="728" t="s">
        <v>552</v>
      </c>
      <c r="C30" s="729" t="s">
        <v>928</v>
      </c>
      <c r="D30" s="733" t="s">
        <v>930</v>
      </c>
      <c r="E30" s="730">
        <v>770</v>
      </c>
    </row>
    <row r="31" spans="2:5" ht="25.5" x14ac:dyDescent="0.25">
      <c r="B31" s="728" t="s">
        <v>553</v>
      </c>
      <c r="C31" s="729" t="s">
        <v>931</v>
      </c>
      <c r="D31" s="729" t="s">
        <v>932</v>
      </c>
      <c r="E31" s="730">
        <v>400</v>
      </c>
    </row>
    <row r="32" spans="2:5" ht="24" x14ac:dyDescent="0.25">
      <c r="B32" s="728" t="s">
        <v>554</v>
      </c>
      <c r="C32" s="729" t="s">
        <v>1035</v>
      </c>
      <c r="D32" s="729" t="s">
        <v>934</v>
      </c>
      <c r="E32" s="730">
        <v>0</v>
      </c>
    </row>
    <row r="33" spans="2:5" x14ac:dyDescent="0.25">
      <c r="B33" s="728" t="s">
        <v>555</v>
      </c>
      <c r="C33" s="729" t="s">
        <v>933</v>
      </c>
      <c r="D33" s="729" t="s">
        <v>935</v>
      </c>
      <c r="E33" s="730">
        <v>300</v>
      </c>
    </row>
    <row r="34" spans="2:5" x14ac:dyDescent="0.25">
      <c r="B34" s="734" t="s">
        <v>556</v>
      </c>
      <c r="C34" s="729" t="s">
        <v>936</v>
      </c>
      <c r="D34" s="729" t="s">
        <v>937</v>
      </c>
      <c r="E34" s="730">
        <v>500</v>
      </c>
    </row>
    <row r="35" spans="2:5" x14ac:dyDescent="0.25">
      <c r="B35" s="734" t="s">
        <v>557</v>
      </c>
      <c r="C35" s="729" t="s">
        <v>938</v>
      </c>
      <c r="D35" s="729" t="s">
        <v>939</v>
      </c>
      <c r="E35" s="730">
        <v>700</v>
      </c>
    </row>
    <row r="36" spans="2:5" x14ac:dyDescent="0.25">
      <c r="B36" s="734" t="s">
        <v>558</v>
      </c>
      <c r="C36" s="729" t="s">
        <v>938</v>
      </c>
      <c r="D36" s="729" t="s">
        <v>940</v>
      </c>
      <c r="E36" s="730">
        <v>360</v>
      </c>
    </row>
    <row r="37" spans="2:5" x14ac:dyDescent="0.25">
      <c r="B37" s="734" t="s">
        <v>559</v>
      </c>
      <c r="C37" s="729" t="s">
        <v>941</v>
      </c>
      <c r="D37" s="722" t="s">
        <v>942</v>
      </c>
      <c r="E37" s="730">
        <v>1000</v>
      </c>
    </row>
    <row r="38" spans="2:5" x14ac:dyDescent="0.25">
      <c r="B38" s="734" t="s">
        <v>560</v>
      </c>
      <c r="C38" s="729" t="s">
        <v>943</v>
      </c>
      <c r="D38" s="729" t="s">
        <v>944</v>
      </c>
      <c r="E38" s="730">
        <v>1000</v>
      </c>
    </row>
    <row r="39" spans="2:5" x14ac:dyDescent="0.25">
      <c r="B39" s="734" t="s">
        <v>561</v>
      </c>
      <c r="C39" s="729" t="s">
        <v>943</v>
      </c>
      <c r="D39" s="731" t="s">
        <v>945</v>
      </c>
      <c r="E39" s="730">
        <v>500</v>
      </c>
    </row>
    <row r="40" spans="2:5" x14ac:dyDescent="0.25">
      <c r="B40" s="734" t="s">
        <v>562</v>
      </c>
      <c r="C40" s="729" t="s">
        <v>946</v>
      </c>
      <c r="D40" s="731" t="s">
        <v>947</v>
      </c>
      <c r="E40" s="730">
        <v>200</v>
      </c>
    </row>
    <row r="41" spans="2:5" ht="24" x14ac:dyDescent="0.25">
      <c r="B41" s="734" t="s">
        <v>563</v>
      </c>
      <c r="C41" s="729" t="s">
        <v>1036</v>
      </c>
      <c r="D41" s="731" t="s">
        <v>948</v>
      </c>
      <c r="E41" s="730">
        <v>0</v>
      </c>
    </row>
    <row r="42" spans="2:5" x14ac:dyDescent="0.25">
      <c r="B42" s="728" t="s">
        <v>564</v>
      </c>
      <c r="C42" s="729" t="s">
        <v>949</v>
      </c>
      <c r="D42" s="731" t="s">
        <v>950</v>
      </c>
      <c r="E42" s="730">
        <v>1200</v>
      </c>
    </row>
    <row r="43" spans="2:5" x14ac:dyDescent="0.25">
      <c r="B43" s="728" t="s">
        <v>565</v>
      </c>
      <c r="C43" s="729" t="s">
        <v>951</v>
      </c>
      <c r="D43" s="731" t="s">
        <v>952</v>
      </c>
      <c r="E43" s="730">
        <v>500</v>
      </c>
    </row>
    <row r="44" spans="2:5" ht="24" x14ac:dyDescent="0.25">
      <c r="B44" s="728" t="s">
        <v>566</v>
      </c>
      <c r="C44" s="722" t="s">
        <v>1037</v>
      </c>
      <c r="D44" s="722" t="s">
        <v>953</v>
      </c>
      <c r="E44" s="730">
        <v>0</v>
      </c>
    </row>
    <row r="45" spans="2:5" x14ac:dyDescent="0.25">
      <c r="B45" s="728" t="s">
        <v>567</v>
      </c>
      <c r="C45" s="733" t="s">
        <v>954</v>
      </c>
      <c r="D45" s="733" t="s">
        <v>955</v>
      </c>
      <c r="E45" s="730">
        <v>2000</v>
      </c>
    </row>
    <row r="46" spans="2:5" ht="36" thickBot="1" x14ac:dyDescent="0.3">
      <c r="B46" s="735" t="s">
        <v>568</v>
      </c>
      <c r="C46" s="736" t="s">
        <v>1038</v>
      </c>
      <c r="D46" s="742" t="s">
        <v>957</v>
      </c>
      <c r="E46" s="737">
        <v>0</v>
      </c>
    </row>
    <row r="47" spans="2:5" s="640" customFormat="1" x14ac:dyDescent="0.25">
      <c r="B47" s="747"/>
      <c r="C47" s="748"/>
      <c r="D47" s="749"/>
      <c r="E47" s="750"/>
    </row>
    <row r="48" spans="2:5" s="640" customFormat="1" x14ac:dyDescent="0.25">
      <c r="B48" s="751"/>
      <c r="C48" s="752"/>
      <c r="D48" s="753"/>
      <c r="E48" s="754"/>
    </row>
    <row r="49" spans="2:5" s="640" customFormat="1" x14ac:dyDescent="0.25">
      <c r="B49" s="751"/>
      <c r="C49" s="752"/>
      <c r="D49" s="753"/>
      <c r="E49" s="754"/>
    </row>
    <row r="50" spans="2:5" s="640" customFormat="1" ht="15.75" thickBot="1" x14ac:dyDescent="0.3">
      <c r="B50" s="755"/>
      <c r="C50" s="756"/>
      <c r="D50" s="757"/>
      <c r="E50" s="758"/>
    </row>
    <row r="51" spans="2:5" x14ac:dyDescent="0.25">
      <c r="B51" s="743" t="s">
        <v>569</v>
      </c>
      <c r="C51" s="744" t="s">
        <v>956</v>
      </c>
      <c r="D51" s="745" t="s">
        <v>958</v>
      </c>
      <c r="E51" s="746">
        <v>300</v>
      </c>
    </row>
    <row r="52" spans="2:5" x14ac:dyDescent="0.25">
      <c r="B52" s="728" t="s">
        <v>570</v>
      </c>
      <c r="C52" s="729" t="s">
        <v>959</v>
      </c>
      <c r="D52" s="722" t="s">
        <v>960</v>
      </c>
      <c r="E52" s="730">
        <v>1800</v>
      </c>
    </row>
    <row r="53" spans="2:5" x14ac:dyDescent="0.25">
      <c r="B53" s="728" t="s">
        <v>571</v>
      </c>
      <c r="C53" s="729" t="s">
        <v>961</v>
      </c>
      <c r="D53" s="729" t="s">
        <v>962</v>
      </c>
      <c r="E53" s="730">
        <v>1500</v>
      </c>
    </row>
    <row r="54" spans="2:5" ht="31.5" customHeight="1" x14ac:dyDescent="0.25">
      <c r="B54" s="728" t="s">
        <v>572</v>
      </c>
      <c r="C54" s="729" t="s">
        <v>963</v>
      </c>
      <c r="D54" s="729" t="s">
        <v>964</v>
      </c>
      <c r="E54" s="730">
        <v>500</v>
      </c>
    </row>
    <row r="55" spans="2:5" ht="24" x14ac:dyDescent="0.25">
      <c r="B55" s="728" t="s">
        <v>573</v>
      </c>
      <c r="C55" s="729" t="s">
        <v>1039</v>
      </c>
      <c r="D55" s="729" t="s">
        <v>965</v>
      </c>
      <c r="E55" s="730">
        <f>1200-132</f>
        <v>1068</v>
      </c>
    </row>
    <row r="56" spans="2:5" x14ac:dyDescent="0.25">
      <c r="B56" s="728" t="s">
        <v>574</v>
      </c>
      <c r="C56" s="729" t="s">
        <v>966</v>
      </c>
      <c r="D56" s="729" t="s">
        <v>967</v>
      </c>
      <c r="E56" s="730">
        <v>300</v>
      </c>
    </row>
    <row r="57" spans="2:5" ht="24" x14ac:dyDescent="0.25">
      <c r="B57" s="728" t="s">
        <v>575</v>
      </c>
      <c r="C57" s="729" t="s">
        <v>1040</v>
      </c>
      <c r="D57" s="729" t="s">
        <v>968</v>
      </c>
      <c r="E57" s="730">
        <v>0</v>
      </c>
    </row>
    <row r="58" spans="2:5" x14ac:dyDescent="0.25">
      <c r="B58" s="728" t="s">
        <v>576</v>
      </c>
      <c r="C58" s="729" t="s">
        <v>969</v>
      </c>
      <c r="D58" s="729" t="s">
        <v>970</v>
      </c>
      <c r="E58" s="730">
        <v>700</v>
      </c>
    </row>
    <row r="59" spans="2:5" ht="24" x14ac:dyDescent="0.25">
      <c r="B59" s="728" t="s">
        <v>577</v>
      </c>
      <c r="C59" s="729" t="s">
        <v>1041</v>
      </c>
      <c r="D59" s="731" t="s">
        <v>971</v>
      </c>
      <c r="E59" s="730">
        <v>0</v>
      </c>
    </row>
    <row r="60" spans="2:5" x14ac:dyDescent="0.25">
      <c r="B60" s="728" t="s">
        <v>578</v>
      </c>
      <c r="C60" s="729" t="s">
        <v>972</v>
      </c>
      <c r="D60" s="729" t="s">
        <v>973</v>
      </c>
      <c r="E60" s="730">
        <v>200</v>
      </c>
    </row>
    <row r="61" spans="2:5" x14ac:dyDescent="0.25">
      <c r="B61" s="728" t="s">
        <v>579</v>
      </c>
      <c r="C61" s="729" t="s">
        <v>974</v>
      </c>
      <c r="D61" s="729" t="s">
        <v>975</v>
      </c>
      <c r="E61" s="730">
        <v>1000</v>
      </c>
    </row>
    <row r="62" spans="2:5" ht="35.25" x14ac:dyDescent="0.25">
      <c r="B62" s="728" t="s">
        <v>580</v>
      </c>
      <c r="C62" s="729" t="s">
        <v>1042</v>
      </c>
      <c r="D62" s="729" t="s">
        <v>976</v>
      </c>
      <c r="E62" s="730">
        <f>700-505</f>
        <v>195</v>
      </c>
    </row>
    <row r="63" spans="2:5" ht="35.25" x14ac:dyDescent="0.25">
      <c r="B63" s="728" t="s">
        <v>581</v>
      </c>
      <c r="C63" s="729" t="s">
        <v>1043</v>
      </c>
      <c r="D63" s="729" t="s">
        <v>977</v>
      </c>
      <c r="E63" s="730">
        <f>500-100</f>
        <v>400</v>
      </c>
    </row>
    <row r="64" spans="2:5" ht="35.25" x14ac:dyDescent="0.25">
      <c r="B64" s="728" t="s">
        <v>582</v>
      </c>
      <c r="C64" s="729" t="s">
        <v>1044</v>
      </c>
      <c r="D64" s="729" t="s">
        <v>978</v>
      </c>
      <c r="E64" s="730">
        <v>0</v>
      </c>
    </row>
    <row r="65" spans="2:5" ht="24" x14ac:dyDescent="0.25">
      <c r="B65" s="728" t="s">
        <v>583</v>
      </c>
      <c r="C65" s="729" t="s">
        <v>1045</v>
      </c>
      <c r="D65" s="729" t="s">
        <v>979</v>
      </c>
      <c r="E65" s="730">
        <v>0</v>
      </c>
    </row>
    <row r="66" spans="2:5" ht="25.5" x14ac:dyDescent="0.25">
      <c r="B66" s="728" t="s">
        <v>584</v>
      </c>
      <c r="C66" s="729" t="s">
        <v>980</v>
      </c>
      <c r="D66" s="729" t="s">
        <v>981</v>
      </c>
      <c r="E66" s="730">
        <v>500</v>
      </c>
    </row>
    <row r="67" spans="2:5" ht="24" customHeight="1" thickBot="1" x14ac:dyDescent="0.3">
      <c r="B67" s="735" t="s">
        <v>585</v>
      </c>
      <c r="C67" s="736" t="s">
        <v>1046</v>
      </c>
      <c r="D67" s="736" t="s">
        <v>982</v>
      </c>
      <c r="E67" s="737">
        <v>0</v>
      </c>
    </row>
    <row r="68" spans="2:5" s="673" customFormat="1" ht="28.5" customHeight="1" thickTop="1" thickBot="1" x14ac:dyDescent="0.3">
      <c r="B68" s="738"/>
      <c r="C68" s="739" t="s">
        <v>9</v>
      </c>
      <c r="D68" s="740"/>
      <c r="E68" s="741">
        <f>SUM(E5:E67)</f>
        <v>50626</v>
      </c>
    </row>
    <row r="69" spans="2:5" x14ac:dyDescent="0.25">
      <c r="C69" s="198"/>
    </row>
    <row r="70" spans="2:5" x14ac:dyDescent="0.25">
      <c r="C70" s="198"/>
    </row>
  </sheetData>
  <mergeCells count="3">
    <mergeCell ref="G4:K4"/>
    <mergeCell ref="D1:E1"/>
    <mergeCell ref="B2:E2"/>
  </mergeCells>
  <pageMargins left="0.11811023622047245" right="0.19685039370078741" top="0.6692913385826772" bottom="0.6692913385826772" header="0.15748031496062992" footer="0.31496062992125984"/>
  <pageSetup paperSize="9" scale="85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1:E24"/>
  <sheetViews>
    <sheetView workbookViewId="0"/>
  </sheetViews>
  <sheetFormatPr defaultRowHeight="14.25" x14ac:dyDescent="0.2"/>
  <cols>
    <col min="1" max="1" width="9.140625" style="1" customWidth="1"/>
    <col min="2" max="2" width="6.28515625" style="1" customWidth="1"/>
    <col min="3" max="3" width="38.7109375" style="1" customWidth="1"/>
    <col min="4" max="4" width="42.140625" style="1" customWidth="1"/>
    <col min="5" max="5" width="10.7109375" style="51" customWidth="1"/>
    <col min="6" max="16384" width="9.140625" style="1"/>
  </cols>
  <sheetData>
    <row r="1" spans="2:5" customFormat="1" ht="15" x14ac:dyDescent="0.25">
      <c r="B1" s="1"/>
      <c r="C1" s="1"/>
      <c r="D1" s="1"/>
      <c r="E1" s="51"/>
    </row>
    <row r="2" spans="2:5" customFormat="1" ht="15" x14ac:dyDescent="0.25">
      <c r="B2" s="1"/>
      <c r="C2" s="1"/>
      <c r="D2" s="1"/>
      <c r="E2" s="179" t="s">
        <v>204</v>
      </c>
    </row>
    <row r="3" spans="2:5" customFormat="1" ht="15" x14ac:dyDescent="0.25">
      <c r="B3" s="199"/>
      <c r="C3" s="1"/>
      <c r="D3" s="1"/>
      <c r="E3" s="51"/>
    </row>
    <row r="4" spans="2:5" customFormat="1" ht="19.5" x14ac:dyDescent="0.3">
      <c r="B4" s="884" t="s">
        <v>603</v>
      </c>
      <c r="C4" s="884"/>
      <c r="D4" s="884"/>
      <c r="E4" s="884"/>
    </row>
    <row r="5" spans="2:5" customFormat="1" ht="15.75" thickBot="1" x14ac:dyDescent="0.3">
      <c r="B5" s="1"/>
      <c r="C5" s="1"/>
      <c r="D5" s="1"/>
      <c r="E5" s="200"/>
    </row>
    <row r="6" spans="2:5" s="67" customFormat="1" ht="35.25" customHeight="1" x14ac:dyDescent="0.25">
      <c r="B6" s="201" t="s">
        <v>189</v>
      </c>
      <c r="C6" s="3" t="s">
        <v>200</v>
      </c>
      <c r="D6" s="3" t="s">
        <v>201</v>
      </c>
      <c r="E6" s="494" t="s">
        <v>811</v>
      </c>
    </row>
    <row r="7" spans="2:5" s="67" customFormat="1" ht="33.75" customHeight="1" x14ac:dyDescent="0.25">
      <c r="B7" s="177">
        <v>1</v>
      </c>
      <c r="C7" s="202" t="s">
        <v>777</v>
      </c>
      <c r="D7" s="197" t="s">
        <v>778</v>
      </c>
      <c r="E7" s="760">
        <v>445</v>
      </c>
    </row>
    <row r="8" spans="2:5" s="67" customFormat="1" ht="18" customHeight="1" x14ac:dyDescent="0.25">
      <c r="B8" s="177">
        <v>2</v>
      </c>
      <c r="C8" s="202" t="s">
        <v>779</v>
      </c>
      <c r="D8" s="197" t="s">
        <v>780</v>
      </c>
      <c r="E8" s="761">
        <v>250</v>
      </c>
    </row>
    <row r="9" spans="2:5" s="67" customFormat="1" ht="20.25" customHeight="1" x14ac:dyDescent="0.25">
      <c r="B9" s="177">
        <v>3</v>
      </c>
      <c r="C9" s="202" t="s">
        <v>781</v>
      </c>
      <c r="D9" s="197" t="s">
        <v>782</v>
      </c>
      <c r="E9" s="761">
        <v>1200</v>
      </c>
    </row>
    <row r="10" spans="2:5" s="67" customFormat="1" ht="15" customHeight="1" x14ac:dyDescent="0.25">
      <c r="B10" s="177">
        <v>4</v>
      </c>
      <c r="C10" s="202" t="s">
        <v>783</v>
      </c>
      <c r="D10" s="197" t="s">
        <v>784</v>
      </c>
      <c r="E10" s="761">
        <v>250</v>
      </c>
    </row>
    <row r="11" spans="2:5" s="67" customFormat="1" ht="19.149999999999999" customHeight="1" x14ac:dyDescent="0.25">
      <c r="B11" s="177">
        <v>5</v>
      </c>
      <c r="C11" s="202" t="s">
        <v>785</v>
      </c>
      <c r="D11" s="197" t="s">
        <v>786</v>
      </c>
      <c r="E11" s="761">
        <v>1200</v>
      </c>
    </row>
    <row r="12" spans="2:5" customFormat="1" ht="18" customHeight="1" x14ac:dyDescent="0.25">
      <c r="B12" s="177">
        <v>6</v>
      </c>
      <c r="C12" s="202" t="s">
        <v>787</v>
      </c>
      <c r="D12" s="197" t="s">
        <v>788</v>
      </c>
      <c r="E12" s="761">
        <v>500</v>
      </c>
    </row>
    <row r="13" spans="2:5" customFormat="1" ht="27.75" customHeight="1" x14ac:dyDescent="0.25">
      <c r="B13" s="177">
        <v>7</v>
      </c>
      <c r="C13" s="202" t="s">
        <v>789</v>
      </c>
      <c r="D13" s="197" t="s">
        <v>790</v>
      </c>
      <c r="E13" s="761">
        <v>1000</v>
      </c>
    </row>
    <row r="14" spans="2:5" customFormat="1" ht="31.5" customHeight="1" x14ac:dyDescent="0.25">
      <c r="B14" s="177">
        <v>8</v>
      </c>
      <c r="C14" s="202" t="s">
        <v>791</v>
      </c>
      <c r="D14" s="197" t="s">
        <v>792</v>
      </c>
      <c r="E14" s="761">
        <v>1200</v>
      </c>
    </row>
    <row r="15" spans="2:5" customFormat="1" ht="27" customHeight="1" x14ac:dyDescent="0.25">
      <c r="B15" s="177">
        <v>9</v>
      </c>
      <c r="C15" s="202" t="s">
        <v>793</v>
      </c>
      <c r="D15" s="197" t="s">
        <v>794</v>
      </c>
      <c r="E15" s="761">
        <v>1700</v>
      </c>
    </row>
    <row r="16" spans="2:5" customFormat="1" ht="24" customHeight="1" x14ac:dyDescent="0.25">
      <c r="B16" s="177">
        <v>10</v>
      </c>
      <c r="C16" s="202" t="s">
        <v>795</v>
      </c>
      <c r="D16" s="197" t="s">
        <v>796</v>
      </c>
      <c r="E16" s="761">
        <v>1501</v>
      </c>
    </row>
    <row r="17" spans="2:5" customFormat="1" ht="25.5" customHeight="1" x14ac:dyDescent="0.25">
      <c r="B17" s="177">
        <v>11</v>
      </c>
      <c r="C17" s="202" t="s">
        <v>797</v>
      </c>
      <c r="D17" s="197" t="s">
        <v>798</v>
      </c>
      <c r="E17" s="761">
        <v>1200</v>
      </c>
    </row>
    <row r="18" spans="2:5" customFormat="1" ht="19.5" customHeight="1" x14ac:dyDescent="0.25">
      <c r="B18" s="177">
        <v>12</v>
      </c>
      <c r="C18" s="202" t="s">
        <v>799</v>
      </c>
      <c r="D18" s="197" t="s">
        <v>800</v>
      </c>
      <c r="E18" s="761">
        <v>800</v>
      </c>
    </row>
    <row r="19" spans="2:5" customFormat="1" ht="18.75" customHeight="1" x14ac:dyDescent="0.25">
      <c r="B19" s="177">
        <v>13</v>
      </c>
      <c r="C19" s="202" t="s">
        <v>801</v>
      </c>
      <c r="D19" s="197" t="s">
        <v>802</v>
      </c>
      <c r="E19" s="761">
        <v>1500</v>
      </c>
    </row>
    <row r="20" spans="2:5" customFormat="1" ht="24.75" customHeight="1" x14ac:dyDescent="0.25">
      <c r="B20" s="177">
        <v>14</v>
      </c>
      <c r="C20" s="202" t="s">
        <v>803</v>
      </c>
      <c r="D20" s="197" t="s">
        <v>804</v>
      </c>
      <c r="E20" s="761">
        <v>680</v>
      </c>
    </row>
    <row r="21" spans="2:5" customFormat="1" ht="28.5" customHeight="1" x14ac:dyDescent="0.25">
      <c r="B21" s="177">
        <v>15</v>
      </c>
      <c r="C21" s="202" t="s">
        <v>805</v>
      </c>
      <c r="D21" s="197" t="s">
        <v>806</v>
      </c>
      <c r="E21" s="761">
        <v>1200</v>
      </c>
    </row>
    <row r="22" spans="2:5" s="391" customFormat="1" ht="38.25" customHeight="1" x14ac:dyDescent="0.25">
      <c r="B22" s="177">
        <v>16</v>
      </c>
      <c r="C22" s="202" t="s">
        <v>1047</v>
      </c>
      <c r="D22" s="202" t="s">
        <v>807</v>
      </c>
      <c r="E22" s="762">
        <f>1200-444</f>
        <v>756</v>
      </c>
    </row>
    <row r="23" spans="2:5" s="391" customFormat="1" ht="28.5" customHeight="1" thickBot="1" x14ac:dyDescent="0.3">
      <c r="B23" s="308">
        <v>17</v>
      </c>
      <c r="C23" s="202" t="s">
        <v>808</v>
      </c>
      <c r="D23" s="202" t="s">
        <v>809</v>
      </c>
      <c r="E23" s="762">
        <v>300</v>
      </c>
    </row>
    <row r="24" spans="2:5" s="67" customFormat="1" ht="24.75" customHeight="1" thickTop="1" thickBot="1" x14ac:dyDescent="0.3">
      <c r="B24" s="763"/>
      <c r="C24" s="885" t="s">
        <v>9</v>
      </c>
      <c r="D24" s="885"/>
      <c r="E24" s="764">
        <f>SUM(E7:E23)</f>
        <v>15682</v>
      </c>
    </row>
  </sheetData>
  <mergeCells count="2">
    <mergeCell ref="B4:E4"/>
    <mergeCell ref="C24:D24"/>
  </mergeCells>
  <pageMargins left="0.39370078740157505" right="0.15748031496063003" top="1.023622047244094" bottom="0.98425196850393704" header="0.27559055118110198" footer="0.511811023622047"/>
  <pageSetup paperSize="9" scale="9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1:E31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4" width="36.7109375" style="1" customWidth="1"/>
    <col min="5" max="5" width="13" style="180" customWidth="1"/>
    <col min="6" max="16384" width="9.140625" style="1"/>
  </cols>
  <sheetData>
    <row r="1" spans="2:5" customFormat="1" ht="15" x14ac:dyDescent="0.25">
      <c r="B1" s="203"/>
      <c r="C1" s="203"/>
      <c r="D1" s="203"/>
      <c r="E1" s="204"/>
    </row>
    <row r="2" spans="2:5" customFormat="1" ht="15" x14ac:dyDescent="0.25">
      <c r="B2" s="203"/>
      <c r="C2" s="203"/>
      <c r="D2" s="203"/>
      <c r="E2" s="204"/>
    </row>
    <row r="3" spans="2:5" customFormat="1" ht="15" x14ac:dyDescent="0.25">
      <c r="B3" s="203"/>
      <c r="C3" s="203"/>
      <c r="D3" s="203"/>
      <c r="E3" s="205" t="s">
        <v>205</v>
      </c>
    </row>
    <row r="4" spans="2:5" customFormat="1" ht="15" x14ac:dyDescent="0.25">
      <c r="B4" s="203"/>
      <c r="C4" s="203"/>
      <c r="D4" s="203"/>
      <c r="E4" s="204"/>
    </row>
    <row r="5" spans="2:5" customFormat="1" ht="19.5" x14ac:dyDescent="0.25">
      <c r="B5" s="886" t="s">
        <v>604</v>
      </c>
      <c r="C5" s="886"/>
      <c r="D5" s="886"/>
      <c r="E5" s="886"/>
    </row>
    <row r="6" spans="2:5" customFormat="1" ht="15.75" thickBot="1" x14ac:dyDescent="0.3">
      <c r="B6" s="206"/>
      <c r="C6" s="203"/>
      <c r="D6" s="203"/>
      <c r="E6" s="207"/>
    </row>
    <row r="7" spans="2:5" customFormat="1" ht="25.5" x14ac:dyDescent="0.25">
      <c r="B7" s="492" t="s">
        <v>189</v>
      </c>
      <c r="C7" s="493" t="s">
        <v>200</v>
      </c>
      <c r="D7" s="493" t="s">
        <v>201</v>
      </c>
      <c r="E7" s="765" t="s">
        <v>811</v>
      </c>
    </row>
    <row r="8" spans="2:5" s="67" customFormat="1" x14ac:dyDescent="0.25">
      <c r="B8" s="766">
        <v>1</v>
      </c>
      <c r="C8" s="770" t="s">
        <v>635</v>
      </c>
      <c r="D8" s="767" t="s">
        <v>653</v>
      </c>
      <c r="E8" s="772">
        <v>334</v>
      </c>
    </row>
    <row r="9" spans="2:5" s="67" customFormat="1" ht="35.25" x14ac:dyDescent="0.25">
      <c r="B9" s="766">
        <v>2</v>
      </c>
      <c r="C9" s="770" t="s">
        <v>1048</v>
      </c>
      <c r="D9" s="767" t="s">
        <v>654</v>
      </c>
      <c r="E9" s="772">
        <v>0</v>
      </c>
    </row>
    <row r="10" spans="2:5" s="67" customFormat="1" ht="15.75" customHeight="1" x14ac:dyDescent="0.25">
      <c r="B10" s="766">
        <v>3</v>
      </c>
      <c r="C10" s="770" t="s">
        <v>636</v>
      </c>
      <c r="D10" s="768" t="s">
        <v>655</v>
      </c>
      <c r="E10" s="772">
        <v>334</v>
      </c>
    </row>
    <row r="11" spans="2:5" s="67" customFormat="1" ht="25.5" x14ac:dyDescent="0.25">
      <c r="B11" s="766">
        <v>4</v>
      </c>
      <c r="C11" s="770" t="s">
        <v>637</v>
      </c>
      <c r="D11" s="769" t="s">
        <v>656</v>
      </c>
      <c r="E11" s="772">
        <v>316</v>
      </c>
    </row>
    <row r="12" spans="2:5" s="67" customFormat="1" ht="30.75" customHeight="1" x14ac:dyDescent="0.25">
      <c r="B12" s="766">
        <v>5</v>
      </c>
      <c r="C12" s="770" t="s">
        <v>638</v>
      </c>
      <c r="D12" s="770" t="s">
        <v>657</v>
      </c>
      <c r="E12" s="772">
        <v>377</v>
      </c>
    </row>
    <row r="13" spans="2:5" s="67" customFormat="1" x14ac:dyDescent="0.25">
      <c r="B13" s="766">
        <v>6</v>
      </c>
      <c r="C13" s="770" t="s">
        <v>639</v>
      </c>
      <c r="D13" s="770" t="s">
        <v>658</v>
      </c>
      <c r="E13" s="772">
        <v>318</v>
      </c>
    </row>
    <row r="14" spans="2:5" s="67" customFormat="1" x14ac:dyDescent="0.25">
      <c r="B14" s="766">
        <v>7</v>
      </c>
      <c r="C14" s="770" t="s">
        <v>640</v>
      </c>
      <c r="D14" s="770" t="s">
        <v>659</v>
      </c>
      <c r="E14" s="772">
        <v>342</v>
      </c>
    </row>
    <row r="15" spans="2:5" s="67" customFormat="1" x14ac:dyDescent="0.25">
      <c r="B15" s="766">
        <v>8</v>
      </c>
      <c r="C15" s="770" t="s">
        <v>641</v>
      </c>
      <c r="D15" s="773" t="s">
        <v>660</v>
      </c>
      <c r="E15" s="772">
        <v>346</v>
      </c>
    </row>
    <row r="16" spans="2:5" s="67" customFormat="1" x14ac:dyDescent="0.25">
      <c r="B16" s="766">
        <v>9</v>
      </c>
      <c r="C16" s="770" t="s">
        <v>642</v>
      </c>
      <c r="D16" s="774" t="s">
        <v>661</v>
      </c>
      <c r="E16" s="772">
        <v>312</v>
      </c>
    </row>
    <row r="17" spans="2:5" s="67" customFormat="1" ht="38.25" x14ac:dyDescent="0.25">
      <c r="B17" s="766">
        <v>10</v>
      </c>
      <c r="C17" s="775" t="s">
        <v>643</v>
      </c>
      <c r="D17" s="775" t="s">
        <v>662</v>
      </c>
      <c r="E17" s="772">
        <v>334</v>
      </c>
    </row>
    <row r="18" spans="2:5" s="67" customFormat="1" ht="25.5" x14ac:dyDescent="0.25">
      <c r="B18" s="766">
        <v>11</v>
      </c>
      <c r="C18" s="775" t="s">
        <v>643</v>
      </c>
      <c r="D18" s="775" t="s">
        <v>663</v>
      </c>
      <c r="E18" s="772">
        <v>268</v>
      </c>
    </row>
    <row r="19" spans="2:5" s="67" customFormat="1" ht="18" customHeight="1" x14ac:dyDescent="0.25">
      <c r="B19" s="766">
        <v>12</v>
      </c>
      <c r="C19" s="775" t="s">
        <v>644</v>
      </c>
      <c r="D19" s="771" t="s">
        <v>664</v>
      </c>
      <c r="E19" s="772">
        <v>230</v>
      </c>
    </row>
    <row r="20" spans="2:5" s="67" customFormat="1" ht="33" customHeight="1" x14ac:dyDescent="0.25">
      <c r="B20" s="766">
        <v>13</v>
      </c>
      <c r="C20" s="770" t="s">
        <v>645</v>
      </c>
      <c r="D20" s="770" t="s">
        <v>665</v>
      </c>
      <c r="E20" s="772">
        <v>324</v>
      </c>
    </row>
    <row r="21" spans="2:5" s="67" customFormat="1" ht="25.5" x14ac:dyDescent="0.25">
      <c r="B21" s="766">
        <v>14</v>
      </c>
      <c r="C21" s="770" t="s">
        <v>646</v>
      </c>
      <c r="D21" s="770" t="s">
        <v>666</v>
      </c>
      <c r="E21" s="772">
        <v>363</v>
      </c>
    </row>
    <row r="22" spans="2:5" s="67" customFormat="1" ht="25.5" x14ac:dyDescent="0.25">
      <c r="B22" s="766">
        <v>15</v>
      </c>
      <c r="C22" s="770" t="s">
        <v>647</v>
      </c>
      <c r="D22" s="775" t="s">
        <v>667</v>
      </c>
      <c r="E22" s="772">
        <v>296</v>
      </c>
    </row>
    <row r="23" spans="2:5" s="67" customFormat="1" ht="35.25" x14ac:dyDescent="0.25">
      <c r="B23" s="766">
        <v>16</v>
      </c>
      <c r="C23" s="775" t="s">
        <v>1049</v>
      </c>
      <c r="D23" s="775" t="s">
        <v>668</v>
      </c>
      <c r="E23" s="772">
        <f>305-140</f>
        <v>165</v>
      </c>
    </row>
    <row r="24" spans="2:5" s="67" customFormat="1" ht="25.5" x14ac:dyDescent="0.25">
      <c r="B24" s="766">
        <v>17</v>
      </c>
      <c r="C24" s="775" t="s">
        <v>648</v>
      </c>
      <c r="D24" s="773" t="s">
        <v>669</v>
      </c>
      <c r="E24" s="772">
        <v>307</v>
      </c>
    </row>
    <row r="25" spans="2:5" s="67" customFormat="1" ht="38.25" x14ac:dyDescent="0.25">
      <c r="B25" s="766">
        <v>18</v>
      </c>
      <c r="C25" s="770" t="s">
        <v>649</v>
      </c>
      <c r="D25" s="770" t="s">
        <v>670</v>
      </c>
      <c r="E25" s="772">
        <v>318</v>
      </c>
    </row>
    <row r="26" spans="2:5" s="67" customFormat="1" ht="25.5" x14ac:dyDescent="0.25">
      <c r="B26" s="766">
        <v>19</v>
      </c>
      <c r="C26" s="770" t="s">
        <v>650</v>
      </c>
      <c r="D26" s="771" t="s">
        <v>671</v>
      </c>
      <c r="E26" s="772">
        <v>312</v>
      </c>
    </row>
    <row r="27" spans="2:5" s="67" customFormat="1" ht="36.75" x14ac:dyDescent="0.25">
      <c r="B27" s="766">
        <v>20</v>
      </c>
      <c r="C27" s="770" t="s">
        <v>1050</v>
      </c>
      <c r="D27" s="771" t="s">
        <v>672</v>
      </c>
      <c r="E27" s="772">
        <v>0</v>
      </c>
    </row>
    <row r="28" spans="2:5" s="67" customFormat="1" ht="17.25" customHeight="1" x14ac:dyDescent="0.25">
      <c r="B28" s="766">
        <v>21</v>
      </c>
      <c r="C28" s="770" t="s">
        <v>651</v>
      </c>
      <c r="D28" s="773" t="s">
        <v>673</v>
      </c>
      <c r="E28" s="772">
        <v>325</v>
      </c>
    </row>
    <row r="29" spans="2:5" s="67" customFormat="1" x14ac:dyDescent="0.25">
      <c r="B29" s="766">
        <v>22</v>
      </c>
      <c r="C29" s="775" t="s">
        <v>645</v>
      </c>
      <c r="D29" s="770" t="s">
        <v>674</v>
      </c>
      <c r="E29" s="772">
        <v>340</v>
      </c>
    </row>
    <row r="30" spans="2:5" s="67" customFormat="1" ht="15" thickBot="1" x14ac:dyDescent="0.3">
      <c r="B30" s="776">
        <v>23</v>
      </c>
      <c r="C30" s="777" t="s">
        <v>652</v>
      </c>
      <c r="D30" s="778" t="s">
        <v>675</v>
      </c>
      <c r="E30" s="779">
        <v>284</v>
      </c>
    </row>
    <row r="31" spans="2:5" customFormat="1" ht="27" customHeight="1" thickTop="1" thickBot="1" x14ac:dyDescent="0.3">
      <c r="B31" s="780"/>
      <c r="C31" s="887" t="s">
        <v>9</v>
      </c>
      <c r="D31" s="887"/>
      <c r="E31" s="781">
        <f>SUM(E8:E30)</f>
        <v>6545</v>
      </c>
    </row>
  </sheetData>
  <mergeCells count="2">
    <mergeCell ref="B5:E5"/>
    <mergeCell ref="C31:D31"/>
  </mergeCells>
  <phoneticPr fontId="58" type="noConversion"/>
  <pageMargins left="0.39370078740157483" right="0.31496062992125984" top="0.74803149606299213" bottom="0.74803149606299213" header="0.31496062992125984" footer="0.31496062992125984"/>
  <pageSetup paperSize="9" scale="95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G29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4" width="35" style="1" customWidth="1"/>
    <col min="5" max="5" width="11.7109375" style="180" customWidth="1"/>
    <col min="6" max="16384" width="9.140625" style="1"/>
  </cols>
  <sheetData>
    <row r="1" spans="1:7" customFormat="1" ht="15" x14ac:dyDescent="0.25">
      <c r="A1" s="406"/>
      <c r="B1" s="463"/>
      <c r="C1" s="463"/>
      <c r="D1" s="463"/>
      <c r="E1" s="464"/>
    </row>
    <row r="2" spans="1:7" customFormat="1" ht="15" x14ac:dyDescent="0.25">
      <c r="A2" s="406"/>
      <c r="B2" s="463"/>
      <c r="C2" s="463"/>
      <c r="D2" s="463"/>
      <c r="E2" s="464"/>
    </row>
    <row r="3" spans="1:7" customFormat="1" ht="15" x14ac:dyDescent="0.25">
      <c r="A3" s="406"/>
      <c r="B3" s="463"/>
      <c r="C3" s="463"/>
      <c r="D3" s="463"/>
      <c r="E3" s="465" t="s">
        <v>207</v>
      </c>
    </row>
    <row r="4" spans="1:7" customFormat="1" ht="15" x14ac:dyDescent="0.25">
      <c r="A4" s="406"/>
      <c r="B4" s="463"/>
      <c r="C4" s="463"/>
      <c r="D4" s="463"/>
      <c r="E4" s="464"/>
    </row>
    <row r="5" spans="1:7" customFormat="1" ht="19.5" x14ac:dyDescent="0.25">
      <c r="A5" s="406"/>
      <c r="B5" s="888" t="s">
        <v>605</v>
      </c>
      <c r="C5" s="888"/>
      <c r="D5" s="888"/>
      <c r="E5" s="888"/>
    </row>
    <row r="6" spans="1:7" customFormat="1" ht="15.75" thickBot="1" x14ac:dyDescent="0.3">
      <c r="A6" s="406"/>
      <c r="B6" s="466"/>
      <c r="C6" s="463"/>
      <c r="D6" s="463"/>
      <c r="E6" s="467"/>
    </row>
    <row r="7" spans="1:7" customFormat="1" ht="25.5" x14ac:dyDescent="0.25">
      <c r="A7" s="406"/>
      <c r="B7" s="468" t="s">
        <v>189</v>
      </c>
      <c r="C7" s="469" t="s">
        <v>206</v>
      </c>
      <c r="D7" s="469" t="s">
        <v>201</v>
      </c>
      <c r="E7" s="494" t="s">
        <v>811</v>
      </c>
    </row>
    <row r="8" spans="1:7" x14ac:dyDescent="0.2">
      <c r="B8" s="470">
        <v>1</v>
      </c>
      <c r="C8" s="471" t="s">
        <v>613</v>
      </c>
      <c r="D8" s="472" t="s">
        <v>614</v>
      </c>
      <c r="E8" s="495">
        <v>840</v>
      </c>
    </row>
    <row r="9" spans="1:7" s="67" customFormat="1" ht="36.75" x14ac:dyDescent="0.25">
      <c r="B9" s="470">
        <v>2</v>
      </c>
      <c r="C9" s="477" t="s">
        <v>1051</v>
      </c>
      <c r="D9" s="475" t="s">
        <v>615</v>
      </c>
      <c r="E9" s="496">
        <f>2000-510</f>
        <v>1490</v>
      </c>
    </row>
    <row r="10" spans="1:7" s="67" customFormat="1" x14ac:dyDescent="0.25">
      <c r="B10" s="470">
        <v>3</v>
      </c>
      <c r="C10" s="476" t="s">
        <v>616</v>
      </c>
      <c r="D10" s="475" t="s">
        <v>594</v>
      </c>
      <c r="E10" s="496">
        <v>1906</v>
      </c>
    </row>
    <row r="11" spans="1:7" s="67" customFormat="1" x14ac:dyDescent="0.25">
      <c r="B11" s="470">
        <v>4</v>
      </c>
      <c r="C11" s="474" t="s">
        <v>617</v>
      </c>
      <c r="D11" s="475" t="s">
        <v>618</v>
      </c>
      <c r="E11" s="496">
        <v>603</v>
      </c>
    </row>
    <row r="12" spans="1:7" customFormat="1" ht="27" customHeight="1" x14ac:dyDescent="0.25">
      <c r="A12" s="406"/>
      <c r="B12" s="470">
        <v>5</v>
      </c>
      <c r="C12" s="474" t="s">
        <v>619</v>
      </c>
      <c r="D12" s="475" t="s">
        <v>620</v>
      </c>
      <c r="E12" s="496">
        <v>791</v>
      </c>
    </row>
    <row r="13" spans="1:7" ht="25.5" x14ac:dyDescent="0.2">
      <c r="B13" s="470">
        <v>6</v>
      </c>
      <c r="C13" s="474" t="s">
        <v>621</v>
      </c>
      <c r="D13" s="475" t="s">
        <v>622</v>
      </c>
      <c r="E13" s="496">
        <v>926</v>
      </c>
    </row>
    <row r="14" spans="1:7" customFormat="1" ht="15.75" thickBot="1" x14ac:dyDescent="0.3">
      <c r="A14" s="406"/>
      <c r="B14" s="782">
        <v>7</v>
      </c>
      <c r="C14" s="477" t="s">
        <v>619</v>
      </c>
      <c r="D14" s="783" t="s">
        <v>623</v>
      </c>
      <c r="E14" s="784">
        <v>2610</v>
      </c>
    </row>
    <row r="15" spans="1:7" customFormat="1" ht="17.25" thickTop="1" thickBot="1" x14ac:dyDescent="0.3">
      <c r="A15" s="406"/>
      <c r="B15" s="780"/>
      <c r="C15" s="887" t="s">
        <v>9</v>
      </c>
      <c r="D15" s="887"/>
      <c r="E15" s="785">
        <f>SUM(E8:E14)</f>
        <v>9166</v>
      </c>
      <c r="G15" s="195"/>
    </row>
    <row r="16" spans="1:7" customFormat="1" ht="15" x14ac:dyDescent="0.25">
      <c r="A16" s="406"/>
      <c r="B16" s="462"/>
      <c r="C16" s="462"/>
      <c r="D16" s="462"/>
      <c r="E16" s="478"/>
    </row>
    <row r="17" spans="2:5" ht="15" x14ac:dyDescent="0.25">
      <c r="B17" s="463"/>
      <c r="C17" s="473"/>
      <c r="D17" s="473"/>
      <c r="E17" s="473"/>
    </row>
    <row r="18" spans="2:5" x14ac:dyDescent="0.2">
      <c r="B18" s="479"/>
      <c r="C18" s="479"/>
      <c r="D18" s="479"/>
      <c r="E18" s="480"/>
    </row>
    <row r="19" spans="2:5" x14ac:dyDescent="0.2">
      <c r="B19" s="463"/>
      <c r="C19" s="479"/>
      <c r="D19" s="479"/>
      <c r="E19" s="480"/>
    </row>
    <row r="20" spans="2:5" ht="15" x14ac:dyDescent="0.25">
      <c r="B20" s="461"/>
      <c r="C20" s="461"/>
      <c r="D20" s="461"/>
      <c r="E20" s="461"/>
    </row>
    <row r="21" spans="2:5" ht="15" x14ac:dyDescent="0.25">
      <c r="B21" s="461"/>
      <c r="C21" s="461"/>
      <c r="D21" s="461"/>
      <c r="E21" s="461"/>
    </row>
    <row r="22" spans="2:5" ht="15" x14ac:dyDescent="0.25">
      <c r="B22" s="461"/>
      <c r="C22" s="461"/>
      <c r="D22" s="461"/>
      <c r="E22" s="461"/>
    </row>
    <row r="23" spans="2:5" ht="15" x14ac:dyDescent="0.25">
      <c r="B23" s="461"/>
      <c r="C23" s="461"/>
      <c r="D23" s="461"/>
      <c r="E23" s="461"/>
    </row>
    <row r="24" spans="2:5" ht="15" x14ac:dyDescent="0.25">
      <c r="B24" s="461"/>
      <c r="C24" s="461"/>
      <c r="D24" s="461"/>
      <c r="E24" s="461"/>
    </row>
    <row r="25" spans="2:5" ht="15" x14ac:dyDescent="0.25">
      <c r="B25" s="461"/>
      <c r="C25" s="461"/>
      <c r="D25" s="461"/>
      <c r="E25" s="461"/>
    </row>
    <row r="26" spans="2:5" ht="15" x14ac:dyDescent="0.25">
      <c r="B26" s="461"/>
      <c r="C26" s="461"/>
      <c r="D26" s="461"/>
      <c r="E26" s="461"/>
    </row>
    <row r="27" spans="2:5" ht="15" x14ac:dyDescent="0.25">
      <c r="B27" s="461"/>
      <c r="C27" s="461"/>
      <c r="D27" s="461"/>
      <c r="E27" s="461"/>
    </row>
    <row r="28" spans="2:5" ht="15" x14ac:dyDescent="0.25">
      <c r="B28" s="461"/>
      <c r="C28" s="461"/>
      <c r="D28" s="461"/>
      <c r="E28" s="461"/>
    </row>
    <row r="29" spans="2:5" ht="15" x14ac:dyDescent="0.25">
      <c r="B29" s="461"/>
      <c r="C29" s="461"/>
      <c r="D29" s="461"/>
      <c r="E29" s="461"/>
    </row>
  </sheetData>
  <mergeCells count="2">
    <mergeCell ref="B5:E5"/>
    <mergeCell ref="C15:D15"/>
  </mergeCells>
  <pageMargins left="0.511811023622047" right="0.511811023622047" top="0.74803149606299213" bottom="0.74803149606299213" header="0.31496062992126012" footer="0.31496062992126012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O26"/>
  <sheetViews>
    <sheetView workbookViewId="0"/>
  </sheetViews>
  <sheetFormatPr defaultRowHeight="14.25" x14ac:dyDescent="0.2"/>
  <cols>
    <col min="1" max="1" width="3.5703125" style="1" customWidth="1"/>
    <col min="2" max="2" width="42.85546875" style="1" customWidth="1"/>
    <col min="3" max="3" width="14.5703125" style="1" customWidth="1"/>
    <col min="4" max="4" width="13.28515625" style="1" customWidth="1"/>
    <col min="5" max="5" width="13.140625" style="1" customWidth="1"/>
    <col min="6" max="6" width="9.140625" style="1" customWidth="1"/>
    <col min="7" max="16384" width="9.140625" style="1"/>
  </cols>
  <sheetData>
    <row r="1" spans="2:15" x14ac:dyDescent="0.2">
      <c r="E1" s="163" t="s">
        <v>208</v>
      </c>
    </row>
    <row r="2" spans="2:15" x14ac:dyDescent="0.2">
      <c r="B2" s="27"/>
      <c r="C2" s="151"/>
      <c r="D2" s="151"/>
      <c r="F2" s="151"/>
      <c r="G2" s="151"/>
    </row>
    <row r="3" spans="2:15" ht="18" x14ac:dyDescent="0.25">
      <c r="B3" s="831" t="s">
        <v>608</v>
      </c>
      <c r="C3" s="831"/>
      <c r="D3" s="831"/>
      <c r="E3" s="831"/>
      <c r="F3" s="151"/>
      <c r="G3" s="151"/>
    </row>
    <row r="4" spans="2:15" ht="15" thickBot="1" x14ac:dyDescent="0.25">
      <c r="B4" s="27"/>
      <c r="C4" s="151"/>
      <c r="D4" s="151"/>
      <c r="E4" s="151"/>
      <c r="F4" s="151"/>
      <c r="G4" s="151"/>
    </row>
    <row r="5" spans="2:15" ht="15.75" thickBot="1" x14ac:dyDescent="0.3">
      <c r="B5" s="889" t="s">
        <v>21</v>
      </c>
      <c r="C5" s="890" t="s">
        <v>607</v>
      </c>
      <c r="D5" s="890" t="s">
        <v>526</v>
      </c>
      <c r="E5" s="208" t="s">
        <v>209</v>
      </c>
      <c r="F5" s="151"/>
      <c r="G5" s="27"/>
    </row>
    <row r="6" spans="2:15" ht="15" x14ac:dyDescent="0.25">
      <c r="B6" s="889"/>
      <c r="C6" s="890"/>
      <c r="D6" s="890"/>
      <c r="E6" s="209" t="s">
        <v>210</v>
      </c>
      <c r="F6" s="151"/>
      <c r="G6" s="27"/>
    </row>
    <row r="7" spans="2:15" ht="13.5" customHeight="1" x14ac:dyDescent="0.2">
      <c r="B7" s="210" t="s">
        <v>211</v>
      </c>
      <c r="C7" s="211">
        <v>1286937.6399999999</v>
      </c>
      <c r="D7" s="211">
        <v>838944.52</v>
      </c>
      <c r="E7" s="32">
        <f t="shared" ref="E7:E23" si="0">C7-D7</f>
        <v>447993.11999999988</v>
      </c>
      <c r="F7" s="151"/>
      <c r="G7" s="27"/>
    </row>
    <row r="8" spans="2:15" ht="14.25" customHeight="1" x14ac:dyDescent="0.2">
      <c r="B8" s="210" t="s">
        <v>212</v>
      </c>
      <c r="C8" s="211">
        <v>26625.88</v>
      </c>
      <c r="D8" s="211">
        <v>21744.41</v>
      </c>
      <c r="E8" s="32">
        <f t="shared" si="0"/>
        <v>4881.4700000000012</v>
      </c>
      <c r="F8" s="151"/>
      <c r="G8" s="27"/>
    </row>
    <row r="9" spans="2:15" ht="17.25" customHeight="1" x14ac:dyDescent="0.2">
      <c r="B9" s="212" t="s">
        <v>213</v>
      </c>
      <c r="C9" s="213">
        <v>39.51</v>
      </c>
      <c r="D9" s="213">
        <v>39.51</v>
      </c>
      <c r="E9" s="113">
        <f t="shared" si="0"/>
        <v>0</v>
      </c>
      <c r="F9" s="151"/>
      <c r="G9" s="27"/>
    </row>
    <row r="10" spans="2:15" ht="12.75" customHeight="1" x14ac:dyDescent="0.2">
      <c r="B10" s="210" t="s">
        <v>214</v>
      </c>
      <c r="C10" s="211">
        <v>242.31</v>
      </c>
      <c r="D10" s="211">
        <v>242.31</v>
      </c>
      <c r="E10" s="32">
        <f t="shared" si="0"/>
        <v>0</v>
      </c>
      <c r="F10" s="151"/>
      <c r="G10" s="27"/>
      <c r="O10" s="27"/>
    </row>
    <row r="11" spans="2:15" x14ac:dyDescent="0.2">
      <c r="B11" s="210" t="s">
        <v>215</v>
      </c>
      <c r="C11" s="211">
        <v>9596.9500000000007</v>
      </c>
      <c r="D11" s="211">
        <v>61529.11</v>
      </c>
      <c r="E11" s="32">
        <f t="shared" si="0"/>
        <v>-51932.160000000003</v>
      </c>
      <c r="F11" s="151"/>
      <c r="G11" s="27"/>
    </row>
    <row r="12" spans="2:15" x14ac:dyDescent="0.2">
      <c r="B12" s="210" t="s">
        <v>216</v>
      </c>
      <c r="C12" s="211">
        <v>0</v>
      </c>
      <c r="D12" s="211">
        <v>0</v>
      </c>
      <c r="E12" s="32">
        <f t="shared" si="0"/>
        <v>0</v>
      </c>
      <c r="F12" s="151"/>
      <c r="G12" s="27"/>
    </row>
    <row r="13" spans="2:15" x14ac:dyDescent="0.2">
      <c r="B13" s="210" t="s">
        <v>217</v>
      </c>
      <c r="C13" s="211">
        <v>35942.5</v>
      </c>
      <c r="D13" s="211">
        <v>32196.5</v>
      </c>
      <c r="E13" s="32">
        <f t="shared" si="0"/>
        <v>3746</v>
      </c>
      <c r="F13" s="151"/>
      <c r="G13" s="27"/>
    </row>
    <row r="14" spans="2:15" ht="15" customHeight="1" x14ac:dyDescent="0.2">
      <c r="B14" s="210" t="s">
        <v>218</v>
      </c>
      <c r="C14" s="211">
        <v>1677513.73</v>
      </c>
      <c r="D14" s="211">
        <v>1476410.18</v>
      </c>
      <c r="E14" s="32">
        <f t="shared" si="0"/>
        <v>201103.55000000005</v>
      </c>
      <c r="F14" s="151"/>
      <c r="G14" s="27"/>
    </row>
    <row r="15" spans="2:15" ht="14.25" customHeight="1" x14ac:dyDescent="0.2">
      <c r="B15" s="210" t="s">
        <v>219</v>
      </c>
      <c r="C15" s="211">
        <v>596819.25</v>
      </c>
      <c r="D15" s="211">
        <v>588021.93999999994</v>
      </c>
      <c r="E15" s="32">
        <f t="shared" si="0"/>
        <v>8797.3100000000559</v>
      </c>
      <c r="F15" s="151"/>
      <c r="G15" s="27"/>
    </row>
    <row r="16" spans="2:15" x14ac:dyDescent="0.2">
      <c r="B16" s="212" t="s">
        <v>220</v>
      </c>
      <c r="C16" s="213">
        <v>100297.72</v>
      </c>
      <c r="D16" s="213">
        <v>107190.04</v>
      </c>
      <c r="E16" s="113">
        <f t="shared" si="0"/>
        <v>-6892.3199999999924</v>
      </c>
      <c r="F16" s="151"/>
      <c r="G16" s="27"/>
    </row>
    <row r="17" spans="2:7" ht="13.5" customHeight="1" x14ac:dyDescent="0.2">
      <c r="B17" s="210" t="s">
        <v>221</v>
      </c>
      <c r="C17" s="211">
        <v>84280.45</v>
      </c>
      <c r="D17" s="211">
        <v>81354.009999999995</v>
      </c>
      <c r="E17" s="32">
        <f t="shared" si="0"/>
        <v>2926.4400000000023</v>
      </c>
      <c r="F17" s="151"/>
      <c r="G17" s="27"/>
    </row>
    <row r="18" spans="2:7" ht="15" customHeight="1" x14ac:dyDescent="0.2">
      <c r="B18" s="210" t="s">
        <v>222</v>
      </c>
      <c r="C18" s="211">
        <v>378.79</v>
      </c>
      <c r="D18" s="211">
        <v>345.79</v>
      </c>
      <c r="E18" s="32">
        <f t="shared" si="0"/>
        <v>33</v>
      </c>
      <c r="F18" s="151"/>
      <c r="G18" s="27"/>
    </row>
    <row r="19" spans="2:7" ht="14.25" customHeight="1" x14ac:dyDescent="0.2">
      <c r="B19" s="210" t="s">
        <v>223</v>
      </c>
      <c r="C19" s="211">
        <v>22615.759999999998</v>
      </c>
      <c r="D19" s="211">
        <v>1297.76</v>
      </c>
      <c r="E19" s="32">
        <f t="shared" si="0"/>
        <v>21318</v>
      </c>
      <c r="F19" s="151"/>
      <c r="G19" s="27"/>
    </row>
    <row r="20" spans="2:7" ht="14.25" customHeight="1" x14ac:dyDescent="0.2">
      <c r="B20" s="214" t="s">
        <v>224</v>
      </c>
      <c r="C20" s="215">
        <v>13021.43</v>
      </c>
      <c r="D20" s="215">
        <v>105513.88</v>
      </c>
      <c r="E20" s="32">
        <f t="shared" si="0"/>
        <v>-92492.450000000012</v>
      </c>
      <c r="F20" s="151"/>
      <c r="G20" s="27"/>
    </row>
    <row r="21" spans="2:7" ht="14.25" customHeight="1" x14ac:dyDescent="0.2">
      <c r="B21" s="214" t="s">
        <v>225</v>
      </c>
      <c r="C21" s="215">
        <v>15618.75</v>
      </c>
      <c r="D21" s="215">
        <v>24364.3</v>
      </c>
      <c r="E21" s="32">
        <f t="shared" si="0"/>
        <v>-8745.5499999999993</v>
      </c>
      <c r="F21" s="151"/>
      <c r="G21" s="27"/>
    </row>
    <row r="22" spans="2:7" ht="15" customHeight="1" thickBot="1" x14ac:dyDescent="0.25">
      <c r="B22" s="214" t="s">
        <v>226</v>
      </c>
      <c r="C22" s="215">
        <v>212547.72</v>
      </c>
      <c r="D22" s="215">
        <v>202834.89</v>
      </c>
      <c r="E22" s="216">
        <f t="shared" si="0"/>
        <v>9712.8299999999872</v>
      </c>
      <c r="F22" s="151"/>
      <c r="G22" s="27"/>
    </row>
    <row r="23" spans="2:7" s="67" customFormat="1" ht="27.75" customHeight="1" thickTop="1" thickBot="1" x14ac:dyDescent="0.3">
      <c r="B23" s="217" t="s">
        <v>120</v>
      </c>
      <c r="C23" s="218">
        <f>SUM(C7:C22)</f>
        <v>4082478.39</v>
      </c>
      <c r="D23" s="98">
        <f>SUM(D7:D22)</f>
        <v>3542029.1499999994</v>
      </c>
      <c r="E23" s="84">
        <f t="shared" si="0"/>
        <v>540449.24000000069</v>
      </c>
      <c r="F23" s="219"/>
      <c r="G23" s="118"/>
    </row>
    <row r="25" spans="2:7" ht="33" customHeight="1" x14ac:dyDescent="0.25">
      <c r="B25" s="880"/>
      <c r="C25" s="880"/>
      <c r="D25" s="880"/>
      <c r="E25" s="880"/>
      <c r="F25" s="151"/>
      <c r="G25" s="151"/>
    </row>
    <row r="26" spans="2:7" x14ac:dyDescent="0.2">
      <c r="B26" s="27"/>
      <c r="C26" s="151"/>
      <c r="D26" s="151"/>
      <c r="E26" s="151"/>
      <c r="F26" s="151"/>
      <c r="G26" s="27"/>
    </row>
  </sheetData>
  <mergeCells count="5">
    <mergeCell ref="B3:E3"/>
    <mergeCell ref="B5:B6"/>
    <mergeCell ref="C5:C6"/>
    <mergeCell ref="D5:D6"/>
    <mergeCell ref="B25:E25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1:O61"/>
  <sheetViews>
    <sheetView workbookViewId="0"/>
  </sheetViews>
  <sheetFormatPr defaultRowHeight="12.75" x14ac:dyDescent="0.2"/>
  <cols>
    <col min="1" max="1" width="9.140625" style="621"/>
    <col min="2" max="2" width="16.42578125" style="621" customWidth="1"/>
    <col min="3" max="3" width="16.42578125" style="627" customWidth="1"/>
    <col min="4" max="4" width="13.5703125" style="622" customWidth="1"/>
    <col min="5" max="5" width="15" style="622" customWidth="1"/>
    <col min="6" max="6" width="22.140625" style="622" customWidth="1"/>
    <col min="7" max="7" width="12.85546875" style="622" customWidth="1"/>
    <col min="8" max="8" width="12.5703125" style="622" customWidth="1"/>
    <col min="9" max="9" width="11.5703125" style="628" customWidth="1"/>
    <col min="10" max="10" width="18.140625" style="621" customWidth="1"/>
    <col min="11" max="15" width="14.28515625" style="622" customWidth="1"/>
    <col min="16" max="228" width="9.140625" style="621"/>
    <col min="229" max="229" width="11.7109375" style="621" customWidth="1"/>
    <col min="230" max="230" width="16.7109375" style="621" customWidth="1"/>
    <col min="231" max="231" width="14.42578125" style="621" customWidth="1"/>
    <col min="232" max="232" width="13.140625" style="621" customWidth="1"/>
    <col min="233" max="233" width="13.28515625" style="621" customWidth="1"/>
    <col min="234" max="234" width="11.85546875" style="621" customWidth="1"/>
    <col min="235" max="235" width="16" style="621" customWidth="1"/>
    <col min="236" max="236" width="12" style="621" customWidth="1"/>
    <col min="237" max="237" width="11.5703125" style="621" customWidth="1"/>
    <col min="238" max="238" width="11.7109375" style="621" customWidth="1"/>
    <col min="239" max="239" width="17.5703125" style="621" customWidth="1"/>
    <col min="240" max="240" width="6.42578125" style="621" customWidth="1"/>
    <col min="241" max="241" width="29.28515625" style="621" customWidth="1"/>
    <col min="242" max="242" width="18.85546875" style="621" customWidth="1"/>
    <col min="243" max="484" width="9.140625" style="621"/>
    <col min="485" max="485" width="11.7109375" style="621" customWidth="1"/>
    <col min="486" max="486" width="16.7109375" style="621" customWidth="1"/>
    <col min="487" max="487" width="14.42578125" style="621" customWidth="1"/>
    <col min="488" max="488" width="13.140625" style="621" customWidth="1"/>
    <col min="489" max="489" width="13.28515625" style="621" customWidth="1"/>
    <col min="490" max="490" width="11.85546875" style="621" customWidth="1"/>
    <col min="491" max="491" width="16" style="621" customWidth="1"/>
    <col min="492" max="492" width="12" style="621" customWidth="1"/>
    <col min="493" max="493" width="11.5703125" style="621" customWidth="1"/>
    <col min="494" max="494" width="11.7109375" style="621" customWidth="1"/>
    <col min="495" max="495" width="17.5703125" style="621" customWidth="1"/>
    <col min="496" max="496" width="6.42578125" style="621" customWidth="1"/>
    <col min="497" max="497" width="29.28515625" style="621" customWidth="1"/>
    <col min="498" max="498" width="18.85546875" style="621" customWidth="1"/>
    <col min="499" max="740" width="9.140625" style="621"/>
    <col min="741" max="741" width="11.7109375" style="621" customWidth="1"/>
    <col min="742" max="742" width="16.7109375" style="621" customWidth="1"/>
    <col min="743" max="743" width="14.42578125" style="621" customWidth="1"/>
    <col min="744" max="744" width="13.140625" style="621" customWidth="1"/>
    <col min="745" max="745" width="13.28515625" style="621" customWidth="1"/>
    <col min="746" max="746" width="11.85546875" style="621" customWidth="1"/>
    <col min="747" max="747" width="16" style="621" customWidth="1"/>
    <col min="748" max="748" width="12" style="621" customWidth="1"/>
    <col min="749" max="749" width="11.5703125" style="621" customWidth="1"/>
    <col min="750" max="750" width="11.7109375" style="621" customWidth="1"/>
    <col min="751" max="751" width="17.5703125" style="621" customWidth="1"/>
    <col min="752" max="752" width="6.42578125" style="621" customWidth="1"/>
    <col min="753" max="753" width="29.28515625" style="621" customWidth="1"/>
    <col min="754" max="754" width="18.85546875" style="621" customWidth="1"/>
    <col min="755" max="996" width="9.140625" style="621"/>
    <col min="997" max="997" width="11.7109375" style="621" customWidth="1"/>
    <col min="998" max="998" width="16.7109375" style="621" customWidth="1"/>
    <col min="999" max="999" width="14.42578125" style="621" customWidth="1"/>
    <col min="1000" max="1000" width="13.140625" style="621" customWidth="1"/>
    <col min="1001" max="1001" width="13.28515625" style="621" customWidth="1"/>
    <col min="1002" max="1002" width="11.85546875" style="621" customWidth="1"/>
    <col min="1003" max="1003" width="16" style="621" customWidth="1"/>
    <col min="1004" max="1004" width="12" style="621" customWidth="1"/>
    <col min="1005" max="1005" width="11.5703125" style="621" customWidth="1"/>
    <col min="1006" max="1006" width="11.7109375" style="621" customWidth="1"/>
    <col min="1007" max="1007" width="17.5703125" style="621" customWidth="1"/>
    <col min="1008" max="1008" width="6.42578125" style="621" customWidth="1"/>
    <col min="1009" max="1009" width="29.28515625" style="621" customWidth="1"/>
    <col min="1010" max="1010" width="18.85546875" style="621" customWidth="1"/>
    <col min="1011" max="1252" width="9.140625" style="621"/>
    <col min="1253" max="1253" width="11.7109375" style="621" customWidth="1"/>
    <col min="1254" max="1254" width="16.7109375" style="621" customWidth="1"/>
    <col min="1255" max="1255" width="14.42578125" style="621" customWidth="1"/>
    <col min="1256" max="1256" width="13.140625" style="621" customWidth="1"/>
    <col min="1257" max="1257" width="13.28515625" style="621" customWidth="1"/>
    <col min="1258" max="1258" width="11.85546875" style="621" customWidth="1"/>
    <col min="1259" max="1259" width="16" style="621" customWidth="1"/>
    <col min="1260" max="1260" width="12" style="621" customWidth="1"/>
    <col min="1261" max="1261" width="11.5703125" style="621" customWidth="1"/>
    <col min="1262" max="1262" width="11.7109375" style="621" customWidth="1"/>
    <col min="1263" max="1263" width="17.5703125" style="621" customWidth="1"/>
    <col min="1264" max="1264" width="6.42578125" style="621" customWidth="1"/>
    <col min="1265" max="1265" width="29.28515625" style="621" customWidth="1"/>
    <col min="1266" max="1266" width="18.85546875" style="621" customWidth="1"/>
    <col min="1267" max="1508" width="9.140625" style="621"/>
    <col min="1509" max="1509" width="11.7109375" style="621" customWidth="1"/>
    <col min="1510" max="1510" width="16.7109375" style="621" customWidth="1"/>
    <col min="1511" max="1511" width="14.42578125" style="621" customWidth="1"/>
    <col min="1512" max="1512" width="13.140625" style="621" customWidth="1"/>
    <col min="1513" max="1513" width="13.28515625" style="621" customWidth="1"/>
    <col min="1514" max="1514" width="11.85546875" style="621" customWidth="1"/>
    <col min="1515" max="1515" width="16" style="621" customWidth="1"/>
    <col min="1516" max="1516" width="12" style="621" customWidth="1"/>
    <col min="1517" max="1517" width="11.5703125" style="621" customWidth="1"/>
    <col min="1518" max="1518" width="11.7109375" style="621" customWidth="1"/>
    <col min="1519" max="1519" width="17.5703125" style="621" customWidth="1"/>
    <col min="1520" max="1520" width="6.42578125" style="621" customWidth="1"/>
    <col min="1521" max="1521" width="29.28515625" style="621" customWidth="1"/>
    <col min="1522" max="1522" width="18.85546875" style="621" customWidth="1"/>
    <col min="1523" max="1764" width="9.140625" style="621"/>
    <col min="1765" max="1765" width="11.7109375" style="621" customWidth="1"/>
    <col min="1766" max="1766" width="16.7109375" style="621" customWidth="1"/>
    <col min="1767" max="1767" width="14.42578125" style="621" customWidth="1"/>
    <col min="1768" max="1768" width="13.140625" style="621" customWidth="1"/>
    <col min="1769" max="1769" width="13.28515625" style="621" customWidth="1"/>
    <col min="1770" max="1770" width="11.85546875" style="621" customWidth="1"/>
    <col min="1771" max="1771" width="16" style="621" customWidth="1"/>
    <col min="1772" max="1772" width="12" style="621" customWidth="1"/>
    <col min="1773" max="1773" width="11.5703125" style="621" customWidth="1"/>
    <col min="1774" max="1774" width="11.7109375" style="621" customWidth="1"/>
    <col min="1775" max="1775" width="17.5703125" style="621" customWidth="1"/>
    <col min="1776" max="1776" width="6.42578125" style="621" customWidth="1"/>
    <col min="1777" max="1777" width="29.28515625" style="621" customWidth="1"/>
    <col min="1778" max="1778" width="18.85546875" style="621" customWidth="1"/>
    <col min="1779" max="2020" width="9.140625" style="621"/>
    <col min="2021" max="2021" width="11.7109375" style="621" customWidth="1"/>
    <col min="2022" max="2022" width="16.7109375" style="621" customWidth="1"/>
    <col min="2023" max="2023" width="14.42578125" style="621" customWidth="1"/>
    <col min="2024" max="2024" width="13.140625" style="621" customWidth="1"/>
    <col min="2025" max="2025" width="13.28515625" style="621" customWidth="1"/>
    <col min="2026" max="2026" width="11.85546875" style="621" customWidth="1"/>
    <col min="2027" max="2027" width="16" style="621" customWidth="1"/>
    <col min="2028" max="2028" width="12" style="621" customWidth="1"/>
    <col min="2029" max="2029" width="11.5703125" style="621" customWidth="1"/>
    <col min="2030" max="2030" width="11.7109375" style="621" customWidth="1"/>
    <col min="2031" max="2031" width="17.5703125" style="621" customWidth="1"/>
    <col min="2032" max="2032" width="6.42578125" style="621" customWidth="1"/>
    <col min="2033" max="2033" width="29.28515625" style="621" customWidth="1"/>
    <col min="2034" max="2034" width="18.85546875" style="621" customWidth="1"/>
    <col min="2035" max="2276" width="9.140625" style="621"/>
    <col min="2277" max="2277" width="11.7109375" style="621" customWidth="1"/>
    <col min="2278" max="2278" width="16.7109375" style="621" customWidth="1"/>
    <col min="2279" max="2279" width="14.42578125" style="621" customWidth="1"/>
    <col min="2280" max="2280" width="13.140625" style="621" customWidth="1"/>
    <col min="2281" max="2281" width="13.28515625" style="621" customWidth="1"/>
    <col min="2282" max="2282" width="11.85546875" style="621" customWidth="1"/>
    <col min="2283" max="2283" width="16" style="621" customWidth="1"/>
    <col min="2284" max="2284" width="12" style="621" customWidth="1"/>
    <col min="2285" max="2285" width="11.5703125" style="621" customWidth="1"/>
    <col min="2286" max="2286" width="11.7109375" style="621" customWidth="1"/>
    <col min="2287" max="2287" width="17.5703125" style="621" customWidth="1"/>
    <col min="2288" max="2288" width="6.42578125" style="621" customWidth="1"/>
    <col min="2289" max="2289" width="29.28515625" style="621" customWidth="1"/>
    <col min="2290" max="2290" width="18.85546875" style="621" customWidth="1"/>
    <col min="2291" max="2532" width="9.140625" style="621"/>
    <col min="2533" max="2533" width="11.7109375" style="621" customWidth="1"/>
    <col min="2534" max="2534" width="16.7109375" style="621" customWidth="1"/>
    <col min="2535" max="2535" width="14.42578125" style="621" customWidth="1"/>
    <col min="2536" max="2536" width="13.140625" style="621" customWidth="1"/>
    <col min="2537" max="2537" width="13.28515625" style="621" customWidth="1"/>
    <col min="2538" max="2538" width="11.85546875" style="621" customWidth="1"/>
    <col min="2539" max="2539" width="16" style="621" customWidth="1"/>
    <col min="2540" max="2540" width="12" style="621" customWidth="1"/>
    <col min="2541" max="2541" width="11.5703125" style="621" customWidth="1"/>
    <col min="2542" max="2542" width="11.7109375" style="621" customWidth="1"/>
    <col min="2543" max="2543" width="17.5703125" style="621" customWidth="1"/>
    <col min="2544" max="2544" width="6.42578125" style="621" customWidth="1"/>
    <col min="2545" max="2545" width="29.28515625" style="621" customWidth="1"/>
    <col min="2546" max="2546" width="18.85546875" style="621" customWidth="1"/>
    <col min="2547" max="2788" width="9.140625" style="621"/>
    <col min="2789" max="2789" width="11.7109375" style="621" customWidth="1"/>
    <col min="2790" max="2790" width="16.7109375" style="621" customWidth="1"/>
    <col min="2791" max="2791" width="14.42578125" style="621" customWidth="1"/>
    <col min="2792" max="2792" width="13.140625" style="621" customWidth="1"/>
    <col min="2793" max="2793" width="13.28515625" style="621" customWidth="1"/>
    <col min="2794" max="2794" width="11.85546875" style="621" customWidth="1"/>
    <col min="2795" max="2795" width="16" style="621" customWidth="1"/>
    <col min="2796" max="2796" width="12" style="621" customWidth="1"/>
    <col min="2797" max="2797" width="11.5703125" style="621" customWidth="1"/>
    <col min="2798" max="2798" width="11.7109375" style="621" customWidth="1"/>
    <col min="2799" max="2799" width="17.5703125" style="621" customWidth="1"/>
    <col min="2800" max="2800" width="6.42578125" style="621" customWidth="1"/>
    <col min="2801" max="2801" width="29.28515625" style="621" customWidth="1"/>
    <col min="2802" max="2802" width="18.85546875" style="621" customWidth="1"/>
    <col min="2803" max="3044" width="9.140625" style="621"/>
    <col min="3045" max="3045" width="11.7109375" style="621" customWidth="1"/>
    <col min="3046" max="3046" width="16.7109375" style="621" customWidth="1"/>
    <col min="3047" max="3047" width="14.42578125" style="621" customWidth="1"/>
    <col min="3048" max="3048" width="13.140625" style="621" customWidth="1"/>
    <col min="3049" max="3049" width="13.28515625" style="621" customWidth="1"/>
    <col min="3050" max="3050" width="11.85546875" style="621" customWidth="1"/>
    <col min="3051" max="3051" width="16" style="621" customWidth="1"/>
    <col min="3052" max="3052" width="12" style="621" customWidth="1"/>
    <col min="3053" max="3053" width="11.5703125" style="621" customWidth="1"/>
    <col min="3054" max="3054" width="11.7109375" style="621" customWidth="1"/>
    <col min="3055" max="3055" width="17.5703125" style="621" customWidth="1"/>
    <col min="3056" max="3056" width="6.42578125" style="621" customWidth="1"/>
    <col min="3057" max="3057" width="29.28515625" style="621" customWidth="1"/>
    <col min="3058" max="3058" width="18.85546875" style="621" customWidth="1"/>
    <col min="3059" max="3300" width="9.140625" style="621"/>
    <col min="3301" max="3301" width="11.7109375" style="621" customWidth="1"/>
    <col min="3302" max="3302" width="16.7109375" style="621" customWidth="1"/>
    <col min="3303" max="3303" width="14.42578125" style="621" customWidth="1"/>
    <col min="3304" max="3304" width="13.140625" style="621" customWidth="1"/>
    <col min="3305" max="3305" width="13.28515625" style="621" customWidth="1"/>
    <col min="3306" max="3306" width="11.85546875" style="621" customWidth="1"/>
    <col min="3307" max="3307" width="16" style="621" customWidth="1"/>
    <col min="3308" max="3308" width="12" style="621" customWidth="1"/>
    <col min="3309" max="3309" width="11.5703125" style="621" customWidth="1"/>
    <col min="3310" max="3310" width="11.7109375" style="621" customWidth="1"/>
    <col min="3311" max="3311" width="17.5703125" style="621" customWidth="1"/>
    <col min="3312" max="3312" width="6.42578125" style="621" customWidth="1"/>
    <col min="3313" max="3313" width="29.28515625" style="621" customWidth="1"/>
    <col min="3314" max="3314" width="18.85546875" style="621" customWidth="1"/>
    <col min="3315" max="3556" width="9.140625" style="621"/>
    <col min="3557" max="3557" width="11.7109375" style="621" customWidth="1"/>
    <col min="3558" max="3558" width="16.7109375" style="621" customWidth="1"/>
    <col min="3559" max="3559" width="14.42578125" style="621" customWidth="1"/>
    <col min="3560" max="3560" width="13.140625" style="621" customWidth="1"/>
    <col min="3561" max="3561" width="13.28515625" style="621" customWidth="1"/>
    <col min="3562" max="3562" width="11.85546875" style="621" customWidth="1"/>
    <col min="3563" max="3563" width="16" style="621" customWidth="1"/>
    <col min="3564" max="3564" width="12" style="621" customWidth="1"/>
    <col min="3565" max="3565" width="11.5703125" style="621" customWidth="1"/>
    <col min="3566" max="3566" width="11.7109375" style="621" customWidth="1"/>
    <col min="3567" max="3567" width="17.5703125" style="621" customWidth="1"/>
    <col min="3568" max="3568" width="6.42578125" style="621" customWidth="1"/>
    <col min="3569" max="3569" width="29.28515625" style="621" customWidth="1"/>
    <col min="3570" max="3570" width="18.85546875" style="621" customWidth="1"/>
    <col min="3571" max="3812" width="9.140625" style="621"/>
    <col min="3813" max="3813" width="11.7109375" style="621" customWidth="1"/>
    <col min="3814" max="3814" width="16.7109375" style="621" customWidth="1"/>
    <col min="3815" max="3815" width="14.42578125" style="621" customWidth="1"/>
    <col min="3816" max="3816" width="13.140625" style="621" customWidth="1"/>
    <col min="3817" max="3817" width="13.28515625" style="621" customWidth="1"/>
    <col min="3818" max="3818" width="11.85546875" style="621" customWidth="1"/>
    <col min="3819" max="3819" width="16" style="621" customWidth="1"/>
    <col min="3820" max="3820" width="12" style="621" customWidth="1"/>
    <col min="3821" max="3821" width="11.5703125" style="621" customWidth="1"/>
    <col min="3822" max="3822" width="11.7109375" style="621" customWidth="1"/>
    <col min="3823" max="3823" width="17.5703125" style="621" customWidth="1"/>
    <col min="3824" max="3824" width="6.42578125" style="621" customWidth="1"/>
    <col min="3825" max="3825" width="29.28515625" style="621" customWidth="1"/>
    <col min="3826" max="3826" width="18.85546875" style="621" customWidth="1"/>
    <col min="3827" max="4068" width="9.140625" style="621"/>
    <col min="4069" max="4069" width="11.7109375" style="621" customWidth="1"/>
    <col min="4070" max="4070" width="16.7109375" style="621" customWidth="1"/>
    <col min="4071" max="4071" width="14.42578125" style="621" customWidth="1"/>
    <col min="4072" max="4072" width="13.140625" style="621" customWidth="1"/>
    <col min="4073" max="4073" width="13.28515625" style="621" customWidth="1"/>
    <col min="4074" max="4074" width="11.85546875" style="621" customWidth="1"/>
    <col min="4075" max="4075" width="16" style="621" customWidth="1"/>
    <col min="4076" max="4076" width="12" style="621" customWidth="1"/>
    <col min="4077" max="4077" width="11.5703125" style="621" customWidth="1"/>
    <col min="4078" max="4078" width="11.7109375" style="621" customWidth="1"/>
    <col min="4079" max="4079" width="17.5703125" style="621" customWidth="1"/>
    <col min="4080" max="4080" width="6.42578125" style="621" customWidth="1"/>
    <col min="4081" max="4081" width="29.28515625" style="621" customWidth="1"/>
    <col min="4082" max="4082" width="18.85546875" style="621" customWidth="1"/>
    <col min="4083" max="4324" width="9.140625" style="621"/>
    <col min="4325" max="4325" width="11.7109375" style="621" customWidth="1"/>
    <col min="4326" max="4326" width="16.7109375" style="621" customWidth="1"/>
    <col min="4327" max="4327" width="14.42578125" style="621" customWidth="1"/>
    <col min="4328" max="4328" width="13.140625" style="621" customWidth="1"/>
    <col min="4329" max="4329" width="13.28515625" style="621" customWidth="1"/>
    <col min="4330" max="4330" width="11.85546875" style="621" customWidth="1"/>
    <col min="4331" max="4331" width="16" style="621" customWidth="1"/>
    <col min="4332" max="4332" width="12" style="621" customWidth="1"/>
    <col min="4333" max="4333" width="11.5703125" style="621" customWidth="1"/>
    <col min="4334" max="4334" width="11.7109375" style="621" customWidth="1"/>
    <col min="4335" max="4335" width="17.5703125" style="621" customWidth="1"/>
    <col min="4336" max="4336" width="6.42578125" style="621" customWidth="1"/>
    <col min="4337" max="4337" width="29.28515625" style="621" customWidth="1"/>
    <col min="4338" max="4338" width="18.85546875" style="621" customWidth="1"/>
    <col min="4339" max="4580" width="9.140625" style="621"/>
    <col min="4581" max="4581" width="11.7109375" style="621" customWidth="1"/>
    <col min="4582" max="4582" width="16.7109375" style="621" customWidth="1"/>
    <col min="4583" max="4583" width="14.42578125" style="621" customWidth="1"/>
    <col min="4584" max="4584" width="13.140625" style="621" customWidth="1"/>
    <col min="4585" max="4585" width="13.28515625" style="621" customWidth="1"/>
    <col min="4586" max="4586" width="11.85546875" style="621" customWidth="1"/>
    <col min="4587" max="4587" width="16" style="621" customWidth="1"/>
    <col min="4588" max="4588" width="12" style="621" customWidth="1"/>
    <col min="4589" max="4589" width="11.5703125" style="621" customWidth="1"/>
    <col min="4590" max="4590" width="11.7109375" style="621" customWidth="1"/>
    <col min="4591" max="4591" width="17.5703125" style="621" customWidth="1"/>
    <col min="4592" max="4592" width="6.42578125" style="621" customWidth="1"/>
    <col min="4593" max="4593" width="29.28515625" style="621" customWidth="1"/>
    <col min="4594" max="4594" width="18.85546875" style="621" customWidth="1"/>
    <col min="4595" max="4836" width="9.140625" style="621"/>
    <col min="4837" max="4837" width="11.7109375" style="621" customWidth="1"/>
    <col min="4838" max="4838" width="16.7109375" style="621" customWidth="1"/>
    <col min="4839" max="4839" width="14.42578125" style="621" customWidth="1"/>
    <col min="4840" max="4840" width="13.140625" style="621" customWidth="1"/>
    <col min="4841" max="4841" width="13.28515625" style="621" customWidth="1"/>
    <col min="4842" max="4842" width="11.85546875" style="621" customWidth="1"/>
    <col min="4843" max="4843" width="16" style="621" customWidth="1"/>
    <col min="4844" max="4844" width="12" style="621" customWidth="1"/>
    <col min="4845" max="4845" width="11.5703125" style="621" customWidth="1"/>
    <col min="4846" max="4846" width="11.7109375" style="621" customWidth="1"/>
    <col min="4847" max="4847" width="17.5703125" style="621" customWidth="1"/>
    <col min="4848" max="4848" width="6.42578125" style="621" customWidth="1"/>
    <col min="4849" max="4849" width="29.28515625" style="621" customWidth="1"/>
    <col min="4850" max="4850" width="18.85546875" style="621" customWidth="1"/>
    <col min="4851" max="5092" width="9.140625" style="621"/>
    <col min="5093" max="5093" width="11.7109375" style="621" customWidth="1"/>
    <col min="5094" max="5094" width="16.7109375" style="621" customWidth="1"/>
    <col min="5095" max="5095" width="14.42578125" style="621" customWidth="1"/>
    <col min="5096" max="5096" width="13.140625" style="621" customWidth="1"/>
    <col min="5097" max="5097" width="13.28515625" style="621" customWidth="1"/>
    <col min="5098" max="5098" width="11.85546875" style="621" customWidth="1"/>
    <col min="5099" max="5099" width="16" style="621" customWidth="1"/>
    <col min="5100" max="5100" width="12" style="621" customWidth="1"/>
    <col min="5101" max="5101" width="11.5703125" style="621" customWidth="1"/>
    <col min="5102" max="5102" width="11.7109375" style="621" customWidth="1"/>
    <col min="5103" max="5103" width="17.5703125" style="621" customWidth="1"/>
    <col min="5104" max="5104" width="6.42578125" style="621" customWidth="1"/>
    <col min="5105" max="5105" width="29.28515625" style="621" customWidth="1"/>
    <col min="5106" max="5106" width="18.85546875" style="621" customWidth="1"/>
    <col min="5107" max="5348" width="9.140625" style="621"/>
    <col min="5349" max="5349" width="11.7109375" style="621" customWidth="1"/>
    <col min="5350" max="5350" width="16.7109375" style="621" customWidth="1"/>
    <col min="5351" max="5351" width="14.42578125" style="621" customWidth="1"/>
    <col min="5352" max="5352" width="13.140625" style="621" customWidth="1"/>
    <col min="5353" max="5353" width="13.28515625" style="621" customWidth="1"/>
    <col min="5354" max="5354" width="11.85546875" style="621" customWidth="1"/>
    <col min="5355" max="5355" width="16" style="621" customWidth="1"/>
    <col min="5356" max="5356" width="12" style="621" customWidth="1"/>
    <col min="5357" max="5357" width="11.5703125" style="621" customWidth="1"/>
    <col min="5358" max="5358" width="11.7109375" style="621" customWidth="1"/>
    <col min="5359" max="5359" width="17.5703125" style="621" customWidth="1"/>
    <col min="5360" max="5360" width="6.42578125" style="621" customWidth="1"/>
    <col min="5361" max="5361" width="29.28515625" style="621" customWidth="1"/>
    <col min="5362" max="5362" width="18.85546875" style="621" customWidth="1"/>
    <col min="5363" max="5604" width="9.140625" style="621"/>
    <col min="5605" max="5605" width="11.7109375" style="621" customWidth="1"/>
    <col min="5606" max="5606" width="16.7109375" style="621" customWidth="1"/>
    <col min="5607" max="5607" width="14.42578125" style="621" customWidth="1"/>
    <col min="5608" max="5608" width="13.140625" style="621" customWidth="1"/>
    <col min="5609" max="5609" width="13.28515625" style="621" customWidth="1"/>
    <col min="5610" max="5610" width="11.85546875" style="621" customWidth="1"/>
    <col min="5611" max="5611" width="16" style="621" customWidth="1"/>
    <col min="5612" max="5612" width="12" style="621" customWidth="1"/>
    <col min="5613" max="5613" width="11.5703125" style="621" customWidth="1"/>
    <col min="5614" max="5614" width="11.7109375" style="621" customWidth="1"/>
    <col min="5615" max="5615" width="17.5703125" style="621" customWidth="1"/>
    <col min="5616" max="5616" width="6.42578125" style="621" customWidth="1"/>
    <col min="5617" max="5617" width="29.28515625" style="621" customWidth="1"/>
    <col min="5618" max="5618" width="18.85546875" style="621" customWidth="1"/>
    <col min="5619" max="5860" width="9.140625" style="621"/>
    <col min="5861" max="5861" width="11.7109375" style="621" customWidth="1"/>
    <col min="5862" max="5862" width="16.7109375" style="621" customWidth="1"/>
    <col min="5863" max="5863" width="14.42578125" style="621" customWidth="1"/>
    <col min="5864" max="5864" width="13.140625" style="621" customWidth="1"/>
    <col min="5865" max="5865" width="13.28515625" style="621" customWidth="1"/>
    <col min="5866" max="5866" width="11.85546875" style="621" customWidth="1"/>
    <col min="5867" max="5867" width="16" style="621" customWidth="1"/>
    <col min="5868" max="5868" width="12" style="621" customWidth="1"/>
    <col min="5869" max="5869" width="11.5703125" style="621" customWidth="1"/>
    <col min="5870" max="5870" width="11.7109375" style="621" customWidth="1"/>
    <col min="5871" max="5871" width="17.5703125" style="621" customWidth="1"/>
    <col min="5872" max="5872" width="6.42578125" style="621" customWidth="1"/>
    <col min="5873" max="5873" width="29.28515625" style="621" customWidth="1"/>
    <col min="5874" max="5874" width="18.85546875" style="621" customWidth="1"/>
    <col min="5875" max="6116" width="9.140625" style="621"/>
    <col min="6117" max="6117" width="11.7109375" style="621" customWidth="1"/>
    <col min="6118" max="6118" width="16.7109375" style="621" customWidth="1"/>
    <col min="6119" max="6119" width="14.42578125" style="621" customWidth="1"/>
    <col min="6120" max="6120" width="13.140625" style="621" customWidth="1"/>
    <col min="6121" max="6121" width="13.28515625" style="621" customWidth="1"/>
    <col min="6122" max="6122" width="11.85546875" style="621" customWidth="1"/>
    <col min="6123" max="6123" width="16" style="621" customWidth="1"/>
    <col min="6124" max="6124" width="12" style="621" customWidth="1"/>
    <col min="6125" max="6125" width="11.5703125" style="621" customWidth="1"/>
    <col min="6126" max="6126" width="11.7109375" style="621" customWidth="1"/>
    <col min="6127" max="6127" width="17.5703125" style="621" customWidth="1"/>
    <col min="6128" max="6128" width="6.42578125" style="621" customWidth="1"/>
    <col min="6129" max="6129" width="29.28515625" style="621" customWidth="1"/>
    <col min="6130" max="6130" width="18.85546875" style="621" customWidth="1"/>
    <col min="6131" max="6372" width="9.140625" style="621"/>
    <col min="6373" max="6373" width="11.7109375" style="621" customWidth="1"/>
    <col min="6374" max="6374" width="16.7109375" style="621" customWidth="1"/>
    <col min="6375" max="6375" width="14.42578125" style="621" customWidth="1"/>
    <col min="6376" max="6376" width="13.140625" style="621" customWidth="1"/>
    <col min="6377" max="6377" width="13.28515625" style="621" customWidth="1"/>
    <col min="6378" max="6378" width="11.85546875" style="621" customWidth="1"/>
    <col min="6379" max="6379" width="16" style="621" customWidth="1"/>
    <col min="6380" max="6380" width="12" style="621" customWidth="1"/>
    <col min="6381" max="6381" width="11.5703125" style="621" customWidth="1"/>
    <col min="6382" max="6382" width="11.7109375" style="621" customWidth="1"/>
    <col min="6383" max="6383" width="17.5703125" style="621" customWidth="1"/>
    <col min="6384" max="6384" width="6.42578125" style="621" customWidth="1"/>
    <col min="6385" max="6385" width="29.28515625" style="621" customWidth="1"/>
    <col min="6386" max="6386" width="18.85546875" style="621" customWidth="1"/>
    <col min="6387" max="6628" width="9.140625" style="621"/>
    <col min="6629" max="6629" width="11.7109375" style="621" customWidth="1"/>
    <col min="6630" max="6630" width="16.7109375" style="621" customWidth="1"/>
    <col min="6631" max="6631" width="14.42578125" style="621" customWidth="1"/>
    <col min="6632" max="6632" width="13.140625" style="621" customWidth="1"/>
    <col min="6633" max="6633" width="13.28515625" style="621" customWidth="1"/>
    <col min="6634" max="6634" width="11.85546875" style="621" customWidth="1"/>
    <col min="6635" max="6635" width="16" style="621" customWidth="1"/>
    <col min="6636" max="6636" width="12" style="621" customWidth="1"/>
    <col min="6637" max="6637" width="11.5703125" style="621" customWidth="1"/>
    <col min="6638" max="6638" width="11.7109375" style="621" customWidth="1"/>
    <col min="6639" max="6639" width="17.5703125" style="621" customWidth="1"/>
    <col min="6640" max="6640" width="6.42578125" style="621" customWidth="1"/>
    <col min="6641" max="6641" width="29.28515625" style="621" customWidth="1"/>
    <col min="6642" max="6642" width="18.85546875" style="621" customWidth="1"/>
    <col min="6643" max="6884" width="9.140625" style="621"/>
    <col min="6885" max="6885" width="11.7109375" style="621" customWidth="1"/>
    <col min="6886" max="6886" width="16.7109375" style="621" customWidth="1"/>
    <col min="6887" max="6887" width="14.42578125" style="621" customWidth="1"/>
    <col min="6888" max="6888" width="13.140625" style="621" customWidth="1"/>
    <col min="6889" max="6889" width="13.28515625" style="621" customWidth="1"/>
    <col min="6890" max="6890" width="11.85546875" style="621" customWidth="1"/>
    <col min="6891" max="6891" width="16" style="621" customWidth="1"/>
    <col min="6892" max="6892" width="12" style="621" customWidth="1"/>
    <col min="6893" max="6893" width="11.5703125" style="621" customWidth="1"/>
    <col min="6894" max="6894" width="11.7109375" style="621" customWidth="1"/>
    <col min="6895" max="6895" width="17.5703125" style="621" customWidth="1"/>
    <col min="6896" max="6896" width="6.42578125" style="621" customWidth="1"/>
    <col min="6897" max="6897" width="29.28515625" style="621" customWidth="1"/>
    <col min="6898" max="6898" width="18.85546875" style="621" customWidth="1"/>
    <col min="6899" max="7140" width="9.140625" style="621"/>
    <col min="7141" max="7141" width="11.7109375" style="621" customWidth="1"/>
    <col min="7142" max="7142" width="16.7109375" style="621" customWidth="1"/>
    <col min="7143" max="7143" width="14.42578125" style="621" customWidth="1"/>
    <col min="7144" max="7144" width="13.140625" style="621" customWidth="1"/>
    <col min="7145" max="7145" width="13.28515625" style="621" customWidth="1"/>
    <col min="7146" max="7146" width="11.85546875" style="621" customWidth="1"/>
    <col min="7147" max="7147" width="16" style="621" customWidth="1"/>
    <col min="7148" max="7148" width="12" style="621" customWidth="1"/>
    <col min="7149" max="7149" width="11.5703125" style="621" customWidth="1"/>
    <col min="7150" max="7150" width="11.7109375" style="621" customWidth="1"/>
    <col min="7151" max="7151" width="17.5703125" style="621" customWidth="1"/>
    <col min="7152" max="7152" width="6.42578125" style="621" customWidth="1"/>
    <col min="7153" max="7153" width="29.28515625" style="621" customWidth="1"/>
    <col min="7154" max="7154" width="18.85546875" style="621" customWidth="1"/>
    <col min="7155" max="7396" width="9.140625" style="621"/>
    <col min="7397" max="7397" width="11.7109375" style="621" customWidth="1"/>
    <col min="7398" max="7398" width="16.7109375" style="621" customWidth="1"/>
    <col min="7399" max="7399" width="14.42578125" style="621" customWidth="1"/>
    <col min="7400" max="7400" width="13.140625" style="621" customWidth="1"/>
    <col min="7401" max="7401" width="13.28515625" style="621" customWidth="1"/>
    <col min="7402" max="7402" width="11.85546875" style="621" customWidth="1"/>
    <col min="7403" max="7403" width="16" style="621" customWidth="1"/>
    <col min="7404" max="7404" width="12" style="621" customWidth="1"/>
    <col min="7405" max="7405" width="11.5703125" style="621" customWidth="1"/>
    <col min="7406" max="7406" width="11.7109375" style="621" customWidth="1"/>
    <col min="7407" max="7407" width="17.5703125" style="621" customWidth="1"/>
    <col min="7408" max="7408" width="6.42578125" style="621" customWidth="1"/>
    <col min="7409" max="7409" width="29.28515625" style="621" customWidth="1"/>
    <col min="7410" max="7410" width="18.85546875" style="621" customWidth="1"/>
    <col min="7411" max="7652" width="9.140625" style="621"/>
    <col min="7653" max="7653" width="11.7109375" style="621" customWidth="1"/>
    <col min="7654" max="7654" width="16.7109375" style="621" customWidth="1"/>
    <col min="7655" max="7655" width="14.42578125" style="621" customWidth="1"/>
    <col min="7656" max="7656" width="13.140625" style="621" customWidth="1"/>
    <col min="7657" max="7657" width="13.28515625" style="621" customWidth="1"/>
    <col min="7658" max="7658" width="11.85546875" style="621" customWidth="1"/>
    <col min="7659" max="7659" width="16" style="621" customWidth="1"/>
    <col min="7660" max="7660" width="12" style="621" customWidth="1"/>
    <col min="7661" max="7661" width="11.5703125" style="621" customWidth="1"/>
    <col min="7662" max="7662" width="11.7109375" style="621" customWidth="1"/>
    <col min="7663" max="7663" width="17.5703125" style="621" customWidth="1"/>
    <col min="7664" max="7664" width="6.42578125" style="621" customWidth="1"/>
    <col min="7665" max="7665" width="29.28515625" style="621" customWidth="1"/>
    <col min="7666" max="7666" width="18.85546875" style="621" customWidth="1"/>
    <col min="7667" max="7908" width="9.140625" style="621"/>
    <col min="7909" max="7909" width="11.7109375" style="621" customWidth="1"/>
    <col min="7910" max="7910" width="16.7109375" style="621" customWidth="1"/>
    <col min="7911" max="7911" width="14.42578125" style="621" customWidth="1"/>
    <col min="7912" max="7912" width="13.140625" style="621" customWidth="1"/>
    <col min="7913" max="7913" width="13.28515625" style="621" customWidth="1"/>
    <col min="7914" max="7914" width="11.85546875" style="621" customWidth="1"/>
    <col min="7915" max="7915" width="16" style="621" customWidth="1"/>
    <col min="7916" max="7916" width="12" style="621" customWidth="1"/>
    <col min="7917" max="7917" width="11.5703125" style="621" customWidth="1"/>
    <col min="7918" max="7918" width="11.7109375" style="621" customWidth="1"/>
    <col min="7919" max="7919" width="17.5703125" style="621" customWidth="1"/>
    <col min="7920" max="7920" width="6.42578125" style="621" customWidth="1"/>
    <col min="7921" max="7921" width="29.28515625" style="621" customWidth="1"/>
    <col min="7922" max="7922" width="18.85546875" style="621" customWidth="1"/>
    <col min="7923" max="8164" width="9.140625" style="621"/>
    <col min="8165" max="8165" width="11.7109375" style="621" customWidth="1"/>
    <col min="8166" max="8166" width="16.7109375" style="621" customWidth="1"/>
    <col min="8167" max="8167" width="14.42578125" style="621" customWidth="1"/>
    <col min="8168" max="8168" width="13.140625" style="621" customWidth="1"/>
    <col min="8169" max="8169" width="13.28515625" style="621" customWidth="1"/>
    <col min="8170" max="8170" width="11.85546875" style="621" customWidth="1"/>
    <col min="8171" max="8171" width="16" style="621" customWidth="1"/>
    <col min="8172" max="8172" width="12" style="621" customWidth="1"/>
    <col min="8173" max="8173" width="11.5703125" style="621" customWidth="1"/>
    <col min="8174" max="8174" width="11.7109375" style="621" customWidth="1"/>
    <col min="8175" max="8175" width="17.5703125" style="621" customWidth="1"/>
    <col min="8176" max="8176" width="6.42578125" style="621" customWidth="1"/>
    <col min="8177" max="8177" width="29.28515625" style="621" customWidth="1"/>
    <col min="8178" max="8178" width="18.85546875" style="621" customWidth="1"/>
    <col min="8179" max="8420" width="9.140625" style="621"/>
    <col min="8421" max="8421" width="11.7109375" style="621" customWidth="1"/>
    <col min="8422" max="8422" width="16.7109375" style="621" customWidth="1"/>
    <col min="8423" max="8423" width="14.42578125" style="621" customWidth="1"/>
    <col min="8424" max="8424" width="13.140625" style="621" customWidth="1"/>
    <col min="8425" max="8425" width="13.28515625" style="621" customWidth="1"/>
    <col min="8426" max="8426" width="11.85546875" style="621" customWidth="1"/>
    <col min="8427" max="8427" width="16" style="621" customWidth="1"/>
    <col min="8428" max="8428" width="12" style="621" customWidth="1"/>
    <col min="8429" max="8429" width="11.5703125" style="621" customWidth="1"/>
    <col min="8430" max="8430" width="11.7109375" style="621" customWidth="1"/>
    <col min="8431" max="8431" width="17.5703125" style="621" customWidth="1"/>
    <col min="8432" max="8432" width="6.42578125" style="621" customWidth="1"/>
    <col min="8433" max="8433" width="29.28515625" style="621" customWidth="1"/>
    <col min="8434" max="8434" width="18.85546875" style="621" customWidth="1"/>
    <col min="8435" max="8676" width="9.140625" style="621"/>
    <col min="8677" max="8677" width="11.7109375" style="621" customWidth="1"/>
    <col min="8678" max="8678" width="16.7109375" style="621" customWidth="1"/>
    <col min="8679" max="8679" width="14.42578125" style="621" customWidth="1"/>
    <col min="8680" max="8680" width="13.140625" style="621" customWidth="1"/>
    <col min="8681" max="8681" width="13.28515625" style="621" customWidth="1"/>
    <col min="8682" max="8682" width="11.85546875" style="621" customWidth="1"/>
    <col min="8683" max="8683" width="16" style="621" customWidth="1"/>
    <col min="8684" max="8684" width="12" style="621" customWidth="1"/>
    <col min="8685" max="8685" width="11.5703125" style="621" customWidth="1"/>
    <col min="8686" max="8686" width="11.7109375" style="621" customWidth="1"/>
    <col min="8687" max="8687" width="17.5703125" style="621" customWidth="1"/>
    <col min="8688" max="8688" width="6.42578125" style="621" customWidth="1"/>
    <col min="8689" max="8689" width="29.28515625" style="621" customWidth="1"/>
    <col min="8690" max="8690" width="18.85546875" style="621" customWidth="1"/>
    <col min="8691" max="8932" width="9.140625" style="621"/>
    <col min="8933" max="8933" width="11.7109375" style="621" customWidth="1"/>
    <col min="8934" max="8934" width="16.7109375" style="621" customWidth="1"/>
    <col min="8935" max="8935" width="14.42578125" style="621" customWidth="1"/>
    <col min="8936" max="8936" width="13.140625" style="621" customWidth="1"/>
    <col min="8937" max="8937" width="13.28515625" style="621" customWidth="1"/>
    <col min="8938" max="8938" width="11.85546875" style="621" customWidth="1"/>
    <col min="8939" max="8939" width="16" style="621" customWidth="1"/>
    <col min="8940" max="8940" width="12" style="621" customWidth="1"/>
    <col min="8941" max="8941" width="11.5703125" style="621" customWidth="1"/>
    <col min="8942" max="8942" width="11.7109375" style="621" customWidth="1"/>
    <col min="8943" max="8943" width="17.5703125" style="621" customWidth="1"/>
    <col min="8944" max="8944" width="6.42578125" style="621" customWidth="1"/>
    <col min="8945" max="8945" width="29.28515625" style="621" customWidth="1"/>
    <col min="8946" max="8946" width="18.85546875" style="621" customWidth="1"/>
    <col min="8947" max="9188" width="9.140625" style="621"/>
    <col min="9189" max="9189" width="11.7109375" style="621" customWidth="1"/>
    <col min="9190" max="9190" width="16.7109375" style="621" customWidth="1"/>
    <col min="9191" max="9191" width="14.42578125" style="621" customWidth="1"/>
    <col min="9192" max="9192" width="13.140625" style="621" customWidth="1"/>
    <col min="9193" max="9193" width="13.28515625" style="621" customWidth="1"/>
    <col min="9194" max="9194" width="11.85546875" style="621" customWidth="1"/>
    <col min="9195" max="9195" width="16" style="621" customWidth="1"/>
    <col min="9196" max="9196" width="12" style="621" customWidth="1"/>
    <col min="9197" max="9197" width="11.5703125" style="621" customWidth="1"/>
    <col min="9198" max="9198" width="11.7109375" style="621" customWidth="1"/>
    <col min="9199" max="9199" width="17.5703125" style="621" customWidth="1"/>
    <col min="9200" max="9200" width="6.42578125" style="621" customWidth="1"/>
    <col min="9201" max="9201" width="29.28515625" style="621" customWidth="1"/>
    <col min="9202" max="9202" width="18.85546875" style="621" customWidth="1"/>
    <col min="9203" max="9444" width="9.140625" style="621"/>
    <col min="9445" max="9445" width="11.7109375" style="621" customWidth="1"/>
    <col min="9446" max="9446" width="16.7109375" style="621" customWidth="1"/>
    <col min="9447" max="9447" width="14.42578125" style="621" customWidth="1"/>
    <col min="9448" max="9448" width="13.140625" style="621" customWidth="1"/>
    <col min="9449" max="9449" width="13.28515625" style="621" customWidth="1"/>
    <col min="9450" max="9450" width="11.85546875" style="621" customWidth="1"/>
    <col min="9451" max="9451" width="16" style="621" customWidth="1"/>
    <col min="9452" max="9452" width="12" style="621" customWidth="1"/>
    <col min="9453" max="9453" width="11.5703125" style="621" customWidth="1"/>
    <col min="9454" max="9454" width="11.7109375" style="621" customWidth="1"/>
    <col min="9455" max="9455" width="17.5703125" style="621" customWidth="1"/>
    <col min="9456" max="9456" width="6.42578125" style="621" customWidth="1"/>
    <col min="9457" max="9457" width="29.28515625" style="621" customWidth="1"/>
    <col min="9458" max="9458" width="18.85546875" style="621" customWidth="1"/>
    <col min="9459" max="9700" width="9.140625" style="621"/>
    <col min="9701" max="9701" width="11.7109375" style="621" customWidth="1"/>
    <col min="9702" max="9702" width="16.7109375" style="621" customWidth="1"/>
    <col min="9703" max="9703" width="14.42578125" style="621" customWidth="1"/>
    <col min="9704" max="9704" width="13.140625" style="621" customWidth="1"/>
    <col min="9705" max="9705" width="13.28515625" style="621" customWidth="1"/>
    <col min="9706" max="9706" width="11.85546875" style="621" customWidth="1"/>
    <col min="9707" max="9707" width="16" style="621" customWidth="1"/>
    <col min="9708" max="9708" width="12" style="621" customWidth="1"/>
    <col min="9709" max="9709" width="11.5703125" style="621" customWidth="1"/>
    <col min="9710" max="9710" width="11.7109375" style="621" customWidth="1"/>
    <col min="9711" max="9711" width="17.5703125" style="621" customWidth="1"/>
    <col min="9712" max="9712" width="6.42578125" style="621" customWidth="1"/>
    <col min="9713" max="9713" width="29.28515625" style="621" customWidth="1"/>
    <col min="9714" max="9714" width="18.85546875" style="621" customWidth="1"/>
    <col min="9715" max="9956" width="9.140625" style="621"/>
    <col min="9957" max="9957" width="11.7109375" style="621" customWidth="1"/>
    <col min="9958" max="9958" width="16.7109375" style="621" customWidth="1"/>
    <col min="9959" max="9959" width="14.42578125" style="621" customWidth="1"/>
    <col min="9960" max="9960" width="13.140625" style="621" customWidth="1"/>
    <col min="9961" max="9961" width="13.28515625" style="621" customWidth="1"/>
    <col min="9962" max="9962" width="11.85546875" style="621" customWidth="1"/>
    <col min="9963" max="9963" width="16" style="621" customWidth="1"/>
    <col min="9964" max="9964" width="12" style="621" customWidth="1"/>
    <col min="9965" max="9965" width="11.5703125" style="621" customWidth="1"/>
    <col min="9966" max="9966" width="11.7109375" style="621" customWidth="1"/>
    <col min="9967" max="9967" width="17.5703125" style="621" customWidth="1"/>
    <col min="9968" max="9968" width="6.42578125" style="621" customWidth="1"/>
    <col min="9969" max="9969" width="29.28515625" style="621" customWidth="1"/>
    <col min="9970" max="9970" width="18.85546875" style="621" customWidth="1"/>
    <col min="9971" max="10212" width="9.140625" style="621"/>
    <col min="10213" max="10213" width="11.7109375" style="621" customWidth="1"/>
    <col min="10214" max="10214" width="16.7109375" style="621" customWidth="1"/>
    <col min="10215" max="10215" width="14.42578125" style="621" customWidth="1"/>
    <col min="10216" max="10216" width="13.140625" style="621" customWidth="1"/>
    <col min="10217" max="10217" width="13.28515625" style="621" customWidth="1"/>
    <col min="10218" max="10218" width="11.85546875" style="621" customWidth="1"/>
    <col min="10219" max="10219" width="16" style="621" customWidth="1"/>
    <col min="10220" max="10220" width="12" style="621" customWidth="1"/>
    <col min="10221" max="10221" width="11.5703125" style="621" customWidth="1"/>
    <col min="10222" max="10222" width="11.7109375" style="621" customWidth="1"/>
    <col min="10223" max="10223" width="17.5703125" style="621" customWidth="1"/>
    <col min="10224" max="10224" width="6.42578125" style="621" customWidth="1"/>
    <col min="10225" max="10225" width="29.28515625" style="621" customWidth="1"/>
    <col min="10226" max="10226" width="18.85546875" style="621" customWidth="1"/>
    <col min="10227" max="10468" width="9.140625" style="621"/>
    <col min="10469" max="10469" width="11.7109375" style="621" customWidth="1"/>
    <col min="10470" max="10470" width="16.7109375" style="621" customWidth="1"/>
    <col min="10471" max="10471" width="14.42578125" style="621" customWidth="1"/>
    <col min="10472" max="10472" width="13.140625" style="621" customWidth="1"/>
    <col min="10473" max="10473" width="13.28515625" style="621" customWidth="1"/>
    <col min="10474" max="10474" width="11.85546875" style="621" customWidth="1"/>
    <col min="10475" max="10475" width="16" style="621" customWidth="1"/>
    <col min="10476" max="10476" width="12" style="621" customWidth="1"/>
    <col min="10477" max="10477" width="11.5703125" style="621" customWidth="1"/>
    <col min="10478" max="10478" width="11.7109375" style="621" customWidth="1"/>
    <col min="10479" max="10479" width="17.5703125" style="621" customWidth="1"/>
    <col min="10480" max="10480" width="6.42578125" style="621" customWidth="1"/>
    <col min="10481" max="10481" width="29.28515625" style="621" customWidth="1"/>
    <col min="10482" max="10482" width="18.85546875" style="621" customWidth="1"/>
    <col min="10483" max="10724" width="9.140625" style="621"/>
    <col min="10725" max="10725" width="11.7109375" style="621" customWidth="1"/>
    <col min="10726" max="10726" width="16.7109375" style="621" customWidth="1"/>
    <col min="10727" max="10727" width="14.42578125" style="621" customWidth="1"/>
    <col min="10728" max="10728" width="13.140625" style="621" customWidth="1"/>
    <col min="10729" max="10729" width="13.28515625" style="621" customWidth="1"/>
    <col min="10730" max="10730" width="11.85546875" style="621" customWidth="1"/>
    <col min="10731" max="10731" width="16" style="621" customWidth="1"/>
    <col min="10732" max="10732" width="12" style="621" customWidth="1"/>
    <col min="10733" max="10733" width="11.5703125" style="621" customWidth="1"/>
    <col min="10734" max="10734" width="11.7109375" style="621" customWidth="1"/>
    <col min="10735" max="10735" width="17.5703125" style="621" customWidth="1"/>
    <col min="10736" max="10736" width="6.42578125" style="621" customWidth="1"/>
    <col min="10737" max="10737" width="29.28515625" style="621" customWidth="1"/>
    <col min="10738" max="10738" width="18.85546875" style="621" customWidth="1"/>
    <col min="10739" max="10980" width="9.140625" style="621"/>
    <col min="10981" max="10981" width="11.7109375" style="621" customWidth="1"/>
    <col min="10982" max="10982" width="16.7109375" style="621" customWidth="1"/>
    <col min="10983" max="10983" width="14.42578125" style="621" customWidth="1"/>
    <col min="10984" max="10984" width="13.140625" style="621" customWidth="1"/>
    <col min="10985" max="10985" width="13.28515625" style="621" customWidth="1"/>
    <col min="10986" max="10986" width="11.85546875" style="621" customWidth="1"/>
    <col min="10987" max="10987" width="16" style="621" customWidth="1"/>
    <col min="10988" max="10988" width="12" style="621" customWidth="1"/>
    <col min="10989" max="10989" width="11.5703125" style="621" customWidth="1"/>
    <col min="10990" max="10990" width="11.7109375" style="621" customWidth="1"/>
    <col min="10991" max="10991" width="17.5703125" style="621" customWidth="1"/>
    <col min="10992" max="10992" width="6.42578125" style="621" customWidth="1"/>
    <col min="10993" max="10993" width="29.28515625" style="621" customWidth="1"/>
    <col min="10994" max="10994" width="18.85546875" style="621" customWidth="1"/>
    <col min="10995" max="11236" width="9.140625" style="621"/>
    <col min="11237" max="11237" width="11.7109375" style="621" customWidth="1"/>
    <col min="11238" max="11238" width="16.7109375" style="621" customWidth="1"/>
    <col min="11239" max="11239" width="14.42578125" style="621" customWidth="1"/>
    <col min="11240" max="11240" width="13.140625" style="621" customWidth="1"/>
    <col min="11241" max="11241" width="13.28515625" style="621" customWidth="1"/>
    <col min="11242" max="11242" width="11.85546875" style="621" customWidth="1"/>
    <col min="11243" max="11243" width="16" style="621" customWidth="1"/>
    <col min="11244" max="11244" width="12" style="621" customWidth="1"/>
    <col min="11245" max="11245" width="11.5703125" style="621" customWidth="1"/>
    <col min="11246" max="11246" width="11.7109375" style="621" customWidth="1"/>
    <col min="11247" max="11247" width="17.5703125" style="621" customWidth="1"/>
    <col min="11248" max="11248" width="6.42578125" style="621" customWidth="1"/>
    <col min="11249" max="11249" width="29.28515625" style="621" customWidth="1"/>
    <col min="11250" max="11250" width="18.85546875" style="621" customWidth="1"/>
    <col min="11251" max="11492" width="9.140625" style="621"/>
    <col min="11493" max="11493" width="11.7109375" style="621" customWidth="1"/>
    <col min="11494" max="11494" width="16.7109375" style="621" customWidth="1"/>
    <col min="11495" max="11495" width="14.42578125" style="621" customWidth="1"/>
    <col min="11496" max="11496" width="13.140625" style="621" customWidth="1"/>
    <col min="11497" max="11497" width="13.28515625" style="621" customWidth="1"/>
    <col min="11498" max="11498" width="11.85546875" style="621" customWidth="1"/>
    <col min="11499" max="11499" width="16" style="621" customWidth="1"/>
    <col min="11500" max="11500" width="12" style="621" customWidth="1"/>
    <col min="11501" max="11501" width="11.5703125" style="621" customWidth="1"/>
    <col min="11502" max="11502" width="11.7109375" style="621" customWidth="1"/>
    <col min="11503" max="11503" width="17.5703125" style="621" customWidth="1"/>
    <col min="11504" max="11504" width="6.42578125" style="621" customWidth="1"/>
    <col min="11505" max="11505" width="29.28515625" style="621" customWidth="1"/>
    <col min="11506" max="11506" width="18.85546875" style="621" customWidth="1"/>
    <col min="11507" max="11748" width="9.140625" style="621"/>
    <col min="11749" max="11749" width="11.7109375" style="621" customWidth="1"/>
    <col min="11750" max="11750" width="16.7109375" style="621" customWidth="1"/>
    <col min="11751" max="11751" width="14.42578125" style="621" customWidth="1"/>
    <col min="11752" max="11752" width="13.140625" style="621" customWidth="1"/>
    <col min="11753" max="11753" width="13.28515625" style="621" customWidth="1"/>
    <col min="11754" max="11754" width="11.85546875" style="621" customWidth="1"/>
    <col min="11755" max="11755" width="16" style="621" customWidth="1"/>
    <col min="11756" max="11756" width="12" style="621" customWidth="1"/>
    <col min="11757" max="11757" width="11.5703125" style="621" customWidth="1"/>
    <col min="11758" max="11758" width="11.7109375" style="621" customWidth="1"/>
    <col min="11759" max="11759" width="17.5703125" style="621" customWidth="1"/>
    <col min="11760" max="11760" width="6.42578125" style="621" customWidth="1"/>
    <col min="11761" max="11761" width="29.28515625" style="621" customWidth="1"/>
    <col min="11762" max="11762" width="18.85546875" style="621" customWidth="1"/>
    <col min="11763" max="12004" width="9.140625" style="621"/>
    <col min="12005" max="12005" width="11.7109375" style="621" customWidth="1"/>
    <col min="12006" max="12006" width="16.7109375" style="621" customWidth="1"/>
    <col min="12007" max="12007" width="14.42578125" style="621" customWidth="1"/>
    <col min="12008" max="12008" width="13.140625" style="621" customWidth="1"/>
    <col min="12009" max="12009" width="13.28515625" style="621" customWidth="1"/>
    <col min="12010" max="12010" width="11.85546875" style="621" customWidth="1"/>
    <col min="12011" max="12011" width="16" style="621" customWidth="1"/>
    <col min="12012" max="12012" width="12" style="621" customWidth="1"/>
    <col min="12013" max="12013" width="11.5703125" style="621" customWidth="1"/>
    <col min="12014" max="12014" width="11.7109375" style="621" customWidth="1"/>
    <col min="12015" max="12015" width="17.5703125" style="621" customWidth="1"/>
    <col min="12016" max="12016" width="6.42578125" style="621" customWidth="1"/>
    <col min="12017" max="12017" width="29.28515625" style="621" customWidth="1"/>
    <col min="12018" max="12018" width="18.85546875" style="621" customWidth="1"/>
    <col min="12019" max="12260" width="9.140625" style="621"/>
    <col min="12261" max="12261" width="11.7109375" style="621" customWidth="1"/>
    <col min="12262" max="12262" width="16.7109375" style="621" customWidth="1"/>
    <col min="12263" max="12263" width="14.42578125" style="621" customWidth="1"/>
    <col min="12264" max="12264" width="13.140625" style="621" customWidth="1"/>
    <col min="12265" max="12265" width="13.28515625" style="621" customWidth="1"/>
    <col min="12266" max="12266" width="11.85546875" style="621" customWidth="1"/>
    <col min="12267" max="12267" width="16" style="621" customWidth="1"/>
    <col min="12268" max="12268" width="12" style="621" customWidth="1"/>
    <col min="12269" max="12269" width="11.5703125" style="621" customWidth="1"/>
    <col min="12270" max="12270" width="11.7109375" style="621" customWidth="1"/>
    <col min="12271" max="12271" width="17.5703125" style="621" customWidth="1"/>
    <col min="12272" max="12272" width="6.42578125" style="621" customWidth="1"/>
    <col min="12273" max="12273" width="29.28515625" style="621" customWidth="1"/>
    <col min="12274" max="12274" width="18.85546875" style="621" customWidth="1"/>
    <col min="12275" max="12516" width="9.140625" style="621"/>
    <col min="12517" max="12517" width="11.7109375" style="621" customWidth="1"/>
    <col min="12518" max="12518" width="16.7109375" style="621" customWidth="1"/>
    <col min="12519" max="12519" width="14.42578125" style="621" customWidth="1"/>
    <col min="12520" max="12520" width="13.140625" style="621" customWidth="1"/>
    <col min="12521" max="12521" width="13.28515625" style="621" customWidth="1"/>
    <col min="12522" max="12522" width="11.85546875" style="621" customWidth="1"/>
    <col min="12523" max="12523" width="16" style="621" customWidth="1"/>
    <col min="12524" max="12524" width="12" style="621" customWidth="1"/>
    <col min="12525" max="12525" width="11.5703125" style="621" customWidth="1"/>
    <col min="12526" max="12526" width="11.7109375" style="621" customWidth="1"/>
    <col min="12527" max="12527" width="17.5703125" style="621" customWidth="1"/>
    <col min="12528" max="12528" width="6.42578125" style="621" customWidth="1"/>
    <col min="12529" max="12529" width="29.28515625" style="621" customWidth="1"/>
    <col min="12530" max="12530" width="18.85546875" style="621" customWidth="1"/>
    <col min="12531" max="12772" width="9.140625" style="621"/>
    <col min="12773" max="12773" width="11.7109375" style="621" customWidth="1"/>
    <col min="12774" max="12774" width="16.7109375" style="621" customWidth="1"/>
    <col min="12775" max="12775" width="14.42578125" style="621" customWidth="1"/>
    <col min="12776" max="12776" width="13.140625" style="621" customWidth="1"/>
    <col min="12777" max="12777" width="13.28515625" style="621" customWidth="1"/>
    <col min="12778" max="12778" width="11.85546875" style="621" customWidth="1"/>
    <col min="12779" max="12779" width="16" style="621" customWidth="1"/>
    <col min="12780" max="12780" width="12" style="621" customWidth="1"/>
    <col min="12781" max="12781" width="11.5703125" style="621" customWidth="1"/>
    <col min="12782" max="12782" width="11.7109375" style="621" customWidth="1"/>
    <col min="12783" max="12783" width="17.5703125" style="621" customWidth="1"/>
    <col min="12784" max="12784" width="6.42578125" style="621" customWidth="1"/>
    <col min="12785" max="12785" width="29.28515625" style="621" customWidth="1"/>
    <col min="12786" max="12786" width="18.85546875" style="621" customWidth="1"/>
    <col min="12787" max="13028" width="9.140625" style="621"/>
    <col min="13029" max="13029" width="11.7109375" style="621" customWidth="1"/>
    <col min="13030" max="13030" width="16.7109375" style="621" customWidth="1"/>
    <col min="13031" max="13031" width="14.42578125" style="621" customWidth="1"/>
    <col min="13032" max="13032" width="13.140625" style="621" customWidth="1"/>
    <col min="13033" max="13033" width="13.28515625" style="621" customWidth="1"/>
    <col min="13034" max="13034" width="11.85546875" style="621" customWidth="1"/>
    <col min="13035" max="13035" width="16" style="621" customWidth="1"/>
    <col min="13036" max="13036" width="12" style="621" customWidth="1"/>
    <col min="13037" max="13037" width="11.5703125" style="621" customWidth="1"/>
    <col min="13038" max="13038" width="11.7109375" style="621" customWidth="1"/>
    <col min="13039" max="13039" width="17.5703125" style="621" customWidth="1"/>
    <col min="13040" max="13040" width="6.42578125" style="621" customWidth="1"/>
    <col min="13041" max="13041" width="29.28515625" style="621" customWidth="1"/>
    <col min="13042" max="13042" width="18.85546875" style="621" customWidth="1"/>
    <col min="13043" max="13284" width="9.140625" style="621"/>
    <col min="13285" max="13285" width="11.7109375" style="621" customWidth="1"/>
    <col min="13286" max="13286" width="16.7109375" style="621" customWidth="1"/>
    <col min="13287" max="13287" width="14.42578125" style="621" customWidth="1"/>
    <col min="13288" max="13288" width="13.140625" style="621" customWidth="1"/>
    <col min="13289" max="13289" width="13.28515625" style="621" customWidth="1"/>
    <col min="13290" max="13290" width="11.85546875" style="621" customWidth="1"/>
    <col min="13291" max="13291" width="16" style="621" customWidth="1"/>
    <col min="13292" max="13292" width="12" style="621" customWidth="1"/>
    <col min="13293" max="13293" width="11.5703125" style="621" customWidth="1"/>
    <col min="13294" max="13294" width="11.7109375" style="621" customWidth="1"/>
    <col min="13295" max="13295" width="17.5703125" style="621" customWidth="1"/>
    <col min="13296" max="13296" width="6.42578125" style="621" customWidth="1"/>
    <col min="13297" max="13297" width="29.28515625" style="621" customWidth="1"/>
    <col min="13298" max="13298" width="18.85546875" style="621" customWidth="1"/>
    <col min="13299" max="13540" width="9.140625" style="621"/>
    <col min="13541" max="13541" width="11.7109375" style="621" customWidth="1"/>
    <col min="13542" max="13542" width="16.7109375" style="621" customWidth="1"/>
    <col min="13543" max="13543" width="14.42578125" style="621" customWidth="1"/>
    <col min="13544" max="13544" width="13.140625" style="621" customWidth="1"/>
    <col min="13545" max="13545" width="13.28515625" style="621" customWidth="1"/>
    <col min="13546" max="13546" width="11.85546875" style="621" customWidth="1"/>
    <col min="13547" max="13547" width="16" style="621" customWidth="1"/>
    <col min="13548" max="13548" width="12" style="621" customWidth="1"/>
    <col min="13549" max="13549" width="11.5703125" style="621" customWidth="1"/>
    <col min="13550" max="13550" width="11.7109375" style="621" customWidth="1"/>
    <col min="13551" max="13551" width="17.5703125" style="621" customWidth="1"/>
    <col min="13552" max="13552" width="6.42578125" style="621" customWidth="1"/>
    <col min="13553" max="13553" width="29.28515625" style="621" customWidth="1"/>
    <col min="13554" max="13554" width="18.85546875" style="621" customWidth="1"/>
    <col min="13555" max="13796" width="9.140625" style="621"/>
    <col min="13797" max="13797" width="11.7109375" style="621" customWidth="1"/>
    <col min="13798" max="13798" width="16.7109375" style="621" customWidth="1"/>
    <col min="13799" max="13799" width="14.42578125" style="621" customWidth="1"/>
    <col min="13800" max="13800" width="13.140625" style="621" customWidth="1"/>
    <col min="13801" max="13801" width="13.28515625" style="621" customWidth="1"/>
    <col min="13802" max="13802" width="11.85546875" style="621" customWidth="1"/>
    <col min="13803" max="13803" width="16" style="621" customWidth="1"/>
    <col min="13804" max="13804" width="12" style="621" customWidth="1"/>
    <col min="13805" max="13805" width="11.5703125" style="621" customWidth="1"/>
    <col min="13806" max="13806" width="11.7109375" style="621" customWidth="1"/>
    <col min="13807" max="13807" width="17.5703125" style="621" customWidth="1"/>
    <col min="13808" max="13808" width="6.42578125" style="621" customWidth="1"/>
    <col min="13809" max="13809" width="29.28515625" style="621" customWidth="1"/>
    <col min="13810" max="13810" width="18.85546875" style="621" customWidth="1"/>
    <col min="13811" max="14052" width="9.140625" style="621"/>
    <col min="14053" max="14053" width="11.7109375" style="621" customWidth="1"/>
    <col min="14054" max="14054" width="16.7109375" style="621" customWidth="1"/>
    <col min="14055" max="14055" width="14.42578125" style="621" customWidth="1"/>
    <col min="14056" max="14056" width="13.140625" style="621" customWidth="1"/>
    <col min="14057" max="14057" width="13.28515625" style="621" customWidth="1"/>
    <col min="14058" max="14058" width="11.85546875" style="621" customWidth="1"/>
    <col min="14059" max="14059" width="16" style="621" customWidth="1"/>
    <col min="14060" max="14060" width="12" style="621" customWidth="1"/>
    <col min="14061" max="14061" width="11.5703125" style="621" customWidth="1"/>
    <col min="14062" max="14062" width="11.7109375" style="621" customWidth="1"/>
    <col min="14063" max="14063" width="17.5703125" style="621" customWidth="1"/>
    <col min="14064" max="14064" width="6.42578125" style="621" customWidth="1"/>
    <col min="14065" max="14065" width="29.28515625" style="621" customWidth="1"/>
    <col min="14066" max="14066" width="18.85546875" style="621" customWidth="1"/>
    <col min="14067" max="14308" width="9.140625" style="621"/>
    <col min="14309" max="14309" width="11.7109375" style="621" customWidth="1"/>
    <col min="14310" max="14310" width="16.7109375" style="621" customWidth="1"/>
    <col min="14311" max="14311" width="14.42578125" style="621" customWidth="1"/>
    <col min="14312" max="14312" width="13.140625" style="621" customWidth="1"/>
    <col min="14313" max="14313" width="13.28515625" style="621" customWidth="1"/>
    <col min="14314" max="14314" width="11.85546875" style="621" customWidth="1"/>
    <col min="14315" max="14315" width="16" style="621" customWidth="1"/>
    <col min="14316" max="14316" width="12" style="621" customWidth="1"/>
    <col min="14317" max="14317" width="11.5703125" style="621" customWidth="1"/>
    <col min="14318" max="14318" width="11.7109375" style="621" customWidth="1"/>
    <col min="14319" max="14319" width="17.5703125" style="621" customWidth="1"/>
    <col min="14320" max="14320" width="6.42578125" style="621" customWidth="1"/>
    <col min="14321" max="14321" width="29.28515625" style="621" customWidth="1"/>
    <col min="14322" max="14322" width="18.85546875" style="621" customWidth="1"/>
    <col min="14323" max="14564" width="9.140625" style="621"/>
    <col min="14565" max="14565" width="11.7109375" style="621" customWidth="1"/>
    <col min="14566" max="14566" width="16.7109375" style="621" customWidth="1"/>
    <col min="14567" max="14567" width="14.42578125" style="621" customWidth="1"/>
    <col min="14568" max="14568" width="13.140625" style="621" customWidth="1"/>
    <col min="14569" max="14569" width="13.28515625" style="621" customWidth="1"/>
    <col min="14570" max="14570" width="11.85546875" style="621" customWidth="1"/>
    <col min="14571" max="14571" width="16" style="621" customWidth="1"/>
    <col min="14572" max="14572" width="12" style="621" customWidth="1"/>
    <col min="14573" max="14573" width="11.5703125" style="621" customWidth="1"/>
    <col min="14574" max="14574" width="11.7109375" style="621" customWidth="1"/>
    <col min="14575" max="14575" width="17.5703125" style="621" customWidth="1"/>
    <col min="14576" max="14576" width="6.42578125" style="621" customWidth="1"/>
    <col min="14577" max="14577" width="29.28515625" style="621" customWidth="1"/>
    <col min="14578" max="14578" width="18.85546875" style="621" customWidth="1"/>
    <col min="14579" max="14820" width="9.140625" style="621"/>
    <col min="14821" max="14821" width="11.7109375" style="621" customWidth="1"/>
    <col min="14822" max="14822" width="16.7109375" style="621" customWidth="1"/>
    <col min="14823" max="14823" width="14.42578125" style="621" customWidth="1"/>
    <col min="14824" max="14824" width="13.140625" style="621" customWidth="1"/>
    <col min="14825" max="14825" width="13.28515625" style="621" customWidth="1"/>
    <col min="14826" max="14826" width="11.85546875" style="621" customWidth="1"/>
    <col min="14827" max="14827" width="16" style="621" customWidth="1"/>
    <col min="14828" max="14828" width="12" style="621" customWidth="1"/>
    <col min="14829" max="14829" width="11.5703125" style="621" customWidth="1"/>
    <col min="14830" max="14830" width="11.7109375" style="621" customWidth="1"/>
    <col min="14831" max="14831" width="17.5703125" style="621" customWidth="1"/>
    <col min="14832" max="14832" width="6.42578125" style="621" customWidth="1"/>
    <col min="14833" max="14833" width="29.28515625" style="621" customWidth="1"/>
    <col min="14834" max="14834" width="18.85546875" style="621" customWidth="1"/>
    <col min="14835" max="15076" width="9.140625" style="621"/>
    <col min="15077" max="15077" width="11.7109375" style="621" customWidth="1"/>
    <col min="15078" max="15078" width="16.7109375" style="621" customWidth="1"/>
    <col min="15079" max="15079" width="14.42578125" style="621" customWidth="1"/>
    <col min="15080" max="15080" width="13.140625" style="621" customWidth="1"/>
    <col min="15081" max="15081" width="13.28515625" style="621" customWidth="1"/>
    <col min="15082" max="15082" width="11.85546875" style="621" customWidth="1"/>
    <col min="15083" max="15083" width="16" style="621" customWidth="1"/>
    <col min="15084" max="15084" width="12" style="621" customWidth="1"/>
    <col min="15085" max="15085" width="11.5703125" style="621" customWidth="1"/>
    <col min="15086" max="15086" width="11.7109375" style="621" customWidth="1"/>
    <col min="15087" max="15087" width="17.5703125" style="621" customWidth="1"/>
    <col min="15088" max="15088" width="6.42578125" style="621" customWidth="1"/>
    <col min="15089" max="15089" width="29.28515625" style="621" customWidth="1"/>
    <col min="15090" max="15090" width="18.85546875" style="621" customWidth="1"/>
    <col min="15091" max="15332" width="9.140625" style="621"/>
    <col min="15333" max="15333" width="11.7109375" style="621" customWidth="1"/>
    <col min="15334" max="15334" width="16.7109375" style="621" customWidth="1"/>
    <col min="15335" max="15335" width="14.42578125" style="621" customWidth="1"/>
    <col min="15336" max="15336" width="13.140625" style="621" customWidth="1"/>
    <col min="15337" max="15337" width="13.28515625" style="621" customWidth="1"/>
    <col min="15338" max="15338" width="11.85546875" style="621" customWidth="1"/>
    <col min="15339" max="15339" width="16" style="621" customWidth="1"/>
    <col min="15340" max="15340" width="12" style="621" customWidth="1"/>
    <col min="15341" max="15341" width="11.5703125" style="621" customWidth="1"/>
    <col min="15342" max="15342" width="11.7109375" style="621" customWidth="1"/>
    <col min="15343" max="15343" width="17.5703125" style="621" customWidth="1"/>
    <col min="15344" max="15344" width="6.42578125" style="621" customWidth="1"/>
    <col min="15345" max="15345" width="29.28515625" style="621" customWidth="1"/>
    <col min="15346" max="15346" width="18.85546875" style="621" customWidth="1"/>
    <col min="15347" max="15588" width="9.140625" style="621"/>
    <col min="15589" max="15589" width="11.7109375" style="621" customWidth="1"/>
    <col min="15590" max="15590" width="16.7109375" style="621" customWidth="1"/>
    <col min="15591" max="15591" width="14.42578125" style="621" customWidth="1"/>
    <col min="15592" max="15592" width="13.140625" style="621" customWidth="1"/>
    <col min="15593" max="15593" width="13.28515625" style="621" customWidth="1"/>
    <col min="15594" max="15594" width="11.85546875" style="621" customWidth="1"/>
    <col min="15595" max="15595" width="16" style="621" customWidth="1"/>
    <col min="15596" max="15596" width="12" style="621" customWidth="1"/>
    <col min="15597" max="15597" width="11.5703125" style="621" customWidth="1"/>
    <col min="15598" max="15598" width="11.7109375" style="621" customWidth="1"/>
    <col min="15599" max="15599" width="17.5703125" style="621" customWidth="1"/>
    <col min="15600" max="15600" width="6.42578125" style="621" customWidth="1"/>
    <col min="15601" max="15601" width="29.28515625" style="621" customWidth="1"/>
    <col min="15602" max="15602" width="18.85546875" style="621" customWidth="1"/>
    <col min="15603" max="15844" width="9.140625" style="621"/>
    <col min="15845" max="15845" width="11.7109375" style="621" customWidth="1"/>
    <col min="15846" max="15846" width="16.7109375" style="621" customWidth="1"/>
    <col min="15847" max="15847" width="14.42578125" style="621" customWidth="1"/>
    <col min="15848" max="15848" width="13.140625" style="621" customWidth="1"/>
    <col min="15849" max="15849" width="13.28515625" style="621" customWidth="1"/>
    <col min="15850" max="15850" width="11.85546875" style="621" customWidth="1"/>
    <col min="15851" max="15851" width="16" style="621" customWidth="1"/>
    <col min="15852" max="15852" width="12" style="621" customWidth="1"/>
    <col min="15853" max="15853" width="11.5703125" style="621" customWidth="1"/>
    <col min="15854" max="15854" width="11.7109375" style="621" customWidth="1"/>
    <col min="15855" max="15855" width="17.5703125" style="621" customWidth="1"/>
    <col min="15856" max="15856" width="6.42578125" style="621" customWidth="1"/>
    <col min="15857" max="15857" width="29.28515625" style="621" customWidth="1"/>
    <col min="15858" max="15858" width="18.85546875" style="621" customWidth="1"/>
    <col min="15859" max="16100" width="9.140625" style="621"/>
    <col min="16101" max="16101" width="11.7109375" style="621" customWidth="1"/>
    <col min="16102" max="16102" width="16.7109375" style="621" customWidth="1"/>
    <col min="16103" max="16103" width="14.42578125" style="621" customWidth="1"/>
    <col min="16104" max="16104" width="13.140625" style="621" customWidth="1"/>
    <col min="16105" max="16105" width="13.28515625" style="621" customWidth="1"/>
    <col min="16106" max="16106" width="11.85546875" style="621" customWidth="1"/>
    <col min="16107" max="16107" width="16" style="621" customWidth="1"/>
    <col min="16108" max="16108" width="12" style="621" customWidth="1"/>
    <col min="16109" max="16109" width="11.5703125" style="621" customWidth="1"/>
    <col min="16110" max="16110" width="11.7109375" style="621" customWidth="1"/>
    <col min="16111" max="16111" width="17.5703125" style="621" customWidth="1"/>
    <col min="16112" max="16112" width="6.42578125" style="621" customWidth="1"/>
    <col min="16113" max="16113" width="29.28515625" style="621" customWidth="1"/>
    <col min="16114" max="16114" width="18.85546875" style="621" customWidth="1"/>
    <col min="16115" max="16384" width="9.140625" style="621"/>
  </cols>
  <sheetData>
    <row r="1" spans="2:15" ht="36.75" customHeight="1" x14ac:dyDescent="0.25">
      <c r="B1" s="906" t="s">
        <v>1001</v>
      </c>
      <c r="C1" s="906"/>
      <c r="D1" s="906"/>
      <c r="E1" s="906"/>
      <c r="F1" s="906"/>
      <c r="G1" s="906"/>
      <c r="H1" s="906"/>
      <c r="I1" s="906"/>
      <c r="J1" s="906"/>
    </row>
    <row r="2" spans="2:15" ht="20.25" customHeight="1" x14ac:dyDescent="0.25">
      <c r="B2" s="908" t="s">
        <v>227</v>
      </c>
      <c r="C2" s="909"/>
      <c r="D2" s="909"/>
      <c r="E2" s="909"/>
      <c r="F2" s="909"/>
      <c r="G2" s="909"/>
      <c r="H2" s="909"/>
      <c r="I2" s="909"/>
      <c r="J2" s="910"/>
    </row>
    <row r="3" spans="2:15" s="623" customFormat="1" ht="36" x14ac:dyDescent="0.25">
      <c r="B3" s="907" t="s">
        <v>228</v>
      </c>
      <c r="C3" s="794" t="s">
        <v>229</v>
      </c>
      <c r="D3" s="795" t="s">
        <v>230</v>
      </c>
      <c r="E3" s="898" t="s">
        <v>231</v>
      </c>
      <c r="F3" s="899" t="s">
        <v>232</v>
      </c>
      <c r="G3" s="795" t="s">
        <v>1002</v>
      </c>
      <c r="H3" s="795" t="s">
        <v>233</v>
      </c>
      <c r="I3" s="900" t="s">
        <v>234</v>
      </c>
      <c r="J3" s="795" t="s">
        <v>235</v>
      </c>
      <c r="K3" s="624"/>
      <c r="L3" s="624"/>
      <c r="M3" s="624"/>
      <c r="N3" s="624"/>
      <c r="O3" s="624"/>
    </row>
    <row r="4" spans="2:15" s="625" customFormat="1" x14ac:dyDescent="0.25">
      <c r="B4" s="907"/>
      <c r="C4" s="794" t="s">
        <v>236</v>
      </c>
      <c r="D4" s="796" t="s">
        <v>237</v>
      </c>
      <c r="E4" s="898"/>
      <c r="F4" s="899"/>
      <c r="G4" s="796" t="s">
        <v>237</v>
      </c>
      <c r="H4" s="796" t="s">
        <v>237</v>
      </c>
      <c r="I4" s="900"/>
      <c r="J4" s="795" t="s">
        <v>1003</v>
      </c>
      <c r="K4" s="626"/>
      <c r="L4" s="626"/>
      <c r="M4" s="626"/>
      <c r="N4" s="626"/>
      <c r="O4" s="626"/>
    </row>
    <row r="5" spans="2:15" x14ac:dyDescent="0.2">
      <c r="B5" s="902" t="s">
        <v>238</v>
      </c>
      <c r="C5" s="797" t="s">
        <v>239</v>
      </c>
      <c r="D5" s="893">
        <v>841930.56</v>
      </c>
      <c r="E5" s="798">
        <v>37391</v>
      </c>
      <c r="F5" s="799" t="s">
        <v>240</v>
      </c>
      <c r="G5" s="893">
        <f>2374.09+2222.88+2494.5+2397.14+2404.92+2360.8+2420.42+2274+2435.68+2494.5+2350.41+2509.73</f>
        <v>28739.07</v>
      </c>
      <c r="H5" s="893">
        <f>322848.93+27688.16+G5</f>
        <v>379276.16</v>
      </c>
      <c r="I5" s="904">
        <v>2032</v>
      </c>
      <c r="J5" s="894">
        <f>D5-H5</f>
        <v>462654.40000000008</v>
      </c>
    </row>
    <row r="6" spans="2:15" x14ac:dyDescent="0.2">
      <c r="B6" s="902"/>
      <c r="C6" s="798">
        <v>37313</v>
      </c>
      <c r="D6" s="893"/>
      <c r="E6" s="800">
        <v>119634</v>
      </c>
      <c r="F6" s="800">
        <v>119634</v>
      </c>
      <c r="G6" s="893"/>
      <c r="H6" s="893"/>
      <c r="I6" s="904"/>
      <c r="J6" s="894"/>
    </row>
    <row r="7" spans="2:15" x14ac:dyDescent="0.2">
      <c r="B7" s="902"/>
      <c r="C7" s="798"/>
      <c r="D7" s="893"/>
      <c r="E7" s="801">
        <f>E6/30.126</f>
        <v>3971.1212905795655</v>
      </c>
      <c r="F7" s="802">
        <f>F6/30.126</f>
        <v>3971.1212905795655</v>
      </c>
      <c r="G7" s="893"/>
      <c r="H7" s="893"/>
      <c r="I7" s="904"/>
      <c r="J7" s="894"/>
    </row>
    <row r="8" spans="2:15" ht="11.25" customHeight="1" x14ac:dyDescent="0.2">
      <c r="B8" s="902" t="s">
        <v>1015</v>
      </c>
      <c r="C8" s="797" t="s">
        <v>241</v>
      </c>
      <c r="D8" s="893">
        <v>1529840</v>
      </c>
      <c r="E8" s="803" t="s">
        <v>242</v>
      </c>
      <c r="F8" s="799" t="s">
        <v>243</v>
      </c>
      <c r="G8" s="893">
        <f>3703.98+3585.71+3790.76+3713.21+3716.31+3679.37+3722.47+3606.07+3728.58+3771.31+3655.78+3777.3</f>
        <v>44450.85</v>
      </c>
      <c r="H8" s="893">
        <f>25885.45+44046.14+G8</f>
        <v>114382.44</v>
      </c>
      <c r="I8" s="904" t="s">
        <v>244</v>
      </c>
      <c r="J8" s="894">
        <f>D8-H8</f>
        <v>1415457.56</v>
      </c>
    </row>
    <row r="9" spans="2:15" ht="12.75" customHeight="1" x14ac:dyDescent="0.2">
      <c r="B9" s="902"/>
      <c r="C9" s="798">
        <v>43012</v>
      </c>
      <c r="D9" s="893"/>
      <c r="E9" s="804">
        <v>4920.57</v>
      </c>
      <c r="F9" s="800" t="s">
        <v>245</v>
      </c>
      <c r="G9" s="893"/>
      <c r="H9" s="893"/>
      <c r="I9" s="904"/>
      <c r="J9" s="894"/>
    </row>
    <row r="10" spans="2:15" ht="21" customHeight="1" x14ac:dyDescent="0.2">
      <c r="B10" s="902"/>
      <c r="C10" s="798"/>
      <c r="D10" s="893"/>
      <c r="E10" s="801"/>
      <c r="F10" s="802">
        <v>4920.57</v>
      </c>
      <c r="G10" s="893"/>
      <c r="H10" s="893"/>
      <c r="I10" s="904"/>
      <c r="J10" s="894"/>
    </row>
    <row r="11" spans="2:15" ht="12.75" customHeight="1" x14ac:dyDescent="0.2">
      <c r="B11" s="902" t="s">
        <v>246</v>
      </c>
      <c r="C11" s="797" t="s">
        <v>247</v>
      </c>
      <c r="D11" s="893">
        <v>770210</v>
      </c>
      <c r="E11" s="803"/>
      <c r="F11" s="799" t="s">
        <v>243</v>
      </c>
      <c r="G11" s="893">
        <f>1855.52+1795.04+1899.8+1860.15+1861.69+1842.77+1864.78+1805.23+1867.84+1889.66+1830.55+1892.65</f>
        <v>22265.68</v>
      </c>
      <c r="H11" s="893">
        <f>2006.62+22063.38+G11</f>
        <v>46335.68</v>
      </c>
      <c r="I11" s="904" t="s">
        <v>592</v>
      </c>
      <c r="J11" s="894">
        <f>D11-H11</f>
        <v>723874.32</v>
      </c>
    </row>
    <row r="12" spans="2:15" ht="15" customHeight="1" x14ac:dyDescent="0.2">
      <c r="B12" s="902"/>
      <c r="C12" s="798">
        <v>42153</v>
      </c>
      <c r="D12" s="893"/>
      <c r="E12" s="804">
        <v>2477.3000000000002</v>
      </c>
      <c r="F12" s="800" t="s">
        <v>245</v>
      </c>
      <c r="G12" s="893"/>
      <c r="H12" s="893"/>
      <c r="I12" s="904"/>
      <c r="J12" s="894"/>
    </row>
    <row r="13" spans="2:15" ht="14.25" customHeight="1" x14ac:dyDescent="0.2">
      <c r="B13" s="902"/>
      <c r="C13" s="798"/>
      <c r="D13" s="893"/>
      <c r="E13" s="801"/>
      <c r="F13" s="802">
        <v>2477.3000000000002</v>
      </c>
      <c r="G13" s="893"/>
      <c r="H13" s="893"/>
      <c r="I13" s="904"/>
      <c r="J13" s="894"/>
    </row>
    <row r="14" spans="2:15" x14ac:dyDescent="0.2">
      <c r="B14" s="902" t="s">
        <v>248</v>
      </c>
      <c r="C14" s="798" t="s">
        <v>249</v>
      </c>
      <c r="D14" s="893">
        <f>368304.35+431752.15+120352.68+136825.05+133512.73</f>
        <v>1190746.96</v>
      </c>
      <c r="E14" s="803" t="s">
        <v>250</v>
      </c>
      <c r="F14" s="799" t="s">
        <v>251</v>
      </c>
      <c r="G14" s="893">
        <f>10530*12</f>
        <v>126360</v>
      </c>
      <c r="H14" s="893">
        <f>631800+126360+G14</f>
        <v>884520</v>
      </c>
      <c r="I14" s="895">
        <v>45107</v>
      </c>
      <c r="J14" s="896">
        <f>D14-H14</f>
        <v>306226.95999999996</v>
      </c>
    </row>
    <row r="15" spans="2:15" x14ac:dyDescent="0.2">
      <c r="B15" s="902"/>
      <c r="C15" s="798">
        <v>41470</v>
      </c>
      <c r="D15" s="893"/>
      <c r="E15" s="802">
        <v>10530</v>
      </c>
      <c r="F15" s="799"/>
      <c r="G15" s="893"/>
      <c r="H15" s="893"/>
      <c r="I15" s="895"/>
      <c r="J15" s="896"/>
    </row>
    <row r="16" spans="2:15" x14ac:dyDescent="0.2">
      <c r="B16" s="902"/>
      <c r="C16" s="798" t="s">
        <v>252</v>
      </c>
      <c r="D16" s="893"/>
      <c r="E16" s="802"/>
      <c r="F16" s="799" t="s">
        <v>253</v>
      </c>
      <c r="G16" s="893"/>
      <c r="H16" s="893"/>
      <c r="I16" s="895"/>
      <c r="J16" s="896"/>
    </row>
    <row r="17" spans="2:10" x14ac:dyDescent="0.2">
      <c r="B17" s="902" t="s">
        <v>248</v>
      </c>
      <c r="C17" s="798" t="s">
        <v>254</v>
      </c>
      <c r="D17" s="893">
        <v>1000000</v>
      </c>
      <c r="E17" s="803" t="s">
        <v>255</v>
      </c>
      <c r="F17" s="799" t="s">
        <v>256</v>
      </c>
      <c r="G17" s="893">
        <f>8334*12</f>
        <v>100008</v>
      </c>
      <c r="H17" s="893">
        <f>200016+100008+G17</f>
        <v>400032</v>
      </c>
      <c r="I17" s="895">
        <v>46387</v>
      </c>
      <c r="J17" s="896">
        <f>D17-H17</f>
        <v>599968</v>
      </c>
    </row>
    <row r="18" spans="2:10" x14ac:dyDescent="0.2">
      <c r="B18" s="902"/>
      <c r="C18" s="798">
        <v>42655</v>
      </c>
      <c r="D18" s="893"/>
      <c r="E18" s="802">
        <v>8334</v>
      </c>
      <c r="F18" s="799"/>
      <c r="G18" s="893"/>
      <c r="H18" s="893"/>
      <c r="I18" s="895"/>
      <c r="J18" s="896"/>
    </row>
    <row r="19" spans="2:10" x14ac:dyDescent="0.2">
      <c r="B19" s="902"/>
      <c r="C19" s="798"/>
      <c r="D19" s="893"/>
      <c r="E19" s="802"/>
      <c r="F19" s="799" t="s">
        <v>257</v>
      </c>
      <c r="G19" s="893"/>
      <c r="H19" s="893"/>
      <c r="I19" s="895"/>
      <c r="J19" s="896"/>
    </row>
    <row r="20" spans="2:10" x14ac:dyDescent="0.2">
      <c r="B20" s="902" t="s">
        <v>248</v>
      </c>
      <c r="C20" s="798" t="s">
        <v>258</v>
      </c>
      <c r="D20" s="893">
        <v>3210000</v>
      </c>
      <c r="E20" s="803" t="s">
        <v>259</v>
      </c>
      <c r="F20" s="799" t="s">
        <v>260</v>
      </c>
      <c r="G20" s="893">
        <f>26750*12</f>
        <v>321000</v>
      </c>
      <c r="H20" s="893">
        <f>321000+G20</f>
        <v>642000</v>
      </c>
      <c r="I20" s="895">
        <v>47118</v>
      </c>
      <c r="J20" s="896">
        <f>D20-H20</f>
        <v>2568000</v>
      </c>
    </row>
    <row r="21" spans="2:10" x14ac:dyDescent="0.2">
      <c r="B21" s="902"/>
      <c r="C21" s="798">
        <v>43299</v>
      </c>
      <c r="D21" s="893"/>
      <c r="E21" s="802">
        <v>26750</v>
      </c>
      <c r="F21" s="799"/>
      <c r="G21" s="893"/>
      <c r="H21" s="893"/>
      <c r="I21" s="895"/>
      <c r="J21" s="896"/>
    </row>
    <row r="22" spans="2:10" x14ac:dyDescent="0.2">
      <c r="B22" s="902"/>
      <c r="C22" s="798"/>
      <c r="D22" s="893"/>
      <c r="E22" s="802"/>
      <c r="F22" s="799" t="s">
        <v>261</v>
      </c>
      <c r="G22" s="893"/>
      <c r="H22" s="893"/>
      <c r="I22" s="895"/>
      <c r="J22" s="896"/>
    </row>
    <row r="23" spans="2:10" ht="15" customHeight="1" x14ac:dyDescent="0.2">
      <c r="B23" s="902" t="s">
        <v>248</v>
      </c>
      <c r="C23" s="798" t="s">
        <v>586</v>
      </c>
      <c r="D23" s="893">
        <v>2050000</v>
      </c>
      <c r="E23" s="803" t="s">
        <v>587</v>
      </c>
      <c r="F23" s="799" t="s">
        <v>593</v>
      </c>
      <c r="G23" s="893">
        <f>17084*12</f>
        <v>205008</v>
      </c>
      <c r="H23" s="893">
        <f>G23</f>
        <v>205008</v>
      </c>
      <c r="I23" s="895">
        <v>47483</v>
      </c>
      <c r="J23" s="896">
        <f>D23-H23</f>
        <v>1844992</v>
      </c>
    </row>
    <row r="24" spans="2:10" ht="15" customHeight="1" x14ac:dyDescent="0.2">
      <c r="B24" s="902"/>
      <c r="C24" s="798">
        <v>43753</v>
      </c>
      <c r="D24" s="893"/>
      <c r="E24" s="802">
        <v>17084</v>
      </c>
      <c r="F24" s="799"/>
      <c r="G24" s="893"/>
      <c r="H24" s="893"/>
      <c r="I24" s="895"/>
      <c r="J24" s="896"/>
    </row>
    <row r="25" spans="2:10" ht="15" customHeight="1" x14ac:dyDescent="0.2">
      <c r="B25" s="902"/>
      <c r="C25" s="798"/>
      <c r="D25" s="893"/>
      <c r="E25" s="802"/>
      <c r="F25" s="799" t="s">
        <v>588</v>
      </c>
      <c r="G25" s="893"/>
      <c r="H25" s="893"/>
      <c r="I25" s="895"/>
      <c r="J25" s="896"/>
    </row>
    <row r="26" spans="2:10" ht="15.75" customHeight="1" x14ac:dyDescent="0.2">
      <c r="B26" s="902" t="s">
        <v>248</v>
      </c>
      <c r="C26" s="798" t="s">
        <v>1004</v>
      </c>
      <c r="D26" s="893">
        <v>1600000</v>
      </c>
      <c r="E26" s="803" t="s">
        <v>1005</v>
      </c>
      <c r="F26" s="799" t="s">
        <v>1006</v>
      </c>
      <c r="G26" s="893">
        <v>0</v>
      </c>
      <c r="H26" s="893">
        <v>0</v>
      </c>
      <c r="I26" s="895">
        <v>47848</v>
      </c>
      <c r="J26" s="896">
        <f>D26</f>
        <v>1600000</v>
      </c>
    </row>
    <row r="27" spans="2:10" ht="15.75" customHeight="1" x14ac:dyDescent="0.2">
      <c r="B27" s="902"/>
      <c r="C27" s="798">
        <v>43980</v>
      </c>
      <c r="D27" s="893"/>
      <c r="E27" s="802">
        <v>13333</v>
      </c>
      <c r="F27" s="799"/>
      <c r="G27" s="893"/>
      <c r="H27" s="893"/>
      <c r="I27" s="895"/>
      <c r="J27" s="896"/>
    </row>
    <row r="28" spans="2:10" ht="15.75" customHeight="1" x14ac:dyDescent="0.2">
      <c r="B28" s="902"/>
      <c r="C28" s="798"/>
      <c r="D28" s="893"/>
      <c r="E28" s="802"/>
      <c r="F28" s="799" t="s">
        <v>1007</v>
      </c>
      <c r="G28" s="893"/>
      <c r="H28" s="893"/>
      <c r="I28" s="895"/>
      <c r="J28" s="896"/>
    </row>
    <row r="29" spans="2:10" x14ac:dyDescent="0.2">
      <c r="B29" s="902" t="s">
        <v>262</v>
      </c>
      <c r="C29" s="798" t="s">
        <v>263</v>
      </c>
      <c r="D29" s="893">
        <v>2401468.7999999998</v>
      </c>
      <c r="E29" s="798">
        <v>42394</v>
      </c>
      <c r="F29" s="799" t="s">
        <v>264</v>
      </c>
      <c r="G29" s="893">
        <f>20012.24*12</f>
        <v>240146.88</v>
      </c>
      <c r="H29" s="893">
        <f>720440.64+240146.88+G29</f>
        <v>1200734.3999999999</v>
      </c>
      <c r="I29" s="895">
        <v>46014</v>
      </c>
      <c r="J29" s="896">
        <f>D29-H29</f>
        <v>1200734.3999999999</v>
      </c>
    </row>
    <row r="30" spans="2:10" x14ac:dyDescent="0.2">
      <c r="B30" s="902"/>
      <c r="C30" s="798">
        <v>42142</v>
      </c>
      <c r="D30" s="893"/>
      <c r="E30" s="802">
        <v>20012.240000000002</v>
      </c>
      <c r="F30" s="799" t="s">
        <v>265</v>
      </c>
      <c r="G30" s="893"/>
      <c r="H30" s="893"/>
      <c r="I30" s="895"/>
      <c r="J30" s="896"/>
    </row>
    <row r="31" spans="2:10" x14ac:dyDescent="0.2">
      <c r="B31" s="902"/>
      <c r="C31" s="798"/>
      <c r="D31" s="893"/>
      <c r="E31" s="802"/>
      <c r="F31" s="799"/>
      <c r="G31" s="893"/>
      <c r="H31" s="893"/>
      <c r="I31" s="895"/>
      <c r="J31" s="896"/>
    </row>
    <row r="32" spans="2:10" x14ac:dyDescent="0.2">
      <c r="B32" s="902" t="s">
        <v>262</v>
      </c>
      <c r="C32" s="805" t="s">
        <v>266</v>
      </c>
      <c r="D32" s="893">
        <v>681759.94</v>
      </c>
      <c r="E32" s="805">
        <v>42034</v>
      </c>
      <c r="F32" s="799" t="s">
        <v>267</v>
      </c>
      <c r="G32" s="901">
        <f>5681.33*12</f>
        <v>68175.959999999992</v>
      </c>
      <c r="H32" s="893">
        <f>272703.84+68175.96+G32</f>
        <v>409055.76</v>
      </c>
      <c r="I32" s="895">
        <v>45657</v>
      </c>
      <c r="J32" s="896">
        <f>D32-H32</f>
        <v>272704.17999999993</v>
      </c>
    </row>
    <row r="33" spans="2:10" x14ac:dyDescent="0.2">
      <c r="B33" s="902"/>
      <c r="C33" s="805"/>
      <c r="D33" s="893"/>
      <c r="E33" s="806"/>
      <c r="F33" s="799"/>
      <c r="G33" s="901"/>
      <c r="H33" s="893"/>
      <c r="I33" s="895"/>
      <c r="J33" s="896"/>
    </row>
    <row r="34" spans="2:10" x14ac:dyDescent="0.2">
      <c r="B34" s="902"/>
      <c r="C34" s="805">
        <v>41890</v>
      </c>
      <c r="D34" s="893"/>
      <c r="E34" s="806">
        <v>5681.33</v>
      </c>
      <c r="F34" s="799" t="s">
        <v>268</v>
      </c>
      <c r="G34" s="901"/>
      <c r="H34" s="893"/>
      <c r="I34" s="895"/>
      <c r="J34" s="896"/>
    </row>
    <row r="35" spans="2:10" x14ac:dyDescent="0.2">
      <c r="B35" s="905" t="s">
        <v>269</v>
      </c>
      <c r="C35" s="805" t="s">
        <v>270</v>
      </c>
      <c r="D35" s="893">
        <v>1500000</v>
      </c>
      <c r="E35" s="807" t="s">
        <v>250</v>
      </c>
      <c r="F35" s="808" t="s">
        <v>271</v>
      </c>
      <c r="G35" s="901">
        <f>12500*12</f>
        <v>150000</v>
      </c>
      <c r="H35" s="893">
        <f>750000+150000+G35</f>
        <v>1050000</v>
      </c>
      <c r="I35" s="895">
        <v>45291</v>
      </c>
      <c r="J35" s="896">
        <f>D35-H35</f>
        <v>450000</v>
      </c>
    </row>
    <row r="36" spans="2:10" x14ac:dyDescent="0.2">
      <c r="B36" s="905"/>
      <c r="C36" s="805">
        <v>41548</v>
      </c>
      <c r="D36" s="893"/>
      <c r="E36" s="806">
        <v>12500</v>
      </c>
      <c r="F36" s="808" t="s">
        <v>272</v>
      </c>
      <c r="G36" s="901"/>
      <c r="H36" s="893"/>
      <c r="I36" s="895"/>
      <c r="J36" s="896"/>
    </row>
    <row r="37" spans="2:10" x14ac:dyDescent="0.2">
      <c r="B37" s="905" t="s">
        <v>269</v>
      </c>
      <c r="C37" s="805" t="s">
        <v>273</v>
      </c>
      <c r="D37" s="893">
        <v>1300000</v>
      </c>
      <c r="E37" s="807" t="s">
        <v>274</v>
      </c>
      <c r="F37" s="808" t="s">
        <v>275</v>
      </c>
      <c r="G37" s="901">
        <f>10834*12</f>
        <v>130008</v>
      </c>
      <c r="H37" s="893">
        <f>520032+130008+G37</f>
        <v>780048</v>
      </c>
      <c r="I37" s="895">
        <v>45657</v>
      </c>
      <c r="J37" s="896">
        <f>D37-H37</f>
        <v>519952</v>
      </c>
    </row>
    <row r="38" spans="2:10" x14ac:dyDescent="0.2">
      <c r="B38" s="905"/>
      <c r="C38" s="805">
        <v>41815</v>
      </c>
      <c r="D38" s="893"/>
      <c r="E38" s="806">
        <v>10834</v>
      </c>
      <c r="F38" s="808" t="s">
        <v>276</v>
      </c>
      <c r="G38" s="901"/>
      <c r="H38" s="893"/>
      <c r="I38" s="895"/>
      <c r="J38" s="896"/>
    </row>
    <row r="39" spans="2:10" ht="15" customHeight="1" x14ac:dyDescent="0.2">
      <c r="B39" s="905" t="s">
        <v>269</v>
      </c>
      <c r="C39" s="805" t="s">
        <v>277</v>
      </c>
      <c r="D39" s="903">
        <v>1800000</v>
      </c>
      <c r="E39" s="807" t="s">
        <v>278</v>
      </c>
      <c r="F39" s="808" t="s">
        <v>279</v>
      </c>
      <c r="G39" s="901">
        <f>15000*12</f>
        <v>180000</v>
      </c>
      <c r="H39" s="893">
        <f>540000+180000+G39</f>
        <v>900000</v>
      </c>
      <c r="I39" s="895">
        <v>46022</v>
      </c>
      <c r="J39" s="896">
        <f>D39-H39</f>
        <v>900000</v>
      </c>
    </row>
    <row r="40" spans="2:10" ht="10.5" customHeight="1" x14ac:dyDescent="0.2">
      <c r="B40" s="905"/>
      <c r="C40" s="805">
        <v>42304</v>
      </c>
      <c r="D40" s="903"/>
      <c r="E40" s="806">
        <v>15000</v>
      </c>
      <c r="F40" s="808" t="s">
        <v>280</v>
      </c>
      <c r="G40" s="901"/>
      <c r="H40" s="893"/>
      <c r="I40" s="895"/>
      <c r="J40" s="896"/>
    </row>
    <row r="41" spans="2:10" x14ac:dyDescent="0.2">
      <c r="B41" s="902" t="s">
        <v>281</v>
      </c>
      <c r="C41" s="805" t="s">
        <v>282</v>
      </c>
      <c r="D41" s="893">
        <v>3120000</v>
      </c>
      <c r="E41" s="807" t="s">
        <v>283</v>
      </c>
      <c r="F41" s="808" t="s">
        <v>284</v>
      </c>
      <c r="G41" s="901">
        <f>27130*12</f>
        <v>325560</v>
      </c>
      <c r="H41" s="893">
        <f>325560+325560+G41</f>
        <v>976680</v>
      </c>
      <c r="I41" s="895">
        <v>46589</v>
      </c>
      <c r="J41" s="896">
        <f>D41-H41</f>
        <v>2143320</v>
      </c>
    </row>
    <row r="42" spans="2:10" ht="31.5" customHeight="1" x14ac:dyDescent="0.2">
      <c r="B42" s="902"/>
      <c r="C42" s="805">
        <v>42929</v>
      </c>
      <c r="D42" s="893"/>
      <c r="E42" s="806">
        <v>27130</v>
      </c>
      <c r="F42" s="808" t="s">
        <v>285</v>
      </c>
      <c r="G42" s="901"/>
      <c r="H42" s="893"/>
      <c r="I42" s="895"/>
      <c r="J42" s="896"/>
    </row>
    <row r="43" spans="2:10" x14ac:dyDescent="0.2">
      <c r="B43" s="891" t="s">
        <v>1008</v>
      </c>
      <c r="C43" s="895" t="s">
        <v>1009</v>
      </c>
      <c r="D43" s="893">
        <v>1280520</v>
      </c>
      <c r="E43" s="806" t="s">
        <v>1010</v>
      </c>
      <c r="F43" s="894" t="s">
        <v>1011</v>
      </c>
      <c r="G43" s="901">
        <v>0</v>
      </c>
      <c r="H43" s="893">
        <v>0</v>
      </c>
      <c r="I43" s="895">
        <v>46691</v>
      </c>
      <c r="J43" s="896">
        <f>D43</f>
        <v>1280520</v>
      </c>
    </row>
    <row r="44" spans="2:10" x14ac:dyDescent="0.2">
      <c r="B44" s="891"/>
      <c r="C44" s="895"/>
      <c r="D44" s="893"/>
      <c r="E44" s="806" t="s">
        <v>1012</v>
      </c>
      <c r="F44" s="894"/>
      <c r="G44" s="901"/>
      <c r="H44" s="893"/>
      <c r="I44" s="895"/>
      <c r="J44" s="896"/>
    </row>
    <row r="45" spans="2:10" x14ac:dyDescent="0.2">
      <c r="B45" s="891"/>
      <c r="C45" s="895"/>
      <c r="D45" s="893"/>
      <c r="E45" s="806" t="s">
        <v>1013</v>
      </c>
      <c r="F45" s="894"/>
      <c r="G45" s="901"/>
      <c r="H45" s="893"/>
      <c r="I45" s="895"/>
      <c r="J45" s="896"/>
    </row>
    <row r="46" spans="2:10" x14ac:dyDescent="0.2">
      <c r="B46" s="891"/>
      <c r="C46" s="895"/>
      <c r="D46" s="893"/>
      <c r="E46" s="806" t="s">
        <v>1014</v>
      </c>
      <c r="F46" s="894"/>
      <c r="G46" s="901"/>
      <c r="H46" s="893"/>
      <c r="I46" s="895"/>
      <c r="J46" s="896"/>
    </row>
    <row r="47" spans="2:10" ht="14.25" customHeight="1" x14ac:dyDescent="0.2">
      <c r="B47" s="786"/>
      <c r="C47" s="787"/>
      <c r="D47" s="788"/>
      <c r="E47" s="789"/>
      <c r="F47" s="790"/>
      <c r="G47" s="791"/>
      <c r="H47" s="791"/>
      <c r="I47" s="792"/>
      <c r="J47" s="793"/>
    </row>
    <row r="48" spans="2:10" ht="14.25" customHeight="1" x14ac:dyDescent="0.2">
      <c r="B48" s="786"/>
      <c r="C48" s="787"/>
      <c r="D48" s="788"/>
      <c r="E48" s="789"/>
      <c r="F48" s="790"/>
      <c r="G48" s="791"/>
      <c r="H48" s="791"/>
      <c r="I48" s="792"/>
      <c r="J48" s="793"/>
    </row>
    <row r="49" spans="2:10" ht="14.25" customHeight="1" x14ac:dyDescent="0.2">
      <c r="B49" s="786"/>
      <c r="C49" s="787"/>
      <c r="D49" s="788"/>
      <c r="E49" s="789"/>
      <c r="F49" s="790"/>
      <c r="G49" s="791"/>
      <c r="H49" s="791"/>
      <c r="I49" s="792"/>
      <c r="J49" s="793"/>
    </row>
    <row r="50" spans="2:10" ht="14.25" customHeight="1" x14ac:dyDescent="0.2">
      <c r="B50" s="786"/>
      <c r="C50" s="787"/>
      <c r="D50" s="788"/>
      <c r="E50" s="789"/>
      <c r="F50" s="790"/>
      <c r="G50" s="791"/>
      <c r="H50" s="791"/>
      <c r="I50" s="792"/>
      <c r="J50" s="793"/>
    </row>
    <row r="51" spans="2:10" ht="20.25" customHeight="1" x14ac:dyDescent="0.25">
      <c r="B51" s="908" t="s">
        <v>286</v>
      </c>
      <c r="C51" s="909"/>
      <c r="D51" s="909"/>
      <c r="E51" s="909"/>
      <c r="F51" s="909"/>
      <c r="G51" s="909"/>
      <c r="H51" s="909"/>
      <c r="I51" s="909"/>
      <c r="J51" s="910"/>
    </row>
    <row r="52" spans="2:10" ht="36" x14ac:dyDescent="0.2">
      <c r="B52" s="897" t="s">
        <v>228</v>
      </c>
      <c r="C52" s="794" t="s">
        <v>229</v>
      </c>
      <c r="D52" s="795" t="s">
        <v>230</v>
      </c>
      <c r="E52" s="898" t="s">
        <v>231</v>
      </c>
      <c r="F52" s="899" t="s">
        <v>232</v>
      </c>
      <c r="G52" s="795" t="s">
        <v>1002</v>
      </c>
      <c r="H52" s="795" t="s">
        <v>233</v>
      </c>
      <c r="I52" s="900" t="s">
        <v>234</v>
      </c>
      <c r="J52" s="795" t="s">
        <v>235</v>
      </c>
    </row>
    <row r="53" spans="2:10" x14ac:dyDescent="0.2">
      <c r="B53" s="897"/>
      <c r="C53" s="794" t="s">
        <v>236</v>
      </c>
      <c r="D53" s="796" t="s">
        <v>237</v>
      </c>
      <c r="E53" s="898"/>
      <c r="F53" s="899"/>
      <c r="G53" s="796" t="s">
        <v>237</v>
      </c>
      <c r="H53" s="796" t="s">
        <v>237</v>
      </c>
      <c r="I53" s="900"/>
      <c r="J53" s="795" t="s">
        <v>1003</v>
      </c>
    </row>
    <row r="54" spans="2:10" x14ac:dyDescent="0.2">
      <c r="B54" s="891" t="s">
        <v>287</v>
      </c>
      <c r="C54" s="803" t="s">
        <v>288</v>
      </c>
      <c r="D54" s="892">
        <v>586770.98</v>
      </c>
      <c r="E54" s="803" t="s">
        <v>289</v>
      </c>
      <c r="F54" s="799" t="s">
        <v>290</v>
      </c>
      <c r="G54" s="893">
        <f>4889.76*12-0.22</f>
        <v>58676.9</v>
      </c>
      <c r="H54" s="894">
        <f>469416.96+58677.12+G54</f>
        <v>586770.9800000001</v>
      </c>
      <c r="I54" s="895">
        <v>44196</v>
      </c>
      <c r="J54" s="896">
        <f>D54-H54</f>
        <v>0</v>
      </c>
    </row>
    <row r="55" spans="2:10" x14ac:dyDescent="0.2">
      <c r="B55" s="891"/>
      <c r="C55" s="803" t="s">
        <v>291</v>
      </c>
      <c r="D55" s="892"/>
      <c r="E55" s="802">
        <v>4889.76</v>
      </c>
      <c r="F55" s="799" t="s">
        <v>292</v>
      </c>
      <c r="G55" s="893"/>
      <c r="H55" s="894"/>
      <c r="I55" s="895"/>
      <c r="J55" s="896"/>
    </row>
    <row r="56" spans="2:10" x14ac:dyDescent="0.2">
      <c r="B56" s="891" t="s">
        <v>293</v>
      </c>
      <c r="C56" s="803" t="s">
        <v>288</v>
      </c>
      <c r="D56" s="892">
        <v>1259891.28</v>
      </c>
      <c r="E56" s="803" t="s">
        <v>289</v>
      </c>
      <c r="F56" s="799" t="s">
        <v>290</v>
      </c>
      <c r="G56" s="893">
        <f>10499.09*12+0.48</f>
        <v>125989.56</v>
      </c>
      <c r="H56" s="894">
        <f>1007912.64+125989.08+G56</f>
        <v>1259891.28</v>
      </c>
      <c r="I56" s="895">
        <v>44196</v>
      </c>
      <c r="J56" s="896">
        <f>D56-H56</f>
        <v>0</v>
      </c>
    </row>
    <row r="57" spans="2:10" x14ac:dyDescent="0.2">
      <c r="B57" s="891"/>
      <c r="C57" s="803" t="s">
        <v>294</v>
      </c>
      <c r="D57" s="892"/>
      <c r="E57" s="802">
        <v>10499.09</v>
      </c>
      <c r="F57" s="799" t="s">
        <v>295</v>
      </c>
      <c r="G57" s="893"/>
      <c r="H57" s="894"/>
      <c r="I57" s="895"/>
      <c r="J57" s="896"/>
    </row>
    <row r="58" spans="2:10" ht="10.5" customHeight="1" x14ac:dyDescent="0.2">
      <c r="B58" s="809"/>
      <c r="C58" s="787"/>
      <c r="D58" s="788"/>
      <c r="E58" s="789"/>
      <c r="F58" s="790"/>
      <c r="G58" s="791"/>
      <c r="H58" s="791"/>
      <c r="I58" s="792"/>
      <c r="J58" s="791"/>
    </row>
    <row r="59" spans="2:10" x14ac:dyDescent="0.2">
      <c r="J59" s="622"/>
    </row>
    <row r="61" spans="2:10" x14ac:dyDescent="0.2">
      <c r="J61" s="622"/>
    </row>
  </sheetData>
  <mergeCells count="115">
    <mergeCell ref="B51:J51"/>
    <mergeCell ref="B20:B22"/>
    <mergeCell ref="G20:G22"/>
    <mergeCell ref="H20:H22"/>
    <mergeCell ref="B23:B25"/>
    <mergeCell ref="B17:B19"/>
    <mergeCell ref="B8:B10"/>
    <mergeCell ref="G8:G10"/>
    <mergeCell ref="H8:H10"/>
    <mergeCell ref="B11:B13"/>
    <mergeCell ref="G11:G13"/>
    <mergeCell ref="H11:H13"/>
    <mergeCell ref="B14:B16"/>
    <mergeCell ref="G14:G16"/>
    <mergeCell ref="H14:H16"/>
    <mergeCell ref="D14:D16"/>
    <mergeCell ref="B32:B34"/>
    <mergeCell ref="G32:G34"/>
    <mergeCell ref="H32:H34"/>
    <mergeCell ref="B39:B40"/>
    <mergeCell ref="B29:B31"/>
    <mergeCell ref="G23:G25"/>
    <mergeCell ref="H23:H25"/>
    <mergeCell ref="B26:B28"/>
    <mergeCell ref="B37:B38"/>
    <mergeCell ref="B35:B36"/>
    <mergeCell ref="D26:D28"/>
    <mergeCell ref="D37:D38"/>
    <mergeCell ref="B1:J1"/>
    <mergeCell ref="B3:B4"/>
    <mergeCell ref="E3:E4"/>
    <mergeCell ref="F3:F4"/>
    <mergeCell ref="I3:I4"/>
    <mergeCell ref="B5:B7"/>
    <mergeCell ref="D5:D7"/>
    <mergeCell ref="G5:G7"/>
    <mergeCell ref="H5:H7"/>
    <mergeCell ref="I5:I7"/>
    <mergeCell ref="J5:J7"/>
    <mergeCell ref="B2:J2"/>
    <mergeCell ref="I14:I16"/>
    <mergeCell ref="J14:J16"/>
    <mergeCell ref="D17:D19"/>
    <mergeCell ref="I17:I19"/>
    <mergeCell ref="J17:J19"/>
    <mergeCell ref="D8:D10"/>
    <mergeCell ref="I8:I10"/>
    <mergeCell ref="J8:J10"/>
    <mergeCell ref="D11:D13"/>
    <mergeCell ref="I11:I13"/>
    <mergeCell ref="J11:J13"/>
    <mergeCell ref="G17:G19"/>
    <mergeCell ref="H17:H19"/>
    <mergeCell ref="I26:I28"/>
    <mergeCell ref="J26:J28"/>
    <mergeCell ref="G26:G28"/>
    <mergeCell ref="H26:H28"/>
    <mergeCell ref="D29:D31"/>
    <mergeCell ref="I29:I31"/>
    <mergeCell ref="J29:J31"/>
    <mergeCell ref="D20:D22"/>
    <mergeCell ref="I20:I22"/>
    <mergeCell ref="J20:J22"/>
    <mergeCell ref="D23:D25"/>
    <mergeCell ref="I23:I25"/>
    <mergeCell ref="J23:J25"/>
    <mergeCell ref="G29:G31"/>
    <mergeCell ref="H29:H31"/>
    <mergeCell ref="I37:I38"/>
    <mergeCell ref="J37:J38"/>
    <mergeCell ref="D39:D40"/>
    <mergeCell ref="I39:I40"/>
    <mergeCell ref="J39:J40"/>
    <mergeCell ref="D32:D34"/>
    <mergeCell ref="I32:I34"/>
    <mergeCell ref="J32:J34"/>
    <mergeCell ref="D35:D36"/>
    <mergeCell ref="I35:I36"/>
    <mergeCell ref="J35:J36"/>
    <mergeCell ref="G35:G36"/>
    <mergeCell ref="H35:H36"/>
    <mergeCell ref="G37:G38"/>
    <mergeCell ref="H37:H38"/>
    <mergeCell ref="G39:G40"/>
    <mergeCell ref="H39:H40"/>
    <mergeCell ref="D41:D42"/>
    <mergeCell ref="I41:I42"/>
    <mergeCell ref="J41:J42"/>
    <mergeCell ref="B43:B46"/>
    <mergeCell ref="C43:C46"/>
    <mergeCell ref="D43:D46"/>
    <mergeCell ref="F43:F46"/>
    <mergeCell ref="G43:G46"/>
    <mergeCell ref="H43:H46"/>
    <mergeCell ref="I43:I46"/>
    <mergeCell ref="J43:J46"/>
    <mergeCell ref="G41:G42"/>
    <mergeCell ref="H41:H42"/>
    <mergeCell ref="B41:B42"/>
    <mergeCell ref="B56:B57"/>
    <mergeCell ref="D56:D57"/>
    <mergeCell ref="G56:G57"/>
    <mergeCell ref="H56:H57"/>
    <mergeCell ref="I56:I57"/>
    <mergeCell ref="J56:J57"/>
    <mergeCell ref="B52:B53"/>
    <mergeCell ref="E52:E53"/>
    <mergeCell ref="F52:F53"/>
    <mergeCell ref="I52:I53"/>
    <mergeCell ref="B54:B55"/>
    <mergeCell ref="D54:D55"/>
    <mergeCell ref="G54:G55"/>
    <mergeCell ref="H54:H55"/>
    <mergeCell ref="I54:I55"/>
    <mergeCell ref="J54:J55"/>
  </mergeCells>
  <pageMargins left="0.82677165354330717" right="0.62992125984251968" top="0.11811023622047245" bottom="0.19685039370078741" header="0.11811023622047245" footer="0.19685039370078741"/>
  <pageSetup paperSize="9" scale="83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B2:O46"/>
  <sheetViews>
    <sheetView workbookViewId="0"/>
  </sheetViews>
  <sheetFormatPr defaultColWidth="9.7109375" defaultRowHeight="12.75" x14ac:dyDescent="0.2"/>
  <cols>
    <col min="1" max="1" width="1.85546875" style="27" customWidth="1"/>
    <col min="2" max="2" width="31" style="27" customWidth="1"/>
    <col min="3" max="4" width="7.85546875" style="27" customWidth="1"/>
    <col min="5" max="5" width="8.28515625" style="27" customWidth="1"/>
    <col min="6" max="6" width="8.85546875" style="27" customWidth="1"/>
    <col min="7" max="7" width="9.42578125" style="27" customWidth="1"/>
    <col min="8" max="8" width="8.5703125" style="27" customWidth="1"/>
    <col min="9" max="9" width="10.5703125" style="27" customWidth="1"/>
    <col min="10" max="14" width="9.140625" style="27" customWidth="1"/>
    <col min="15" max="15" width="19.42578125" style="27" customWidth="1"/>
    <col min="16" max="245" width="9.140625" style="27" customWidth="1"/>
    <col min="246" max="246" width="1.85546875" style="27" customWidth="1"/>
    <col min="247" max="247" width="42" style="27" customWidth="1"/>
    <col min="248" max="248" width="11.7109375" style="27" customWidth="1"/>
    <col min="249" max="249" width="10.140625" style="27" customWidth="1"/>
    <col min="250" max="250" width="10.28515625" style="27" customWidth="1"/>
    <col min="251" max="251" width="10.140625" style="27" customWidth="1"/>
    <col min="252" max="252" width="11.5703125" style="27" customWidth="1"/>
    <col min="253" max="253" width="10.28515625" style="27" customWidth="1"/>
    <col min="254" max="254" width="1.7109375" style="27" customWidth="1"/>
    <col min="255" max="255" width="16.7109375" style="27" customWidth="1"/>
    <col min="256" max="256" width="9.7109375" style="27" customWidth="1"/>
    <col min="257" max="16384" width="9.7109375" style="27"/>
  </cols>
  <sheetData>
    <row r="2" spans="2:14" ht="15" customHeight="1" x14ac:dyDescent="0.2">
      <c r="G2" s="220"/>
      <c r="I2" s="221" t="s">
        <v>296</v>
      </c>
      <c r="J2" s="222"/>
    </row>
    <row r="3" spans="2:14" ht="10.5" customHeight="1" x14ac:dyDescent="0.2">
      <c r="E3" s="220"/>
    </row>
    <row r="4" spans="2:14" ht="58.5" customHeight="1" x14ac:dyDescent="0.2">
      <c r="B4" s="911" t="s">
        <v>1020</v>
      </c>
      <c r="C4" s="911"/>
      <c r="D4" s="911"/>
      <c r="E4" s="911"/>
      <c r="F4" s="911"/>
      <c r="G4" s="911"/>
      <c r="H4" s="911"/>
      <c r="I4" s="911"/>
      <c r="J4" s="223"/>
    </row>
    <row r="5" spans="2:14" ht="9" customHeight="1" x14ac:dyDescent="0.2">
      <c r="B5" s="223"/>
      <c r="C5" s="223"/>
      <c r="D5" s="223"/>
      <c r="E5" s="223"/>
      <c r="F5" s="223"/>
      <c r="G5" s="223"/>
      <c r="H5" s="223"/>
      <c r="I5" s="223"/>
    </row>
    <row r="6" spans="2:14" ht="52.5" customHeight="1" x14ac:dyDescent="0.2">
      <c r="B6" s="912" t="s">
        <v>297</v>
      </c>
      <c r="C6" s="912"/>
      <c r="D6" s="912"/>
      <c r="E6" s="912"/>
      <c r="F6" s="912"/>
      <c r="G6" s="912"/>
      <c r="H6" s="912"/>
      <c r="I6" s="912"/>
      <c r="J6" s="224"/>
    </row>
    <row r="7" spans="2:14" ht="3.75" customHeight="1" thickBot="1" x14ac:dyDescent="0.25"/>
    <row r="8" spans="2:14" ht="15" x14ac:dyDescent="0.25">
      <c r="B8" s="225"/>
      <c r="C8" s="226">
        <v>2014</v>
      </c>
      <c r="D8" s="226">
        <v>2015</v>
      </c>
      <c r="E8" s="226">
        <v>2016</v>
      </c>
      <c r="F8" s="226">
        <v>2017</v>
      </c>
      <c r="G8" s="634">
        <v>2018</v>
      </c>
      <c r="H8" s="227">
        <v>2019</v>
      </c>
      <c r="I8" s="227">
        <v>2020</v>
      </c>
    </row>
    <row r="9" spans="2:14" x14ac:dyDescent="0.2">
      <c r="B9" s="228" t="s">
        <v>298</v>
      </c>
      <c r="C9" s="153">
        <v>55338</v>
      </c>
      <c r="D9" s="229">
        <v>55155</v>
      </c>
      <c r="E9" s="153">
        <v>55000</v>
      </c>
      <c r="F9" s="229">
        <v>54916</v>
      </c>
      <c r="G9" s="635">
        <v>54705</v>
      </c>
      <c r="H9" s="629">
        <v>54696</v>
      </c>
      <c r="I9" s="230">
        <v>54705</v>
      </c>
    </row>
    <row r="10" spans="2:14" ht="1.5" customHeight="1" x14ac:dyDescent="0.2">
      <c r="B10" s="228"/>
      <c r="C10" s="153"/>
      <c r="D10" s="229"/>
      <c r="E10" s="153"/>
      <c r="F10" s="229"/>
      <c r="G10" s="635"/>
      <c r="H10" s="629"/>
      <c r="I10" s="230"/>
    </row>
    <row r="11" spans="2:14" x14ac:dyDescent="0.2">
      <c r="B11" s="228" t="s">
        <v>299</v>
      </c>
      <c r="C11" s="232">
        <v>16598</v>
      </c>
      <c r="D11" s="231">
        <v>14037</v>
      </c>
      <c r="E11" s="232">
        <v>12053</v>
      </c>
      <c r="F11" s="231">
        <v>12394</v>
      </c>
      <c r="G11" s="636">
        <v>13381</v>
      </c>
      <c r="H11" s="630">
        <v>12837</v>
      </c>
      <c r="I11" s="233">
        <v>13686</v>
      </c>
    </row>
    <row r="12" spans="2:14" customFormat="1" ht="15" customHeight="1" x14ac:dyDescent="0.25">
      <c r="B12" s="234" t="s">
        <v>300</v>
      </c>
      <c r="C12" s="153">
        <f t="shared" ref="C12:F12" si="0">C11/C9*1000</f>
        <v>299.93855939860492</v>
      </c>
      <c r="D12" s="229">
        <f t="shared" si="0"/>
        <v>254.50095186293174</v>
      </c>
      <c r="E12" s="153">
        <f t="shared" si="0"/>
        <v>219.14545454545453</v>
      </c>
      <c r="F12" s="229">
        <f t="shared" si="0"/>
        <v>225.69014494864882</v>
      </c>
      <c r="G12" s="635">
        <f>G11/G9*1000</f>
        <v>244.60286993876247</v>
      </c>
      <c r="H12" s="629">
        <f>H11/H9*1000</f>
        <v>234.69723562966215</v>
      </c>
      <c r="I12" s="230">
        <f>I11/I9*1000</f>
        <v>250.17822868110778</v>
      </c>
      <c r="J12" s="27"/>
      <c r="K12" s="27"/>
      <c r="L12" s="27"/>
      <c r="M12" s="27"/>
      <c r="N12" s="151"/>
    </row>
    <row r="13" spans="2:14" customFormat="1" ht="15" x14ac:dyDescent="0.25">
      <c r="B13" s="234" t="s">
        <v>301</v>
      </c>
      <c r="C13" s="153">
        <v>31923</v>
      </c>
      <c r="D13" s="229">
        <v>34190</v>
      </c>
      <c r="E13" s="153">
        <v>37362</v>
      </c>
      <c r="F13" s="229">
        <v>39771</v>
      </c>
      <c r="G13" s="635">
        <v>43691</v>
      </c>
      <c r="H13" s="629">
        <v>48206</v>
      </c>
      <c r="I13" s="230">
        <v>52606</v>
      </c>
      <c r="J13" s="27"/>
      <c r="K13" s="27"/>
      <c r="L13" s="27"/>
      <c r="M13" s="27"/>
      <c r="N13" s="151"/>
    </row>
    <row r="14" spans="2:14" customFormat="1" ht="30" customHeight="1" x14ac:dyDescent="0.25">
      <c r="B14" s="234" t="s">
        <v>302</v>
      </c>
      <c r="C14" s="236">
        <v>0.52869999999999995</v>
      </c>
      <c r="D14" s="235">
        <f t="shared" ref="D14:H14" si="1">D11/C13</f>
        <v>0.43971431256460858</v>
      </c>
      <c r="E14" s="236">
        <f t="shared" si="1"/>
        <v>0.35252997952617726</v>
      </c>
      <c r="F14" s="235">
        <f t="shared" si="1"/>
        <v>0.33172742358546115</v>
      </c>
      <c r="G14" s="637">
        <f t="shared" si="1"/>
        <v>0.33645118302280558</v>
      </c>
      <c r="H14" s="631">
        <f t="shared" si="1"/>
        <v>0.29381337117484152</v>
      </c>
      <c r="I14" s="237">
        <f>I11/H13</f>
        <v>0.28390656764718086</v>
      </c>
      <c r="J14" s="27"/>
      <c r="K14" s="27"/>
      <c r="L14" s="27"/>
      <c r="M14" s="27"/>
      <c r="N14" s="27"/>
    </row>
    <row r="15" spans="2:14" customFormat="1" ht="7.5" customHeight="1" x14ac:dyDescent="0.25">
      <c r="B15" s="234"/>
      <c r="C15" s="236"/>
      <c r="D15" s="235"/>
      <c r="E15" s="236"/>
      <c r="F15" s="235"/>
      <c r="G15" s="637"/>
      <c r="H15" s="631"/>
      <c r="I15" s="237"/>
      <c r="J15" s="27"/>
      <c r="K15" s="27"/>
      <c r="L15" s="27"/>
      <c r="M15" s="27"/>
      <c r="N15" s="27"/>
    </row>
    <row r="16" spans="2:14" customFormat="1" ht="15" x14ac:dyDescent="0.25">
      <c r="B16" s="234" t="s">
        <v>303</v>
      </c>
      <c r="C16" s="232">
        <v>1785</v>
      </c>
      <c r="D16" s="231">
        <v>2131</v>
      </c>
      <c r="E16" s="232">
        <v>1813</v>
      </c>
      <c r="F16" s="231">
        <f>129+2804</f>
        <v>2933</v>
      </c>
      <c r="G16" s="636">
        <v>3168</v>
      </c>
      <c r="H16" s="630">
        <v>2038</v>
      </c>
      <c r="I16" s="233">
        <v>2231</v>
      </c>
      <c r="J16" s="27"/>
      <c r="K16" s="27"/>
      <c r="L16" s="27"/>
      <c r="M16" s="27"/>
      <c r="N16" s="27"/>
    </row>
    <row r="17" spans="2:15" customFormat="1" ht="39" x14ac:dyDescent="0.25">
      <c r="B17" s="238" t="s">
        <v>304</v>
      </c>
      <c r="C17" s="240"/>
      <c r="D17" s="239"/>
      <c r="E17" s="241">
        <v>28921</v>
      </c>
      <c r="F17" s="241">
        <v>31427</v>
      </c>
      <c r="G17" s="638">
        <v>34803</v>
      </c>
      <c r="H17" s="632">
        <v>37690</v>
      </c>
      <c r="I17" s="242">
        <v>39005</v>
      </c>
      <c r="J17" s="27"/>
      <c r="K17" s="27"/>
      <c r="L17" s="27"/>
      <c r="M17" s="27"/>
      <c r="N17" s="27"/>
    </row>
    <row r="18" spans="2:15" s="118" customFormat="1" ht="39.75" customHeight="1" thickBot="1" x14ac:dyDescent="0.3">
      <c r="B18" s="243" t="s">
        <v>305</v>
      </c>
      <c r="C18" s="245">
        <v>5.6899999999999999E-2</v>
      </c>
      <c r="D18" s="244">
        <f>D16/C13</f>
        <v>6.6754377721392102E-2</v>
      </c>
      <c r="E18" s="245">
        <f>E16/D13</f>
        <v>5.3027200935946185E-2</v>
      </c>
      <c r="F18" s="245">
        <f>F16/E17</f>
        <v>0.10141419729608243</v>
      </c>
      <c r="G18" s="639">
        <f>G16/F17</f>
        <v>0.1008050402520126</v>
      </c>
      <c r="H18" s="633">
        <f>H16/G17</f>
        <v>5.8558170272677644E-2</v>
      </c>
      <c r="I18" s="246">
        <f>I16/H17</f>
        <v>5.9193420005306446E-2</v>
      </c>
    </row>
    <row r="19" spans="2:15" customFormat="1" ht="15" x14ac:dyDescent="0.25">
      <c r="B19" s="247"/>
      <c r="C19" s="248"/>
      <c r="D19" s="248"/>
      <c r="E19" s="248"/>
      <c r="F19" s="27"/>
      <c r="G19" s="27"/>
      <c r="H19" s="249"/>
      <c r="I19" s="27"/>
      <c r="J19" s="27"/>
      <c r="K19" s="27"/>
      <c r="L19" s="27"/>
      <c r="M19" s="27"/>
      <c r="N19" s="27"/>
      <c r="O19" s="27"/>
    </row>
    <row r="20" spans="2:15" customFormat="1" ht="27" customHeight="1" x14ac:dyDescent="0.25">
      <c r="B20" s="913" t="s">
        <v>590</v>
      </c>
      <c r="C20" s="913"/>
      <c r="D20" s="913"/>
      <c r="E20" s="913"/>
      <c r="F20" s="913"/>
      <c r="G20" s="913"/>
      <c r="H20" s="913"/>
      <c r="I20" s="913"/>
      <c r="J20" s="27"/>
      <c r="K20" s="27"/>
      <c r="L20" s="27"/>
      <c r="M20" s="27"/>
      <c r="N20" s="27"/>
      <c r="O20" s="27"/>
    </row>
    <row r="21" spans="2:15" customFormat="1" ht="15" x14ac:dyDescent="0.25">
      <c r="B21" s="914"/>
      <c r="C21" s="914"/>
      <c r="D21" s="914"/>
      <c r="E21" s="914"/>
      <c r="F21" s="914"/>
      <c r="G21" s="914"/>
      <c r="H21" s="914"/>
      <c r="I21" s="914"/>
      <c r="J21" s="27"/>
      <c r="K21" s="27"/>
      <c r="L21" s="27"/>
      <c r="M21" s="27"/>
      <c r="N21" s="27"/>
      <c r="O21" s="27"/>
    </row>
    <row r="22" spans="2:15" customFormat="1" ht="33.75" customHeight="1" x14ac:dyDescent="0.25">
      <c r="B22" s="913" t="s">
        <v>306</v>
      </c>
      <c r="C22" s="913"/>
      <c r="D22" s="913"/>
      <c r="E22" s="913"/>
      <c r="F22" s="913"/>
      <c r="G22" s="913"/>
      <c r="H22" s="913"/>
      <c r="I22" s="913"/>
      <c r="J22" s="27"/>
      <c r="K22" s="27"/>
      <c r="L22" s="27"/>
      <c r="M22" s="27"/>
      <c r="N22" s="27"/>
      <c r="O22" s="27"/>
    </row>
    <row r="23" spans="2:15" customFormat="1" ht="57" customHeight="1" x14ac:dyDescent="0.25">
      <c r="B23" s="912" t="s">
        <v>307</v>
      </c>
      <c r="C23" s="912"/>
      <c r="D23" s="912"/>
      <c r="E23" s="912"/>
      <c r="F23" s="912"/>
      <c r="G23" s="912"/>
      <c r="H23" s="912"/>
      <c r="I23" s="912"/>
      <c r="J23" s="27"/>
      <c r="K23" s="27"/>
      <c r="L23" s="27"/>
      <c r="M23" s="27"/>
      <c r="N23" s="27"/>
      <c r="O23" s="27"/>
    </row>
    <row r="24" spans="2:15" customFormat="1" ht="15" x14ac:dyDescent="0.25">
      <c r="B24" s="27"/>
      <c r="C24" s="248"/>
      <c r="D24" s="248"/>
      <c r="E24" s="248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customFormat="1" ht="15" x14ac:dyDescent="0.25">
      <c r="B25" s="247"/>
      <c r="C25" s="248"/>
      <c r="D25" s="248"/>
      <c r="E25" s="248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customFormat="1" ht="15" x14ac:dyDescent="0.25">
      <c r="B26" s="247"/>
      <c r="C26" s="248"/>
      <c r="D26" s="248"/>
      <c r="E26" s="248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5" customFormat="1" ht="15" x14ac:dyDescent="0.25">
      <c r="B27" s="247"/>
      <c r="C27" s="248"/>
      <c r="D27" s="248"/>
      <c r="E27" s="248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2:15" customFormat="1" ht="15" x14ac:dyDescent="0.25">
      <c r="B28" s="247"/>
      <c r="C28" s="248"/>
      <c r="D28" s="248"/>
      <c r="E28" s="248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customFormat="1" ht="15" x14ac:dyDescent="0.25">
      <c r="B29" s="247"/>
      <c r="C29" s="248"/>
      <c r="D29" s="248"/>
      <c r="E29" s="248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customFormat="1" ht="15" x14ac:dyDescent="0.25">
      <c r="B30" s="247"/>
      <c r="C30" s="248"/>
      <c r="D30" s="248"/>
      <c r="E30" s="248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customFormat="1" ht="15" x14ac:dyDescent="0.25">
      <c r="B31" s="247"/>
      <c r="C31" s="248"/>
      <c r="D31" s="248"/>
      <c r="E31" s="248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5" customFormat="1" ht="15" x14ac:dyDescent="0.25">
      <c r="B32" s="247"/>
      <c r="C32" s="248"/>
      <c r="D32" s="248"/>
      <c r="E32" s="248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customFormat="1" ht="15" x14ac:dyDescent="0.25">
      <c r="B33" s="247"/>
      <c r="C33" s="248"/>
      <c r="D33" s="248"/>
      <c r="E33" s="248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customFormat="1" ht="15" x14ac:dyDescent="0.25">
      <c r="B34" s="247"/>
      <c r="C34" s="248"/>
      <c r="D34" s="248"/>
      <c r="E34" s="248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customFormat="1" ht="15" x14ac:dyDescent="0.25">
      <c r="B35" s="247"/>
      <c r="C35" s="248"/>
      <c r="D35" s="248"/>
      <c r="E35" s="248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customFormat="1" ht="15" x14ac:dyDescent="0.25">
      <c r="B36" s="247"/>
      <c r="C36" s="248"/>
      <c r="D36" s="248"/>
      <c r="E36" s="248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customFormat="1" ht="15" x14ac:dyDescent="0.25">
      <c r="B37" s="247"/>
      <c r="C37" s="248"/>
      <c r="D37" s="248"/>
      <c r="E37" s="248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customFormat="1" ht="15" x14ac:dyDescent="0.25">
      <c r="B38" s="247"/>
      <c r="C38" s="248"/>
      <c r="D38" s="248"/>
      <c r="E38" s="248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customFormat="1" ht="15" x14ac:dyDescent="0.25">
      <c r="B39" s="247"/>
      <c r="C39" s="248"/>
      <c r="D39" s="248"/>
      <c r="E39" s="248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customFormat="1" ht="15" x14ac:dyDescent="0.25">
      <c r="B40" s="247"/>
      <c r="C40" s="248"/>
      <c r="D40" s="248"/>
      <c r="E40" s="248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customFormat="1" ht="15" x14ac:dyDescent="0.25">
      <c r="B41" s="247"/>
      <c r="C41" s="248"/>
      <c r="D41" s="248"/>
      <c r="E41" s="248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customFormat="1" ht="15" x14ac:dyDescent="0.25">
      <c r="B42" s="250"/>
      <c r="C42" s="248"/>
      <c r="D42" s="248"/>
      <c r="E42" s="248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customFormat="1" ht="15" x14ac:dyDescent="0.25">
      <c r="B43" s="247"/>
      <c r="C43" s="248"/>
      <c r="D43" s="248"/>
      <c r="E43" s="248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customFormat="1" ht="15" x14ac:dyDescent="0.25">
      <c r="B44" s="247"/>
      <c r="C44" s="248"/>
      <c r="D44" s="248"/>
      <c r="E44" s="248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customFormat="1" ht="15" x14ac:dyDescent="0.25">
      <c r="B45" s="247"/>
      <c r="C45" s="248"/>
      <c r="D45" s="248"/>
      <c r="E45" s="248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customFormat="1" ht="15" x14ac:dyDescent="0.25">
      <c r="B46" s="24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</sheetData>
  <mergeCells count="6">
    <mergeCell ref="B4:I4"/>
    <mergeCell ref="B6:I6"/>
    <mergeCell ref="B20:I20"/>
    <mergeCell ref="B21:I21"/>
    <mergeCell ref="B23:I23"/>
    <mergeCell ref="B22:I22"/>
  </mergeCells>
  <pageMargins left="0.55118110236220497" right="0.55118110236220497" top="0.74803149606299213" bottom="0.74803149606299213" header="0.31496062992126012" footer="0.31496062992126012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B1:K63"/>
  <sheetViews>
    <sheetView workbookViewId="0"/>
  </sheetViews>
  <sheetFormatPr defaultRowHeight="12.75" x14ac:dyDescent="0.2"/>
  <cols>
    <col min="1" max="1" width="1.42578125" style="27" customWidth="1"/>
    <col min="2" max="2" width="4.85546875" style="27" customWidth="1"/>
    <col min="3" max="3" width="8" style="274" customWidth="1"/>
    <col min="4" max="4" width="32.42578125" style="27" customWidth="1"/>
    <col min="5" max="5" width="16.42578125" style="27" customWidth="1"/>
    <col min="6" max="6" width="15.85546875" style="27" customWidth="1"/>
    <col min="7" max="7" width="13.140625" style="27" customWidth="1"/>
    <col min="8" max="8" width="5.140625" style="27" customWidth="1"/>
    <col min="9" max="9" width="9.140625" style="27" customWidth="1"/>
    <col min="10" max="16384" width="9.140625" style="27"/>
  </cols>
  <sheetData>
    <row r="1" spans="2:11" s="118" customFormat="1" x14ac:dyDescent="0.25">
      <c r="C1" s="251"/>
    </row>
    <row r="2" spans="2:11" s="118" customFormat="1" x14ac:dyDescent="0.25">
      <c r="C2" s="251"/>
      <c r="E2" s="252"/>
      <c r="G2" s="253" t="s">
        <v>308</v>
      </c>
    </row>
    <row r="3" spans="2:11" s="118" customFormat="1" ht="18" x14ac:dyDescent="0.25">
      <c r="B3" s="827" t="s">
        <v>609</v>
      </c>
      <c r="C3" s="827"/>
      <c r="D3" s="827"/>
      <c r="E3" s="827"/>
      <c r="F3" s="827"/>
      <c r="G3" s="827"/>
    </row>
    <row r="4" spans="2:11" s="118" customFormat="1" ht="13.5" thickBot="1" x14ac:dyDescent="0.3">
      <c r="C4" s="251"/>
    </row>
    <row r="5" spans="2:11" s="118" customFormat="1" ht="33.75" customHeight="1" x14ac:dyDescent="0.25">
      <c r="B5" s="916" t="s">
        <v>0</v>
      </c>
      <c r="C5" s="916"/>
      <c r="D5" s="916"/>
      <c r="E5" s="254" t="s">
        <v>309</v>
      </c>
      <c r="F5" s="254" t="s">
        <v>310</v>
      </c>
      <c r="G5" s="255" t="s">
        <v>311</v>
      </c>
    </row>
    <row r="6" spans="2:11" s="67" customFormat="1" ht="24" customHeight="1" thickBot="1" x14ac:dyDescent="0.3">
      <c r="B6" s="917" t="s">
        <v>312</v>
      </c>
      <c r="C6" s="917"/>
      <c r="D6" s="917"/>
      <c r="E6" s="256">
        <f>E7+E14+E16+E19+E24+E27+E32+E37+E47</f>
        <v>48673373</v>
      </c>
      <c r="F6" s="256">
        <f>F7+F14+F16+F19+F24+F27+F32+F37+F47</f>
        <v>49991609</v>
      </c>
      <c r="G6" s="257">
        <f>G7+G14+G16+G19+G24+G27+G32+G37+G47</f>
        <v>43276325.289999999</v>
      </c>
      <c r="I6" s="258"/>
      <c r="J6" s="258"/>
      <c r="K6" s="258"/>
    </row>
    <row r="7" spans="2:11" s="118" customFormat="1" ht="13.5" thickTop="1" x14ac:dyDescent="0.25">
      <c r="B7" s="259" t="s">
        <v>313</v>
      </c>
      <c r="C7" s="918" t="s">
        <v>314</v>
      </c>
      <c r="D7" s="918"/>
      <c r="E7" s="260">
        <f>SUM(E8:E13)</f>
        <v>6059455</v>
      </c>
      <c r="F7" s="260">
        <f>SUM(F8:F13)</f>
        <v>6168772</v>
      </c>
      <c r="G7" s="261">
        <f>SUM(G8:G13)</f>
        <v>5093898.4000000004</v>
      </c>
    </row>
    <row r="8" spans="2:11" s="118" customFormat="1" x14ac:dyDescent="0.25">
      <c r="B8" s="262"/>
      <c r="C8" s="147" t="s">
        <v>315</v>
      </c>
      <c r="D8" s="197" t="s">
        <v>316</v>
      </c>
      <c r="E8" s="263">
        <v>5712800</v>
      </c>
      <c r="F8" s="263">
        <v>5719843</v>
      </c>
      <c r="G8" s="113">
        <v>4793496.07</v>
      </c>
    </row>
    <row r="9" spans="2:11" s="118" customFormat="1" x14ac:dyDescent="0.25">
      <c r="B9" s="262"/>
      <c r="C9" s="147" t="s">
        <v>317</v>
      </c>
      <c r="D9" s="197" t="s">
        <v>318</v>
      </c>
      <c r="E9" s="263">
        <v>36680</v>
      </c>
      <c r="F9" s="263">
        <v>36680</v>
      </c>
      <c r="G9" s="113">
        <v>25448.51</v>
      </c>
    </row>
    <row r="10" spans="2:11" s="118" customFormat="1" ht="15" customHeight="1" x14ac:dyDescent="0.25">
      <c r="B10" s="262"/>
      <c r="C10" s="147" t="s">
        <v>319</v>
      </c>
      <c r="D10" s="197" t="s">
        <v>320</v>
      </c>
      <c r="E10" s="263">
        <v>180000</v>
      </c>
      <c r="F10" s="263">
        <v>114665</v>
      </c>
      <c r="G10" s="113">
        <v>104712.4</v>
      </c>
    </row>
    <row r="11" spans="2:11" s="118" customFormat="1" ht="15" customHeight="1" x14ac:dyDescent="0.25">
      <c r="B11" s="262"/>
      <c r="C11" s="147" t="s">
        <v>810</v>
      </c>
      <c r="D11" s="197"/>
      <c r="E11" s="263">
        <v>0</v>
      </c>
      <c r="F11" s="263">
        <v>99348</v>
      </c>
      <c r="G11" s="113">
        <v>3768.9</v>
      </c>
    </row>
    <row r="12" spans="2:11" s="118" customFormat="1" x14ac:dyDescent="0.25">
      <c r="B12" s="262"/>
      <c r="C12" s="147" t="s">
        <v>321</v>
      </c>
      <c r="D12" s="264" t="s">
        <v>322</v>
      </c>
      <c r="E12" s="263">
        <v>129975</v>
      </c>
      <c r="F12" s="263">
        <v>154046</v>
      </c>
      <c r="G12" s="113">
        <v>122595.05</v>
      </c>
    </row>
    <row r="13" spans="2:11" s="118" customFormat="1" x14ac:dyDescent="0.25">
      <c r="B13" s="262"/>
      <c r="C13" s="147" t="s">
        <v>323</v>
      </c>
      <c r="D13" s="264" t="s">
        <v>324</v>
      </c>
      <c r="E13" s="263">
        <v>0</v>
      </c>
      <c r="F13" s="263">
        <v>44190</v>
      </c>
      <c r="G13" s="113">
        <v>43877.47</v>
      </c>
    </row>
    <row r="14" spans="2:11" s="118" customFormat="1" x14ac:dyDescent="0.25">
      <c r="B14" s="265" t="s">
        <v>325</v>
      </c>
      <c r="C14" s="915" t="s">
        <v>326</v>
      </c>
      <c r="D14" s="915"/>
      <c r="E14" s="164">
        <f>E15</f>
        <v>20800</v>
      </c>
      <c r="F14" s="164">
        <f>F15</f>
        <v>149942</v>
      </c>
      <c r="G14" s="176">
        <f>G15</f>
        <v>146108.41</v>
      </c>
    </row>
    <row r="15" spans="2:11" s="118" customFormat="1" x14ac:dyDescent="0.25">
      <c r="B15" s="262"/>
      <c r="C15" s="147" t="s">
        <v>327</v>
      </c>
      <c r="D15" s="197" t="s">
        <v>328</v>
      </c>
      <c r="E15" s="263">
        <v>20800</v>
      </c>
      <c r="F15" s="263">
        <v>149942</v>
      </c>
      <c r="G15" s="113">
        <v>146108.41</v>
      </c>
    </row>
    <row r="16" spans="2:11" s="118" customFormat="1" x14ac:dyDescent="0.25">
      <c r="B16" s="265" t="s">
        <v>329</v>
      </c>
      <c r="C16" s="915" t="s">
        <v>330</v>
      </c>
      <c r="D16" s="915"/>
      <c r="E16" s="164">
        <f>SUM(E17:E18)</f>
        <v>1472420</v>
      </c>
      <c r="F16" s="164">
        <f>SUM(F17:F18)</f>
        <v>1460502</v>
      </c>
      <c r="G16" s="176">
        <f>SUM(G17:G18)</f>
        <v>1159567.77</v>
      </c>
    </row>
    <row r="17" spans="2:7" s="118" customFormat="1" x14ac:dyDescent="0.25">
      <c r="B17" s="262"/>
      <c r="C17" s="147" t="s">
        <v>331</v>
      </c>
      <c r="D17" s="197" t="s">
        <v>332</v>
      </c>
      <c r="E17" s="263">
        <v>1439470</v>
      </c>
      <c r="F17" s="263">
        <v>1422932</v>
      </c>
      <c r="G17" s="113">
        <v>1131005.53</v>
      </c>
    </row>
    <row r="18" spans="2:7" s="118" customFormat="1" x14ac:dyDescent="0.25">
      <c r="B18" s="262"/>
      <c r="C18" s="147" t="s">
        <v>333</v>
      </c>
      <c r="D18" s="197" t="s">
        <v>334</v>
      </c>
      <c r="E18" s="263">
        <v>32950</v>
      </c>
      <c r="F18" s="263">
        <v>37570</v>
      </c>
      <c r="G18" s="113">
        <v>28562.240000000002</v>
      </c>
    </row>
    <row r="19" spans="2:7" s="118" customFormat="1" x14ac:dyDescent="0.25">
      <c r="B19" s="265" t="s">
        <v>335</v>
      </c>
      <c r="C19" s="915" t="s">
        <v>336</v>
      </c>
      <c r="D19" s="915"/>
      <c r="E19" s="164">
        <f>SUM(E20:E23)</f>
        <v>5374850</v>
      </c>
      <c r="F19" s="164">
        <f>SUM(F20:F23)</f>
        <v>5439367</v>
      </c>
      <c r="G19" s="176">
        <f>SUM(G20:G23)</f>
        <v>4628521.2200000007</v>
      </c>
    </row>
    <row r="20" spans="2:7" s="118" customFormat="1" x14ac:dyDescent="0.25">
      <c r="B20" s="262"/>
      <c r="C20" s="147" t="s">
        <v>337</v>
      </c>
      <c r="D20" s="197" t="s">
        <v>338</v>
      </c>
      <c r="E20" s="263">
        <v>280080</v>
      </c>
      <c r="F20" s="263">
        <v>291546</v>
      </c>
      <c r="G20" s="113">
        <v>231957.67</v>
      </c>
    </row>
    <row r="21" spans="2:7" s="118" customFormat="1" x14ac:dyDescent="0.25">
      <c r="B21" s="267"/>
      <c r="C21" s="147" t="s">
        <v>339</v>
      </c>
      <c r="D21" s="147" t="s">
        <v>340</v>
      </c>
      <c r="E21" s="263">
        <v>194300</v>
      </c>
      <c r="F21" s="268">
        <v>166300</v>
      </c>
      <c r="G21" s="113">
        <v>115986.98</v>
      </c>
    </row>
    <row r="22" spans="2:7" s="118" customFormat="1" x14ac:dyDescent="0.25">
      <c r="B22" s="262"/>
      <c r="C22" s="147" t="s">
        <v>341</v>
      </c>
      <c r="D22" s="197" t="s">
        <v>342</v>
      </c>
      <c r="E22" s="263">
        <v>4842970</v>
      </c>
      <c r="F22" s="268">
        <v>4854521</v>
      </c>
      <c r="G22" s="113">
        <v>4198698.09</v>
      </c>
    </row>
    <row r="23" spans="2:7" s="118" customFormat="1" x14ac:dyDescent="0.25">
      <c r="B23" s="262"/>
      <c r="C23" s="147" t="s">
        <v>343</v>
      </c>
      <c r="D23" s="197" t="s">
        <v>344</v>
      </c>
      <c r="E23" s="263">
        <v>57500</v>
      </c>
      <c r="F23" s="268">
        <v>127000</v>
      </c>
      <c r="G23" s="113">
        <v>81878.48</v>
      </c>
    </row>
    <row r="24" spans="2:7" s="118" customFormat="1" x14ac:dyDescent="0.25">
      <c r="B24" s="265" t="s">
        <v>345</v>
      </c>
      <c r="C24" s="915" t="s">
        <v>346</v>
      </c>
      <c r="D24" s="915"/>
      <c r="E24" s="164">
        <f>SUM(E25:E26)</f>
        <v>2586900</v>
      </c>
      <c r="F24" s="164">
        <f>SUM(F25:F26)</f>
        <v>2670200</v>
      </c>
      <c r="G24" s="176">
        <f>SUM(G25:G26)</f>
        <v>2429863.75</v>
      </c>
    </row>
    <row r="25" spans="2:7" s="118" customFormat="1" x14ac:dyDescent="0.25">
      <c r="B25" s="262"/>
      <c r="C25" s="147" t="s">
        <v>347</v>
      </c>
      <c r="D25" s="197" t="s">
        <v>348</v>
      </c>
      <c r="E25" s="263">
        <v>2552300</v>
      </c>
      <c r="F25" s="263">
        <v>2642124</v>
      </c>
      <c r="G25" s="113">
        <v>2408035.4300000002</v>
      </c>
    </row>
    <row r="26" spans="2:7" s="118" customFormat="1" x14ac:dyDescent="0.25">
      <c r="B26" s="262"/>
      <c r="C26" s="147" t="s">
        <v>349</v>
      </c>
      <c r="D26" s="197" t="s">
        <v>350</v>
      </c>
      <c r="E26" s="263">
        <v>34600</v>
      </c>
      <c r="F26" s="263">
        <v>28076</v>
      </c>
      <c r="G26" s="113">
        <v>21828.32</v>
      </c>
    </row>
    <row r="27" spans="2:7" s="118" customFormat="1" x14ac:dyDescent="0.25">
      <c r="B27" s="265" t="s">
        <v>351</v>
      </c>
      <c r="C27" s="915" t="s">
        <v>352</v>
      </c>
      <c r="D27" s="915"/>
      <c r="E27" s="164">
        <f>SUM(E28:E31)</f>
        <v>3340465</v>
      </c>
      <c r="F27" s="164">
        <f>SUM(F28:F31)</f>
        <v>3311509</v>
      </c>
      <c r="G27" s="176">
        <f>SUM(G28:G31)</f>
        <v>2277136.3199999998</v>
      </c>
    </row>
    <row r="28" spans="2:7" s="118" customFormat="1" ht="14.25" customHeight="1" x14ac:dyDescent="0.25">
      <c r="B28" s="262"/>
      <c r="C28" s="147" t="s">
        <v>353</v>
      </c>
      <c r="D28" s="197" t="s">
        <v>354</v>
      </c>
      <c r="E28" s="263">
        <v>37150</v>
      </c>
      <c r="F28" s="263">
        <v>37150</v>
      </c>
      <c r="G28" s="113">
        <v>29734.21</v>
      </c>
    </row>
    <row r="29" spans="2:7" s="118" customFormat="1" x14ac:dyDescent="0.25">
      <c r="B29" s="262"/>
      <c r="C29" s="147" t="s">
        <v>355</v>
      </c>
      <c r="D29" s="197" t="s">
        <v>356</v>
      </c>
      <c r="E29" s="263">
        <v>1963160</v>
      </c>
      <c r="F29" s="263">
        <v>1942498</v>
      </c>
      <c r="G29" s="113">
        <v>1227086.6399999999</v>
      </c>
    </row>
    <row r="30" spans="2:7" s="118" customFormat="1" x14ac:dyDescent="0.25">
      <c r="B30" s="262"/>
      <c r="C30" s="147" t="s">
        <v>357</v>
      </c>
      <c r="D30" s="197" t="s">
        <v>358</v>
      </c>
      <c r="E30" s="263">
        <v>760555</v>
      </c>
      <c r="F30" s="263">
        <v>828109</v>
      </c>
      <c r="G30" s="113">
        <v>648891.74</v>
      </c>
    </row>
    <row r="31" spans="2:7" s="118" customFormat="1" x14ac:dyDescent="0.25">
      <c r="B31" s="262"/>
      <c r="C31" s="147" t="s">
        <v>359</v>
      </c>
      <c r="D31" s="197" t="s">
        <v>352</v>
      </c>
      <c r="E31" s="263">
        <v>579600</v>
      </c>
      <c r="F31" s="263">
        <v>503752</v>
      </c>
      <c r="G31" s="113">
        <v>371423.73</v>
      </c>
    </row>
    <row r="32" spans="2:7" s="118" customFormat="1" x14ac:dyDescent="0.25">
      <c r="B32" s="265" t="s">
        <v>360</v>
      </c>
      <c r="C32" s="915" t="s">
        <v>361</v>
      </c>
      <c r="D32" s="915"/>
      <c r="E32" s="164">
        <f>SUM(E33:E36)</f>
        <v>2856608</v>
      </c>
      <c r="F32" s="164">
        <f>SUM(F33:F36)</f>
        <v>2782930</v>
      </c>
      <c r="G32" s="176">
        <f>SUM(G33:G36)</f>
        <v>2182024.23</v>
      </c>
    </row>
    <row r="33" spans="2:7" s="118" customFormat="1" ht="15" customHeight="1" x14ac:dyDescent="0.25">
      <c r="B33" s="262"/>
      <c r="C33" s="147" t="s">
        <v>362</v>
      </c>
      <c r="D33" s="197" t="s">
        <v>363</v>
      </c>
      <c r="E33" s="263">
        <v>2076978</v>
      </c>
      <c r="F33" s="263">
        <v>2060013</v>
      </c>
      <c r="G33" s="113">
        <v>1701532.71</v>
      </c>
    </row>
    <row r="34" spans="2:7" s="118" customFormat="1" x14ac:dyDescent="0.25">
      <c r="B34" s="262"/>
      <c r="C34" s="147" t="s">
        <v>364</v>
      </c>
      <c r="D34" s="197" t="s">
        <v>365</v>
      </c>
      <c r="E34" s="263">
        <v>550430</v>
      </c>
      <c r="F34" s="263">
        <v>496017</v>
      </c>
      <c r="G34" s="113">
        <v>293910.90999999997</v>
      </c>
    </row>
    <row r="35" spans="2:7" s="118" customFormat="1" x14ac:dyDescent="0.25">
      <c r="B35" s="262"/>
      <c r="C35" s="147" t="s">
        <v>366</v>
      </c>
      <c r="D35" s="197" t="s">
        <v>367</v>
      </c>
      <c r="E35" s="263">
        <v>24300</v>
      </c>
      <c r="F35" s="263">
        <v>30000</v>
      </c>
      <c r="G35" s="113">
        <v>21834.46</v>
      </c>
    </row>
    <row r="36" spans="2:7" s="118" customFormat="1" x14ac:dyDescent="0.25">
      <c r="B36" s="262"/>
      <c r="C36" s="147" t="s">
        <v>368</v>
      </c>
      <c r="D36" s="197" t="s">
        <v>369</v>
      </c>
      <c r="E36" s="263">
        <v>204900</v>
      </c>
      <c r="F36" s="263">
        <v>196900</v>
      </c>
      <c r="G36" s="113">
        <v>164746.15</v>
      </c>
    </row>
    <row r="37" spans="2:7" s="118" customFormat="1" x14ac:dyDescent="0.25">
      <c r="B37" s="265" t="s">
        <v>370</v>
      </c>
      <c r="C37" s="915" t="s">
        <v>371</v>
      </c>
      <c r="D37" s="915"/>
      <c r="E37" s="164">
        <f>SUM(E38:E46)-E43-E44-E45</f>
        <v>22935040</v>
      </c>
      <c r="F37" s="164">
        <f>SUM(F38:F46)-F43-F44-F45</f>
        <v>23865248</v>
      </c>
      <c r="G37" s="164">
        <f t="shared" ref="G37" si="0">SUM(G38:G46)-G43-G44-G45</f>
        <v>21600543.329999998</v>
      </c>
    </row>
    <row r="38" spans="2:7" s="118" customFormat="1" ht="25.5" x14ac:dyDescent="0.25">
      <c r="B38" s="262"/>
      <c r="C38" s="147" t="s">
        <v>372</v>
      </c>
      <c r="D38" s="197" t="s">
        <v>373</v>
      </c>
      <c r="E38" s="263">
        <v>5297321</v>
      </c>
      <c r="F38" s="263">
        <v>5196340</v>
      </c>
      <c r="G38" s="113">
        <v>4610635.2300000004</v>
      </c>
    </row>
    <row r="39" spans="2:7" s="118" customFormat="1" ht="20.25" customHeight="1" x14ac:dyDescent="0.25">
      <c r="B39" s="262"/>
      <c r="C39" s="147" t="s">
        <v>374</v>
      </c>
      <c r="D39" s="197" t="s">
        <v>375</v>
      </c>
      <c r="E39" s="263">
        <v>3939034</v>
      </c>
      <c r="F39" s="263">
        <v>4278765</v>
      </c>
      <c r="G39" s="113">
        <v>4185450.59</v>
      </c>
    </row>
    <row r="40" spans="2:7" s="118" customFormat="1" ht="25.5" x14ac:dyDescent="0.25">
      <c r="B40" s="262"/>
      <c r="C40" s="147" t="s">
        <v>376</v>
      </c>
      <c r="D40" s="197" t="s">
        <v>377</v>
      </c>
      <c r="E40" s="263">
        <v>6465014</v>
      </c>
      <c r="F40" s="263">
        <v>6974657</v>
      </c>
      <c r="G40" s="113">
        <v>6416166.5599999996</v>
      </c>
    </row>
    <row r="41" spans="2:7" s="118" customFormat="1" x14ac:dyDescent="0.25">
      <c r="B41" s="262"/>
      <c r="C41" s="147" t="s">
        <v>378</v>
      </c>
      <c r="D41" s="147" t="s">
        <v>379</v>
      </c>
      <c r="E41" s="263">
        <v>3586272</v>
      </c>
      <c r="F41" s="263">
        <v>3601630</v>
      </c>
      <c r="G41" s="113">
        <v>3332590.55</v>
      </c>
    </row>
    <row r="42" spans="2:7" s="118" customFormat="1" x14ac:dyDescent="0.25">
      <c r="B42" s="262"/>
      <c r="C42" s="147" t="s">
        <v>380</v>
      </c>
      <c r="D42" s="197" t="s">
        <v>381</v>
      </c>
      <c r="E42" s="263">
        <v>3584867</v>
      </c>
      <c r="F42" s="263">
        <v>3720317</v>
      </c>
      <c r="G42" s="263">
        <v>2967233.29</v>
      </c>
    </row>
    <row r="43" spans="2:7" s="118" customFormat="1" ht="12.75" customHeight="1" x14ac:dyDescent="0.25">
      <c r="B43" s="262"/>
      <c r="C43" s="147" t="s">
        <v>382</v>
      </c>
      <c r="D43" s="197" t="s">
        <v>381</v>
      </c>
      <c r="E43" s="263">
        <v>1290467</v>
      </c>
      <c r="F43" s="263">
        <v>1421315</v>
      </c>
      <c r="G43" s="113">
        <v>963271.11</v>
      </c>
    </row>
    <row r="44" spans="2:7" s="118" customFormat="1" ht="12" customHeight="1" x14ac:dyDescent="0.25">
      <c r="B44" s="262"/>
      <c r="C44" s="147" t="s">
        <v>383</v>
      </c>
      <c r="D44" s="197" t="s">
        <v>384</v>
      </c>
      <c r="E44" s="263">
        <v>915434</v>
      </c>
      <c r="F44" s="263">
        <v>841398</v>
      </c>
      <c r="G44" s="113">
        <v>759295.88</v>
      </c>
    </row>
    <row r="45" spans="2:7" s="118" customFormat="1" ht="15.75" customHeight="1" x14ac:dyDescent="0.25">
      <c r="B45" s="262"/>
      <c r="C45" s="147" t="s">
        <v>385</v>
      </c>
      <c r="D45" s="197" t="s">
        <v>386</v>
      </c>
      <c r="E45" s="263">
        <v>1121960</v>
      </c>
      <c r="F45" s="263">
        <v>1198777</v>
      </c>
      <c r="G45" s="113">
        <v>1046008.55</v>
      </c>
    </row>
    <row r="46" spans="2:7" s="118" customFormat="1" x14ac:dyDescent="0.25">
      <c r="B46" s="262"/>
      <c r="C46" s="147" t="s">
        <v>387</v>
      </c>
      <c r="D46" s="197" t="s">
        <v>388</v>
      </c>
      <c r="E46" s="263">
        <v>62532</v>
      </c>
      <c r="F46" s="263">
        <v>93539</v>
      </c>
      <c r="G46" s="113">
        <v>88467.11</v>
      </c>
    </row>
    <row r="47" spans="2:7" s="118" customFormat="1" x14ac:dyDescent="0.25">
      <c r="B47" s="265">
        <v>10</v>
      </c>
      <c r="C47" s="915" t="s">
        <v>389</v>
      </c>
      <c r="D47" s="915"/>
      <c r="E47" s="164">
        <f>SUM(E48:E52)</f>
        <v>4026835</v>
      </c>
      <c r="F47" s="164">
        <f>SUM(F48:F52)</f>
        <v>4143139</v>
      </c>
      <c r="G47" s="176">
        <f>SUM(G48:G52)</f>
        <v>3758661.8599999994</v>
      </c>
    </row>
    <row r="48" spans="2:7" s="118" customFormat="1" x14ac:dyDescent="0.25">
      <c r="B48" s="269"/>
      <c r="C48" s="147" t="s">
        <v>390</v>
      </c>
      <c r="D48" s="197" t="s">
        <v>391</v>
      </c>
      <c r="E48" s="263">
        <v>2500530</v>
      </c>
      <c r="F48" s="263">
        <v>2563243</v>
      </c>
      <c r="G48" s="113">
        <v>2326338.13</v>
      </c>
    </row>
    <row r="49" spans="2:11" s="118" customFormat="1" x14ac:dyDescent="0.25">
      <c r="B49" s="262"/>
      <c r="C49" s="147" t="s">
        <v>392</v>
      </c>
      <c r="D49" s="197" t="s">
        <v>393</v>
      </c>
      <c r="E49" s="263">
        <v>829480</v>
      </c>
      <c r="F49" s="263">
        <v>878871</v>
      </c>
      <c r="G49" s="113">
        <v>810823.19</v>
      </c>
    </row>
    <row r="50" spans="2:11" s="118" customFormat="1" x14ac:dyDescent="0.25">
      <c r="B50" s="262"/>
      <c r="C50" s="147" t="s">
        <v>394</v>
      </c>
      <c r="D50" s="197" t="s">
        <v>395</v>
      </c>
      <c r="E50" s="263">
        <v>250460</v>
      </c>
      <c r="F50" s="263">
        <v>243393</v>
      </c>
      <c r="G50" s="113">
        <v>203260.17</v>
      </c>
    </row>
    <row r="51" spans="2:11" s="118" customFormat="1" ht="25.5" x14ac:dyDescent="0.25">
      <c r="B51" s="262"/>
      <c r="C51" s="147" t="s">
        <v>396</v>
      </c>
      <c r="D51" s="197" t="s">
        <v>397</v>
      </c>
      <c r="E51" s="263">
        <v>146371</v>
      </c>
      <c r="F51" s="263">
        <v>151079</v>
      </c>
      <c r="G51" s="113">
        <v>127622.53</v>
      </c>
    </row>
    <row r="52" spans="2:11" s="118" customFormat="1" ht="13.5" thickBot="1" x14ac:dyDescent="0.3">
      <c r="B52" s="270"/>
      <c r="C52" s="271" t="s">
        <v>398</v>
      </c>
      <c r="D52" s="271" t="s">
        <v>399</v>
      </c>
      <c r="E52" s="272">
        <v>299994</v>
      </c>
      <c r="F52" s="272">
        <v>306553</v>
      </c>
      <c r="G52" s="273">
        <v>290617.84000000003</v>
      </c>
    </row>
    <row r="53" spans="2:11" s="118" customFormat="1" x14ac:dyDescent="0.2">
      <c r="B53" s="27"/>
      <c r="C53" s="274"/>
      <c r="D53" s="27"/>
      <c r="E53" s="27"/>
      <c r="F53" s="27"/>
      <c r="G53" s="27"/>
    </row>
    <row r="54" spans="2:11" s="118" customFormat="1" x14ac:dyDescent="0.2">
      <c r="B54" s="27"/>
      <c r="C54" s="274"/>
      <c r="D54" s="27"/>
      <c r="E54" s="27"/>
      <c r="F54" s="124"/>
      <c r="G54" s="124"/>
    </row>
    <row r="55" spans="2:11" s="118" customFormat="1" x14ac:dyDescent="0.2">
      <c r="B55" s="27"/>
      <c r="C55" s="274"/>
      <c r="D55" s="27"/>
      <c r="E55" s="27"/>
      <c r="F55" s="27"/>
      <c r="G55" s="124"/>
    </row>
    <row r="56" spans="2:11" s="118" customFormat="1" x14ac:dyDescent="0.2">
      <c r="B56" s="27"/>
      <c r="C56" s="274"/>
      <c r="D56" s="27"/>
      <c r="E56" s="27"/>
      <c r="F56" s="27"/>
      <c r="G56" s="27"/>
    </row>
    <row r="57" spans="2:11" s="118" customFormat="1" ht="26.25" customHeight="1" x14ac:dyDescent="0.2">
      <c r="B57" s="27"/>
      <c r="C57" s="274"/>
      <c r="D57" s="27"/>
      <c r="E57" s="27"/>
      <c r="F57" s="27"/>
      <c r="G57" s="27"/>
    </row>
    <row r="58" spans="2:11" s="118" customFormat="1" x14ac:dyDescent="0.2">
      <c r="B58" s="27"/>
      <c r="C58" s="274"/>
      <c r="D58" s="27"/>
      <c r="E58" s="27"/>
      <c r="F58" s="151"/>
      <c r="G58" s="27"/>
    </row>
    <row r="59" spans="2:11" s="118" customFormat="1" x14ac:dyDescent="0.2">
      <c r="B59" s="27"/>
      <c r="C59" s="274"/>
      <c r="D59" s="27"/>
      <c r="E59" s="27"/>
      <c r="F59" s="151"/>
      <c r="G59" s="27"/>
    </row>
    <row r="60" spans="2:11" customFormat="1" ht="15" x14ac:dyDescent="0.25">
      <c r="B60" s="27"/>
      <c r="C60" s="274"/>
      <c r="D60" s="27"/>
      <c r="E60" s="27"/>
      <c r="F60" s="151"/>
      <c r="G60" s="27"/>
      <c r="H60" s="27"/>
      <c r="I60" s="27"/>
      <c r="J60" s="27"/>
      <c r="K60" s="27"/>
    </row>
    <row r="61" spans="2:11" customFormat="1" ht="15" x14ac:dyDescent="0.25">
      <c r="B61" s="27"/>
      <c r="C61" s="274"/>
      <c r="D61" s="27"/>
      <c r="E61" s="27"/>
      <c r="F61" s="151"/>
      <c r="G61" s="27"/>
      <c r="H61" s="27"/>
      <c r="I61" s="27"/>
      <c r="J61" s="27"/>
      <c r="K61" s="27"/>
    </row>
    <row r="62" spans="2:11" customFormat="1" ht="15" x14ac:dyDescent="0.25">
      <c r="B62" s="27"/>
      <c r="C62" s="274"/>
      <c r="D62" s="27"/>
      <c r="E62" s="27"/>
      <c r="F62" s="151"/>
      <c r="G62" s="27"/>
      <c r="H62" s="27"/>
      <c r="I62" s="27"/>
      <c r="J62" s="27"/>
      <c r="K62" s="27"/>
    </row>
    <row r="63" spans="2:11" customFormat="1" ht="15" x14ac:dyDescent="0.25">
      <c r="B63" s="27"/>
      <c r="C63" s="274"/>
      <c r="D63" s="27"/>
      <c r="E63" s="27"/>
      <c r="F63" s="275"/>
      <c r="G63" s="27"/>
      <c r="H63" s="27"/>
      <c r="I63" s="27"/>
      <c r="J63" s="27"/>
      <c r="K63" s="27"/>
    </row>
  </sheetData>
  <mergeCells count="12">
    <mergeCell ref="C47:D47"/>
    <mergeCell ref="B3:G3"/>
    <mergeCell ref="B5:D5"/>
    <mergeCell ref="B6:D6"/>
    <mergeCell ref="C7:D7"/>
    <mergeCell ref="C14:D14"/>
    <mergeCell ref="C16:D16"/>
    <mergeCell ref="C19:D19"/>
    <mergeCell ref="C24:D24"/>
    <mergeCell ref="C27:D27"/>
    <mergeCell ref="C32:D32"/>
    <mergeCell ref="C37:D37"/>
  </mergeCells>
  <pageMargins left="0.55118110236220497" right="0.19685039370078702" top="0.70866141732283405" bottom="0.39370078740157516" header="0.27559055118110198" footer="0.31496062992126012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B2:G34"/>
  <sheetViews>
    <sheetView workbookViewId="0"/>
  </sheetViews>
  <sheetFormatPr defaultRowHeight="12.75" x14ac:dyDescent="0.2"/>
  <cols>
    <col min="1" max="1" width="2.5703125" style="27" customWidth="1"/>
    <col min="2" max="2" width="3.42578125" style="27" customWidth="1"/>
    <col min="3" max="3" width="8.7109375" style="27" customWidth="1"/>
    <col min="4" max="4" width="33.140625" style="27" customWidth="1"/>
    <col min="5" max="5" width="14.42578125" style="27" customWidth="1"/>
    <col min="6" max="6" width="14.5703125" style="27" customWidth="1"/>
    <col min="7" max="7" width="16" style="27" customWidth="1"/>
    <col min="8" max="8" width="8.85546875" style="27" customWidth="1"/>
    <col min="9" max="9" width="9.140625" style="27" customWidth="1"/>
    <col min="10" max="16384" width="9.140625" style="27"/>
  </cols>
  <sheetData>
    <row r="2" spans="2:7" ht="14.25" x14ac:dyDescent="0.2">
      <c r="C2" s="67"/>
      <c r="D2" s="276"/>
      <c r="E2" s="258"/>
      <c r="F2" s="258"/>
      <c r="G2" s="253" t="s">
        <v>400</v>
      </c>
    </row>
    <row r="3" spans="2:7" ht="14.25" x14ac:dyDescent="0.2">
      <c r="C3" s="67"/>
      <c r="D3" s="276"/>
      <c r="E3" s="67"/>
      <c r="F3" s="67"/>
      <c r="G3" s="258"/>
    </row>
    <row r="4" spans="2:7" ht="18" x14ac:dyDescent="0.2">
      <c r="B4" s="827" t="s">
        <v>610</v>
      </c>
      <c r="C4" s="827"/>
      <c r="D4" s="827"/>
      <c r="E4" s="827"/>
      <c r="F4" s="827"/>
      <c r="G4" s="827"/>
    </row>
    <row r="5" spans="2:7" ht="21" thickBot="1" x14ac:dyDescent="0.25">
      <c r="C5" s="277"/>
      <c r="D5" s="277"/>
      <c r="E5" s="277"/>
      <c r="F5" s="277"/>
      <c r="G5" s="277"/>
    </row>
    <row r="6" spans="2:7" ht="30" customHeight="1" x14ac:dyDescent="0.2">
      <c r="B6" s="916" t="s">
        <v>0</v>
      </c>
      <c r="C6" s="916"/>
      <c r="D6" s="916"/>
      <c r="E6" s="254" t="s">
        <v>309</v>
      </c>
      <c r="F6" s="254" t="s">
        <v>310</v>
      </c>
      <c r="G6" s="255" t="s">
        <v>311</v>
      </c>
    </row>
    <row r="7" spans="2:7" s="67" customFormat="1" ht="17.25" customHeight="1" thickBot="1" x14ac:dyDescent="0.3">
      <c r="B7" s="917" t="s">
        <v>401</v>
      </c>
      <c r="C7" s="917"/>
      <c r="D7" s="917"/>
      <c r="E7" s="256">
        <f>E8+E12+E15+E18+E20+E24+E10+E28</f>
        <v>11351187</v>
      </c>
      <c r="F7" s="256">
        <f>F8+F12+F15+F18+F20+F24+F10+F28</f>
        <v>14588963</v>
      </c>
      <c r="G7" s="257">
        <f>G8+G12+G15+G18+G20+G24+G10+G28</f>
        <v>6696444.79</v>
      </c>
    </row>
    <row r="8" spans="2:7" ht="12.75" customHeight="1" thickTop="1" x14ac:dyDescent="0.2">
      <c r="B8" s="278" t="s">
        <v>313</v>
      </c>
      <c r="C8" s="920" t="s">
        <v>314</v>
      </c>
      <c r="D8" s="920"/>
      <c r="E8" s="144">
        <f>E9</f>
        <v>961290</v>
      </c>
      <c r="F8" s="144">
        <f>F9</f>
        <v>1312231</v>
      </c>
      <c r="G8" s="279">
        <f>G9</f>
        <v>643331.22</v>
      </c>
    </row>
    <row r="9" spans="2:7" ht="15" customHeight="1" x14ac:dyDescent="0.2">
      <c r="B9" s="280"/>
      <c r="C9" s="281" t="s">
        <v>315</v>
      </c>
      <c r="D9" s="197" t="s">
        <v>316</v>
      </c>
      <c r="E9" s="263">
        <v>961290</v>
      </c>
      <c r="F9" s="263">
        <v>1312231</v>
      </c>
      <c r="G9" s="113">
        <v>643331.22</v>
      </c>
    </row>
    <row r="10" spans="2:7" ht="12.75" customHeight="1" x14ac:dyDescent="0.2">
      <c r="B10" s="265" t="s">
        <v>329</v>
      </c>
      <c r="C10" s="915" t="s">
        <v>330</v>
      </c>
      <c r="D10" s="915"/>
      <c r="E10" s="164">
        <f>E11</f>
        <v>0</v>
      </c>
      <c r="F10" s="164">
        <f t="shared" ref="F10:G10" si="0">F11</f>
        <v>17000</v>
      </c>
      <c r="G10" s="164">
        <f t="shared" si="0"/>
        <v>15700</v>
      </c>
    </row>
    <row r="11" spans="2:7" x14ac:dyDescent="0.2">
      <c r="B11" s="262"/>
      <c r="C11" s="282" t="s">
        <v>331</v>
      </c>
      <c r="D11" s="197" t="s">
        <v>332</v>
      </c>
      <c r="E11" s="9">
        <v>0</v>
      </c>
      <c r="F11" s="9">
        <v>17000</v>
      </c>
      <c r="G11" s="32">
        <v>15700</v>
      </c>
    </row>
    <row r="12" spans="2:7" x14ac:dyDescent="0.2">
      <c r="B12" s="283" t="s">
        <v>335</v>
      </c>
      <c r="C12" s="919" t="s">
        <v>336</v>
      </c>
      <c r="D12" s="919"/>
      <c r="E12" s="146">
        <f>E13+E14</f>
        <v>5228102</v>
      </c>
      <c r="F12" s="146">
        <f>F13+F14</f>
        <v>6979316</v>
      </c>
      <c r="G12" s="285">
        <f>G13+G14</f>
        <v>3390525.82</v>
      </c>
    </row>
    <row r="13" spans="2:7" customFormat="1" ht="12.75" customHeight="1" x14ac:dyDescent="0.25">
      <c r="B13" s="286"/>
      <c r="C13" s="281" t="s">
        <v>339</v>
      </c>
      <c r="D13" s="147" t="s">
        <v>340</v>
      </c>
      <c r="E13" s="268">
        <v>166100</v>
      </c>
      <c r="F13" s="268">
        <v>134600</v>
      </c>
      <c r="G13" s="115">
        <v>57888</v>
      </c>
    </row>
    <row r="14" spans="2:7" customFormat="1" ht="15" x14ac:dyDescent="0.25">
      <c r="B14" s="280"/>
      <c r="C14" s="287" t="s">
        <v>341</v>
      </c>
      <c r="D14" s="288" t="s">
        <v>342</v>
      </c>
      <c r="E14" s="268">
        <v>5062002</v>
      </c>
      <c r="F14" s="268">
        <v>6844716</v>
      </c>
      <c r="G14" s="115">
        <v>3332637.82</v>
      </c>
    </row>
    <row r="15" spans="2:7" customFormat="1" ht="12.75" customHeight="1" x14ac:dyDescent="0.25">
      <c r="B15" s="283" t="s">
        <v>345</v>
      </c>
      <c r="C15" s="919" t="s">
        <v>346</v>
      </c>
      <c r="D15" s="919"/>
      <c r="E15" s="146">
        <f>E16+E17</f>
        <v>221481</v>
      </c>
      <c r="F15" s="146">
        <f>F16+F17</f>
        <v>446381</v>
      </c>
      <c r="G15" s="285">
        <f>G16+G17</f>
        <v>185168.88</v>
      </c>
    </row>
    <row r="16" spans="2:7" customFormat="1" ht="15" x14ac:dyDescent="0.25">
      <c r="B16" s="280"/>
      <c r="C16" s="287" t="s">
        <v>347</v>
      </c>
      <c r="D16" s="288" t="s">
        <v>348</v>
      </c>
      <c r="E16" s="9">
        <v>120060</v>
      </c>
      <c r="F16" s="9">
        <v>300060</v>
      </c>
      <c r="G16" s="32">
        <v>90216.88</v>
      </c>
    </row>
    <row r="17" spans="2:7" customFormat="1" ht="15" x14ac:dyDescent="0.25">
      <c r="B17" s="280"/>
      <c r="C17" s="281" t="s">
        <v>349</v>
      </c>
      <c r="D17" s="197" t="s">
        <v>350</v>
      </c>
      <c r="E17" s="263">
        <v>101421</v>
      </c>
      <c r="F17" s="263">
        <v>146321</v>
      </c>
      <c r="G17" s="113">
        <v>94952</v>
      </c>
    </row>
    <row r="18" spans="2:7" customFormat="1" ht="15" x14ac:dyDescent="0.25">
      <c r="B18" s="283" t="s">
        <v>351</v>
      </c>
      <c r="C18" s="919" t="s">
        <v>352</v>
      </c>
      <c r="D18" s="919"/>
      <c r="E18" s="146">
        <f>SUM(E19:E19)</f>
        <v>1095771</v>
      </c>
      <c r="F18" s="146">
        <f>SUM(F19:F19)</f>
        <v>1772523</v>
      </c>
      <c r="G18" s="285">
        <f>SUM(G19:G19)</f>
        <v>412328.78</v>
      </c>
    </row>
    <row r="19" spans="2:7" customFormat="1" ht="12.75" customHeight="1" x14ac:dyDescent="0.25">
      <c r="B19" s="280"/>
      <c r="C19" s="287" t="s">
        <v>355</v>
      </c>
      <c r="D19" s="288" t="s">
        <v>356</v>
      </c>
      <c r="E19" s="9">
        <v>1095771</v>
      </c>
      <c r="F19" s="9">
        <v>1772523</v>
      </c>
      <c r="G19" s="32">
        <v>412328.78</v>
      </c>
    </row>
    <row r="20" spans="2:7" customFormat="1" ht="16.5" customHeight="1" x14ac:dyDescent="0.25">
      <c r="B20" s="265" t="s">
        <v>360</v>
      </c>
      <c r="C20" s="915" t="s">
        <v>361</v>
      </c>
      <c r="D20" s="915"/>
      <c r="E20" s="164">
        <f>SUM(E21:E23)</f>
        <v>2891250</v>
      </c>
      <c r="F20" s="164">
        <f>SUM(F21:F23)</f>
        <v>2999961</v>
      </c>
      <c r="G20" s="176">
        <f>SUM(G21:G23)</f>
        <v>1510411.28</v>
      </c>
    </row>
    <row r="21" spans="2:7" customFormat="1" ht="15" x14ac:dyDescent="0.25">
      <c r="B21" s="280"/>
      <c r="C21" s="287" t="s">
        <v>362</v>
      </c>
      <c r="D21" s="288" t="s">
        <v>363</v>
      </c>
      <c r="E21" s="9">
        <v>2636930</v>
      </c>
      <c r="F21" s="9">
        <v>2475821</v>
      </c>
      <c r="G21" s="32">
        <v>1401030.62</v>
      </c>
    </row>
    <row r="22" spans="2:7" customFormat="1" ht="15" x14ac:dyDescent="0.25">
      <c r="B22" s="262"/>
      <c r="C22" s="281" t="s">
        <v>364</v>
      </c>
      <c r="D22" s="197" t="s">
        <v>402</v>
      </c>
      <c r="E22" s="9">
        <v>206320</v>
      </c>
      <c r="F22" s="9">
        <v>466740</v>
      </c>
      <c r="G22" s="32">
        <v>53022.92</v>
      </c>
    </row>
    <row r="23" spans="2:7" customFormat="1" ht="15" x14ac:dyDescent="0.25">
      <c r="B23" s="280"/>
      <c r="C23" s="287" t="s">
        <v>368</v>
      </c>
      <c r="D23" s="288" t="s">
        <v>403</v>
      </c>
      <c r="E23" s="9">
        <v>48000</v>
      </c>
      <c r="F23" s="9">
        <v>57400</v>
      </c>
      <c r="G23" s="32">
        <v>56357.74</v>
      </c>
    </row>
    <row r="24" spans="2:7" customFormat="1" ht="21.75" customHeight="1" x14ac:dyDescent="0.25">
      <c r="B24" s="265" t="s">
        <v>370</v>
      </c>
      <c r="C24" s="915" t="s">
        <v>371</v>
      </c>
      <c r="D24" s="915"/>
      <c r="E24" s="164">
        <f>SUM(E25:E27)</f>
        <v>743293</v>
      </c>
      <c r="F24" s="164">
        <f>SUM(F25:F27)</f>
        <v>826351</v>
      </c>
      <c r="G24" s="176">
        <f>SUM(G25:G27)</f>
        <v>533778.80999999994</v>
      </c>
    </row>
    <row r="25" spans="2:7" customFormat="1" ht="25.5" x14ac:dyDescent="0.25">
      <c r="B25" s="280"/>
      <c r="C25" s="197" t="s">
        <v>372</v>
      </c>
      <c r="D25" s="147" t="s">
        <v>373</v>
      </c>
      <c r="E25" s="263">
        <v>0</v>
      </c>
      <c r="F25" s="263">
        <v>485500</v>
      </c>
      <c r="G25" s="113">
        <v>443732.5</v>
      </c>
    </row>
    <row r="26" spans="2:7" customFormat="1" ht="25.5" x14ac:dyDescent="0.25">
      <c r="B26" s="289"/>
      <c r="C26" s="202" t="s">
        <v>376</v>
      </c>
      <c r="D26" s="197" t="s">
        <v>377</v>
      </c>
      <c r="E26" s="263">
        <v>743293</v>
      </c>
      <c r="F26" s="263">
        <v>332189</v>
      </c>
      <c r="G26" s="113">
        <v>81384.47</v>
      </c>
    </row>
    <row r="27" spans="2:7" customFormat="1" ht="15" x14ac:dyDescent="0.25">
      <c r="B27" s="289"/>
      <c r="C27" s="290" t="s">
        <v>385</v>
      </c>
      <c r="D27" s="202" t="s">
        <v>386</v>
      </c>
      <c r="E27" s="291">
        <v>0</v>
      </c>
      <c r="F27" s="291">
        <v>8662</v>
      </c>
      <c r="G27" s="292">
        <v>8661.84</v>
      </c>
    </row>
    <row r="28" spans="2:7" customFormat="1" ht="15" x14ac:dyDescent="0.25">
      <c r="B28" s="265" t="s">
        <v>404</v>
      </c>
      <c r="C28" s="915" t="s">
        <v>389</v>
      </c>
      <c r="D28" s="915"/>
      <c r="E28" s="164">
        <f>SUM(E29:E31)</f>
        <v>210000</v>
      </c>
      <c r="F28" s="164">
        <f t="shared" ref="F28:G28" si="1">SUM(F29:F31)</f>
        <v>235200</v>
      </c>
      <c r="G28" s="164">
        <f t="shared" si="1"/>
        <v>5200</v>
      </c>
    </row>
    <row r="29" spans="2:7" s="490" customFormat="1" ht="15" x14ac:dyDescent="0.25">
      <c r="B29" s="289"/>
      <c r="C29" s="491" t="s">
        <v>392</v>
      </c>
      <c r="D29" s="810" t="s">
        <v>1052</v>
      </c>
      <c r="E29" s="291">
        <v>0</v>
      </c>
      <c r="F29" s="291">
        <v>6000</v>
      </c>
      <c r="G29" s="292">
        <v>4961</v>
      </c>
    </row>
    <row r="30" spans="2:7" s="490" customFormat="1" ht="15" x14ac:dyDescent="0.25">
      <c r="B30" s="289"/>
      <c r="C30" s="491" t="s">
        <v>394</v>
      </c>
      <c r="D30" s="810" t="s">
        <v>395</v>
      </c>
      <c r="E30" s="291">
        <v>0</v>
      </c>
      <c r="F30" s="291">
        <v>700</v>
      </c>
      <c r="G30" s="292">
        <v>239</v>
      </c>
    </row>
    <row r="31" spans="2:7" customFormat="1" ht="16.5" customHeight="1" thickBot="1" x14ac:dyDescent="0.3">
      <c r="B31" s="293"/>
      <c r="C31" s="294" t="s">
        <v>390</v>
      </c>
      <c r="D31" s="295" t="s">
        <v>405</v>
      </c>
      <c r="E31" s="272">
        <v>210000</v>
      </c>
      <c r="F31" s="272">
        <v>228500</v>
      </c>
      <c r="G31" s="273">
        <v>0</v>
      </c>
    </row>
    <row r="33" spans="2:7" customFormat="1" ht="15" x14ac:dyDescent="0.25">
      <c r="B33" s="27"/>
      <c r="C33" s="27"/>
      <c r="D33" s="27"/>
      <c r="E33" s="27"/>
      <c r="F33" s="124"/>
      <c r="G33" s="27"/>
    </row>
    <row r="34" spans="2:7" customFormat="1" ht="15" x14ac:dyDescent="0.25">
      <c r="B34" s="27"/>
      <c r="C34" s="27"/>
      <c r="D34" s="27"/>
      <c r="E34" s="124"/>
      <c r="F34" s="27"/>
      <c r="G34" s="27"/>
    </row>
  </sheetData>
  <mergeCells count="11">
    <mergeCell ref="C12:D12"/>
    <mergeCell ref="B4:G4"/>
    <mergeCell ref="B6:D6"/>
    <mergeCell ref="B7:D7"/>
    <mergeCell ref="C8:D8"/>
    <mergeCell ref="C10:D10"/>
    <mergeCell ref="C15:D15"/>
    <mergeCell ref="C18:D18"/>
    <mergeCell ref="C20:D20"/>
    <mergeCell ref="C24:D24"/>
    <mergeCell ref="C28:D28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J68"/>
  <sheetViews>
    <sheetView workbookViewId="0"/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7" width="12.7109375" style="1" customWidth="1"/>
    <col min="8" max="8" width="15.425781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x14ac:dyDescent="0.2">
      <c r="H1" s="27" t="s">
        <v>43</v>
      </c>
    </row>
    <row r="2" spans="2:9" ht="20.25" x14ac:dyDescent="0.3">
      <c r="B2" s="815" t="s">
        <v>44</v>
      </c>
      <c r="C2" s="815"/>
      <c r="D2" s="815"/>
      <c r="E2" s="815"/>
      <c r="F2" s="815"/>
      <c r="G2" s="815"/>
      <c r="H2" s="815"/>
    </row>
    <row r="3" spans="2:9" ht="7.5" customHeight="1" thickBot="1" x14ac:dyDescent="0.25"/>
    <row r="4" spans="2:9" ht="15.75" thickBot="1" x14ac:dyDescent="0.3">
      <c r="B4" s="28" t="s">
        <v>45</v>
      </c>
      <c r="C4" s="29"/>
      <c r="D4" s="29"/>
      <c r="E4" s="30">
        <f>SUM(E5:E13)</f>
        <v>493730.98000000004</v>
      </c>
    </row>
    <row r="5" spans="2:9" ht="15" thickTop="1" x14ac:dyDescent="0.2">
      <c r="B5" s="816" t="s">
        <v>46</v>
      </c>
      <c r="C5" s="816"/>
      <c r="D5" s="816"/>
      <c r="E5" s="31">
        <v>35521.03</v>
      </c>
    </row>
    <row r="6" spans="2:9" ht="16.5" customHeight="1" x14ac:dyDescent="0.2">
      <c r="B6" s="817" t="s">
        <v>47</v>
      </c>
      <c r="C6" s="817"/>
      <c r="D6" s="817"/>
      <c r="E6" s="32">
        <v>6601.6</v>
      </c>
    </row>
    <row r="7" spans="2:9" ht="15" customHeight="1" x14ac:dyDescent="0.2">
      <c r="B7" s="817" t="s">
        <v>48</v>
      </c>
      <c r="C7" s="817"/>
      <c r="D7" s="817"/>
      <c r="E7" s="32">
        <v>423264.6</v>
      </c>
    </row>
    <row r="8" spans="2:9" ht="15" customHeight="1" x14ac:dyDescent="0.2">
      <c r="B8" s="817" t="s">
        <v>49</v>
      </c>
      <c r="C8" s="817"/>
      <c r="D8" s="817"/>
      <c r="E8" s="32">
        <v>14029.01</v>
      </c>
    </row>
    <row r="9" spans="2:9" x14ac:dyDescent="0.2">
      <c r="B9" s="814" t="s">
        <v>50</v>
      </c>
      <c r="C9" s="814"/>
      <c r="D9" s="814"/>
      <c r="E9" s="33">
        <v>8517.6299999999992</v>
      </c>
    </row>
    <row r="10" spans="2:9" x14ac:dyDescent="0.2">
      <c r="B10" s="34" t="s">
        <v>51</v>
      </c>
      <c r="C10" s="35"/>
      <c r="D10" s="35"/>
      <c r="E10" s="36">
        <v>99.99</v>
      </c>
    </row>
    <row r="11" spans="2:9" x14ac:dyDescent="0.2">
      <c r="B11" s="34" t="s">
        <v>52</v>
      </c>
      <c r="C11" s="35"/>
      <c r="D11" s="35"/>
      <c r="E11" s="36">
        <v>2793.34</v>
      </c>
    </row>
    <row r="12" spans="2:9" x14ac:dyDescent="0.2">
      <c r="B12" s="34" t="s">
        <v>521</v>
      </c>
      <c r="C12" s="35"/>
      <c r="D12" s="35"/>
      <c r="E12" s="36">
        <v>720</v>
      </c>
    </row>
    <row r="13" spans="2:9" ht="15" thickBot="1" x14ac:dyDescent="0.25">
      <c r="B13" s="37" t="s">
        <v>880</v>
      </c>
      <c r="C13" s="38"/>
      <c r="D13" s="38"/>
      <c r="E13" s="39">
        <v>2183.7800000000002</v>
      </c>
    </row>
    <row r="14" spans="2:9" ht="9.75" customHeight="1" x14ac:dyDescent="0.25">
      <c r="B14" s="40"/>
      <c r="C14" s="40"/>
      <c r="D14" s="40"/>
      <c r="E14" s="41"/>
    </row>
    <row r="15" spans="2:9" ht="13.5" customHeight="1" thickBot="1" x14ac:dyDescent="0.25">
      <c r="B15" s="42"/>
      <c r="C15" s="42"/>
    </row>
    <row r="16" spans="2:9" s="43" customFormat="1" ht="79.5" thickBot="1" x14ac:dyDescent="0.3">
      <c r="B16" s="44" t="s">
        <v>53</v>
      </c>
      <c r="C16" s="45" t="s">
        <v>54</v>
      </c>
      <c r="D16" s="45" t="s">
        <v>55</v>
      </c>
      <c r="E16" s="45" t="s">
        <v>56</v>
      </c>
      <c r="F16" s="45" t="s">
        <v>57</v>
      </c>
      <c r="G16" s="46" t="s">
        <v>58</v>
      </c>
      <c r="H16" s="359"/>
      <c r="I16" s="47"/>
    </row>
    <row r="17" spans="2:9" ht="15" thickTop="1" x14ac:dyDescent="0.2">
      <c r="B17" s="48" t="s">
        <v>59</v>
      </c>
      <c r="C17" s="49">
        <v>28330.95</v>
      </c>
      <c r="D17" s="49">
        <v>20045.09</v>
      </c>
      <c r="E17" s="49">
        <v>0</v>
      </c>
      <c r="F17" s="49">
        <v>38585.089999999997</v>
      </c>
      <c r="G17" s="50">
        <v>81665.86</v>
      </c>
      <c r="H17" s="360"/>
      <c r="I17" s="51"/>
    </row>
    <row r="18" spans="2:9" x14ac:dyDescent="0.2">
      <c r="B18" s="52" t="s">
        <v>60</v>
      </c>
      <c r="C18" s="53">
        <v>9877.2199999999993</v>
      </c>
      <c r="D18" s="53">
        <v>7804.23</v>
      </c>
      <c r="E18" s="53">
        <v>0</v>
      </c>
      <c r="F18" s="53">
        <v>14594.96</v>
      </c>
      <c r="G18" s="54">
        <v>27851.45</v>
      </c>
      <c r="H18" s="360"/>
      <c r="I18" s="51"/>
    </row>
    <row r="19" spans="2:9" x14ac:dyDescent="0.2">
      <c r="B19" s="52" t="s">
        <v>61</v>
      </c>
      <c r="C19" s="53">
        <f>C20+C21+C22+C23+C24+C25</f>
        <v>11558.78</v>
      </c>
      <c r="D19" s="53">
        <f>D20+D21+D22+D23+D24+D25</f>
        <v>36395.58</v>
      </c>
      <c r="E19" s="53">
        <f>E20+E21+E22+E23+E24+E25</f>
        <v>551.66</v>
      </c>
      <c r="F19" s="53">
        <f>F20+F21+F22+F23+F24+F25</f>
        <v>593482.23</v>
      </c>
      <c r="G19" s="54">
        <f>+G20+G21+G22+G23+G24+G25</f>
        <v>498333.15</v>
      </c>
      <c r="H19" s="360"/>
      <c r="I19" s="51"/>
    </row>
    <row r="20" spans="2:9" x14ac:dyDescent="0.2">
      <c r="B20" s="55" t="s">
        <v>62</v>
      </c>
      <c r="C20" s="56">
        <v>5600.72</v>
      </c>
      <c r="D20" s="56">
        <v>4617.49</v>
      </c>
      <c r="E20" s="56"/>
      <c r="F20" s="56">
        <v>540065.73</v>
      </c>
      <c r="G20" s="57">
        <v>0</v>
      </c>
      <c r="H20" s="361"/>
      <c r="I20" s="51"/>
    </row>
    <row r="21" spans="2:9" x14ac:dyDescent="0.2">
      <c r="B21" s="55" t="s">
        <v>63</v>
      </c>
      <c r="C21" s="56">
        <v>2040.53</v>
      </c>
      <c r="D21" s="56">
        <v>15877.58</v>
      </c>
      <c r="E21" s="56">
        <v>462.62</v>
      </c>
      <c r="F21" s="56">
        <v>24958.04</v>
      </c>
      <c r="G21" s="57">
        <v>14475.77</v>
      </c>
      <c r="H21" s="361"/>
      <c r="I21" s="51"/>
    </row>
    <row r="22" spans="2:9" x14ac:dyDescent="0.2">
      <c r="B22" s="55" t="s">
        <v>64</v>
      </c>
      <c r="C22" s="56">
        <v>0</v>
      </c>
      <c r="D22" s="56">
        <v>0</v>
      </c>
      <c r="E22" s="56">
        <v>89.04</v>
      </c>
      <c r="F22" s="56">
        <v>4272.0200000000004</v>
      </c>
      <c r="G22" s="57">
        <v>10040.370000000001</v>
      </c>
      <c r="H22" s="361"/>
      <c r="I22" s="51"/>
    </row>
    <row r="23" spans="2:9" x14ac:dyDescent="0.2">
      <c r="B23" s="55" t="s">
        <v>65</v>
      </c>
      <c r="C23" s="56">
        <v>885.92</v>
      </c>
      <c r="D23" s="56">
        <v>105.92</v>
      </c>
      <c r="E23" s="56"/>
      <c r="F23" s="56">
        <v>11508.12</v>
      </c>
      <c r="G23" s="57">
        <v>454037.02</v>
      </c>
      <c r="H23" s="361"/>
      <c r="I23" s="51"/>
    </row>
    <row r="24" spans="2:9" x14ac:dyDescent="0.2">
      <c r="B24" s="55" t="s">
        <v>66</v>
      </c>
      <c r="C24" s="56">
        <v>0</v>
      </c>
      <c r="D24" s="56">
        <v>926.5</v>
      </c>
      <c r="E24" s="56"/>
      <c r="F24" s="56">
        <v>0</v>
      </c>
      <c r="G24" s="57">
        <v>22</v>
      </c>
      <c r="H24" s="361"/>
      <c r="I24" s="51"/>
    </row>
    <row r="25" spans="2:9" x14ac:dyDescent="0.2">
      <c r="B25" s="55" t="s">
        <v>67</v>
      </c>
      <c r="C25" s="56">
        <v>3031.61</v>
      </c>
      <c r="D25" s="56">
        <v>14868.09</v>
      </c>
      <c r="E25" s="56"/>
      <c r="F25" s="56">
        <v>12678.32</v>
      </c>
      <c r="G25" s="57">
        <v>19757.990000000002</v>
      </c>
      <c r="H25" s="361"/>
      <c r="I25" s="51"/>
    </row>
    <row r="26" spans="2:9" x14ac:dyDescent="0.2">
      <c r="B26" s="52" t="s">
        <v>68</v>
      </c>
      <c r="C26" s="53">
        <v>361.54</v>
      </c>
      <c r="D26" s="53">
        <v>14.78</v>
      </c>
      <c r="E26" s="53"/>
      <c r="F26" s="53">
        <v>693.32</v>
      </c>
      <c r="G26" s="54">
        <v>455.11</v>
      </c>
      <c r="H26" s="360"/>
      <c r="I26" s="51"/>
    </row>
    <row r="27" spans="2:9" s="58" customFormat="1" ht="6.75" customHeight="1" x14ac:dyDescent="0.2">
      <c r="B27" s="59"/>
      <c r="C27" s="60"/>
      <c r="D27" s="60"/>
      <c r="E27" s="60"/>
      <c r="F27" s="60"/>
      <c r="G27" s="61"/>
      <c r="H27" s="362"/>
      <c r="I27" s="62"/>
    </row>
    <row r="28" spans="2:9" ht="20.25" customHeight="1" x14ac:dyDescent="0.25">
      <c r="B28" s="63" t="s">
        <v>69</v>
      </c>
      <c r="C28" s="64">
        <f t="shared" ref="C28:G28" si="0">C17+C18+C19+C26</f>
        <v>50128.49</v>
      </c>
      <c r="D28" s="64">
        <f t="shared" si="0"/>
        <v>64259.68</v>
      </c>
      <c r="E28" s="64">
        <f t="shared" si="0"/>
        <v>551.66</v>
      </c>
      <c r="F28" s="64">
        <f t="shared" si="0"/>
        <v>647355.6</v>
      </c>
      <c r="G28" s="65">
        <f t="shared" si="0"/>
        <v>608305.56999999995</v>
      </c>
      <c r="H28" s="363"/>
      <c r="I28" s="66"/>
    </row>
    <row r="29" spans="2:9" s="67" customFormat="1" ht="30.75" thickBot="1" x14ac:dyDescent="0.3">
      <c r="B29" s="68" t="s">
        <v>70</v>
      </c>
      <c r="C29" s="69">
        <v>0</v>
      </c>
      <c r="D29" s="69">
        <v>0</v>
      </c>
      <c r="E29" s="69">
        <v>0</v>
      </c>
      <c r="F29" s="69">
        <v>0</v>
      </c>
      <c r="G29" s="70">
        <v>0</v>
      </c>
      <c r="H29" s="364"/>
    </row>
    <row r="30" spans="2:9" ht="15" thickBot="1" x14ac:dyDescent="0.25"/>
    <row r="31" spans="2:9" s="43" customFormat="1" ht="90.75" thickBot="1" x14ac:dyDescent="0.3">
      <c r="B31" s="44" t="s">
        <v>53</v>
      </c>
      <c r="C31" s="45" t="s">
        <v>71</v>
      </c>
      <c r="D31" s="45" t="s">
        <v>519</v>
      </c>
      <c r="E31" s="45" t="s">
        <v>73</v>
      </c>
      <c r="F31" s="45" t="s">
        <v>72</v>
      </c>
      <c r="G31" s="365"/>
      <c r="H31" s="371"/>
      <c r="I31" s="71"/>
    </row>
    <row r="32" spans="2:9" ht="15" thickTop="1" x14ac:dyDescent="0.2">
      <c r="B32" s="48" t="s">
        <v>59</v>
      </c>
      <c r="C32" s="49">
        <v>72369.66</v>
      </c>
      <c r="D32" s="49">
        <v>150098.88</v>
      </c>
      <c r="E32" s="49">
        <v>7397.39</v>
      </c>
      <c r="F32" s="49">
        <v>36182.43</v>
      </c>
      <c r="G32" s="366"/>
      <c r="H32" s="372"/>
      <c r="I32" s="72"/>
    </row>
    <row r="33" spans="2:10" x14ac:dyDescent="0.2">
      <c r="B33" s="52" t="s">
        <v>60</v>
      </c>
      <c r="C33" s="53">
        <v>24656.3</v>
      </c>
      <c r="D33" s="53">
        <v>62511.14</v>
      </c>
      <c r="E33" s="53">
        <v>2357.12</v>
      </c>
      <c r="F33" s="53">
        <v>13178.29</v>
      </c>
      <c r="G33" s="366"/>
      <c r="H33" s="372"/>
      <c r="I33" s="72"/>
    </row>
    <row r="34" spans="2:10" x14ac:dyDescent="0.2">
      <c r="B34" s="52" t="s">
        <v>61</v>
      </c>
      <c r="C34" s="53">
        <f t="shared" ref="C34:F34" si="1">C35+C36+C37+C38+C39+C40</f>
        <v>268995.53999999998</v>
      </c>
      <c r="D34" s="53">
        <f t="shared" si="1"/>
        <v>401537.28000000003</v>
      </c>
      <c r="E34" s="53">
        <f t="shared" ref="E34" si="2">E35+E36+E37+E38+E39+E40</f>
        <v>15568.44</v>
      </c>
      <c r="F34" s="53">
        <f t="shared" si="1"/>
        <v>50621.7</v>
      </c>
      <c r="G34" s="366"/>
      <c r="H34" s="372"/>
      <c r="I34" s="72"/>
    </row>
    <row r="35" spans="2:10" x14ac:dyDescent="0.2">
      <c r="B35" s="55" t="s">
        <v>62</v>
      </c>
      <c r="C35" s="56">
        <v>188492.27</v>
      </c>
      <c r="D35" s="56">
        <v>207076.74</v>
      </c>
      <c r="E35" s="56">
        <v>10791.07</v>
      </c>
      <c r="F35" s="56">
        <v>934.83</v>
      </c>
      <c r="G35" s="367"/>
      <c r="H35" s="373"/>
      <c r="I35" s="73"/>
    </row>
    <row r="36" spans="2:10" x14ac:dyDescent="0.2">
      <c r="B36" s="55" t="s">
        <v>63</v>
      </c>
      <c r="C36" s="56">
        <v>10198.31</v>
      </c>
      <c r="D36" s="56">
        <v>61140.15</v>
      </c>
      <c r="E36" s="56">
        <v>730.93</v>
      </c>
      <c r="F36" s="56">
        <v>34991.07</v>
      </c>
      <c r="G36" s="367"/>
      <c r="H36" s="373"/>
      <c r="I36" s="73"/>
    </row>
    <row r="37" spans="2:10" x14ac:dyDescent="0.2">
      <c r="B37" s="55" t="s">
        <v>64</v>
      </c>
      <c r="C37" s="56">
        <v>0</v>
      </c>
      <c r="D37" s="56">
        <v>0</v>
      </c>
      <c r="E37" s="56">
        <v>0</v>
      </c>
      <c r="F37" s="56">
        <v>1204.82</v>
      </c>
      <c r="G37" s="367"/>
      <c r="H37" s="373"/>
      <c r="I37" s="73"/>
    </row>
    <row r="38" spans="2:10" x14ac:dyDescent="0.2">
      <c r="B38" s="55" t="s">
        <v>65</v>
      </c>
      <c r="C38" s="56">
        <v>38476.589999999997</v>
      </c>
      <c r="D38" s="56">
        <v>71440.05</v>
      </c>
      <c r="E38" s="56">
        <v>0</v>
      </c>
      <c r="F38" s="56">
        <v>3953.95</v>
      </c>
      <c r="G38" s="367"/>
      <c r="H38" s="373"/>
      <c r="I38" s="73"/>
    </row>
    <row r="39" spans="2:10" x14ac:dyDescent="0.2">
      <c r="B39" s="55" t="s">
        <v>66</v>
      </c>
      <c r="C39" s="56">
        <v>0</v>
      </c>
      <c r="D39" s="56">
        <v>0</v>
      </c>
      <c r="E39" s="56">
        <v>0</v>
      </c>
      <c r="F39" s="56">
        <v>1422.6</v>
      </c>
      <c r="G39" s="367"/>
      <c r="H39" s="373"/>
      <c r="I39" s="73"/>
    </row>
    <row r="40" spans="2:10" x14ac:dyDescent="0.2">
      <c r="B40" s="55" t="s">
        <v>67</v>
      </c>
      <c r="C40" s="56">
        <v>31828.37</v>
      </c>
      <c r="D40" s="56">
        <v>61880.34</v>
      </c>
      <c r="E40" s="56">
        <v>4046.44</v>
      </c>
      <c r="F40" s="56">
        <v>8114.43</v>
      </c>
      <c r="G40" s="367"/>
      <c r="H40" s="373"/>
      <c r="I40" s="73"/>
    </row>
    <row r="41" spans="2:10" x14ac:dyDescent="0.2">
      <c r="B41" s="52" t="s">
        <v>68</v>
      </c>
      <c r="C41" s="53">
        <v>222.06</v>
      </c>
      <c r="D41" s="53">
        <v>518.12</v>
      </c>
      <c r="E41" s="53">
        <v>0</v>
      </c>
      <c r="F41" s="53">
        <v>148.97999999999999</v>
      </c>
      <c r="G41" s="366"/>
      <c r="H41" s="372"/>
      <c r="I41" s="73"/>
    </row>
    <row r="42" spans="2:10" s="74" customFormat="1" ht="6.75" customHeight="1" x14ac:dyDescent="0.2">
      <c r="B42" s="75"/>
      <c r="C42" s="76"/>
      <c r="D42" s="76"/>
      <c r="E42" s="76"/>
      <c r="F42" s="76"/>
      <c r="G42" s="368"/>
      <c r="H42" s="374"/>
      <c r="I42" s="73"/>
    </row>
    <row r="43" spans="2:10" ht="18.75" customHeight="1" x14ac:dyDescent="0.25">
      <c r="B43" s="63" t="s">
        <v>69</v>
      </c>
      <c r="C43" s="64">
        <f t="shared" ref="C43:F43" si="3">C32+C33+C34+C41</f>
        <v>366243.56</v>
      </c>
      <c r="D43" s="64">
        <f t="shared" si="3"/>
        <v>614665.42000000004</v>
      </c>
      <c r="E43" s="64">
        <f t="shared" ref="E43" si="4">E32+E33+E34+E41</f>
        <v>25322.95</v>
      </c>
      <c r="F43" s="64">
        <f t="shared" si="3"/>
        <v>100131.4</v>
      </c>
      <c r="G43" s="369"/>
      <c r="H43" s="375"/>
      <c r="I43" s="77"/>
    </row>
    <row r="44" spans="2:10" s="67" customFormat="1" ht="34.5" customHeight="1" thickBot="1" x14ac:dyDescent="0.3">
      <c r="B44" s="68" t="s">
        <v>70</v>
      </c>
      <c r="C44" s="69">
        <v>12927.6</v>
      </c>
      <c r="D44" s="69">
        <v>0</v>
      </c>
      <c r="E44" s="69">
        <v>0</v>
      </c>
      <c r="F44" s="69">
        <v>45002.32</v>
      </c>
      <c r="G44" s="370"/>
      <c r="H44" s="376"/>
      <c r="I44" s="78"/>
    </row>
    <row r="46" spans="2:10" customFormat="1" ht="1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customFormat="1" ht="1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customFormat="1" ht="1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customFormat="1" ht="1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customFormat="1" ht="15.75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0" s="43" customFormat="1" ht="79.5" thickBot="1" x14ac:dyDescent="0.3">
      <c r="B51" s="44" t="s">
        <v>53</v>
      </c>
      <c r="C51" s="45" t="s">
        <v>74</v>
      </c>
      <c r="D51" s="79" t="s">
        <v>518</v>
      </c>
      <c r="E51" s="45" t="s">
        <v>75</v>
      </c>
      <c r="F51" s="99" t="s">
        <v>76</v>
      </c>
      <c r="G51" s="645" t="s">
        <v>79</v>
      </c>
    </row>
    <row r="52" spans="2:10" customFormat="1" ht="15.75" thickTop="1" x14ac:dyDescent="0.25">
      <c r="B52" s="48" t="s">
        <v>59</v>
      </c>
      <c r="C52" s="49">
        <v>155245.01</v>
      </c>
      <c r="D52" s="80">
        <v>82053.63</v>
      </c>
      <c r="E52" s="49">
        <v>0</v>
      </c>
      <c r="F52" s="101">
        <v>212135.66</v>
      </c>
      <c r="G52" s="651">
        <f>F52+E52+D52+C52+F32+E32+D32+C32+G17+F17+E17+D17+C17</f>
        <v>884109.64999999991</v>
      </c>
      <c r="H52" s="1"/>
      <c r="I52" s="51"/>
    </row>
    <row r="53" spans="2:10" customFormat="1" ht="15" x14ac:dyDescent="0.25">
      <c r="B53" s="52" t="s">
        <v>77</v>
      </c>
      <c r="C53" s="53">
        <v>52722.75</v>
      </c>
      <c r="D53" s="81">
        <v>27707.35</v>
      </c>
      <c r="E53" s="53">
        <v>0</v>
      </c>
      <c r="F53" s="103">
        <v>70946.36</v>
      </c>
      <c r="G53" s="650">
        <f>F53+E53+D53+C53+F33+E33+D33+C33+G18+F18+E18+D18+C18</f>
        <v>314207.17</v>
      </c>
      <c r="H53" s="1"/>
      <c r="I53" s="1"/>
    </row>
    <row r="54" spans="2:10" customFormat="1" ht="15" x14ac:dyDescent="0.25">
      <c r="B54" s="52" t="s">
        <v>61</v>
      </c>
      <c r="C54" s="53">
        <f>C55+C56+C57+C58+C59+C60+C61</f>
        <v>505983.74</v>
      </c>
      <c r="D54" s="81">
        <f>D56+D57+D58+D59+D60+D61+D55</f>
        <v>121989.91</v>
      </c>
      <c r="E54" s="53">
        <f>E56+E57+E58+E59+E60+E61+E55</f>
        <v>7511.4</v>
      </c>
      <c r="F54" s="103">
        <f>F56+F57+F58+F59+F60+F61+F55</f>
        <v>76990.63</v>
      </c>
      <c r="G54" s="650">
        <f>G56+G57+G58+G59+G60+G61+G55</f>
        <v>2624511.11</v>
      </c>
      <c r="H54" s="1"/>
      <c r="I54" s="1"/>
    </row>
    <row r="55" spans="2:10" customFormat="1" ht="15" x14ac:dyDescent="0.25">
      <c r="B55" s="55" t="s">
        <v>78</v>
      </c>
      <c r="C55" s="56">
        <v>0</v>
      </c>
      <c r="D55" s="82">
        <v>0</v>
      </c>
      <c r="E55" s="56">
        <v>0</v>
      </c>
      <c r="F55" s="105">
        <v>97.9</v>
      </c>
      <c r="G55" s="646">
        <f>F55+J36+I36+H36+G36+F36+E55</f>
        <v>35088.97</v>
      </c>
      <c r="H55" s="1"/>
      <c r="I55" s="1"/>
    </row>
    <row r="56" spans="2:10" customFormat="1" ht="15" x14ac:dyDescent="0.25">
      <c r="B56" s="55" t="s">
        <v>62</v>
      </c>
      <c r="C56" s="56">
        <v>0</v>
      </c>
      <c r="D56" s="82">
        <v>1549.36</v>
      </c>
      <c r="E56" s="56">
        <v>5156.78</v>
      </c>
      <c r="F56" s="105">
        <v>6856.19</v>
      </c>
      <c r="G56" s="646">
        <f t="shared" ref="G56:G61" si="5">F56+E56+D56+C56+G35+F35+E35+D35+C35+G20+F20+D20+E20+C20</f>
        <v>971141.17999999993</v>
      </c>
      <c r="H56" s="1"/>
      <c r="I56" s="1"/>
    </row>
    <row r="57" spans="2:10" customFormat="1" ht="15" x14ac:dyDescent="0.25">
      <c r="B57" s="55" t="s">
        <v>63</v>
      </c>
      <c r="C57" s="56">
        <v>88295.59</v>
      </c>
      <c r="D57" s="82">
        <f>430.8+8803.08</f>
        <v>9233.8799999999992</v>
      </c>
      <c r="E57" s="56">
        <v>1620.86</v>
      </c>
      <c r="F57" s="105">
        <v>13435.04</v>
      </c>
      <c r="G57" s="646">
        <f t="shared" si="5"/>
        <v>277460.37</v>
      </c>
      <c r="H57" s="1"/>
      <c r="I57" s="1"/>
    </row>
    <row r="58" spans="2:10" customFormat="1" ht="15" x14ac:dyDescent="0.25">
      <c r="B58" s="55" t="s">
        <v>64</v>
      </c>
      <c r="C58" s="56">
        <v>24463.01</v>
      </c>
      <c r="D58" s="82">
        <v>3673.62</v>
      </c>
      <c r="E58" s="56">
        <v>0</v>
      </c>
      <c r="F58" s="105">
        <v>13778.03</v>
      </c>
      <c r="G58" s="646">
        <f t="shared" si="5"/>
        <v>57520.910000000011</v>
      </c>
      <c r="H58" s="1"/>
      <c r="I58" s="1"/>
    </row>
    <row r="59" spans="2:10" customFormat="1" ht="15" x14ac:dyDescent="0.25">
      <c r="B59" s="55" t="s">
        <v>65</v>
      </c>
      <c r="C59" s="56">
        <v>374695.51</v>
      </c>
      <c r="D59" s="82">
        <v>20829.11</v>
      </c>
      <c r="E59" s="56">
        <v>534</v>
      </c>
      <c r="F59" s="105">
        <v>2356.8000000000002</v>
      </c>
      <c r="G59" s="646">
        <f t="shared" si="5"/>
        <v>978822.99000000011</v>
      </c>
      <c r="H59" s="1"/>
      <c r="I59" s="1"/>
    </row>
    <row r="60" spans="2:10" customFormat="1" ht="15" x14ac:dyDescent="0.25">
      <c r="B60" s="55" t="s">
        <v>66</v>
      </c>
      <c r="C60" s="56">
        <v>0</v>
      </c>
      <c r="D60" s="82">
        <v>0</v>
      </c>
      <c r="E60" s="56">
        <v>0</v>
      </c>
      <c r="F60" s="105">
        <v>0</v>
      </c>
      <c r="G60" s="646">
        <f t="shared" si="5"/>
        <v>2371.1</v>
      </c>
      <c r="H60" s="1"/>
      <c r="I60" s="1"/>
    </row>
    <row r="61" spans="2:10" customFormat="1" ht="15" x14ac:dyDescent="0.25">
      <c r="B61" s="55" t="s">
        <v>67</v>
      </c>
      <c r="C61" s="56">
        <v>18529.63</v>
      </c>
      <c r="D61" s="82">
        <v>86703.94</v>
      </c>
      <c r="E61" s="56">
        <v>199.76</v>
      </c>
      <c r="F61" s="105">
        <v>40466.67</v>
      </c>
      <c r="G61" s="646">
        <f t="shared" si="5"/>
        <v>302105.59000000003</v>
      </c>
      <c r="H61" s="1"/>
      <c r="I61" s="1"/>
    </row>
    <row r="62" spans="2:10" customFormat="1" ht="15" x14ac:dyDescent="0.25">
      <c r="B62" s="52" t="s">
        <v>68</v>
      </c>
      <c r="C62" s="53">
        <v>594.54</v>
      </c>
      <c r="D62" s="81">
        <v>637.58000000000004</v>
      </c>
      <c r="E62" s="53">
        <v>0</v>
      </c>
      <c r="F62" s="103">
        <v>1093.93</v>
      </c>
      <c r="G62" s="649">
        <f>F62+E62+D62+C62+G41+F41+E41+D41+C41+G26+F26+E26+D26+C26</f>
        <v>4739.96</v>
      </c>
      <c r="H62" s="1"/>
      <c r="I62" s="1"/>
    </row>
    <row r="63" spans="2:10" s="74" customFormat="1" ht="6.75" customHeight="1" x14ac:dyDescent="0.25">
      <c r="B63" s="75"/>
      <c r="C63" s="83"/>
      <c r="D63" s="83"/>
      <c r="E63" s="83"/>
      <c r="F63" s="642"/>
      <c r="G63" s="647"/>
    </row>
    <row r="64" spans="2:10" customFormat="1" ht="15.75" thickBot="1" x14ac:dyDescent="0.3">
      <c r="B64" s="63" t="s">
        <v>69</v>
      </c>
      <c r="C64" s="64">
        <f>C52+C53+C54+C62</f>
        <v>714546.04</v>
      </c>
      <c r="D64" s="64">
        <f>D52+D53+D54+D62</f>
        <v>232388.47</v>
      </c>
      <c r="E64" s="64">
        <f>E52+E53+E54+E62</f>
        <v>7511.4</v>
      </c>
      <c r="F64" s="643">
        <f>F52+F53+F54+F62</f>
        <v>361166.58</v>
      </c>
      <c r="G64" s="648">
        <f>F64+E64+D64+C64+G43+F43+E43+D43+C43+G28+F28+E28+D28+C28</f>
        <v>3792576.8200000008</v>
      </c>
      <c r="H64" s="1"/>
      <c r="I64" s="1"/>
    </row>
    <row r="65" spans="2:10" s="67" customFormat="1" ht="30.75" thickBot="1" x14ac:dyDescent="0.3">
      <c r="B65" s="68" t="s">
        <v>70</v>
      </c>
      <c r="C65" s="69">
        <v>45312</v>
      </c>
      <c r="D65" s="69">
        <v>0</v>
      </c>
      <c r="E65" s="69">
        <v>0</v>
      </c>
      <c r="F65" s="644">
        <v>5000</v>
      </c>
      <c r="G65" s="648">
        <f>F65+E65+D65+C65+G44+F44+E44+D44+C44+G29+F29+E29+D29+C29</f>
        <v>108241.92000000001</v>
      </c>
    </row>
    <row r="66" spans="2:10" s="357" customFormat="1" ht="1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s="357" customFormat="1" ht="15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customFormat="1" ht="15" x14ac:dyDescent="0.25">
      <c r="B68" s="1"/>
      <c r="C68" s="1"/>
      <c r="D68" s="1"/>
      <c r="E68" s="1"/>
      <c r="F68" s="1"/>
      <c r="G68" s="1"/>
      <c r="H68" s="1"/>
      <c r="I68" s="1"/>
      <c r="J68" s="1"/>
    </row>
  </sheetData>
  <mergeCells count="6">
    <mergeCell ref="B9:D9"/>
    <mergeCell ref="B2:H2"/>
    <mergeCell ref="B5:D5"/>
    <mergeCell ref="B6:D6"/>
    <mergeCell ref="B7:D7"/>
    <mergeCell ref="B8:D8"/>
  </mergeCells>
  <pageMargins left="0.65000000000000013" right="0.18000000000000002" top="0.55118110236220452" bottom="0.31496062992125951" header="0.511811023622047" footer="0.27559055118110198"/>
  <pageSetup paperSize="9" scale="90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B2:H50"/>
  <sheetViews>
    <sheetView workbookViewId="0">
      <selection activeCell="M32" sqref="M32"/>
    </sheetView>
  </sheetViews>
  <sheetFormatPr defaultRowHeight="12.75" x14ac:dyDescent="0.2"/>
  <cols>
    <col min="1" max="1" width="4" style="27" customWidth="1"/>
    <col min="2" max="2" width="6.42578125" style="27" customWidth="1"/>
    <col min="3" max="3" width="33.7109375" style="27" customWidth="1"/>
    <col min="4" max="4" width="16.140625" style="27" customWidth="1"/>
    <col min="5" max="5" width="14.140625" style="27" customWidth="1"/>
    <col min="6" max="6" width="13.5703125" style="27" customWidth="1"/>
    <col min="7" max="7" width="9.140625" style="27" customWidth="1"/>
    <col min="8" max="16384" width="9.140625" style="27"/>
  </cols>
  <sheetData>
    <row r="2" spans="2:8" x14ac:dyDescent="0.2">
      <c r="D2" s="124"/>
      <c r="E2" s="124"/>
      <c r="F2" s="124"/>
    </row>
    <row r="3" spans="2:8" x14ac:dyDescent="0.2">
      <c r="F3" s="111" t="s">
        <v>406</v>
      </c>
    </row>
    <row r="4" spans="2:8" ht="42" customHeight="1" x14ac:dyDescent="0.2">
      <c r="B4" s="921" t="s">
        <v>611</v>
      </c>
      <c r="C4" s="921"/>
      <c r="D4" s="921"/>
      <c r="E4" s="921"/>
      <c r="F4" s="921"/>
      <c r="G4" s="85"/>
      <c r="H4" s="85"/>
    </row>
    <row r="5" spans="2:8" customFormat="1" ht="15.75" thickBot="1" x14ac:dyDescent="0.3">
      <c r="B5" s="27"/>
      <c r="C5" s="27"/>
      <c r="D5" s="27"/>
      <c r="E5" s="27"/>
      <c r="F5" s="27"/>
      <c r="G5" s="27"/>
    </row>
    <row r="6" spans="2:8" customFormat="1" ht="30" customHeight="1" x14ac:dyDescent="0.25">
      <c r="B6" s="922"/>
      <c r="C6" s="922"/>
      <c r="D6" s="4" t="s">
        <v>309</v>
      </c>
      <c r="E6" s="4" t="s">
        <v>310</v>
      </c>
      <c r="F6" s="296" t="s">
        <v>311</v>
      </c>
      <c r="G6" s="27"/>
    </row>
    <row r="7" spans="2:8" s="118" customFormat="1" ht="20.25" customHeight="1" thickBot="1" x14ac:dyDescent="0.3">
      <c r="B7" s="297"/>
      <c r="C7" s="298" t="s">
        <v>312</v>
      </c>
      <c r="D7" s="299">
        <f>D8+D9+D10+D18+D19</f>
        <v>48673373</v>
      </c>
      <c r="E7" s="299">
        <f>E8+E9+E10+E18+E19</f>
        <v>49991609</v>
      </c>
      <c r="F7" s="300">
        <f>F8+F9+F10+F18+F19</f>
        <v>43276325.289999999</v>
      </c>
    </row>
    <row r="8" spans="2:8" customFormat="1" ht="26.25" thickTop="1" x14ac:dyDescent="0.25">
      <c r="B8" s="301">
        <v>610</v>
      </c>
      <c r="C8" s="302" t="s">
        <v>407</v>
      </c>
      <c r="D8" s="260">
        <v>19182008</v>
      </c>
      <c r="E8" s="260">
        <v>19671747.870000001</v>
      </c>
      <c r="F8" s="261">
        <v>18095727.18</v>
      </c>
      <c r="G8" s="27"/>
    </row>
    <row r="9" spans="2:8" customFormat="1" ht="15" x14ac:dyDescent="0.25">
      <c r="B9" s="175">
        <v>620</v>
      </c>
      <c r="C9" s="284" t="s">
        <v>408</v>
      </c>
      <c r="D9" s="164">
        <v>7130587</v>
      </c>
      <c r="E9" s="164">
        <v>7064957.1299999999</v>
      </c>
      <c r="F9" s="176">
        <v>6384177.2999999998</v>
      </c>
      <c r="G9" s="27"/>
    </row>
    <row r="10" spans="2:8" customFormat="1" ht="15" x14ac:dyDescent="0.25">
      <c r="B10" s="175">
        <v>630</v>
      </c>
      <c r="C10" s="284" t="s">
        <v>409</v>
      </c>
      <c r="D10" s="303">
        <f>D11+D12+D13+D14+D15+D16+D17</f>
        <v>17413806</v>
      </c>
      <c r="E10" s="303">
        <f>E11+E12+E13+E14+E15+E16+E17</f>
        <v>18195801</v>
      </c>
      <c r="F10" s="303">
        <f>F11+F12+F13+F14+F15+F16+F17</f>
        <v>13903253.66</v>
      </c>
      <c r="G10" s="27"/>
    </row>
    <row r="11" spans="2:8" customFormat="1" ht="15" x14ac:dyDescent="0.25">
      <c r="B11" s="177">
        <v>631</v>
      </c>
      <c r="C11" s="288" t="s">
        <v>410</v>
      </c>
      <c r="D11" s="268">
        <v>24619</v>
      </c>
      <c r="E11" s="268">
        <v>24525</v>
      </c>
      <c r="F11" s="115">
        <v>6575.65</v>
      </c>
      <c r="G11" s="27"/>
    </row>
    <row r="12" spans="2:8" customFormat="1" ht="15" x14ac:dyDescent="0.25">
      <c r="B12" s="177">
        <v>632</v>
      </c>
      <c r="C12" s="288" t="s">
        <v>411</v>
      </c>
      <c r="D12" s="268">
        <v>3213180</v>
      </c>
      <c r="E12" s="268">
        <v>3194569</v>
      </c>
      <c r="F12" s="115">
        <v>2753976.62</v>
      </c>
      <c r="G12" s="27"/>
    </row>
    <row r="13" spans="2:8" customFormat="1" ht="15" x14ac:dyDescent="0.25">
      <c r="B13" s="177">
        <v>633</v>
      </c>
      <c r="C13" s="288" t="s">
        <v>412</v>
      </c>
      <c r="D13" s="268">
        <v>2529140</v>
      </c>
      <c r="E13" s="268">
        <v>3092567</v>
      </c>
      <c r="F13" s="115">
        <v>2198031.59</v>
      </c>
      <c r="G13" s="27"/>
    </row>
    <row r="14" spans="2:8" customFormat="1" ht="15" x14ac:dyDescent="0.25">
      <c r="B14" s="177">
        <v>634</v>
      </c>
      <c r="C14" s="288" t="s">
        <v>413</v>
      </c>
      <c r="D14" s="268">
        <v>193360</v>
      </c>
      <c r="E14" s="268">
        <v>190579</v>
      </c>
      <c r="F14" s="115">
        <v>137199.24</v>
      </c>
      <c r="G14" s="27"/>
    </row>
    <row r="15" spans="2:8" customFormat="1" ht="15" x14ac:dyDescent="0.25">
      <c r="B15" s="177">
        <v>635</v>
      </c>
      <c r="C15" s="288" t="s">
        <v>414</v>
      </c>
      <c r="D15" s="268">
        <v>4122282</v>
      </c>
      <c r="E15" s="268">
        <v>3979818</v>
      </c>
      <c r="F15" s="115">
        <v>2622864.0699999998</v>
      </c>
      <c r="G15" s="27"/>
    </row>
    <row r="16" spans="2:8" customFormat="1" ht="15" x14ac:dyDescent="0.25">
      <c r="B16" s="177">
        <v>636</v>
      </c>
      <c r="C16" s="288" t="s">
        <v>415</v>
      </c>
      <c r="D16" s="268">
        <v>648360</v>
      </c>
      <c r="E16" s="268">
        <v>642968</v>
      </c>
      <c r="F16" s="115">
        <v>556430.43999999994</v>
      </c>
      <c r="G16" s="27"/>
    </row>
    <row r="17" spans="2:7" customFormat="1" ht="15" x14ac:dyDescent="0.25">
      <c r="B17" s="177">
        <v>637</v>
      </c>
      <c r="C17" s="288" t="s">
        <v>416</v>
      </c>
      <c r="D17" s="268">
        <v>6682865</v>
      </c>
      <c r="E17" s="268">
        <v>7070775</v>
      </c>
      <c r="F17" s="115">
        <v>5628176.0499999998</v>
      </c>
      <c r="G17" s="27"/>
    </row>
    <row r="18" spans="2:7" customFormat="1" ht="15" x14ac:dyDescent="0.25">
      <c r="B18" s="175">
        <v>640</v>
      </c>
      <c r="C18" s="284" t="s">
        <v>417</v>
      </c>
      <c r="D18" s="303">
        <v>4766972</v>
      </c>
      <c r="E18" s="303">
        <v>4944438</v>
      </c>
      <c r="F18" s="304">
        <v>4788454.75</v>
      </c>
      <c r="G18" s="27"/>
    </row>
    <row r="19" spans="2:7" customFormat="1" ht="15" x14ac:dyDescent="0.25">
      <c r="B19" s="175">
        <v>650</v>
      </c>
      <c r="C19" s="284" t="s">
        <v>418</v>
      </c>
      <c r="D19" s="303">
        <v>180000</v>
      </c>
      <c r="E19" s="303">
        <v>114665</v>
      </c>
      <c r="F19" s="304">
        <v>104712.4</v>
      </c>
      <c r="G19" s="27"/>
    </row>
    <row r="20" spans="2:7" customFormat="1" ht="9" customHeight="1" x14ac:dyDescent="0.25">
      <c r="B20" s="177"/>
      <c r="C20" s="288"/>
      <c r="D20" s="268"/>
      <c r="E20" s="268"/>
      <c r="F20" s="115"/>
      <c r="G20" s="27"/>
    </row>
    <row r="21" spans="2:7" s="118" customFormat="1" ht="24.75" customHeight="1" x14ac:dyDescent="0.25">
      <c r="B21" s="305"/>
      <c r="C21" s="306" t="s">
        <v>401</v>
      </c>
      <c r="D21" s="307">
        <f>D22+D31</f>
        <v>11351187</v>
      </c>
      <c r="E21" s="307">
        <f t="shared" ref="E21:F21" si="0">E22+E31</f>
        <v>14588963</v>
      </c>
      <c r="F21" s="307">
        <f t="shared" si="0"/>
        <v>6696444.79</v>
      </c>
    </row>
    <row r="22" spans="2:7" customFormat="1" ht="25.5" customHeight="1" x14ac:dyDescent="0.25">
      <c r="B22" s="175">
        <v>710</v>
      </c>
      <c r="C22" s="266" t="s">
        <v>419</v>
      </c>
      <c r="D22" s="303">
        <f>D23+D24+D25+D26+D27+D28+D30+D29</f>
        <v>11273187</v>
      </c>
      <c r="E22" s="303">
        <f t="shared" ref="E22:F22" si="1">E23+E24+E25+E26+E27+E28+E30+E29</f>
        <v>14573963</v>
      </c>
      <c r="F22" s="303">
        <f t="shared" si="1"/>
        <v>6681444.79</v>
      </c>
      <c r="G22" s="27"/>
    </row>
    <row r="23" spans="2:7" customFormat="1" ht="15" x14ac:dyDescent="0.25">
      <c r="B23" s="308">
        <v>711</v>
      </c>
      <c r="C23" s="309" t="s">
        <v>420</v>
      </c>
      <c r="D23" s="310">
        <v>931810</v>
      </c>
      <c r="E23" s="310">
        <v>948310</v>
      </c>
      <c r="F23" s="311">
        <v>553243.80000000005</v>
      </c>
      <c r="G23" s="27"/>
    </row>
    <row r="24" spans="2:7" customFormat="1" ht="15" x14ac:dyDescent="0.25">
      <c r="B24" s="308">
        <v>712</v>
      </c>
      <c r="C24" s="309" t="s">
        <v>421</v>
      </c>
      <c r="D24" s="310">
        <v>130101</v>
      </c>
      <c r="E24" s="310">
        <v>586101</v>
      </c>
      <c r="F24" s="311">
        <v>456014</v>
      </c>
      <c r="G24" s="27"/>
    </row>
    <row r="25" spans="2:7" customFormat="1" ht="25.5" x14ac:dyDescent="0.25">
      <c r="B25" s="308">
        <v>713</v>
      </c>
      <c r="C25" s="309" t="s">
        <v>422</v>
      </c>
      <c r="D25" s="310">
        <v>130800</v>
      </c>
      <c r="E25" s="310">
        <v>410712</v>
      </c>
      <c r="F25" s="311">
        <v>79425.679999999993</v>
      </c>
      <c r="G25" s="27"/>
    </row>
    <row r="26" spans="2:7" customFormat="1" ht="15" x14ac:dyDescent="0.25">
      <c r="B26" s="308">
        <v>714</v>
      </c>
      <c r="C26" s="309" t="s">
        <v>423</v>
      </c>
      <c r="D26" s="310">
        <v>63650</v>
      </c>
      <c r="E26" s="310">
        <v>100320</v>
      </c>
      <c r="F26" s="311">
        <v>99012</v>
      </c>
      <c r="G26" s="27"/>
    </row>
    <row r="27" spans="2:7" customFormat="1" ht="15" x14ac:dyDescent="0.25">
      <c r="B27" s="308">
        <v>716</v>
      </c>
      <c r="C27" s="309" t="s">
        <v>424</v>
      </c>
      <c r="D27" s="310">
        <v>1238106</v>
      </c>
      <c r="E27" s="310">
        <v>876610</v>
      </c>
      <c r="F27" s="311">
        <v>418189.56</v>
      </c>
      <c r="G27" s="27"/>
    </row>
    <row r="28" spans="2:7" customFormat="1" ht="25.5" x14ac:dyDescent="0.25">
      <c r="B28" s="308">
        <v>717</v>
      </c>
      <c r="C28" s="309" t="s">
        <v>425</v>
      </c>
      <c r="D28" s="310">
        <v>8758720</v>
      </c>
      <c r="E28" s="310">
        <v>11617052</v>
      </c>
      <c r="F28" s="311">
        <v>5042151.82</v>
      </c>
      <c r="G28" s="27"/>
    </row>
    <row r="29" spans="2:7" s="490" customFormat="1" ht="15" x14ac:dyDescent="0.25">
      <c r="B29" s="308">
        <v>718</v>
      </c>
      <c r="C29" s="309" t="s">
        <v>1053</v>
      </c>
      <c r="D29" s="310">
        <v>20000</v>
      </c>
      <c r="E29" s="310">
        <v>20000</v>
      </c>
      <c r="F29" s="311">
        <v>18550.259999999998</v>
      </c>
      <c r="G29" s="385"/>
    </row>
    <row r="30" spans="2:7" s="391" customFormat="1" ht="15" x14ac:dyDescent="0.25">
      <c r="B30" s="308">
        <v>719</v>
      </c>
      <c r="C30" s="309" t="s">
        <v>1054</v>
      </c>
      <c r="D30" s="310">
        <v>0</v>
      </c>
      <c r="E30" s="310">
        <v>14858</v>
      </c>
      <c r="F30" s="311">
        <v>14857.67</v>
      </c>
      <c r="G30" s="385"/>
    </row>
    <row r="31" spans="2:7" customFormat="1" ht="15.75" thickBot="1" x14ac:dyDescent="0.3">
      <c r="B31" s="312">
        <v>720</v>
      </c>
      <c r="C31" s="313" t="s">
        <v>426</v>
      </c>
      <c r="D31" s="314">
        <v>78000</v>
      </c>
      <c r="E31" s="314">
        <v>15000</v>
      </c>
      <c r="F31" s="315">
        <v>15000</v>
      </c>
    </row>
    <row r="32" spans="2:7" customFormat="1" ht="15" x14ac:dyDescent="0.25">
      <c r="B32" s="27"/>
      <c r="C32" s="27"/>
      <c r="D32" s="27"/>
      <c r="E32" s="27"/>
      <c r="F32" s="124"/>
    </row>
    <row r="33" spans="2:6" customFormat="1" ht="15" x14ac:dyDescent="0.25">
      <c r="B33" s="27"/>
      <c r="C33" s="27"/>
      <c r="D33" s="27"/>
      <c r="E33" s="27"/>
      <c r="F33" s="316"/>
    </row>
    <row r="34" spans="2:6" customFormat="1" ht="15" x14ac:dyDescent="0.25">
      <c r="B34" s="27"/>
      <c r="C34" s="27"/>
      <c r="D34" s="27"/>
      <c r="E34" s="27"/>
      <c r="F34" s="316"/>
    </row>
    <row r="35" spans="2:6" customFormat="1" ht="15" x14ac:dyDescent="0.25">
      <c r="B35" s="27"/>
      <c r="C35" s="27"/>
      <c r="D35" s="27"/>
      <c r="E35" s="27"/>
      <c r="F35" s="249"/>
    </row>
    <row r="36" spans="2:6" customFormat="1" ht="15" x14ac:dyDescent="0.25">
      <c r="B36" s="27"/>
      <c r="C36" s="27"/>
      <c r="D36" s="27"/>
      <c r="E36" s="27"/>
      <c r="F36" s="249"/>
    </row>
    <row r="37" spans="2:6" customFormat="1" ht="15" x14ac:dyDescent="0.25">
      <c r="B37" s="27"/>
      <c r="C37" s="27"/>
      <c r="D37" s="27"/>
      <c r="E37" s="27"/>
      <c r="F37" s="249"/>
    </row>
    <row r="38" spans="2:6" customFormat="1" ht="15" x14ac:dyDescent="0.25">
      <c r="B38" s="27"/>
      <c r="C38" s="27"/>
      <c r="D38" s="27"/>
      <c r="E38" s="27"/>
      <c r="F38" s="249"/>
    </row>
    <row r="39" spans="2:6" customFormat="1" ht="15" x14ac:dyDescent="0.25">
      <c r="B39" s="27"/>
      <c r="C39" s="27"/>
      <c r="D39" s="27"/>
      <c r="E39" s="27"/>
      <c r="F39" s="249"/>
    </row>
    <row r="40" spans="2:6" customFormat="1" ht="15" x14ac:dyDescent="0.25">
      <c r="B40" s="27"/>
      <c r="C40" s="27"/>
      <c r="D40" s="27"/>
      <c r="E40" s="27"/>
      <c r="F40" s="66"/>
    </row>
    <row r="50" spans="2:6" customFormat="1" ht="15" x14ac:dyDescent="0.25">
      <c r="B50" s="27"/>
      <c r="C50" s="27"/>
      <c r="D50" s="27"/>
      <c r="E50" s="27"/>
      <c r="F50" s="40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B2:K24"/>
  <sheetViews>
    <sheetView workbookViewId="0"/>
  </sheetViews>
  <sheetFormatPr defaultRowHeight="12.75" x14ac:dyDescent="0.2"/>
  <cols>
    <col min="1" max="1" width="9.140625" style="27" customWidth="1"/>
    <col min="2" max="2" width="9.85546875" style="27" customWidth="1"/>
    <col min="3" max="3" width="41.7109375" style="27" customWidth="1"/>
    <col min="4" max="4" width="13.5703125" style="27" customWidth="1"/>
    <col min="5" max="5" width="12.7109375" style="27" customWidth="1"/>
    <col min="6" max="6" width="12.28515625" style="27" customWidth="1"/>
    <col min="7" max="7" width="9.140625" style="27" customWidth="1"/>
    <col min="8" max="16384" width="9.140625" style="27"/>
  </cols>
  <sheetData>
    <row r="2" spans="2:11" x14ac:dyDescent="0.2">
      <c r="F2" s="111" t="s">
        <v>427</v>
      </c>
    </row>
    <row r="4" spans="2:11" ht="42.75" customHeight="1" x14ac:dyDescent="0.2">
      <c r="B4" s="921" t="s">
        <v>612</v>
      </c>
      <c r="C4" s="921"/>
      <c r="D4" s="921"/>
      <c r="E4" s="921"/>
      <c r="F4" s="921"/>
      <c r="G4" s="317"/>
      <c r="H4" s="317"/>
    </row>
    <row r="5" spans="2:11" ht="13.5" thickBot="1" x14ac:dyDescent="0.25"/>
    <row r="6" spans="2:11" ht="36" customHeight="1" x14ac:dyDescent="0.2">
      <c r="B6" s="916" t="s">
        <v>0</v>
      </c>
      <c r="C6" s="916"/>
      <c r="D6" s="254" t="s">
        <v>309</v>
      </c>
      <c r="E6" s="254" t="s">
        <v>310</v>
      </c>
      <c r="F6" s="255" t="s">
        <v>311</v>
      </c>
    </row>
    <row r="7" spans="2:11" ht="18" customHeight="1" x14ac:dyDescent="0.2">
      <c r="B7" s="305"/>
      <c r="C7" s="318" t="s">
        <v>428</v>
      </c>
      <c r="D7" s="307">
        <f>SUM(D8:D12)</f>
        <v>5336647</v>
      </c>
      <c r="E7" s="307">
        <f t="shared" ref="E7:F7" si="0">SUM(E8:E12)</f>
        <v>9895416</v>
      </c>
      <c r="F7" s="811">
        <f t="shared" si="0"/>
        <v>9895507.75</v>
      </c>
      <c r="J7" s="124"/>
    </row>
    <row r="8" spans="2:11" x14ac:dyDescent="0.2">
      <c r="B8" s="319">
        <v>455</v>
      </c>
      <c r="C8" s="264" t="s">
        <v>429</v>
      </c>
      <c r="D8" s="268">
        <v>0</v>
      </c>
      <c r="E8" s="268">
        <v>0</v>
      </c>
      <c r="F8" s="115">
        <v>92.46</v>
      </c>
    </row>
    <row r="9" spans="2:11" s="385" customFormat="1" x14ac:dyDescent="0.2">
      <c r="B9" s="319">
        <v>454</v>
      </c>
      <c r="C9" s="264" t="s">
        <v>1057</v>
      </c>
      <c r="D9" s="268">
        <v>0</v>
      </c>
      <c r="E9" s="268">
        <v>3713</v>
      </c>
      <c r="F9" s="115">
        <v>3712.7</v>
      </c>
    </row>
    <row r="10" spans="2:11" s="118" customFormat="1" x14ac:dyDescent="0.25">
      <c r="B10" s="177">
        <v>453</v>
      </c>
      <c r="C10" s="197" t="s">
        <v>591</v>
      </c>
      <c r="D10" s="268">
        <v>3736647</v>
      </c>
      <c r="E10" s="268">
        <v>7011183</v>
      </c>
      <c r="F10" s="115">
        <v>7011182.5899999999</v>
      </c>
    </row>
    <row r="11" spans="2:11" customFormat="1" ht="15" x14ac:dyDescent="0.25">
      <c r="B11" s="319">
        <v>513</v>
      </c>
      <c r="C11" s="197" t="s">
        <v>1055</v>
      </c>
      <c r="D11" s="268">
        <f>4100000-2500000</f>
        <v>1600000</v>
      </c>
      <c r="E11" s="268">
        <f>4100000-2500000</f>
        <v>1600000</v>
      </c>
      <c r="F11" s="115">
        <v>1600000</v>
      </c>
      <c r="G11" s="27"/>
      <c r="H11" s="27"/>
      <c r="I11" s="27"/>
      <c r="J11" s="27"/>
      <c r="K11" s="27"/>
    </row>
    <row r="12" spans="2:11" s="490" customFormat="1" ht="25.5" x14ac:dyDescent="0.25">
      <c r="B12" s="319">
        <v>514</v>
      </c>
      <c r="C12" s="197" t="s">
        <v>1056</v>
      </c>
      <c r="D12" s="268">
        <v>0</v>
      </c>
      <c r="E12" s="268">
        <v>1280520</v>
      </c>
      <c r="F12" s="115">
        <v>1280520</v>
      </c>
      <c r="G12" s="385"/>
      <c r="H12" s="385"/>
      <c r="I12" s="385"/>
      <c r="J12" s="385"/>
      <c r="K12" s="385"/>
    </row>
    <row r="13" spans="2:11" customFormat="1" ht="18" customHeight="1" x14ac:dyDescent="0.25">
      <c r="B13" s="305"/>
      <c r="C13" s="318" t="s">
        <v>430</v>
      </c>
      <c r="D13" s="307">
        <f>SUM(D14:D15)</f>
        <v>2139000</v>
      </c>
      <c r="E13" s="307">
        <f>SUM(E14:E15)</f>
        <v>2139000</v>
      </c>
      <c r="F13" s="811">
        <f>SUM(F14:F15)</f>
        <v>2126388.9</v>
      </c>
      <c r="G13" s="27"/>
      <c r="H13" s="27"/>
      <c r="I13" s="27"/>
      <c r="J13" s="27"/>
      <c r="K13" s="27"/>
    </row>
    <row r="14" spans="2:11" customFormat="1" ht="25.5" x14ac:dyDescent="0.25">
      <c r="B14" s="319">
        <v>821005</v>
      </c>
      <c r="C14" s="147" t="s">
        <v>431</v>
      </c>
      <c r="D14" s="310">
        <v>2031000</v>
      </c>
      <c r="E14" s="310">
        <v>2031000</v>
      </c>
      <c r="F14" s="311">
        <v>2030933.3</v>
      </c>
      <c r="G14" s="27"/>
      <c r="H14" s="27"/>
      <c r="I14" s="27"/>
      <c r="J14" s="27"/>
      <c r="K14" s="27"/>
    </row>
    <row r="15" spans="2:11" customFormat="1" ht="25.5" customHeight="1" thickBot="1" x14ac:dyDescent="0.3">
      <c r="B15" s="320">
        <v>821007</v>
      </c>
      <c r="C15" s="271" t="s">
        <v>432</v>
      </c>
      <c r="D15" s="314">
        <v>108000</v>
      </c>
      <c r="E15" s="314">
        <v>108000</v>
      </c>
      <c r="F15" s="315">
        <v>95455.6</v>
      </c>
      <c r="G15" s="27"/>
      <c r="H15" s="27"/>
      <c r="I15" s="27"/>
      <c r="J15" s="27"/>
      <c r="K15" s="27"/>
    </row>
    <row r="24" spans="2:11" customFormat="1" ht="15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40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A1:L32"/>
  <sheetViews>
    <sheetView workbookViewId="0"/>
  </sheetViews>
  <sheetFormatPr defaultColWidth="9.140625" defaultRowHeight="14.25" x14ac:dyDescent="0.2"/>
  <cols>
    <col min="1" max="1" width="4" style="1" customWidth="1"/>
    <col min="2" max="2" width="21.140625" style="1" customWidth="1"/>
    <col min="3" max="3" width="11.85546875" style="1" customWidth="1"/>
    <col min="4" max="4" width="11.5703125" style="1" customWidth="1"/>
    <col min="5" max="5" width="9.140625" style="1" customWidth="1"/>
    <col min="6" max="6" width="13.28515625" style="1" customWidth="1"/>
    <col min="7" max="7" width="13.42578125" style="1" customWidth="1"/>
    <col min="8" max="8" width="11.85546875" style="1" customWidth="1"/>
    <col min="9" max="9" width="14.42578125" style="1" customWidth="1"/>
    <col min="10" max="10" width="6.85546875" style="1" customWidth="1"/>
    <col min="11" max="11" width="4.7109375" style="1" customWidth="1"/>
    <col min="12" max="16384" width="9.140625" style="1"/>
  </cols>
  <sheetData>
    <row r="1" spans="1:12" s="391" customFormat="1" ht="15" x14ac:dyDescent="0.25">
      <c r="A1" s="497"/>
      <c r="B1" s="499"/>
      <c r="C1" s="499"/>
      <c r="D1" s="499"/>
      <c r="E1" s="499"/>
      <c r="F1" s="499"/>
      <c r="G1" s="499"/>
      <c r="H1" s="499"/>
      <c r="I1" s="499"/>
      <c r="J1" s="497"/>
      <c r="K1" s="497"/>
      <c r="L1" s="497"/>
    </row>
    <row r="2" spans="1:12" s="391" customFormat="1" ht="15" x14ac:dyDescent="0.25">
      <c r="A2" s="497"/>
      <c r="B2" s="499"/>
      <c r="C2" s="499"/>
      <c r="D2" s="499"/>
      <c r="E2" s="499"/>
      <c r="F2" s="499"/>
      <c r="G2" s="499"/>
      <c r="H2" s="499"/>
      <c r="I2" s="499" t="s">
        <v>433</v>
      </c>
      <c r="J2" s="497"/>
      <c r="K2" s="497"/>
      <c r="L2" s="497"/>
    </row>
    <row r="3" spans="1:12" s="391" customFormat="1" ht="18" x14ac:dyDescent="0.25">
      <c r="A3" s="497"/>
      <c r="B3" s="924" t="s">
        <v>813</v>
      </c>
      <c r="C3" s="924"/>
      <c r="D3" s="924"/>
      <c r="E3" s="924"/>
      <c r="F3" s="924"/>
      <c r="G3" s="924"/>
      <c r="H3" s="924"/>
      <c r="I3" s="924"/>
      <c r="J3" s="497"/>
      <c r="K3" s="497"/>
      <c r="L3" s="497"/>
    </row>
    <row r="4" spans="1:12" s="391" customFormat="1" ht="15" x14ac:dyDescent="0.25">
      <c r="A4" s="497"/>
      <c r="B4" s="499"/>
      <c r="C4" s="499"/>
      <c r="D4" s="499"/>
      <c r="E4" s="499"/>
      <c r="F4" s="499"/>
      <c r="G4" s="499"/>
      <c r="H4" s="499"/>
      <c r="I4" s="499"/>
      <c r="J4" s="497"/>
      <c r="K4" s="497"/>
      <c r="L4" s="497"/>
    </row>
    <row r="5" spans="1:12" s="391" customFormat="1" ht="15.75" thickBot="1" x14ac:dyDescent="0.3">
      <c r="A5" s="497"/>
      <c r="B5" s="499"/>
      <c r="C5" s="499"/>
      <c r="D5" s="499"/>
      <c r="E5" s="499"/>
      <c r="F5" s="499"/>
      <c r="G5" s="499"/>
      <c r="H5" s="499"/>
      <c r="I5" s="499"/>
      <c r="J5" s="497"/>
      <c r="K5" s="497"/>
      <c r="L5" s="497"/>
    </row>
    <row r="6" spans="1:12" s="391" customFormat="1" ht="15.75" customHeight="1" thickBot="1" x14ac:dyDescent="0.3">
      <c r="A6" s="497"/>
      <c r="B6" s="925"/>
      <c r="C6" s="926" t="s">
        <v>434</v>
      </c>
      <c r="D6" s="926" t="s">
        <v>435</v>
      </c>
      <c r="E6" s="926" t="s">
        <v>436</v>
      </c>
      <c r="F6" s="926" t="s">
        <v>437</v>
      </c>
      <c r="G6" s="926" t="s">
        <v>438</v>
      </c>
      <c r="H6" s="926" t="s">
        <v>439</v>
      </c>
      <c r="I6" s="927" t="s">
        <v>440</v>
      </c>
      <c r="J6" s="497"/>
      <c r="K6" s="497"/>
      <c r="L6" s="497"/>
    </row>
    <row r="7" spans="1:12" s="391" customFormat="1" ht="16.5" thickTop="1" thickBot="1" x14ac:dyDescent="0.3">
      <c r="A7" s="497"/>
      <c r="B7" s="925"/>
      <c r="C7" s="926"/>
      <c r="D7" s="926"/>
      <c r="E7" s="926"/>
      <c r="F7" s="926"/>
      <c r="G7" s="926"/>
      <c r="H7" s="926"/>
      <c r="I7" s="927"/>
      <c r="J7" s="497"/>
      <c r="K7" s="497"/>
      <c r="L7" s="497"/>
    </row>
    <row r="8" spans="1:12" s="391" customFormat="1" ht="16.5" thickTop="1" thickBot="1" x14ac:dyDescent="0.3">
      <c r="A8" s="497"/>
      <c r="B8" s="925"/>
      <c r="C8" s="926"/>
      <c r="D8" s="926"/>
      <c r="E8" s="926"/>
      <c r="F8" s="926"/>
      <c r="G8" s="926"/>
      <c r="H8" s="926"/>
      <c r="I8" s="927"/>
      <c r="J8" s="497"/>
      <c r="K8" s="497"/>
      <c r="L8" s="497"/>
    </row>
    <row r="9" spans="1:12" s="391" customFormat="1" ht="15.75" thickTop="1" x14ac:dyDescent="0.25">
      <c r="A9" s="497"/>
      <c r="B9" s="504" t="s">
        <v>441</v>
      </c>
      <c r="C9" s="505">
        <v>29.6</v>
      </c>
      <c r="D9" s="506">
        <v>1.65</v>
      </c>
      <c r="E9" s="506">
        <v>3.96</v>
      </c>
      <c r="F9" s="507">
        <v>7</v>
      </c>
      <c r="G9" s="507">
        <v>6</v>
      </c>
      <c r="H9" s="507">
        <v>7</v>
      </c>
      <c r="I9" s="508">
        <v>55.21</v>
      </c>
      <c r="J9" s="497"/>
      <c r="K9" s="497"/>
      <c r="L9" s="497"/>
    </row>
    <row r="10" spans="1:12" s="391" customFormat="1" ht="15" x14ac:dyDescent="0.25">
      <c r="A10" s="497"/>
      <c r="B10" s="509" t="s">
        <v>442</v>
      </c>
      <c r="C10" s="528">
        <v>43</v>
      </c>
      <c r="D10" s="529">
        <v>1</v>
      </c>
      <c r="E10" s="529">
        <v>0.5</v>
      </c>
      <c r="F10" s="530">
        <v>12</v>
      </c>
      <c r="G10" s="530">
        <v>8</v>
      </c>
      <c r="H10" s="530">
        <v>11</v>
      </c>
      <c r="I10" s="532">
        <v>75.5</v>
      </c>
      <c r="J10" s="497"/>
      <c r="K10" s="497"/>
      <c r="L10" s="497"/>
    </row>
    <row r="11" spans="1:12" s="391" customFormat="1" ht="15" x14ac:dyDescent="0.25">
      <c r="A11" s="497"/>
      <c r="B11" s="509" t="s">
        <v>443</v>
      </c>
      <c r="C11" s="510">
        <v>57</v>
      </c>
      <c r="D11" s="511">
        <v>1</v>
      </c>
      <c r="E11" s="511">
        <v>1</v>
      </c>
      <c r="F11" s="512">
        <v>13</v>
      </c>
      <c r="G11" s="512">
        <v>12</v>
      </c>
      <c r="H11" s="513">
        <v>0</v>
      </c>
      <c r="I11" s="508">
        <v>84</v>
      </c>
      <c r="J11" s="497"/>
      <c r="K11" s="497"/>
      <c r="L11" s="497"/>
    </row>
    <row r="12" spans="1:12" s="391" customFormat="1" ht="15" x14ac:dyDescent="0.25">
      <c r="A12" s="497"/>
      <c r="B12" s="509" t="s">
        <v>444</v>
      </c>
      <c r="C12" s="528">
        <v>30</v>
      </c>
      <c r="D12" s="529">
        <v>2</v>
      </c>
      <c r="E12" s="529">
        <v>1.3</v>
      </c>
      <c r="F12" s="530">
        <v>5.3</v>
      </c>
      <c r="G12" s="531">
        <v>12</v>
      </c>
      <c r="H12" s="531">
        <v>6</v>
      </c>
      <c r="I12" s="532">
        <v>56.599999999999994</v>
      </c>
      <c r="J12" s="497"/>
      <c r="K12" s="497"/>
      <c r="L12" s="497"/>
    </row>
    <row r="13" spans="1:12" s="391" customFormat="1" ht="15" x14ac:dyDescent="0.25">
      <c r="A13" s="497"/>
      <c r="B13" s="509" t="s">
        <v>445</v>
      </c>
      <c r="C13" s="510">
        <v>19.399999999999999</v>
      </c>
      <c r="D13" s="514">
        <v>1</v>
      </c>
      <c r="E13" s="514">
        <v>4.2</v>
      </c>
      <c r="F13" s="512">
        <v>5</v>
      </c>
      <c r="G13" s="513">
        <v>7</v>
      </c>
      <c r="H13" s="513">
        <v>7.4</v>
      </c>
      <c r="I13" s="508">
        <v>43.999999999999993</v>
      </c>
      <c r="J13" s="497"/>
      <c r="K13" s="497"/>
      <c r="L13" s="497"/>
    </row>
    <row r="14" spans="1:12" s="391" customFormat="1" ht="15" x14ac:dyDescent="0.25">
      <c r="A14" s="497"/>
      <c r="B14" s="509" t="s">
        <v>446</v>
      </c>
      <c r="C14" s="533">
        <v>47</v>
      </c>
      <c r="D14" s="534">
        <v>2</v>
      </c>
      <c r="E14" s="534">
        <v>3</v>
      </c>
      <c r="F14" s="530">
        <v>9</v>
      </c>
      <c r="G14" s="531">
        <v>11</v>
      </c>
      <c r="H14" s="531">
        <v>11</v>
      </c>
      <c r="I14" s="532">
        <v>83</v>
      </c>
      <c r="J14" s="497"/>
      <c r="K14" s="497"/>
      <c r="L14" s="497"/>
    </row>
    <row r="15" spans="1:12" s="391" customFormat="1" ht="15" x14ac:dyDescent="0.25">
      <c r="A15" s="497"/>
      <c r="B15" s="509" t="s">
        <v>447</v>
      </c>
      <c r="C15" s="516">
        <v>14.6</v>
      </c>
      <c r="D15" s="515">
        <v>1.43</v>
      </c>
      <c r="E15" s="515">
        <v>1</v>
      </c>
      <c r="F15" s="512">
        <v>3</v>
      </c>
      <c r="G15" s="513">
        <v>12</v>
      </c>
      <c r="H15" s="513">
        <v>6</v>
      </c>
      <c r="I15" s="508">
        <v>38.03</v>
      </c>
      <c r="J15" s="497"/>
      <c r="K15" s="497"/>
      <c r="L15" s="497"/>
    </row>
    <row r="16" spans="1:12" s="391" customFormat="1" ht="15" x14ac:dyDescent="0.25">
      <c r="A16" s="497"/>
      <c r="B16" s="509" t="s">
        <v>448</v>
      </c>
      <c r="C16" s="535">
        <v>47</v>
      </c>
      <c r="D16" s="534">
        <v>0</v>
      </c>
      <c r="E16" s="534">
        <v>4</v>
      </c>
      <c r="F16" s="530">
        <v>10</v>
      </c>
      <c r="G16" s="531">
        <v>12</v>
      </c>
      <c r="H16" s="531">
        <v>11</v>
      </c>
      <c r="I16" s="532">
        <v>84</v>
      </c>
      <c r="J16" s="497"/>
      <c r="K16" s="497"/>
      <c r="L16" s="497"/>
    </row>
    <row r="17" spans="1:12" s="391" customFormat="1" ht="15" x14ac:dyDescent="0.25">
      <c r="A17" s="497"/>
      <c r="B17" s="509" t="s">
        <v>449</v>
      </c>
      <c r="C17" s="510">
        <v>3.09</v>
      </c>
      <c r="D17" s="506">
        <v>0</v>
      </c>
      <c r="E17" s="506">
        <v>0</v>
      </c>
      <c r="F17" s="512">
        <v>1</v>
      </c>
      <c r="G17" s="513">
        <v>1</v>
      </c>
      <c r="H17" s="513">
        <v>0</v>
      </c>
      <c r="I17" s="508">
        <v>5.09</v>
      </c>
      <c r="J17" s="499"/>
      <c r="K17" s="499"/>
      <c r="L17" s="499"/>
    </row>
    <row r="18" spans="1:12" s="391" customFormat="1" ht="16.5" customHeight="1" x14ac:dyDescent="0.25">
      <c r="A18" s="497"/>
      <c r="B18" s="509" t="s">
        <v>450</v>
      </c>
      <c r="C18" s="510">
        <v>45.9</v>
      </c>
      <c r="D18" s="511">
        <v>0</v>
      </c>
      <c r="E18" s="511">
        <v>0</v>
      </c>
      <c r="F18" s="512">
        <v>0</v>
      </c>
      <c r="G18" s="513">
        <v>7.3</v>
      </c>
      <c r="H18" s="513">
        <v>0</v>
      </c>
      <c r="I18" s="508">
        <v>53.199999999999996</v>
      </c>
      <c r="J18" s="499"/>
      <c r="K18" s="499"/>
      <c r="L18" s="499"/>
    </row>
    <row r="19" spans="1:12" s="391" customFormat="1" ht="15" x14ac:dyDescent="0.25">
      <c r="A19" s="497"/>
      <c r="B19" s="517" t="s">
        <v>451</v>
      </c>
      <c r="C19" s="518">
        <v>8</v>
      </c>
      <c r="D19" s="514">
        <v>0</v>
      </c>
      <c r="E19" s="514">
        <v>0</v>
      </c>
      <c r="F19" s="519">
        <v>0</v>
      </c>
      <c r="G19" s="520">
        <v>2</v>
      </c>
      <c r="H19" s="520">
        <v>0</v>
      </c>
      <c r="I19" s="508">
        <v>10</v>
      </c>
      <c r="J19" s="500"/>
      <c r="K19" s="499"/>
      <c r="L19" s="499"/>
    </row>
    <row r="20" spans="1:12" s="391" customFormat="1" ht="15.75" thickBot="1" x14ac:dyDescent="0.3">
      <c r="A20" s="497"/>
      <c r="B20" s="521" t="s">
        <v>157</v>
      </c>
      <c r="C20" s="522">
        <v>344.59</v>
      </c>
      <c r="D20" s="522">
        <v>10.08</v>
      </c>
      <c r="E20" s="523">
        <v>18.96</v>
      </c>
      <c r="F20" s="522">
        <v>65.3</v>
      </c>
      <c r="G20" s="522">
        <v>90.3</v>
      </c>
      <c r="H20" s="522">
        <v>59.4</v>
      </c>
      <c r="I20" s="524">
        <v>588.63000000000011</v>
      </c>
      <c r="J20" s="499"/>
      <c r="K20" s="499"/>
      <c r="L20" s="499"/>
    </row>
    <row r="21" spans="1:12" s="391" customFormat="1" ht="15" x14ac:dyDescent="0.25">
      <c r="A21" s="497"/>
      <c r="B21" s="499"/>
      <c r="C21" s="499"/>
      <c r="D21" s="499"/>
      <c r="E21" s="499"/>
      <c r="F21" s="499"/>
      <c r="G21" s="499"/>
      <c r="H21" s="499"/>
      <c r="I21" s="501"/>
      <c r="J21" s="499"/>
      <c r="K21" s="499"/>
      <c r="L21" s="499"/>
    </row>
    <row r="28" spans="1:12" s="391" customFormat="1" ht="15" x14ac:dyDescent="0.25">
      <c r="A28" s="497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923"/>
    </row>
    <row r="29" spans="1:12" s="391" customFormat="1" ht="15" x14ac:dyDescent="0.25">
      <c r="A29" s="497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923"/>
    </row>
    <row r="30" spans="1:12" s="391" customFormat="1" ht="15" x14ac:dyDescent="0.25">
      <c r="A30" s="497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923"/>
    </row>
    <row r="31" spans="1:12" s="391" customFormat="1" ht="15" x14ac:dyDescent="0.25">
      <c r="A31" s="497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923"/>
    </row>
    <row r="32" spans="1:12" s="391" customFormat="1" ht="15" x14ac:dyDescent="0.25">
      <c r="A32" s="497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923"/>
    </row>
  </sheetData>
  <mergeCells count="10">
    <mergeCell ref="L28:L32"/>
    <mergeCell ref="B3:I3"/>
    <mergeCell ref="B6:B8"/>
    <mergeCell ref="C6:C8"/>
    <mergeCell ref="D6:D8"/>
    <mergeCell ref="E6:E8"/>
    <mergeCell ref="F6:F8"/>
    <mergeCell ref="G6:G8"/>
    <mergeCell ref="H6:H8"/>
    <mergeCell ref="I6:I8"/>
  </mergeCells>
  <pageMargins left="0.11811023622047202" right="0.11811023622047202" top="0.74803149606299213" bottom="0.74803149606299213" header="0.31496062992126012" footer="0.31496062992126012"/>
  <pageSetup paperSize="9" scale="90" fitToWidth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A1:V27"/>
  <sheetViews>
    <sheetView workbookViewId="0"/>
  </sheetViews>
  <sheetFormatPr defaultRowHeight="14.25" x14ac:dyDescent="0.2"/>
  <cols>
    <col min="1" max="1" width="18.42578125" style="1" customWidth="1"/>
    <col min="2" max="2" width="5.85546875" style="1" customWidth="1"/>
    <col min="3" max="3" width="5.5703125" style="1" customWidth="1"/>
    <col min="4" max="4" width="5.7109375" style="1" customWidth="1"/>
    <col min="5" max="5" width="5.42578125" style="1" customWidth="1"/>
    <col min="6" max="6" width="8" style="1" customWidth="1"/>
    <col min="7" max="7" width="6" style="1" customWidth="1"/>
    <col min="8" max="9" width="5.5703125" style="1" customWidth="1"/>
    <col min="10" max="10" width="5" style="1" customWidth="1"/>
    <col min="11" max="11" width="5.7109375" style="1" customWidth="1"/>
    <col min="12" max="12" width="8.28515625" style="1" customWidth="1"/>
    <col min="13" max="13" width="8" style="1" customWidth="1"/>
    <col min="14" max="14" width="11.140625" style="1" customWidth="1"/>
    <col min="15" max="15" width="8.42578125" style="1" customWidth="1"/>
    <col min="16" max="16" width="6.42578125" style="1" customWidth="1"/>
    <col min="17" max="18" width="8.42578125" style="1" customWidth="1"/>
    <col min="19" max="19" width="9.140625" style="1" customWidth="1"/>
    <col min="20" max="16384" width="9.140625" style="1"/>
  </cols>
  <sheetData>
    <row r="1" spans="1:22" customFormat="1" ht="15" x14ac:dyDescent="0.2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</row>
    <row r="2" spans="1:22" customFormat="1" ht="15" x14ac:dyDescent="0.25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6" t="s">
        <v>452</v>
      </c>
      <c r="S2" s="525"/>
      <c r="T2" s="525"/>
      <c r="U2" s="525"/>
      <c r="V2" s="525"/>
    </row>
    <row r="3" spans="1:22" customFormat="1" ht="15" x14ac:dyDescent="0.25">
      <c r="A3" s="932"/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525"/>
      <c r="T3" s="525"/>
      <c r="U3" s="525"/>
      <c r="V3" s="525"/>
    </row>
    <row r="4" spans="1:22" customFormat="1" ht="17.100000000000001" customHeight="1" thickBot="1" x14ac:dyDescent="0.3">
      <c r="A4" s="933" t="s">
        <v>814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503"/>
      <c r="T4" s="502"/>
      <c r="U4" s="502"/>
      <c r="V4" s="502"/>
    </row>
    <row r="5" spans="1:22" customFormat="1" ht="21.95" customHeight="1" x14ac:dyDescent="0.25">
      <c r="A5" s="934" t="s">
        <v>815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502"/>
      <c r="U5" s="502"/>
      <c r="V5" s="502"/>
    </row>
    <row r="6" spans="1:22" customFormat="1" ht="8.25" customHeight="1" x14ac:dyDescent="0.25">
      <c r="A6" s="935"/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502"/>
      <c r="U6" s="502"/>
      <c r="V6" s="502"/>
    </row>
    <row r="7" spans="1:22" s="67" customFormat="1" ht="45.75" customHeight="1" x14ac:dyDescent="0.25">
      <c r="A7" s="536" t="s">
        <v>453</v>
      </c>
      <c r="B7" s="539" t="s">
        <v>816</v>
      </c>
      <c r="C7" s="538" t="s">
        <v>10</v>
      </c>
      <c r="D7" s="538" t="s">
        <v>12</v>
      </c>
      <c r="E7" s="538" t="s">
        <v>14</v>
      </c>
      <c r="F7" s="538" t="s">
        <v>16</v>
      </c>
      <c r="G7" s="539" t="s">
        <v>817</v>
      </c>
      <c r="H7" s="538" t="s">
        <v>18</v>
      </c>
      <c r="I7" s="538" t="s">
        <v>20</v>
      </c>
      <c r="J7" s="538" t="s">
        <v>22</v>
      </c>
      <c r="K7" s="538" t="s">
        <v>24</v>
      </c>
      <c r="L7" s="538" t="s">
        <v>27</v>
      </c>
      <c r="M7" s="538" t="s">
        <v>454</v>
      </c>
      <c r="N7" s="537" t="s">
        <v>455</v>
      </c>
      <c r="O7" s="537" t="s">
        <v>456</v>
      </c>
      <c r="P7" s="537" t="s">
        <v>457</v>
      </c>
      <c r="Q7" s="537" t="s">
        <v>458</v>
      </c>
      <c r="R7" s="537" t="s">
        <v>459</v>
      </c>
      <c r="S7" s="563" t="s">
        <v>460</v>
      </c>
      <c r="T7" s="527"/>
      <c r="U7" s="527"/>
      <c r="V7" s="527"/>
    </row>
    <row r="8" spans="1:22" customFormat="1" ht="15" x14ac:dyDescent="0.25">
      <c r="A8" s="536" t="s">
        <v>461</v>
      </c>
      <c r="B8" s="540"/>
      <c r="C8" s="540">
        <v>64</v>
      </c>
      <c r="D8" s="540">
        <v>58</v>
      </c>
      <c r="E8" s="540">
        <v>69</v>
      </c>
      <c r="F8" s="540">
        <v>47</v>
      </c>
      <c r="G8" s="541">
        <v>238</v>
      </c>
      <c r="H8" s="540">
        <v>63</v>
      </c>
      <c r="I8" s="540">
        <v>55</v>
      </c>
      <c r="J8" s="540">
        <v>52</v>
      </c>
      <c r="K8" s="540">
        <v>41</v>
      </c>
      <c r="L8" s="540">
        <v>44</v>
      </c>
      <c r="M8" s="541">
        <v>255</v>
      </c>
      <c r="N8" s="542">
        <v>493</v>
      </c>
      <c r="O8" s="543">
        <v>23</v>
      </c>
      <c r="P8" s="540">
        <v>22</v>
      </c>
      <c r="Q8" s="540">
        <v>207</v>
      </c>
      <c r="R8" s="540">
        <v>16</v>
      </c>
      <c r="S8" s="544">
        <v>1</v>
      </c>
      <c r="T8" s="502"/>
      <c r="U8" s="502"/>
      <c r="V8" s="502"/>
    </row>
    <row r="9" spans="1:22" customFormat="1" ht="15" x14ac:dyDescent="0.25">
      <c r="A9" s="536" t="s">
        <v>462</v>
      </c>
      <c r="B9" s="540"/>
      <c r="C9" s="540">
        <v>66</v>
      </c>
      <c r="D9" s="540">
        <v>65</v>
      </c>
      <c r="E9" s="540">
        <v>71</v>
      </c>
      <c r="F9" s="540">
        <v>74</v>
      </c>
      <c r="G9" s="541">
        <v>276</v>
      </c>
      <c r="H9" s="540">
        <v>74</v>
      </c>
      <c r="I9" s="540">
        <v>81</v>
      </c>
      <c r="J9" s="540">
        <v>71</v>
      </c>
      <c r="K9" s="540">
        <v>70</v>
      </c>
      <c r="L9" s="540">
        <v>63</v>
      </c>
      <c r="M9" s="541">
        <v>359</v>
      </c>
      <c r="N9" s="542">
        <v>635</v>
      </c>
      <c r="O9" s="543">
        <v>4</v>
      </c>
      <c r="P9" s="540">
        <v>27</v>
      </c>
      <c r="Q9" s="540">
        <v>245</v>
      </c>
      <c r="R9" s="540">
        <v>11</v>
      </c>
      <c r="S9" s="544">
        <v>1</v>
      </c>
      <c r="T9" s="502"/>
      <c r="U9" s="502"/>
      <c r="V9" s="502"/>
    </row>
    <row r="10" spans="1:22" customFormat="1" ht="15" x14ac:dyDescent="0.25">
      <c r="A10" s="536" t="s">
        <v>463</v>
      </c>
      <c r="B10" s="540"/>
      <c r="C10" s="540">
        <v>88</v>
      </c>
      <c r="D10" s="540">
        <v>84</v>
      </c>
      <c r="E10" s="540">
        <v>85</v>
      </c>
      <c r="F10" s="540">
        <v>108</v>
      </c>
      <c r="G10" s="541">
        <v>365</v>
      </c>
      <c r="H10" s="540">
        <v>100</v>
      </c>
      <c r="I10" s="540">
        <v>100</v>
      </c>
      <c r="J10" s="540">
        <v>101</v>
      </c>
      <c r="K10" s="540">
        <v>92</v>
      </c>
      <c r="L10" s="540">
        <v>102</v>
      </c>
      <c r="M10" s="541">
        <v>495</v>
      </c>
      <c r="N10" s="542">
        <v>860</v>
      </c>
      <c r="O10" s="543">
        <v>-6</v>
      </c>
      <c r="P10" s="540">
        <v>38</v>
      </c>
      <c r="Q10" s="540">
        <v>318</v>
      </c>
      <c r="R10" s="540">
        <v>27</v>
      </c>
      <c r="S10" s="544">
        <v>1</v>
      </c>
      <c r="T10" s="502"/>
      <c r="U10" s="502"/>
      <c r="V10" s="502"/>
    </row>
    <row r="11" spans="1:22" customFormat="1" ht="15" x14ac:dyDescent="0.25">
      <c r="A11" s="536" t="s">
        <v>464</v>
      </c>
      <c r="B11" s="540"/>
      <c r="C11" s="540">
        <v>50</v>
      </c>
      <c r="D11" s="540">
        <v>51</v>
      </c>
      <c r="E11" s="540">
        <v>43</v>
      </c>
      <c r="F11" s="540">
        <v>35</v>
      </c>
      <c r="G11" s="541">
        <v>179</v>
      </c>
      <c r="H11" s="540">
        <v>44</v>
      </c>
      <c r="I11" s="540">
        <v>37</v>
      </c>
      <c r="J11" s="540">
        <v>43</v>
      </c>
      <c r="K11" s="540">
        <v>43</v>
      </c>
      <c r="L11" s="540">
        <v>24</v>
      </c>
      <c r="M11" s="541">
        <v>191</v>
      </c>
      <c r="N11" s="542">
        <v>370</v>
      </c>
      <c r="O11" s="543">
        <v>48</v>
      </c>
      <c r="P11" s="540">
        <v>17</v>
      </c>
      <c r="Q11" s="540">
        <v>178</v>
      </c>
      <c r="R11" s="540">
        <v>20</v>
      </c>
      <c r="S11" s="544">
        <v>0</v>
      </c>
      <c r="T11" s="502"/>
      <c r="U11" s="502"/>
      <c r="V11" s="502"/>
    </row>
    <row r="12" spans="1:22" customFormat="1" ht="25.5" x14ac:dyDescent="0.25">
      <c r="A12" s="545" t="s">
        <v>818</v>
      </c>
      <c r="B12" s="540"/>
      <c r="C12" s="540">
        <v>13</v>
      </c>
      <c r="D12" s="540">
        <v>12</v>
      </c>
      <c r="E12" s="540">
        <v>9</v>
      </c>
      <c r="F12" s="540">
        <v>10</v>
      </c>
      <c r="G12" s="541">
        <v>44</v>
      </c>
      <c r="H12" s="540">
        <v>12</v>
      </c>
      <c r="I12" s="540">
        <v>9</v>
      </c>
      <c r="J12" s="540">
        <v>0</v>
      </c>
      <c r="K12" s="540">
        <v>0</v>
      </c>
      <c r="L12" s="540">
        <v>11</v>
      </c>
      <c r="M12" s="541">
        <v>32</v>
      </c>
      <c r="N12" s="542">
        <v>76</v>
      </c>
      <c r="O12" s="543"/>
      <c r="P12" s="540">
        <v>7</v>
      </c>
      <c r="Q12" s="540"/>
      <c r="R12" s="540"/>
      <c r="S12" s="544"/>
      <c r="T12" s="502"/>
      <c r="U12" s="502"/>
      <c r="V12" s="502"/>
    </row>
    <row r="13" spans="1:22" customFormat="1" ht="15" x14ac:dyDescent="0.25">
      <c r="A13" s="536" t="s">
        <v>465</v>
      </c>
      <c r="B13" s="546"/>
      <c r="C13" s="546">
        <v>42</v>
      </c>
      <c r="D13" s="546">
        <v>32</v>
      </c>
      <c r="E13" s="546">
        <v>43</v>
      </c>
      <c r="F13" s="546">
        <v>43</v>
      </c>
      <c r="G13" s="541">
        <v>160</v>
      </c>
      <c r="H13" s="540">
        <v>27</v>
      </c>
      <c r="I13" s="540">
        <v>35</v>
      </c>
      <c r="J13" s="540">
        <v>27</v>
      </c>
      <c r="K13" s="540">
        <v>23</v>
      </c>
      <c r="L13" s="540">
        <v>13</v>
      </c>
      <c r="M13" s="541">
        <v>125</v>
      </c>
      <c r="N13" s="542">
        <v>285</v>
      </c>
      <c r="O13" s="543">
        <v>32</v>
      </c>
      <c r="P13" s="540">
        <v>14</v>
      </c>
      <c r="Q13" s="540">
        <v>129</v>
      </c>
      <c r="R13" s="540">
        <v>22</v>
      </c>
      <c r="S13" s="544">
        <v>0</v>
      </c>
      <c r="T13" s="502"/>
      <c r="U13" s="502"/>
      <c r="V13" s="502"/>
    </row>
    <row r="14" spans="1:22" customFormat="1" ht="15" x14ac:dyDescent="0.25">
      <c r="A14" s="536" t="s">
        <v>466</v>
      </c>
      <c r="B14" s="540"/>
      <c r="C14" s="540">
        <v>91</v>
      </c>
      <c r="D14" s="540">
        <v>66</v>
      </c>
      <c r="E14" s="540">
        <v>88</v>
      </c>
      <c r="F14" s="540">
        <v>89</v>
      </c>
      <c r="G14" s="541">
        <v>334</v>
      </c>
      <c r="H14" s="540">
        <v>98</v>
      </c>
      <c r="I14" s="540">
        <v>105</v>
      </c>
      <c r="J14" s="540">
        <v>69</v>
      </c>
      <c r="K14" s="540">
        <v>73</v>
      </c>
      <c r="L14" s="540">
        <v>69</v>
      </c>
      <c r="M14" s="541">
        <v>414</v>
      </c>
      <c r="N14" s="542">
        <v>748</v>
      </c>
      <c r="O14" s="543">
        <v>-3</v>
      </c>
      <c r="P14" s="540">
        <v>32</v>
      </c>
      <c r="Q14" s="540">
        <v>249</v>
      </c>
      <c r="R14" s="540">
        <v>22</v>
      </c>
      <c r="S14" s="544">
        <v>1</v>
      </c>
      <c r="T14" s="502"/>
      <c r="U14" s="502"/>
      <c r="V14" s="502"/>
    </row>
    <row r="15" spans="1:22" customFormat="1" ht="15" x14ac:dyDescent="0.25">
      <c r="A15" s="536" t="s">
        <v>467</v>
      </c>
      <c r="B15" s="540"/>
      <c r="C15" s="540">
        <v>4</v>
      </c>
      <c r="D15" s="540">
        <v>13</v>
      </c>
      <c r="E15" s="540">
        <v>8</v>
      </c>
      <c r="F15" s="540">
        <v>11</v>
      </c>
      <c r="G15" s="541">
        <v>36</v>
      </c>
      <c r="H15" s="540"/>
      <c r="I15" s="540"/>
      <c r="J15" s="540"/>
      <c r="K15" s="540"/>
      <c r="L15" s="540"/>
      <c r="M15" s="541"/>
      <c r="N15" s="542">
        <v>36</v>
      </c>
      <c r="O15" s="543">
        <v>-13</v>
      </c>
      <c r="P15" s="540">
        <v>2</v>
      </c>
      <c r="Q15" s="540">
        <v>36</v>
      </c>
      <c r="R15" s="540">
        <v>0</v>
      </c>
      <c r="S15" s="544">
        <v>0</v>
      </c>
      <c r="T15" s="502"/>
      <c r="U15" s="502"/>
      <c r="V15" s="502"/>
    </row>
    <row r="16" spans="1:22" customFormat="1" ht="15" x14ac:dyDescent="0.25">
      <c r="A16" s="536" t="s">
        <v>468</v>
      </c>
      <c r="B16" s="540"/>
      <c r="C16" s="540">
        <v>88</v>
      </c>
      <c r="D16" s="540">
        <v>94</v>
      </c>
      <c r="E16" s="540">
        <v>85</v>
      </c>
      <c r="F16" s="540">
        <v>90</v>
      </c>
      <c r="G16" s="541">
        <v>357</v>
      </c>
      <c r="H16" s="540">
        <v>85</v>
      </c>
      <c r="I16" s="540">
        <v>75</v>
      </c>
      <c r="J16" s="540">
        <v>77</v>
      </c>
      <c r="K16" s="540">
        <v>78</v>
      </c>
      <c r="L16" s="540">
        <v>65</v>
      </c>
      <c r="M16" s="547">
        <v>380</v>
      </c>
      <c r="N16" s="542">
        <v>737</v>
      </c>
      <c r="O16" s="543">
        <v>66</v>
      </c>
      <c r="P16" s="540">
        <v>31</v>
      </c>
      <c r="Q16" s="540">
        <v>276</v>
      </c>
      <c r="R16" s="540">
        <v>22</v>
      </c>
      <c r="S16" s="544">
        <v>1</v>
      </c>
      <c r="T16" s="502"/>
      <c r="U16" s="502"/>
      <c r="V16" s="502"/>
    </row>
    <row r="17" spans="1:22" customFormat="1" ht="24.75" customHeight="1" x14ac:dyDescent="0.25">
      <c r="A17" s="536" t="s">
        <v>469</v>
      </c>
      <c r="B17" s="540">
        <v>10</v>
      </c>
      <c r="C17" s="540">
        <v>24</v>
      </c>
      <c r="D17" s="540">
        <v>24</v>
      </c>
      <c r="E17" s="540">
        <v>28</v>
      </c>
      <c r="F17" s="540">
        <v>24</v>
      </c>
      <c r="G17" s="541">
        <v>110</v>
      </c>
      <c r="H17" s="540">
        <v>30</v>
      </c>
      <c r="I17" s="540">
        <v>21</v>
      </c>
      <c r="J17" s="540">
        <v>22</v>
      </c>
      <c r="K17" s="540">
        <v>25</v>
      </c>
      <c r="L17" s="540">
        <v>26</v>
      </c>
      <c r="M17" s="541">
        <v>124</v>
      </c>
      <c r="N17" s="542">
        <v>234</v>
      </c>
      <c r="O17" s="543">
        <v>4</v>
      </c>
      <c r="P17" s="540">
        <v>10</v>
      </c>
      <c r="Q17" s="540">
        <v>92</v>
      </c>
      <c r="R17" s="540">
        <v>18</v>
      </c>
      <c r="S17" s="544">
        <v>2</v>
      </c>
      <c r="T17" s="497"/>
      <c r="U17" s="497"/>
      <c r="V17" s="497"/>
    </row>
    <row r="18" spans="1:22" customFormat="1" ht="25.5" x14ac:dyDescent="0.25">
      <c r="A18" s="545" t="s">
        <v>470</v>
      </c>
      <c r="B18" s="542">
        <v>10</v>
      </c>
      <c r="C18" s="542">
        <v>530</v>
      </c>
      <c r="D18" s="542">
        <v>499</v>
      </c>
      <c r="E18" s="548">
        <v>529</v>
      </c>
      <c r="F18" s="542">
        <v>531</v>
      </c>
      <c r="G18" s="549">
        <v>2099</v>
      </c>
      <c r="H18" s="542">
        <v>533</v>
      </c>
      <c r="I18" s="542">
        <v>518</v>
      </c>
      <c r="J18" s="542">
        <v>462</v>
      </c>
      <c r="K18" s="542">
        <v>445</v>
      </c>
      <c r="L18" s="542">
        <v>417</v>
      </c>
      <c r="M18" s="549">
        <v>2375</v>
      </c>
      <c r="N18" s="550">
        <v>4474</v>
      </c>
      <c r="O18" s="551"/>
      <c r="P18" s="542">
        <v>200</v>
      </c>
      <c r="Q18" s="542">
        <v>1730</v>
      </c>
      <c r="R18" s="542">
        <v>158</v>
      </c>
      <c r="S18" s="552">
        <v>7</v>
      </c>
      <c r="T18" s="497"/>
      <c r="U18" s="497"/>
      <c r="V18" s="497"/>
    </row>
    <row r="19" spans="1:22" customFormat="1" ht="15" x14ac:dyDescent="0.25">
      <c r="A19" s="553" t="s">
        <v>471</v>
      </c>
      <c r="B19" s="540"/>
      <c r="C19" s="540">
        <v>24</v>
      </c>
      <c r="D19" s="540">
        <v>24</v>
      </c>
      <c r="E19" s="540">
        <v>24</v>
      </c>
      <c r="F19" s="540">
        <v>24</v>
      </c>
      <c r="G19" s="542"/>
      <c r="H19" s="540">
        <v>22</v>
      </c>
      <c r="I19" s="540">
        <v>22</v>
      </c>
      <c r="J19" s="540">
        <v>20</v>
      </c>
      <c r="K19" s="540">
        <v>19</v>
      </c>
      <c r="L19" s="540">
        <v>20</v>
      </c>
      <c r="M19" s="542">
        <v>200</v>
      </c>
      <c r="N19" s="542"/>
      <c r="O19" s="554"/>
      <c r="P19" s="555"/>
      <c r="Q19" s="540"/>
      <c r="R19" s="540"/>
      <c r="S19" s="556"/>
      <c r="T19" s="497"/>
      <c r="U19" s="497"/>
      <c r="V19" s="497"/>
    </row>
    <row r="20" spans="1:22" customFormat="1" ht="20.100000000000001" customHeight="1" thickBot="1" x14ac:dyDescent="0.3">
      <c r="A20" s="557" t="s">
        <v>472</v>
      </c>
      <c r="B20" s="558"/>
      <c r="C20" s="558">
        <v>22</v>
      </c>
      <c r="D20" s="558">
        <v>21</v>
      </c>
      <c r="E20" s="558">
        <v>22</v>
      </c>
      <c r="F20" s="558">
        <v>22</v>
      </c>
      <c r="G20" s="559"/>
      <c r="H20" s="558">
        <v>24</v>
      </c>
      <c r="I20" s="558">
        <v>24</v>
      </c>
      <c r="J20" s="558">
        <v>23</v>
      </c>
      <c r="K20" s="558">
        <v>23</v>
      </c>
      <c r="L20" s="558">
        <v>21</v>
      </c>
      <c r="M20" s="559"/>
      <c r="N20" s="559"/>
      <c r="O20" s="560"/>
      <c r="P20" s="558"/>
      <c r="Q20" s="558"/>
      <c r="R20" s="558"/>
      <c r="S20" s="561"/>
      <c r="T20" s="497"/>
      <c r="U20" s="497"/>
      <c r="V20" s="497"/>
    </row>
    <row r="21" spans="1:22" customFormat="1" ht="15" customHeight="1" x14ac:dyDescent="0.25">
      <c r="A21" s="564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497"/>
      <c r="U21" s="497"/>
      <c r="V21" s="497"/>
    </row>
    <row r="22" spans="1:22" customFormat="1" ht="15" x14ac:dyDescent="0.25">
      <c r="A22" s="930" t="s">
        <v>819</v>
      </c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  <c r="T22" s="497"/>
      <c r="U22" s="497"/>
      <c r="V22" s="497"/>
    </row>
    <row r="23" spans="1:22" customFormat="1" ht="15" x14ac:dyDescent="0.25">
      <c r="A23" s="928" t="s">
        <v>820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562"/>
      <c r="T23" s="497"/>
      <c r="U23" s="497"/>
      <c r="V23" s="497"/>
    </row>
    <row r="24" spans="1:22" customFormat="1" ht="15" x14ac:dyDescent="0.25">
      <c r="A24" s="928" t="s">
        <v>821</v>
      </c>
      <c r="B24" s="928"/>
      <c r="C24" s="928"/>
      <c r="D24" s="928"/>
      <c r="E24" s="928"/>
      <c r="F24" s="928"/>
      <c r="G24" s="928"/>
      <c r="H24" s="928"/>
      <c r="I24" s="562"/>
      <c r="J24" s="562"/>
      <c r="K24" s="562"/>
      <c r="L24" s="562"/>
      <c r="M24" s="928"/>
      <c r="N24" s="928"/>
      <c r="O24" s="928"/>
      <c r="P24" s="928"/>
      <c r="Q24" s="928"/>
      <c r="R24" s="928"/>
      <c r="S24" s="562"/>
      <c r="T24" s="497"/>
      <c r="U24" s="497"/>
      <c r="V24" s="497"/>
    </row>
    <row r="25" spans="1:22" customFormat="1" ht="15" x14ac:dyDescent="0.25">
      <c r="A25" s="931" t="s">
        <v>822</v>
      </c>
      <c r="B25" s="931"/>
      <c r="C25" s="931"/>
      <c r="D25" s="931"/>
      <c r="E25" s="931"/>
      <c r="F25" s="931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497"/>
      <c r="U25" s="497"/>
      <c r="V25" s="497"/>
    </row>
    <row r="26" spans="1:22" customFormat="1" ht="15" x14ac:dyDescent="0.25">
      <c r="A26" s="928" t="s">
        <v>824</v>
      </c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497"/>
      <c r="U26" s="497"/>
      <c r="V26" s="497"/>
    </row>
    <row r="27" spans="1:22" customFormat="1" ht="28.5" customHeight="1" x14ac:dyDescent="0.25">
      <c r="A27" s="929" t="s">
        <v>823</v>
      </c>
      <c r="B27" s="929"/>
      <c r="C27" s="929"/>
      <c r="D27" s="929"/>
      <c r="E27" s="929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497"/>
      <c r="U27" s="497"/>
      <c r="V27" s="497"/>
    </row>
  </sheetData>
  <mergeCells count="12">
    <mergeCell ref="A3:R3"/>
    <mergeCell ref="A4:R4"/>
    <mergeCell ref="A5:S5"/>
    <mergeCell ref="A6:S6"/>
    <mergeCell ref="A23:G23"/>
    <mergeCell ref="A26:S26"/>
    <mergeCell ref="A27:E27"/>
    <mergeCell ref="A22:S22"/>
    <mergeCell ref="H23:R23"/>
    <mergeCell ref="A24:H24"/>
    <mergeCell ref="M24:R24"/>
    <mergeCell ref="A25:F25"/>
  </mergeCells>
  <pageMargins left="0.31496062992125984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2:M21"/>
  <sheetViews>
    <sheetView workbookViewId="0"/>
  </sheetViews>
  <sheetFormatPr defaultRowHeight="14.25" x14ac:dyDescent="0.2"/>
  <cols>
    <col min="1" max="1" width="9.140625" style="1" customWidth="1"/>
    <col min="2" max="2" width="3.42578125" style="43" customWidth="1"/>
    <col min="3" max="3" width="56.7109375" style="1" customWidth="1"/>
    <col min="4" max="4" width="15.85546875" style="199" customWidth="1"/>
    <col min="5" max="5" width="9.140625" style="1" customWidth="1"/>
    <col min="6" max="6" width="13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9.140625" style="1" customWidth="1"/>
    <col min="11" max="16384" width="9.140625" style="1"/>
  </cols>
  <sheetData>
    <row r="2" spans="2:13" x14ac:dyDescent="0.2">
      <c r="D2" s="199" t="s">
        <v>473</v>
      </c>
    </row>
    <row r="3" spans="2:13" ht="15" thickBot="1" x14ac:dyDescent="0.25"/>
    <row r="4" spans="2:13" ht="15" x14ac:dyDescent="0.25">
      <c r="B4" s="936" t="s">
        <v>474</v>
      </c>
      <c r="C4" s="936"/>
      <c r="D4" s="936"/>
    </row>
    <row r="5" spans="2:13" ht="15" x14ac:dyDescent="0.25">
      <c r="B5" s="321"/>
      <c r="C5" s="322"/>
      <c r="D5" s="323" t="s">
        <v>475</v>
      </c>
      <c r="M5" s="247"/>
    </row>
    <row r="6" spans="2:13" x14ac:dyDescent="0.2">
      <c r="B6" s="177">
        <v>1</v>
      </c>
      <c r="C6" s="324" t="s">
        <v>476</v>
      </c>
      <c r="D6" s="325">
        <v>38353</v>
      </c>
    </row>
    <row r="7" spans="2:13" x14ac:dyDescent="0.2">
      <c r="B7" s="177">
        <v>2</v>
      </c>
      <c r="C7" s="324" t="s">
        <v>477</v>
      </c>
      <c r="D7" s="325">
        <v>37257</v>
      </c>
      <c r="F7" s="326"/>
    </row>
    <row r="8" spans="2:13" x14ac:dyDescent="0.2">
      <c r="B8" s="177">
        <v>3</v>
      </c>
      <c r="C8" s="324" t="s">
        <v>478</v>
      </c>
      <c r="D8" s="325">
        <v>37438</v>
      </c>
    </row>
    <row r="9" spans="2:13" x14ac:dyDescent="0.2">
      <c r="B9" s="177">
        <v>4</v>
      </c>
      <c r="C9" s="324" t="s">
        <v>479</v>
      </c>
      <c r="D9" s="325">
        <v>37438</v>
      </c>
    </row>
    <row r="10" spans="2:13" x14ac:dyDescent="0.2">
      <c r="B10" s="177">
        <v>5</v>
      </c>
      <c r="C10" s="324" t="s">
        <v>480</v>
      </c>
      <c r="D10" s="325">
        <v>37438</v>
      </c>
      <c r="F10" s="326"/>
    </row>
    <row r="11" spans="2:13" x14ac:dyDescent="0.2">
      <c r="B11" s="177">
        <v>6</v>
      </c>
      <c r="C11" s="324" t="s">
        <v>481</v>
      </c>
      <c r="D11" s="325">
        <v>37438</v>
      </c>
      <c r="F11" s="326"/>
    </row>
    <row r="12" spans="2:13" x14ac:dyDescent="0.2">
      <c r="B12" s="177">
        <v>7</v>
      </c>
      <c r="C12" s="324" t="s">
        <v>482</v>
      </c>
      <c r="D12" s="325">
        <v>37438</v>
      </c>
      <c r="H12" s="326"/>
    </row>
    <row r="13" spans="2:13" x14ac:dyDescent="0.2">
      <c r="B13" s="177">
        <v>8</v>
      </c>
      <c r="C13" s="324" t="s">
        <v>483</v>
      </c>
      <c r="D13" s="325">
        <v>37438</v>
      </c>
      <c r="H13" s="326"/>
    </row>
    <row r="14" spans="2:13" x14ac:dyDescent="0.2">
      <c r="B14" s="177">
        <v>9</v>
      </c>
      <c r="C14" s="324" t="s">
        <v>484</v>
      </c>
      <c r="D14" s="325">
        <v>37438</v>
      </c>
      <c r="H14" s="326"/>
    </row>
    <row r="15" spans="2:13" x14ac:dyDescent="0.2">
      <c r="B15" s="177">
        <v>10</v>
      </c>
      <c r="C15" s="324" t="s">
        <v>485</v>
      </c>
      <c r="D15" s="325">
        <v>37438</v>
      </c>
      <c r="F15" s="326"/>
    </row>
    <row r="16" spans="2:13" x14ac:dyDescent="0.2">
      <c r="B16" s="177">
        <v>11</v>
      </c>
      <c r="C16" s="324" t="s">
        <v>486</v>
      </c>
      <c r="D16" s="325">
        <v>37438</v>
      </c>
      <c r="H16" s="326"/>
    </row>
    <row r="17" spans="2:9" x14ac:dyDescent="0.2">
      <c r="B17" s="177">
        <v>12</v>
      </c>
      <c r="C17" s="324" t="s">
        <v>487</v>
      </c>
      <c r="D17" s="325">
        <v>37438</v>
      </c>
      <c r="G17" s="326"/>
    </row>
    <row r="18" spans="2:9" x14ac:dyDescent="0.2">
      <c r="B18" s="177">
        <v>13</v>
      </c>
      <c r="C18" s="324" t="s">
        <v>488</v>
      </c>
      <c r="D18" s="325">
        <v>37438</v>
      </c>
      <c r="I18" s="326"/>
    </row>
    <row r="19" spans="2:9" x14ac:dyDescent="0.2">
      <c r="B19" s="177">
        <v>14</v>
      </c>
      <c r="C19" s="324" t="s">
        <v>489</v>
      </c>
      <c r="D19" s="325">
        <v>41640</v>
      </c>
      <c r="H19" s="326"/>
    </row>
    <row r="20" spans="2:9" x14ac:dyDescent="0.2">
      <c r="B20" s="321"/>
      <c r="C20" s="327"/>
      <c r="D20" s="323"/>
      <c r="H20" s="326"/>
    </row>
    <row r="21" spans="2:9" ht="15" thickBot="1" x14ac:dyDescent="0.25">
      <c r="B21" s="328"/>
      <c r="C21" s="812" t="s">
        <v>598</v>
      </c>
      <c r="D21" s="329"/>
      <c r="H21" s="326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E34"/>
  <sheetViews>
    <sheetView workbookViewId="0"/>
  </sheetViews>
  <sheetFormatPr defaultRowHeight="15" x14ac:dyDescent="0.25"/>
  <cols>
    <col min="1" max="1" width="9.140625" customWidth="1"/>
    <col min="2" max="2" width="6.7109375" bestFit="1" customWidth="1"/>
    <col min="3" max="3" width="61.28515625" bestFit="1" customWidth="1"/>
    <col min="4" max="4" width="13.42578125" customWidth="1"/>
    <col min="5" max="5" width="2.42578125" style="127" customWidth="1"/>
    <col min="6" max="6" width="9.140625" customWidth="1"/>
  </cols>
  <sheetData>
    <row r="2" spans="2:5" x14ac:dyDescent="0.25">
      <c r="D2" t="s">
        <v>490</v>
      </c>
    </row>
    <row r="3" spans="2:5" ht="37.5" customHeight="1" x14ac:dyDescent="0.25">
      <c r="B3" s="937" t="s">
        <v>1017</v>
      </c>
      <c r="C3" s="937"/>
      <c r="D3" s="937"/>
    </row>
    <row r="4" spans="2:5" x14ac:dyDescent="0.25">
      <c r="B4" s="330"/>
      <c r="D4" s="331"/>
      <c r="E4" s="332"/>
    </row>
    <row r="5" spans="2:5" ht="25.5" x14ac:dyDescent="0.25">
      <c r="B5" s="333" t="s">
        <v>491</v>
      </c>
      <c r="C5" s="334" t="s">
        <v>492</v>
      </c>
      <c r="D5" s="334" t="s">
        <v>493</v>
      </c>
      <c r="E5" s="335"/>
    </row>
    <row r="6" spans="2:5" x14ac:dyDescent="0.25">
      <c r="B6" s="336">
        <v>1</v>
      </c>
      <c r="C6" s="337" t="s">
        <v>494</v>
      </c>
      <c r="D6" s="338">
        <f>D7+D8+D9+D10</f>
        <v>64697799</v>
      </c>
      <c r="E6" s="339"/>
    </row>
    <row r="7" spans="2:5" x14ac:dyDescent="0.25">
      <c r="B7" s="340">
        <v>2</v>
      </c>
      <c r="C7" s="264" t="s">
        <v>495</v>
      </c>
      <c r="D7" s="268">
        <v>33671683</v>
      </c>
      <c r="E7" s="341"/>
    </row>
    <row r="8" spans="2:5" x14ac:dyDescent="0.25">
      <c r="B8" s="340">
        <v>3</v>
      </c>
      <c r="C8" s="264" t="s">
        <v>496</v>
      </c>
      <c r="D8" s="268">
        <v>5564922</v>
      </c>
      <c r="E8" s="341"/>
    </row>
    <row r="9" spans="2:5" x14ac:dyDescent="0.25">
      <c r="B9" s="340">
        <v>4</v>
      </c>
      <c r="C9" s="264" t="s">
        <v>497</v>
      </c>
      <c r="D9" s="268">
        <v>15565686</v>
      </c>
      <c r="E9" s="341"/>
    </row>
    <row r="10" spans="2:5" x14ac:dyDescent="0.25">
      <c r="B10" s="340">
        <v>5</v>
      </c>
      <c r="C10" s="264" t="s">
        <v>498</v>
      </c>
      <c r="D10" s="268">
        <f>D11+D12</f>
        <v>9895508</v>
      </c>
      <c r="E10" s="341"/>
    </row>
    <row r="11" spans="2:5" x14ac:dyDescent="0.25">
      <c r="B11" s="340">
        <v>6</v>
      </c>
      <c r="C11" s="264" t="s">
        <v>499</v>
      </c>
      <c r="D11" s="268">
        <v>7014988</v>
      </c>
      <c r="E11" s="341"/>
    </row>
    <row r="12" spans="2:5" x14ac:dyDescent="0.25">
      <c r="B12" s="340">
        <v>7</v>
      </c>
      <c r="C12" s="264" t="s">
        <v>500</v>
      </c>
      <c r="D12" s="268">
        <v>2880520</v>
      </c>
      <c r="E12" s="341"/>
    </row>
    <row r="13" spans="2:5" x14ac:dyDescent="0.25">
      <c r="B13" s="336">
        <v>8</v>
      </c>
      <c r="C13" s="337" t="s">
        <v>501</v>
      </c>
      <c r="D13" s="338">
        <f>D14+D15+D16</f>
        <v>52099159</v>
      </c>
      <c r="E13" s="339"/>
    </row>
    <row r="14" spans="2:5" x14ac:dyDescent="0.25">
      <c r="B14" s="340">
        <v>9</v>
      </c>
      <c r="C14" s="264" t="s">
        <v>502</v>
      </c>
      <c r="D14" s="268">
        <v>43276324</v>
      </c>
      <c r="E14" s="341"/>
    </row>
    <row r="15" spans="2:5" x14ac:dyDescent="0.25">
      <c r="B15" s="340">
        <v>10</v>
      </c>
      <c r="C15" s="264" t="s">
        <v>503</v>
      </c>
      <c r="D15" s="268">
        <v>6696445</v>
      </c>
      <c r="E15" s="341"/>
    </row>
    <row r="16" spans="2:5" x14ac:dyDescent="0.25">
      <c r="B16" s="340">
        <v>11</v>
      </c>
      <c r="C16" s="264" t="s">
        <v>504</v>
      </c>
      <c r="D16" s="268">
        <v>2126390</v>
      </c>
      <c r="E16" s="341"/>
    </row>
    <row r="17" spans="2:5" x14ac:dyDescent="0.25">
      <c r="B17" s="342">
        <v>12</v>
      </c>
      <c r="C17" s="343" t="s">
        <v>505</v>
      </c>
      <c r="D17" s="344">
        <f>D6-D13</f>
        <v>12598640</v>
      </c>
      <c r="E17" s="345"/>
    </row>
    <row r="18" spans="2:5" ht="25.5" x14ac:dyDescent="0.25">
      <c r="B18" s="342">
        <v>13</v>
      </c>
      <c r="C18" s="346" t="s">
        <v>506</v>
      </c>
      <c r="D18" s="344">
        <f>D6-D10-D13+D16</f>
        <v>4829522</v>
      </c>
      <c r="E18" s="345"/>
    </row>
    <row r="19" spans="2:5" x14ac:dyDescent="0.25">
      <c r="B19" s="340"/>
      <c r="C19" s="347"/>
      <c r="D19" s="348"/>
      <c r="E19" s="349"/>
    </row>
    <row r="20" spans="2:5" x14ac:dyDescent="0.25">
      <c r="B20" s="336">
        <v>14</v>
      </c>
      <c r="C20" s="350" t="s">
        <v>507</v>
      </c>
      <c r="D20" s="351">
        <f>D21-D22</f>
        <v>388604</v>
      </c>
      <c r="E20" s="352"/>
    </row>
    <row r="21" spans="2:5" x14ac:dyDescent="0.25">
      <c r="B21" s="340">
        <v>15</v>
      </c>
      <c r="C21" s="264" t="s">
        <v>508</v>
      </c>
      <c r="D21" s="268">
        <v>1436626</v>
      </c>
      <c r="E21" s="341"/>
    </row>
    <row r="22" spans="2:5" x14ac:dyDescent="0.25">
      <c r="B22" s="340">
        <v>16</v>
      </c>
      <c r="C22" s="264" t="s">
        <v>509</v>
      </c>
      <c r="D22" s="268">
        <v>1048022</v>
      </c>
      <c r="E22" s="341"/>
    </row>
    <row r="23" spans="2:5" x14ac:dyDescent="0.25">
      <c r="B23" s="336">
        <v>17</v>
      </c>
      <c r="C23" s="350" t="s">
        <v>510</v>
      </c>
      <c r="D23" s="351">
        <f>D25-D24</f>
        <v>60710</v>
      </c>
      <c r="E23" s="352"/>
    </row>
    <row r="24" spans="2:5" x14ac:dyDescent="0.25">
      <c r="B24" s="340">
        <v>18</v>
      </c>
      <c r="C24" s="264" t="s">
        <v>511</v>
      </c>
      <c r="D24" s="268">
        <v>4165796</v>
      </c>
      <c r="E24" s="341"/>
    </row>
    <row r="25" spans="2:5" x14ac:dyDescent="0.25">
      <c r="B25" s="340">
        <v>19</v>
      </c>
      <c r="C25" s="264" t="s">
        <v>512</v>
      </c>
      <c r="D25" s="268">
        <v>4226506</v>
      </c>
      <c r="E25" s="341"/>
    </row>
    <row r="26" spans="2:5" x14ac:dyDescent="0.25">
      <c r="B26" s="336">
        <v>20</v>
      </c>
      <c r="C26" s="337" t="s">
        <v>513</v>
      </c>
      <c r="D26" s="338">
        <f>D20+D23</f>
        <v>449314</v>
      </c>
      <c r="E26" s="339"/>
    </row>
    <row r="27" spans="2:5" x14ac:dyDescent="0.25">
      <c r="B27" s="353">
        <v>21</v>
      </c>
      <c r="C27" s="353" t="s">
        <v>514</v>
      </c>
      <c r="D27" s="354">
        <f>D18+D26</f>
        <v>5278836</v>
      </c>
      <c r="E27" s="355"/>
    </row>
    <row r="28" spans="2:5" x14ac:dyDescent="0.25">
      <c r="B28" s="356" t="s">
        <v>195</v>
      </c>
    </row>
    <row r="29" spans="2:5" ht="48" customHeight="1" x14ac:dyDescent="0.25">
      <c r="B29" s="938" t="s">
        <v>515</v>
      </c>
      <c r="C29" s="938"/>
      <c r="D29" s="938"/>
    </row>
    <row r="30" spans="2:5" ht="107.25" customHeight="1" x14ac:dyDescent="0.25">
      <c r="B30" s="938" t="s">
        <v>516</v>
      </c>
      <c r="C30" s="938"/>
      <c r="D30" s="938"/>
    </row>
    <row r="31" spans="2:5" ht="29.25" customHeight="1" x14ac:dyDescent="0.25">
      <c r="B31" s="938" t="s">
        <v>517</v>
      </c>
      <c r="C31" s="938"/>
      <c r="D31" s="938"/>
    </row>
    <row r="32" spans="2:5" x14ac:dyDescent="0.25">
      <c r="B32" s="330"/>
    </row>
    <row r="33" spans="2:3" x14ac:dyDescent="0.25">
      <c r="B33" s="330"/>
      <c r="C33" s="356"/>
    </row>
    <row r="34" spans="2:3" x14ac:dyDescent="0.25">
      <c r="B34" s="330"/>
    </row>
  </sheetData>
  <mergeCells count="4">
    <mergeCell ref="B3:D3"/>
    <mergeCell ref="B29:D29"/>
    <mergeCell ref="B30:D30"/>
    <mergeCell ref="B31:D31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L64"/>
  <sheetViews>
    <sheetView workbookViewId="0"/>
  </sheetViews>
  <sheetFormatPr defaultRowHeight="14.25" x14ac:dyDescent="0.2"/>
  <cols>
    <col min="1" max="1" width="2" style="1" customWidth="1"/>
    <col min="2" max="2" width="22.7109375" style="1" customWidth="1"/>
    <col min="3" max="3" width="12.42578125" style="1" customWidth="1"/>
    <col min="4" max="4" width="11.28515625" style="1" customWidth="1"/>
    <col min="5" max="5" width="12.42578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x14ac:dyDescent="0.2">
      <c r="G2" s="27" t="s">
        <v>80</v>
      </c>
    </row>
    <row r="3" spans="2:11" ht="23.25" customHeight="1" x14ac:dyDescent="0.2">
      <c r="B3" s="827" t="s">
        <v>81</v>
      </c>
      <c r="C3" s="827"/>
      <c r="D3" s="827"/>
      <c r="E3" s="827"/>
      <c r="F3" s="827"/>
      <c r="G3" s="827"/>
      <c r="H3" s="85"/>
      <c r="I3" s="85"/>
      <c r="J3" s="85"/>
      <c r="K3" s="85"/>
    </row>
    <row r="4" spans="2:11" ht="8.25" customHeight="1" thickBot="1" x14ac:dyDescent="0.25"/>
    <row r="5" spans="2:11" s="86" customFormat="1" ht="18.75" customHeight="1" thickBot="1" x14ac:dyDescent="0.25">
      <c r="B5" s="828" t="s">
        <v>82</v>
      </c>
      <c r="C5" s="828"/>
      <c r="D5" s="828"/>
      <c r="E5" s="87">
        <f>E6+E12+E16+E18+E23+E28+E20</f>
        <v>1434246.9400000002</v>
      </c>
    </row>
    <row r="6" spans="2:11" ht="15.75" thickTop="1" x14ac:dyDescent="0.25">
      <c r="B6" s="829" t="s">
        <v>83</v>
      </c>
      <c r="C6" s="829"/>
      <c r="D6" s="829"/>
      <c r="E6" s="88">
        <f>SUM(E7:E11)</f>
        <v>64969.670000000006</v>
      </c>
    </row>
    <row r="7" spans="2:11" x14ac:dyDescent="0.2">
      <c r="B7" s="819" t="s">
        <v>882</v>
      </c>
      <c r="C7" s="819"/>
      <c r="D7" s="819"/>
      <c r="E7" s="89">
        <v>10627.5</v>
      </c>
    </row>
    <row r="8" spans="2:11" x14ac:dyDescent="0.2">
      <c r="B8" s="819" t="s">
        <v>84</v>
      </c>
      <c r="C8" s="819"/>
      <c r="D8" s="819"/>
      <c r="E8" s="89">
        <v>41917</v>
      </c>
    </row>
    <row r="9" spans="2:11" x14ac:dyDescent="0.2">
      <c r="B9" s="819" t="s">
        <v>85</v>
      </c>
      <c r="C9" s="819"/>
      <c r="D9" s="819"/>
      <c r="E9" s="89">
        <v>4178.5</v>
      </c>
    </row>
    <row r="10" spans="2:11" x14ac:dyDescent="0.2">
      <c r="B10" s="819" t="s">
        <v>86</v>
      </c>
      <c r="C10" s="819"/>
      <c r="D10" s="819"/>
      <c r="E10" s="89">
        <v>7404.37</v>
      </c>
    </row>
    <row r="11" spans="2:11" x14ac:dyDescent="0.2">
      <c r="B11" s="819" t="s">
        <v>87</v>
      </c>
      <c r="C11" s="819"/>
      <c r="D11" s="819"/>
      <c r="E11" s="89">
        <v>842.3</v>
      </c>
    </row>
    <row r="12" spans="2:11" ht="15" x14ac:dyDescent="0.25">
      <c r="B12" s="825" t="s">
        <v>88</v>
      </c>
      <c r="C12" s="825"/>
      <c r="D12" s="825"/>
      <c r="E12" s="90">
        <f>SUM(E13:E15)</f>
        <v>442100.52</v>
      </c>
    </row>
    <row r="13" spans="2:11" x14ac:dyDescent="0.2">
      <c r="B13" s="819" t="s">
        <v>89</v>
      </c>
      <c r="C13" s="819"/>
      <c r="D13" s="819"/>
      <c r="E13" s="89">
        <v>248423.63</v>
      </c>
    </row>
    <row r="14" spans="2:11" x14ac:dyDescent="0.2">
      <c r="B14" s="819" t="s">
        <v>90</v>
      </c>
      <c r="C14" s="819"/>
      <c r="D14" s="819"/>
      <c r="E14" s="89">
        <v>193329.04</v>
      </c>
    </row>
    <row r="15" spans="2:11" x14ac:dyDescent="0.2">
      <c r="B15" s="819" t="s">
        <v>91</v>
      </c>
      <c r="C15" s="819"/>
      <c r="D15" s="819"/>
      <c r="E15" s="89">
        <v>347.85</v>
      </c>
    </row>
    <row r="16" spans="2:11" ht="15" x14ac:dyDescent="0.25">
      <c r="B16" s="825" t="s">
        <v>92</v>
      </c>
      <c r="C16" s="825"/>
      <c r="D16" s="825"/>
      <c r="E16" s="90">
        <f>E17</f>
        <v>175678.85</v>
      </c>
    </row>
    <row r="17" spans="2:12" ht="24.75" customHeight="1" x14ac:dyDescent="0.2">
      <c r="B17" s="819" t="s">
        <v>93</v>
      </c>
      <c r="C17" s="819"/>
      <c r="D17" s="819"/>
      <c r="E17" s="91">
        <v>175678.85</v>
      </c>
    </row>
    <row r="18" spans="2:12" ht="15" x14ac:dyDescent="0.25">
      <c r="B18" s="825" t="s">
        <v>94</v>
      </c>
      <c r="C18" s="825"/>
      <c r="D18" s="825"/>
      <c r="E18" s="90">
        <f>E19</f>
        <v>918.4</v>
      </c>
    </row>
    <row r="19" spans="2:12" ht="12.75" customHeight="1" x14ac:dyDescent="0.2">
      <c r="B19" s="826" t="s">
        <v>95</v>
      </c>
      <c r="C19" s="826"/>
      <c r="D19" s="826"/>
      <c r="E19" s="89">
        <v>918.4</v>
      </c>
    </row>
    <row r="20" spans="2:12" ht="15" x14ac:dyDescent="0.25">
      <c r="B20" s="825" t="s">
        <v>96</v>
      </c>
      <c r="C20" s="825"/>
      <c r="D20" s="825"/>
      <c r="E20" s="90">
        <f>E22+E21</f>
        <v>9455.7000000000007</v>
      </c>
    </row>
    <row r="21" spans="2:12" x14ac:dyDescent="0.2">
      <c r="B21" s="826" t="s">
        <v>97</v>
      </c>
      <c r="C21" s="826"/>
      <c r="D21" s="826"/>
      <c r="E21" s="89">
        <v>3600</v>
      </c>
    </row>
    <row r="22" spans="2:12" ht="12.75" customHeight="1" x14ac:dyDescent="0.2">
      <c r="B22" s="826" t="s">
        <v>98</v>
      </c>
      <c r="C22" s="826"/>
      <c r="D22" s="826"/>
      <c r="E22" s="89">
        <v>5855.7</v>
      </c>
    </row>
    <row r="23" spans="2:12" ht="15" x14ac:dyDescent="0.25">
      <c r="B23" s="825" t="s">
        <v>99</v>
      </c>
      <c r="C23" s="825"/>
      <c r="D23" s="825"/>
      <c r="E23" s="90">
        <f>SUM(E24:E27)</f>
        <v>237436.13</v>
      </c>
    </row>
    <row r="24" spans="2:12" x14ac:dyDescent="0.2">
      <c r="B24" s="819" t="s">
        <v>100</v>
      </c>
      <c r="C24" s="819"/>
      <c r="D24" s="819"/>
      <c r="E24" s="89">
        <v>129005.95</v>
      </c>
    </row>
    <row r="25" spans="2:12" x14ac:dyDescent="0.2">
      <c r="B25" s="819" t="s">
        <v>101</v>
      </c>
      <c r="C25" s="819"/>
      <c r="D25" s="819"/>
      <c r="E25" s="89">
        <v>84491.22</v>
      </c>
    </row>
    <row r="26" spans="2:12" x14ac:dyDescent="0.2">
      <c r="B26" s="822" t="s">
        <v>883</v>
      </c>
      <c r="C26" s="823"/>
      <c r="D26" s="824"/>
      <c r="E26" s="89">
        <v>23899.54</v>
      </c>
    </row>
    <row r="27" spans="2:12" x14ac:dyDescent="0.2">
      <c r="B27" s="819" t="s">
        <v>102</v>
      </c>
      <c r="C27" s="819"/>
      <c r="D27" s="819"/>
      <c r="E27" s="89">
        <v>39.42</v>
      </c>
    </row>
    <row r="28" spans="2:12" ht="15" x14ac:dyDescent="0.25">
      <c r="B28" s="825" t="s">
        <v>103</v>
      </c>
      <c r="C28" s="825"/>
      <c r="D28" s="825"/>
      <c r="E28" s="90">
        <f>SUM(E29:E36)</f>
        <v>503687.67000000004</v>
      </c>
    </row>
    <row r="29" spans="2:12" customFormat="1" ht="15" x14ac:dyDescent="0.25">
      <c r="B29" s="819" t="s">
        <v>104</v>
      </c>
      <c r="C29" s="819"/>
      <c r="D29" s="819"/>
      <c r="E29" s="89">
        <v>25.2</v>
      </c>
      <c r="F29" s="1"/>
      <c r="G29" s="1"/>
      <c r="H29" s="1"/>
      <c r="I29" s="1"/>
      <c r="J29" s="1"/>
      <c r="K29" s="1"/>
      <c r="L29" s="1"/>
    </row>
    <row r="30" spans="2:12" s="358" customFormat="1" ht="14.25" customHeight="1" x14ac:dyDescent="0.25">
      <c r="B30" s="822" t="s">
        <v>884</v>
      </c>
      <c r="C30" s="823"/>
      <c r="D30" s="824"/>
      <c r="E30" s="89">
        <v>19.28</v>
      </c>
      <c r="F30" s="1"/>
      <c r="G30" s="1"/>
      <c r="H30" s="1"/>
      <c r="I30" s="1"/>
      <c r="J30" s="1"/>
      <c r="K30" s="1"/>
      <c r="L30" s="1"/>
    </row>
    <row r="31" spans="2:12" customFormat="1" ht="15" x14ac:dyDescent="0.25">
      <c r="B31" s="819" t="s">
        <v>105</v>
      </c>
      <c r="C31" s="819"/>
      <c r="D31" s="819"/>
      <c r="E31" s="89">
        <v>76.290000000000006</v>
      </c>
      <c r="F31" s="1"/>
      <c r="G31" s="1"/>
      <c r="H31" s="1"/>
      <c r="I31" s="1"/>
      <c r="J31" s="1"/>
      <c r="K31" s="1"/>
      <c r="L31" s="1"/>
    </row>
    <row r="32" spans="2:12" customFormat="1" ht="15" x14ac:dyDescent="0.25">
      <c r="B32" s="820" t="s">
        <v>106</v>
      </c>
      <c r="C32" s="820"/>
      <c r="D32" s="820"/>
      <c r="E32" s="92">
        <v>13299.65</v>
      </c>
      <c r="F32" s="1"/>
      <c r="G32" s="1"/>
      <c r="H32" s="1"/>
      <c r="I32" s="1"/>
      <c r="J32" s="1"/>
      <c r="K32" s="1"/>
      <c r="L32" s="1"/>
    </row>
    <row r="33" spans="2:12" customFormat="1" ht="15" x14ac:dyDescent="0.25">
      <c r="B33" s="820" t="s">
        <v>107</v>
      </c>
      <c r="C33" s="820"/>
      <c r="D33" s="820"/>
      <c r="E33" s="89">
        <v>3666.33</v>
      </c>
      <c r="F33" s="1"/>
      <c r="G33" s="1"/>
      <c r="H33" s="1"/>
      <c r="I33" s="1"/>
      <c r="J33" s="1"/>
      <c r="K33" s="1"/>
    </row>
    <row r="34" spans="2:12" customFormat="1" ht="15" x14ac:dyDescent="0.25">
      <c r="B34" s="820" t="s">
        <v>108</v>
      </c>
      <c r="C34" s="820"/>
      <c r="D34" s="820"/>
      <c r="E34" s="93">
        <v>9468</v>
      </c>
      <c r="F34" s="1"/>
      <c r="G34" s="1"/>
      <c r="H34" s="1"/>
      <c r="I34" s="1"/>
      <c r="J34" s="1"/>
      <c r="K34" s="1"/>
    </row>
    <row r="35" spans="2:12" customFormat="1" ht="15" x14ac:dyDescent="0.25">
      <c r="B35" s="821" t="s">
        <v>520</v>
      </c>
      <c r="C35" s="821"/>
      <c r="D35" s="821"/>
      <c r="E35" s="94">
        <f>460095.14+14637.78</f>
        <v>474732.92000000004</v>
      </c>
      <c r="F35" s="1"/>
      <c r="G35" s="1"/>
      <c r="H35" s="1"/>
      <c r="I35" s="1"/>
      <c r="J35" s="1"/>
      <c r="K35" s="1"/>
    </row>
    <row r="36" spans="2:12" customFormat="1" ht="15.75" thickBot="1" x14ac:dyDescent="0.3">
      <c r="B36" s="818" t="s">
        <v>109</v>
      </c>
      <c r="C36" s="818"/>
      <c r="D36" s="818"/>
      <c r="E36" s="641">
        <v>2400</v>
      </c>
      <c r="F36" s="1"/>
      <c r="G36" s="1"/>
      <c r="H36" s="1"/>
      <c r="I36" s="1"/>
      <c r="J36" s="1"/>
      <c r="K36" s="1"/>
    </row>
    <row r="37" spans="2:12" customFormat="1" ht="9.75" customHeight="1" thickBot="1" x14ac:dyDescent="0.3">
      <c r="B37" s="42"/>
      <c r="C37" s="42"/>
      <c r="D37" s="1"/>
      <c r="E37" s="1"/>
      <c r="F37" s="1"/>
      <c r="G37" s="1"/>
      <c r="H37" s="1"/>
      <c r="I37" s="1"/>
      <c r="J37" s="1"/>
      <c r="K37" s="1"/>
      <c r="L37" s="1"/>
    </row>
    <row r="38" spans="2:12" s="43" customFormat="1" ht="90" customHeight="1" thickBot="1" x14ac:dyDescent="0.3">
      <c r="B38" s="44" t="s">
        <v>53</v>
      </c>
      <c r="C38" s="45" t="s">
        <v>110</v>
      </c>
      <c r="D38" s="45" t="s">
        <v>111</v>
      </c>
      <c r="E38" s="45" t="s">
        <v>112</v>
      </c>
      <c r="F38" s="45" t="s">
        <v>113</v>
      </c>
    </row>
    <row r="39" spans="2:12" customFormat="1" ht="15.75" thickTop="1" x14ac:dyDescent="0.25">
      <c r="B39" s="48" t="s">
        <v>59</v>
      </c>
      <c r="C39" s="49">
        <v>108761.44</v>
      </c>
      <c r="D39" s="49">
        <v>34341.230000000003</v>
      </c>
      <c r="E39" s="49">
        <v>40485.360000000001</v>
      </c>
      <c r="F39" s="49">
        <v>403703.65</v>
      </c>
      <c r="G39" s="1"/>
      <c r="H39" s="1"/>
      <c r="I39" s="1"/>
      <c r="J39" s="1"/>
      <c r="K39" s="1"/>
      <c r="L39" s="1"/>
    </row>
    <row r="40" spans="2:12" customFormat="1" ht="15.75" thickBot="1" x14ac:dyDescent="0.3">
      <c r="B40" s="52" t="s">
        <v>60</v>
      </c>
      <c r="C40" s="53">
        <v>36848.730000000003</v>
      </c>
      <c r="D40" s="53">
        <v>12080.73</v>
      </c>
      <c r="E40" s="53">
        <v>13898.59</v>
      </c>
      <c r="F40" s="53">
        <v>137526.12</v>
      </c>
      <c r="G40" s="1"/>
      <c r="H40" s="1"/>
      <c r="I40" s="1"/>
      <c r="J40" s="1"/>
      <c r="K40" s="1"/>
      <c r="L40" s="1"/>
    </row>
    <row r="41" spans="2:12" customFormat="1" ht="15" x14ac:dyDescent="0.25">
      <c r="B41" s="52" t="s">
        <v>61</v>
      </c>
      <c r="C41" s="53">
        <f>SUM(C42:C47)</f>
        <v>50321.95</v>
      </c>
      <c r="D41" s="53">
        <f>SUM(D42:D47)</f>
        <v>13977.13</v>
      </c>
      <c r="E41" s="53">
        <f>SUM(E42:E47)</f>
        <v>10567.34</v>
      </c>
      <c r="F41" s="53">
        <f>SUM(F42:F47)</f>
        <v>220849.59</v>
      </c>
      <c r="G41" s="1"/>
      <c r="H41" s="1"/>
      <c r="I41" s="1"/>
      <c r="J41" s="1"/>
      <c r="K41" s="1"/>
      <c r="L41" s="1"/>
    </row>
    <row r="42" spans="2:12" customFormat="1" ht="15" x14ac:dyDescent="0.25">
      <c r="B42" s="55" t="s">
        <v>114</v>
      </c>
      <c r="C42" s="56">
        <v>0</v>
      </c>
      <c r="D42" s="56">
        <v>0</v>
      </c>
      <c r="E42" s="56">
        <v>0</v>
      </c>
      <c r="F42" s="56">
        <v>0</v>
      </c>
      <c r="G42" s="1"/>
      <c r="H42" s="1"/>
      <c r="I42" s="1"/>
      <c r="J42" s="1"/>
      <c r="K42" s="1"/>
      <c r="L42" s="1"/>
    </row>
    <row r="43" spans="2:12" customFormat="1" ht="15" x14ac:dyDescent="0.25">
      <c r="B43" s="55" t="s">
        <v>62</v>
      </c>
      <c r="C43" s="56">
        <v>13813.9</v>
      </c>
      <c r="D43" s="56">
        <v>6320.2</v>
      </c>
      <c r="E43" s="56">
        <v>6124.26</v>
      </c>
      <c r="F43" s="56">
        <v>53930.66</v>
      </c>
      <c r="G43" s="1"/>
      <c r="H43" s="1"/>
      <c r="I43" s="1"/>
      <c r="J43" s="1"/>
      <c r="K43" s="1"/>
      <c r="L43" s="1"/>
    </row>
    <row r="44" spans="2:12" customFormat="1" ht="15" x14ac:dyDescent="0.25">
      <c r="B44" s="55" t="s">
        <v>63</v>
      </c>
      <c r="C44" s="56">
        <v>18532.48</v>
      </c>
      <c r="D44" s="56">
        <v>1282.67</v>
      </c>
      <c r="E44" s="56">
        <v>1359.2</v>
      </c>
      <c r="F44" s="56">
        <v>22517.17</v>
      </c>
      <c r="G44" s="1"/>
      <c r="H44" s="1"/>
      <c r="I44" s="1"/>
      <c r="J44" s="1"/>
      <c r="K44" s="1"/>
      <c r="L44" s="1"/>
    </row>
    <row r="45" spans="2:12" customFormat="1" ht="15" x14ac:dyDescent="0.25">
      <c r="B45" s="55" t="s">
        <v>64</v>
      </c>
      <c r="C45" s="56">
        <v>0</v>
      </c>
      <c r="D45" s="56">
        <v>0</v>
      </c>
      <c r="E45" s="56">
        <v>0</v>
      </c>
      <c r="F45" s="56">
        <v>528.95000000000005</v>
      </c>
      <c r="G45" s="1"/>
      <c r="H45" s="1"/>
      <c r="I45" s="1"/>
      <c r="J45" s="1"/>
      <c r="K45" s="1"/>
      <c r="L45" s="51"/>
    </row>
    <row r="46" spans="2:12" customFormat="1" ht="15.75" customHeight="1" x14ac:dyDescent="0.25">
      <c r="B46" s="55" t="s">
        <v>65</v>
      </c>
      <c r="C46" s="56">
        <v>13420.68</v>
      </c>
      <c r="D46" s="56">
        <v>248.94</v>
      </c>
      <c r="E46" s="56">
        <v>248.94</v>
      </c>
      <c r="F46" s="56">
        <v>6614.9</v>
      </c>
      <c r="G46" s="1"/>
      <c r="H46" s="1"/>
      <c r="I46" s="1"/>
      <c r="J46" s="1"/>
      <c r="K46" s="1"/>
      <c r="L46" s="1"/>
    </row>
    <row r="47" spans="2:12" customFormat="1" ht="15" x14ac:dyDescent="0.25">
      <c r="B47" s="55" t="s">
        <v>67</v>
      </c>
      <c r="C47" s="56">
        <f>4036.07+518.82</f>
        <v>4554.8900000000003</v>
      </c>
      <c r="D47" s="56">
        <f>6025+100.32</f>
        <v>6125.32</v>
      </c>
      <c r="E47" s="56">
        <f>2648.6+186.34</f>
        <v>2834.94</v>
      </c>
      <c r="F47" s="56">
        <f>136048.68+1209.23</f>
        <v>137257.91</v>
      </c>
      <c r="G47" s="1"/>
      <c r="H47" s="1"/>
      <c r="I47" s="1"/>
      <c r="J47" s="1"/>
      <c r="K47" s="1"/>
      <c r="L47" s="1"/>
    </row>
    <row r="48" spans="2:12" customFormat="1" ht="15.75" thickBot="1" x14ac:dyDescent="0.3">
      <c r="B48" s="95" t="s">
        <v>68</v>
      </c>
      <c r="C48" s="96">
        <v>1843.87</v>
      </c>
      <c r="D48" s="96">
        <v>2027.15</v>
      </c>
      <c r="E48" s="96">
        <v>0</v>
      </c>
      <c r="F48" s="96">
        <v>1425.95</v>
      </c>
      <c r="G48" s="1"/>
      <c r="H48" s="1"/>
      <c r="I48" s="1"/>
      <c r="J48" s="1"/>
      <c r="K48" s="1"/>
      <c r="L48" s="1"/>
    </row>
    <row r="49" spans="2:12" customFormat="1" ht="21.75" customHeight="1" thickTop="1" thickBot="1" x14ac:dyDescent="0.3">
      <c r="B49" s="97" t="s">
        <v>115</v>
      </c>
      <c r="C49" s="98">
        <f>C39+C40+C41+C48</f>
        <v>197775.99</v>
      </c>
      <c r="D49" s="98">
        <f>D39+D40+D41+D48</f>
        <v>62426.240000000005</v>
      </c>
      <c r="E49" s="98">
        <f>E39+E40+E41+E48</f>
        <v>64951.289999999994</v>
      </c>
      <c r="F49" s="98">
        <f>F39+F40+F41+F48</f>
        <v>763505.30999999994</v>
      </c>
      <c r="G49" s="1"/>
      <c r="H49" s="1"/>
      <c r="I49" s="1"/>
      <c r="J49" s="1"/>
      <c r="K49" s="1"/>
      <c r="L49" s="1"/>
    </row>
    <row r="50" spans="2:12" ht="29.25" customHeight="1" thickTop="1" thickBot="1" x14ac:dyDescent="0.25">
      <c r="B50" s="97" t="s">
        <v>121</v>
      </c>
      <c r="C50" s="98">
        <v>0</v>
      </c>
      <c r="D50" s="98">
        <v>0</v>
      </c>
      <c r="E50" s="98">
        <v>0</v>
      </c>
      <c r="F50" s="109">
        <v>4961</v>
      </c>
    </row>
    <row r="51" spans="2:12" ht="9" customHeight="1" thickBot="1" x14ac:dyDescent="0.25"/>
    <row r="52" spans="2:12" ht="79.5" thickBot="1" x14ac:dyDescent="0.25">
      <c r="B52" s="44" t="s">
        <v>53</v>
      </c>
      <c r="C52" s="45" t="s">
        <v>116</v>
      </c>
      <c r="D52" s="45" t="s">
        <v>117</v>
      </c>
      <c r="E52" s="45" t="s">
        <v>118</v>
      </c>
      <c r="F52" s="99" t="s">
        <v>119</v>
      </c>
      <c r="G52" s="100" t="s">
        <v>120</v>
      </c>
    </row>
    <row r="53" spans="2:12" ht="15" thickTop="1" x14ac:dyDescent="0.2">
      <c r="B53" s="48" t="s">
        <v>59</v>
      </c>
      <c r="C53" s="49">
        <v>802836.09</v>
      </c>
      <c r="D53" s="49">
        <v>565537.93000000005</v>
      </c>
      <c r="E53" s="49">
        <v>9839.52</v>
      </c>
      <c r="F53" s="101">
        <v>135372.68</v>
      </c>
      <c r="G53" s="102">
        <f t="shared" ref="G53:G63" si="0">C39+D39+E39+F39+C53+D53+E53+F53</f>
        <v>2100877.9000000004</v>
      </c>
    </row>
    <row r="54" spans="2:12" x14ac:dyDescent="0.2">
      <c r="B54" s="52" t="s">
        <v>60</v>
      </c>
      <c r="C54" s="53">
        <v>268747.53999999998</v>
      </c>
      <c r="D54" s="53">
        <v>187565.82</v>
      </c>
      <c r="E54" s="53">
        <v>3251.81</v>
      </c>
      <c r="F54" s="103">
        <v>49474.36</v>
      </c>
      <c r="G54" s="104">
        <f t="shared" si="0"/>
        <v>709393.70000000007</v>
      </c>
    </row>
    <row r="55" spans="2:12" x14ac:dyDescent="0.2">
      <c r="B55" s="52" t="s">
        <v>61</v>
      </c>
      <c r="C55" s="53">
        <f>SUM(C56:C61)</f>
        <v>426943.23</v>
      </c>
      <c r="D55" s="53">
        <f>SUM(D56:D61)</f>
        <v>43366.49</v>
      </c>
      <c r="E55" s="53">
        <f>SUM(E56:E61)</f>
        <v>2753.13</v>
      </c>
      <c r="F55" s="103">
        <f>SUM(F56:F61)</f>
        <v>42533.020000000004</v>
      </c>
      <c r="G55" s="104">
        <f t="shared" si="0"/>
        <v>811311.88</v>
      </c>
    </row>
    <row r="56" spans="2:12" x14ac:dyDescent="0.2">
      <c r="B56" s="55" t="s">
        <v>114</v>
      </c>
      <c r="C56" s="56">
        <v>161.52000000000001</v>
      </c>
      <c r="D56" s="56">
        <v>0</v>
      </c>
      <c r="E56" s="56">
        <v>0</v>
      </c>
      <c r="F56" s="105">
        <v>0</v>
      </c>
      <c r="G56" s="106">
        <f t="shared" si="0"/>
        <v>161.52000000000001</v>
      </c>
    </row>
    <row r="57" spans="2:12" x14ac:dyDescent="0.2">
      <c r="B57" s="55" t="s">
        <v>62</v>
      </c>
      <c r="C57" s="56">
        <v>93534.81</v>
      </c>
      <c r="D57" s="56">
        <v>569.20000000000005</v>
      </c>
      <c r="E57" s="56">
        <v>7.5</v>
      </c>
      <c r="F57" s="105">
        <v>2437.1999999999998</v>
      </c>
      <c r="G57" s="106">
        <f t="shared" si="0"/>
        <v>176737.73000000004</v>
      </c>
    </row>
    <row r="58" spans="2:12" x14ac:dyDescent="0.2">
      <c r="B58" s="55" t="s">
        <v>63</v>
      </c>
      <c r="C58" s="56">
        <v>54435.57</v>
      </c>
      <c r="D58" s="56">
        <v>2752.99</v>
      </c>
      <c r="E58" s="56">
        <v>0</v>
      </c>
      <c r="F58" s="105">
        <f>4330.13+11391</f>
        <v>15721.130000000001</v>
      </c>
      <c r="G58" s="106">
        <f t="shared" si="0"/>
        <v>116601.21</v>
      </c>
    </row>
    <row r="59" spans="2:12" x14ac:dyDescent="0.2">
      <c r="B59" s="55" t="s">
        <v>64</v>
      </c>
      <c r="C59" s="56">
        <v>573.42999999999995</v>
      </c>
      <c r="D59" s="56">
        <v>4504.3</v>
      </c>
      <c r="E59" s="56">
        <v>2177.52</v>
      </c>
      <c r="F59" s="105">
        <v>1811.43</v>
      </c>
      <c r="G59" s="106">
        <f t="shared" si="0"/>
        <v>9595.630000000001</v>
      </c>
    </row>
    <row r="60" spans="2:12" ht="15.75" customHeight="1" x14ac:dyDescent="0.2">
      <c r="B60" s="55" t="s">
        <v>65</v>
      </c>
      <c r="C60" s="56">
        <v>22930.720000000001</v>
      </c>
      <c r="D60" s="56">
        <v>0</v>
      </c>
      <c r="E60" s="56">
        <v>0</v>
      </c>
      <c r="F60" s="105">
        <v>364.8</v>
      </c>
      <c r="G60" s="106">
        <f t="shared" si="0"/>
        <v>43828.98</v>
      </c>
    </row>
    <row r="61" spans="2:12" x14ac:dyDescent="0.2">
      <c r="B61" s="55" t="s">
        <v>67</v>
      </c>
      <c r="C61" s="56">
        <f>252931.84+2375.34</f>
        <v>255307.18</v>
      </c>
      <c r="D61" s="56">
        <f>34218.46+1321.54</f>
        <v>35540</v>
      </c>
      <c r="E61" s="56">
        <f>568.11+0</f>
        <v>568.11</v>
      </c>
      <c r="F61" s="105">
        <f>21118.44+1080.02</f>
        <v>22198.46</v>
      </c>
      <c r="G61" s="106">
        <f t="shared" si="0"/>
        <v>464386.81</v>
      </c>
    </row>
    <row r="62" spans="2:12" ht="15" thickBot="1" x14ac:dyDescent="0.25">
      <c r="B62" s="95" t="s">
        <v>68</v>
      </c>
      <c r="C62" s="96">
        <v>6887.6</v>
      </c>
      <c r="D62" s="96">
        <v>8487.65</v>
      </c>
      <c r="E62" s="96">
        <v>121.32</v>
      </c>
      <c r="F62" s="107">
        <v>2180.13</v>
      </c>
      <c r="G62" s="108">
        <f t="shared" si="0"/>
        <v>22973.670000000002</v>
      </c>
    </row>
    <row r="63" spans="2:12" ht="16.5" thickTop="1" thickBot="1" x14ac:dyDescent="0.25">
      <c r="B63" s="97" t="s">
        <v>115</v>
      </c>
      <c r="C63" s="98">
        <f>C53+C54+C55+C62</f>
        <v>1505414.46</v>
      </c>
      <c r="D63" s="98">
        <f t="shared" ref="D63:F63" si="1">D53+D54+D55+D62</f>
        <v>804957.89</v>
      </c>
      <c r="E63" s="98">
        <f t="shared" si="1"/>
        <v>15965.779999999999</v>
      </c>
      <c r="F63" s="98">
        <f t="shared" si="1"/>
        <v>229560.19</v>
      </c>
      <c r="G63" s="110">
        <f t="shared" si="0"/>
        <v>3644557.15</v>
      </c>
    </row>
    <row r="64" spans="2:12" ht="16.5" thickTop="1" thickBot="1" x14ac:dyDescent="0.25">
      <c r="B64" s="97" t="s">
        <v>121</v>
      </c>
      <c r="C64" s="98"/>
      <c r="D64" s="98">
        <v>0</v>
      </c>
      <c r="E64" s="98">
        <v>0</v>
      </c>
      <c r="F64" s="109">
        <v>0</v>
      </c>
      <c r="G64" s="110">
        <f>C64+F50</f>
        <v>4961</v>
      </c>
    </row>
  </sheetData>
  <mergeCells count="33">
    <mergeCell ref="B15:D15"/>
    <mergeCell ref="B3:G3"/>
    <mergeCell ref="B5:D5"/>
    <mergeCell ref="B6:D6"/>
    <mergeCell ref="B8:D8"/>
    <mergeCell ref="B9:D9"/>
    <mergeCell ref="B10:D10"/>
    <mergeCell ref="B11:D11"/>
    <mergeCell ref="B12:D12"/>
    <mergeCell ref="B13:D13"/>
    <mergeCell ref="B14:D14"/>
    <mergeCell ref="B7:D7"/>
    <mergeCell ref="B28:D2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D27"/>
    <mergeCell ref="B26:D26"/>
    <mergeCell ref="B36:D36"/>
    <mergeCell ref="B29:D29"/>
    <mergeCell ref="B31:D31"/>
    <mergeCell ref="B32:D32"/>
    <mergeCell ref="B33:D33"/>
    <mergeCell ref="B34:D34"/>
    <mergeCell ref="B35:D35"/>
    <mergeCell ref="B30:D30"/>
  </mergeCells>
  <phoneticPr fontId="58" type="noConversion"/>
  <pageMargins left="0.86614173228346525" right="0.59055118110236182" top="0.11811023622047202" bottom="0.15748031496063003" header="0.11811023622047202" footer="0.15748031496063003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J32"/>
  <sheetViews>
    <sheetView workbookViewId="0"/>
  </sheetViews>
  <sheetFormatPr defaultRowHeight="12.75" x14ac:dyDescent="0.2"/>
  <cols>
    <col min="1" max="1" width="5.140625" style="27" customWidth="1"/>
    <col min="2" max="2" width="23.7109375" style="27" customWidth="1"/>
    <col min="3" max="3" width="12.140625" style="27" customWidth="1"/>
    <col min="4" max="4" width="10.85546875" style="27" customWidth="1"/>
    <col min="5" max="5" width="11.28515625" style="27" customWidth="1"/>
    <col min="6" max="6" width="10.7109375" style="27" customWidth="1"/>
    <col min="7" max="7" width="11.7109375" style="27" customWidth="1"/>
    <col min="8" max="8" width="10.140625" style="27" bestFit="1" customWidth="1"/>
    <col min="9" max="9" width="9.140625" style="27" customWidth="1"/>
    <col min="10" max="16384" width="9.140625" style="27"/>
  </cols>
  <sheetData>
    <row r="1" spans="2:8" ht="27.75" customHeight="1" x14ac:dyDescent="0.2">
      <c r="H1" s="111" t="s">
        <v>122</v>
      </c>
    </row>
    <row r="2" spans="2:8" ht="18.75" customHeight="1" x14ac:dyDescent="0.25">
      <c r="B2" s="831" t="s">
        <v>123</v>
      </c>
      <c r="C2" s="831"/>
      <c r="D2" s="831"/>
      <c r="E2" s="831"/>
      <c r="F2" s="831"/>
      <c r="G2" s="831"/>
      <c r="H2" s="831"/>
    </row>
    <row r="3" spans="2:8" ht="22.5" customHeight="1" thickBot="1" x14ac:dyDescent="0.25"/>
    <row r="4" spans="2:8" ht="21" customHeight="1" thickBot="1" x14ac:dyDescent="0.25">
      <c r="B4" s="832" t="s">
        <v>124</v>
      </c>
      <c r="C4" s="832"/>
      <c r="D4" s="832"/>
      <c r="E4" s="832"/>
    </row>
    <row r="5" spans="2:8" ht="24.75" customHeight="1" thickTop="1" x14ac:dyDescent="0.2">
      <c r="B5" s="816" t="s">
        <v>125</v>
      </c>
      <c r="C5" s="816"/>
      <c r="D5" s="816"/>
      <c r="E5" s="112">
        <v>4770.12</v>
      </c>
    </row>
    <row r="6" spans="2:8" ht="14.25" customHeight="1" x14ac:dyDescent="0.2">
      <c r="B6" s="817" t="s">
        <v>126</v>
      </c>
      <c r="C6" s="817"/>
      <c r="D6" s="817"/>
      <c r="E6" s="113">
        <v>57775.06</v>
      </c>
    </row>
    <row r="7" spans="2:8" x14ac:dyDescent="0.2">
      <c r="B7" s="833" t="s">
        <v>127</v>
      </c>
      <c r="C7" s="833"/>
      <c r="D7" s="833"/>
      <c r="E7" s="113">
        <v>195052.87</v>
      </c>
    </row>
    <row r="8" spans="2:8" x14ac:dyDescent="0.2">
      <c r="B8" s="833" t="s">
        <v>128</v>
      </c>
      <c r="C8" s="833"/>
      <c r="D8" s="833"/>
      <c r="E8" s="113">
        <v>191821.78</v>
      </c>
    </row>
    <row r="9" spans="2:8" s="114" customFormat="1" x14ac:dyDescent="0.2">
      <c r="B9" s="814" t="s">
        <v>50</v>
      </c>
      <c r="C9" s="814"/>
      <c r="D9" s="814"/>
      <c r="E9" s="115">
        <v>15914.37</v>
      </c>
    </row>
    <row r="10" spans="2:8" x14ac:dyDescent="0.2">
      <c r="B10" s="814" t="s">
        <v>129</v>
      </c>
      <c r="C10" s="814"/>
      <c r="D10" s="814"/>
      <c r="E10" s="115">
        <v>1634.74</v>
      </c>
    </row>
    <row r="11" spans="2:8" s="377" customFormat="1" ht="13.5" thickBot="1" x14ac:dyDescent="0.25">
      <c r="B11" s="834" t="s">
        <v>165</v>
      </c>
      <c r="C11" s="835"/>
      <c r="D11" s="836"/>
      <c r="E11" s="311">
        <v>750</v>
      </c>
    </row>
    <row r="12" spans="2:8" s="118" customFormat="1" ht="21.75" customHeight="1" thickTop="1" thickBot="1" x14ac:dyDescent="0.3">
      <c r="B12" s="830" t="s">
        <v>120</v>
      </c>
      <c r="C12" s="830"/>
      <c r="D12" s="830"/>
      <c r="E12" s="84">
        <f>SUM(E5:E11)</f>
        <v>467718.93999999994</v>
      </c>
    </row>
    <row r="13" spans="2:8" ht="5.25" customHeight="1" x14ac:dyDescent="0.2"/>
    <row r="14" spans="2:8" ht="13.5" customHeight="1" x14ac:dyDescent="0.2"/>
    <row r="15" spans="2:8" ht="13.5" thickBot="1" x14ac:dyDescent="0.25"/>
    <row r="16" spans="2:8" s="119" customFormat="1" ht="68.25" thickBot="1" x14ac:dyDescent="0.3">
      <c r="B16" s="120" t="s">
        <v>53</v>
      </c>
      <c r="C16" s="45" t="s">
        <v>131</v>
      </c>
      <c r="D16" s="45" t="s">
        <v>132</v>
      </c>
      <c r="E16" s="45" t="s">
        <v>133</v>
      </c>
      <c r="F16" s="45" t="s">
        <v>134</v>
      </c>
      <c r="G16" s="99" t="s">
        <v>135</v>
      </c>
      <c r="H16" s="655" t="s">
        <v>120</v>
      </c>
    </row>
    <row r="17" spans="2:10" s="118" customFormat="1" ht="13.5" thickTop="1" x14ac:dyDescent="0.25">
      <c r="B17" s="48" t="s">
        <v>59</v>
      </c>
      <c r="C17" s="121">
        <v>2030682.23</v>
      </c>
      <c r="D17" s="121">
        <v>65051.23</v>
      </c>
      <c r="E17" s="121">
        <v>13843.5</v>
      </c>
      <c r="F17" s="121">
        <v>393465.8</v>
      </c>
      <c r="G17" s="652">
        <v>101823.05</v>
      </c>
      <c r="H17" s="656">
        <f t="shared" ref="H17:H26" si="0">C17+D17+E17+F17+G17</f>
        <v>2604865.8099999996</v>
      </c>
    </row>
    <row r="18" spans="2:10" s="118" customFormat="1" x14ac:dyDescent="0.25">
      <c r="B18" s="52" t="s">
        <v>60</v>
      </c>
      <c r="C18" s="122">
        <v>698135.86</v>
      </c>
      <c r="D18" s="122">
        <v>23199.89</v>
      </c>
      <c r="E18" s="122">
        <v>4922.74</v>
      </c>
      <c r="F18" s="122">
        <v>133800.4</v>
      </c>
      <c r="G18" s="653">
        <v>35746.68</v>
      </c>
      <c r="H18" s="657">
        <f t="shared" si="0"/>
        <v>895805.57000000007</v>
      </c>
    </row>
    <row r="19" spans="2:10" s="118" customFormat="1" x14ac:dyDescent="0.25">
      <c r="B19" s="52" t="s">
        <v>61</v>
      </c>
      <c r="C19" s="122">
        <f>SUM(C20:C25)</f>
        <v>618251.39</v>
      </c>
      <c r="D19" s="122">
        <f t="shared" ref="D19:G19" si="1">SUM(D20:D25)</f>
        <v>13563.12</v>
      </c>
      <c r="E19" s="122">
        <f t="shared" si="1"/>
        <v>1017.24</v>
      </c>
      <c r="F19" s="122">
        <f t="shared" si="1"/>
        <v>335774.91</v>
      </c>
      <c r="G19" s="653">
        <f t="shared" si="1"/>
        <v>72495.87000000001</v>
      </c>
      <c r="H19" s="657">
        <f t="shared" si="0"/>
        <v>1041102.5299999999</v>
      </c>
    </row>
    <row r="20" spans="2:10" s="118" customFormat="1" x14ac:dyDescent="0.25">
      <c r="B20" s="55" t="s">
        <v>62</v>
      </c>
      <c r="C20" s="123">
        <v>309083.74</v>
      </c>
      <c r="D20" s="123">
        <v>4838.7</v>
      </c>
      <c r="E20" s="123">
        <v>620</v>
      </c>
      <c r="F20" s="123">
        <v>372</v>
      </c>
      <c r="G20" s="654">
        <v>719.2</v>
      </c>
      <c r="H20" s="658">
        <f t="shared" si="0"/>
        <v>315633.64</v>
      </c>
    </row>
    <row r="21" spans="2:10" s="118" customFormat="1" x14ac:dyDescent="0.25">
      <c r="B21" s="55" t="s">
        <v>63</v>
      </c>
      <c r="C21" s="123">
        <v>141531.45000000001</v>
      </c>
      <c r="D21" s="123">
        <v>5962.16</v>
      </c>
      <c r="E21" s="123">
        <v>254.51</v>
      </c>
      <c r="F21" s="123">
        <v>287328.81</v>
      </c>
      <c r="G21" s="654">
        <v>20313.95</v>
      </c>
      <c r="H21" s="658">
        <f t="shared" si="0"/>
        <v>455390.88000000006</v>
      </c>
    </row>
    <row r="22" spans="2:10" s="118" customFormat="1" x14ac:dyDescent="0.25">
      <c r="B22" s="55" t="s">
        <v>64</v>
      </c>
      <c r="C22" s="123">
        <v>0</v>
      </c>
      <c r="D22" s="123">
        <v>0</v>
      </c>
      <c r="E22" s="123">
        <v>0</v>
      </c>
      <c r="F22" s="123">
        <v>0</v>
      </c>
      <c r="G22" s="654">
        <v>1906.65</v>
      </c>
      <c r="H22" s="658">
        <f t="shared" si="0"/>
        <v>1906.65</v>
      </c>
    </row>
    <row r="23" spans="2:10" s="118" customFormat="1" x14ac:dyDescent="0.25">
      <c r="B23" s="55" t="s">
        <v>65</v>
      </c>
      <c r="C23" s="123">
        <v>94178.68</v>
      </c>
      <c r="D23" s="123">
        <v>569.01</v>
      </c>
      <c r="E23" s="123">
        <v>0</v>
      </c>
      <c r="F23" s="123">
        <v>34330.120000000003</v>
      </c>
      <c r="G23" s="654">
        <v>0</v>
      </c>
      <c r="H23" s="658">
        <f t="shared" si="0"/>
        <v>129077.81</v>
      </c>
    </row>
    <row r="24" spans="2:10" s="118" customFormat="1" x14ac:dyDescent="0.25">
      <c r="B24" s="55" t="s">
        <v>66</v>
      </c>
      <c r="C24" s="123">
        <v>16424.759999999998</v>
      </c>
      <c r="D24" s="123">
        <v>0</v>
      </c>
      <c r="E24" s="123">
        <v>0</v>
      </c>
      <c r="F24" s="123">
        <v>0</v>
      </c>
      <c r="G24" s="654">
        <v>2821.56</v>
      </c>
      <c r="H24" s="658">
        <f t="shared" si="0"/>
        <v>19246.32</v>
      </c>
    </row>
    <row r="25" spans="2:10" s="118" customFormat="1" x14ac:dyDescent="0.25">
      <c r="B25" s="55" t="s">
        <v>67</v>
      </c>
      <c r="C25" s="123">
        <v>57032.76</v>
      </c>
      <c r="D25" s="123">
        <v>2193.25</v>
      </c>
      <c r="E25" s="123">
        <v>142.72999999999999</v>
      </c>
      <c r="F25" s="123">
        <v>13743.98</v>
      </c>
      <c r="G25" s="654">
        <v>46734.51</v>
      </c>
      <c r="H25" s="658">
        <f t="shared" si="0"/>
        <v>119847.23000000001</v>
      </c>
    </row>
    <row r="26" spans="2:10" ht="13.5" thickBot="1" x14ac:dyDescent="0.25">
      <c r="B26" s="95" t="s">
        <v>68</v>
      </c>
      <c r="C26" s="96">
        <v>24360.93</v>
      </c>
      <c r="D26" s="96">
        <v>4095</v>
      </c>
      <c r="E26" s="96">
        <v>0</v>
      </c>
      <c r="F26" s="96">
        <v>2146.34</v>
      </c>
      <c r="G26" s="107">
        <v>607.95000000000005</v>
      </c>
      <c r="H26" s="108">
        <f t="shared" si="0"/>
        <v>31210.22</v>
      </c>
    </row>
    <row r="27" spans="2:10" ht="22.5" customHeight="1" thickTop="1" thickBot="1" x14ac:dyDescent="0.25">
      <c r="B27" s="97" t="s">
        <v>69</v>
      </c>
      <c r="C27" s="659">
        <f>C17+C18+C19+C26</f>
        <v>3371430.41</v>
      </c>
      <c r="D27" s="659">
        <f>D17+D18+D19+D26</f>
        <v>105909.23999999999</v>
      </c>
      <c r="E27" s="659">
        <f>E17+E18+E19+E26</f>
        <v>19783.48</v>
      </c>
      <c r="F27" s="659">
        <f>F17+F18+F19+F26</f>
        <v>865187.44999999984</v>
      </c>
      <c r="G27" s="660">
        <f>G17+G18+G19+G26</f>
        <v>210673.55000000005</v>
      </c>
      <c r="H27" s="661">
        <f>G27+F27+E27+D27+C27</f>
        <v>4572984.13</v>
      </c>
      <c r="J27" s="124"/>
    </row>
    <row r="29" spans="2:10" x14ac:dyDescent="0.2">
      <c r="C29" s="124"/>
      <c r="D29" s="124"/>
      <c r="E29" s="124"/>
      <c r="F29" s="124"/>
      <c r="G29" s="124"/>
    </row>
    <row r="31" spans="2:10" x14ac:dyDescent="0.2">
      <c r="H31" s="124"/>
    </row>
    <row r="32" spans="2:10" x14ac:dyDescent="0.2">
      <c r="H32" s="124"/>
    </row>
  </sheetData>
  <mergeCells count="10">
    <mergeCell ref="B9:D9"/>
    <mergeCell ref="B10:D10"/>
    <mergeCell ref="B12:D12"/>
    <mergeCell ref="B2:H2"/>
    <mergeCell ref="B4:E4"/>
    <mergeCell ref="B5:D5"/>
    <mergeCell ref="B6:D6"/>
    <mergeCell ref="B7:D7"/>
    <mergeCell ref="B8:D8"/>
    <mergeCell ref="B11:D11"/>
  </mergeCells>
  <pageMargins left="0.59055118110236182" right="0.27559055118110198" top="0.98425196850393704" bottom="0.98425196850393704" header="0.511811023622047" footer="0.511811023622047"/>
  <pageSetup paperSize="9" scale="9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K84"/>
  <sheetViews>
    <sheetView workbookViewId="0"/>
  </sheetViews>
  <sheetFormatPr defaultRowHeight="12.75" x14ac:dyDescent="0.2"/>
  <cols>
    <col min="1" max="1" width="9.42578125" style="125" customWidth="1"/>
    <col min="2" max="2" width="16.42578125" style="125" customWidth="1"/>
    <col min="3" max="3" width="10.140625" style="125" customWidth="1"/>
    <col min="4" max="4" width="9.5703125" style="125" customWidth="1"/>
    <col min="5" max="5" width="9.28515625" style="125" customWidth="1"/>
    <col min="6" max="6" width="8.42578125" style="125" customWidth="1"/>
    <col min="7" max="7" width="9.5703125" style="125" customWidth="1"/>
    <col min="8" max="8" width="9.85546875" style="125" customWidth="1"/>
    <col min="9" max="9" width="9.28515625" style="125" customWidth="1"/>
    <col min="10" max="10" width="10" style="125" customWidth="1"/>
    <col min="11" max="248" width="9.42578125" style="125" customWidth="1"/>
    <col min="249" max="249" width="16.42578125" style="125" customWidth="1"/>
    <col min="250" max="250" width="10.140625" style="125" customWidth="1"/>
    <col min="251" max="251" width="8.42578125" style="125" customWidth="1"/>
    <col min="252" max="252" width="10" style="125" customWidth="1"/>
    <col min="253" max="253" width="8.42578125" style="125" customWidth="1"/>
    <col min="254" max="254" width="11" style="125" customWidth="1"/>
    <col min="255" max="255" width="9" style="125" customWidth="1"/>
    <col min="256" max="256" width="11.42578125" style="125" customWidth="1"/>
    <col min="257" max="257" width="12" style="125" customWidth="1"/>
    <col min="258" max="504" width="9.42578125" style="125" customWidth="1"/>
    <col min="505" max="505" width="16.42578125" style="125" customWidth="1"/>
    <col min="506" max="506" width="10.140625" style="125" customWidth="1"/>
    <col min="507" max="507" width="8.42578125" style="125" customWidth="1"/>
    <col min="508" max="508" width="10" style="125" customWidth="1"/>
    <col min="509" max="509" width="8.42578125" style="125" customWidth="1"/>
    <col min="510" max="510" width="11" style="125" customWidth="1"/>
    <col min="511" max="511" width="9" style="125" customWidth="1"/>
    <col min="512" max="512" width="11.42578125" style="125" customWidth="1"/>
    <col min="513" max="513" width="12" style="125" customWidth="1"/>
    <col min="514" max="760" width="9.42578125" style="125" customWidth="1"/>
    <col min="761" max="761" width="16.42578125" style="125" customWidth="1"/>
    <col min="762" max="762" width="10.140625" style="125" customWidth="1"/>
    <col min="763" max="763" width="8.42578125" style="125" customWidth="1"/>
    <col min="764" max="764" width="10" style="125" customWidth="1"/>
    <col min="765" max="765" width="8.42578125" style="125" customWidth="1"/>
    <col min="766" max="766" width="11" style="125" customWidth="1"/>
    <col min="767" max="767" width="9" style="125" customWidth="1"/>
    <col min="768" max="768" width="11.42578125" style="125" customWidth="1"/>
    <col min="769" max="769" width="12" style="125" customWidth="1"/>
    <col min="770" max="1016" width="9.42578125" style="125" customWidth="1"/>
    <col min="1017" max="1017" width="16.42578125" style="125" customWidth="1"/>
    <col min="1018" max="1018" width="10.140625" style="125" customWidth="1"/>
    <col min="1019" max="1019" width="8.42578125" style="125" customWidth="1"/>
    <col min="1020" max="1020" width="10" style="125" customWidth="1"/>
    <col min="1021" max="1021" width="8.42578125" style="125" customWidth="1"/>
    <col min="1022" max="1022" width="11" style="125" customWidth="1"/>
    <col min="1023" max="1023" width="9" style="125" customWidth="1"/>
    <col min="1024" max="1024" width="11.42578125" style="125" customWidth="1"/>
    <col min="1025" max="1025" width="12" style="125" customWidth="1"/>
    <col min="1026" max="1272" width="9.42578125" style="125" customWidth="1"/>
    <col min="1273" max="1273" width="16.42578125" style="125" customWidth="1"/>
    <col min="1274" max="1274" width="10.140625" style="125" customWidth="1"/>
    <col min="1275" max="1275" width="8.42578125" style="125" customWidth="1"/>
    <col min="1276" max="1276" width="10" style="125" customWidth="1"/>
    <col min="1277" max="1277" width="8.42578125" style="125" customWidth="1"/>
    <col min="1278" max="1278" width="11" style="125" customWidth="1"/>
    <col min="1279" max="1279" width="9" style="125" customWidth="1"/>
    <col min="1280" max="1280" width="11.42578125" style="125" customWidth="1"/>
    <col min="1281" max="1281" width="12" style="125" customWidth="1"/>
    <col min="1282" max="1528" width="9.42578125" style="125" customWidth="1"/>
    <col min="1529" max="1529" width="16.42578125" style="125" customWidth="1"/>
    <col min="1530" max="1530" width="10.140625" style="125" customWidth="1"/>
    <col min="1531" max="1531" width="8.42578125" style="125" customWidth="1"/>
    <col min="1532" max="1532" width="10" style="125" customWidth="1"/>
    <col min="1533" max="1533" width="8.42578125" style="125" customWidth="1"/>
    <col min="1534" max="1534" width="11" style="125" customWidth="1"/>
    <col min="1535" max="1535" width="9" style="125" customWidth="1"/>
    <col min="1536" max="1536" width="11.42578125" style="125" customWidth="1"/>
    <col min="1537" max="1537" width="12" style="125" customWidth="1"/>
    <col min="1538" max="1784" width="9.42578125" style="125" customWidth="1"/>
    <col min="1785" max="1785" width="16.42578125" style="125" customWidth="1"/>
    <col min="1786" max="1786" width="10.140625" style="125" customWidth="1"/>
    <col min="1787" max="1787" width="8.42578125" style="125" customWidth="1"/>
    <col min="1788" max="1788" width="10" style="125" customWidth="1"/>
    <col min="1789" max="1789" width="8.42578125" style="125" customWidth="1"/>
    <col min="1790" max="1790" width="11" style="125" customWidth="1"/>
    <col min="1791" max="1791" width="9" style="125" customWidth="1"/>
    <col min="1792" max="1792" width="11.42578125" style="125" customWidth="1"/>
    <col min="1793" max="1793" width="12" style="125" customWidth="1"/>
    <col min="1794" max="2040" width="9.42578125" style="125" customWidth="1"/>
    <col min="2041" max="2041" width="16.42578125" style="125" customWidth="1"/>
    <col min="2042" max="2042" width="10.140625" style="125" customWidth="1"/>
    <col min="2043" max="2043" width="8.42578125" style="125" customWidth="1"/>
    <col min="2044" max="2044" width="10" style="125" customWidth="1"/>
    <col min="2045" max="2045" width="8.42578125" style="125" customWidth="1"/>
    <col min="2046" max="2046" width="11" style="125" customWidth="1"/>
    <col min="2047" max="2047" width="9" style="125" customWidth="1"/>
    <col min="2048" max="2048" width="11.42578125" style="125" customWidth="1"/>
    <col min="2049" max="2049" width="12" style="125" customWidth="1"/>
    <col min="2050" max="2296" width="9.42578125" style="125" customWidth="1"/>
    <col min="2297" max="2297" width="16.42578125" style="125" customWidth="1"/>
    <col min="2298" max="2298" width="10.140625" style="125" customWidth="1"/>
    <col min="2299" max="2299" width="8.42578125" style="125" customWidth="1"/>
    <col min="2300" max="2300" width="10" style="125" customWidth="1"/>
    <col min="2301" max="2301" width="8.42578125" style="125" customWidth="1"/>
    <col min="2302" max="2302" width="11" style="125" customWidth="1"/>
    <col min="2303" max="2303" width="9" style="125" customWidth="1"/>
    <col min="2304" max="2304" width="11.42578125" style="125" customWidth="1"/>
    <col min="2305" max="2305" width="12" style="125" customWidth="1"/>
    <col min="2306" max="2552" width="9.42578125" style="125" customWidth="1"/>
    <col min="2553" max="2553" width="16.42578125" style="125" customWidth="1"/>
    <col min="2554" max="2554" width="10.140625" style="125" customWidth="1"/>
    <col min="2555" max="2555" width="8.42578125" style="125" customWidth="1"/>
    <col min="2556" max="2556" width="10" style="125" customWidth="1"/>
    <col min="2557" max="2557" width="8.42578125" style="125" customWidth="1"/>
    <col min="2558" max="2558" width="11" style="125" customWidth="1"/>
    <col min="2559" max="2559" width="9" style="125" customWidth="1"/>
    <col min="2560" max="2560" width="11.42578125" style="125" customWidth="1"/>
    <col min="2561" max="2561" width="12" style="125" customWidth="1"/>
    <col min="2562" max="2808" width="9.42578125" style="125" customWidth="1"/>
    <col min="2809" max="2809" width="16.42578125" style="125" customWidth="1"/>
    <col min="2810" max="2810" width="10.140625" style="125" customWidth="1"/>
    <col min="2811" max="2811" width="8.42578125" style="125" customWidth="1"/>
    <col min="2812" max="2812" width="10" style="125" customWidth="1"/>
    <col min="2813" max="2813" width="8.42578125" style="125" customWidth="1"/>
    <col min="2814" max="2814" width="11" style="125" customWidth="1"/>
    <col min="2815" max="2815" width="9" style="125" customWidth="1"/>
    <col min="2816" max="2816" width="11.42578125" style="125" customWidth="1"/>
    <col min="2817" max="2817" width="12" style="125" customWidth="1"/>
    <col min="2818" max="3064" width="9.42578125" style="125" customWidth="1"/>
    <col min="3065" max="3065" width="16.42578125" style="125" customWidth="1"/>
    <col min="3066" max="3066" width="10.140625" style="125" customWidth="1"/>
    <col min="3067" max="3067" width="8.42578125" style="125" customWidth="1"/>
    <col min="3068" max="3068" width="10" style="125" customWidth="1"/>
    <col min="3069" max="3069" width="8.42578125" style="125" customWidth="1"/>
    <col min="3070" max="3070" width="11" style="125" customWidth="1"/>
    <col min="3071" max="3071" width="9" style="125" customWidth="1"/>
    <col min="3072" max="3072" width="11.42578125" style="125" customWidth="1"/>
    <col min="3073" max="3073" width="12" style="125" customWidth="1"/>
    <col min="3074" max="3320" width="9.42578125" style="125" customWidth="1"/>
    <col min="3321" max="3321" width="16.42578125" style="125" customWidth="1"/>
    <col min="3322" max="3322" width="10.140625" style="125" customWidth="1"/>
    <col min="3323" max="3323" width="8.42578125" style="125" customWidth="1"/>
    <col min="3324" max="3324" width="10" style="125" customWidth="1"/>
    <col min="3325" max="3325" width="8.42578125" style="125" customWidth="1"/>
    <col min="3326" max="3326" width="11" style="125" customWidth="1"/>
    <col min="3327" max="3327" width="9" style="125" customWidth="1"/>
    <col min="3328" max="3328" width="11.42578125" style="125" customWidth="1"/>
    <col min="3329" max="3329" width="12" style="125" customWidth="1"/>
    <col min="3330" max="3576" width="9.42578125" style="125" customWidth="1"/>
    <col min="3577" max="3577" width="16.42578125" style="125" customWidth="1"/>
    <col min="3578" max="3578" width="10.140625" style="125" customWidth="1"/>
    <col min="3579" max="3579" width="8.42578125" style="125" customWidth="1"/>
    <col min="3580" max="3580" width="10" style="125" customWidth="1"/>
    <col min="3581" max="3581" width="8.42578125" style="125" customWidth="1"/>
    <col min="3582" max="3582" width="11" style="125" customWidth="1"/>
    <col min="3583" max="3583" width="9" style="125" customWidth="1"/>
    <col min="3584" max="3584" width="11.42578125" style="125" customWidth="1"/>
    <col min="3585" max="3585" width="12" style="125" customWidth="1"/>
    <col min="3586" max="3832" width="9.42578125" style="125" customWidth="1"/>
    <col min="3833" max="3833" width="16.42578125" style="125" customWidth="1"/>
    <col min="3834" max="3834" width="10.140625" style="125" customWidth="1"/>
    <col min="3835" max="3835" width="8.42578125" style="125" customWidth="1"/>
    <col min="3836" max="3836" width="10" style="125" customWidth="1"/>
    <col min="3837" max="3837" width="8.42578125" style="125" customWidth="1"/>
    <col min="3838" max="3838" width="11" style="125" customWidth="1"/>
    <col min="3839" max="3839" width="9" style="125" customWidth="1"/>
    <col min="3840" max="3840" width="11.42578125" style="125" customWidth="1"/>
    <col min="3841" max="3841" width="12" style="125" customWidth="1"/>
    <col min="3842" max="4088" width="9.42578125" style="125" customWidth="1"/>
    <col min="4089" max="4089" width="16.42578125" style="125" customWidth="1"/>
    <col min="4090" max="4090" width="10.140625" style="125" customWidth="1"/>
    <col min="4091" max="4091" width="8.42578125" style="125" customWidth="1"/>
    <col min="4092" max="4092" width="10" style="125" customWidth="1"/>
    <col min="4093" max="4093" width="8.42578125" style="125" customWidth="1"/>
    <col min="4094" max="4094" width="11" style="125" customWidth="1"/>
    <col min="4095" max="4095" width="9" style="125" customWidth="1"/>
    <col min="4096" max="4096" width="11.42578125" style="125" customWidth="1"/>
    <col min="4097" max="4097" width="12" style="125" customWidth="1"/>
    <col min="4098" max="4344" width="9.42578125" style="125" customWidth="1"/>
    <col min="4345" max="4345" width="16.42578125" style="125" customWidth="1"/>
    <col min="4346" max="4346" width="10.140625" style="125" customWidth="1"/>
    <col min="4347" max="4347" width="8.42578125" style="125" customWidth="1"/>
    <col min="4348" max="4348" width="10" style="125" customWidth="1"/>
    <col min="4349" max="4349" width="8.42578125" style="125" customWidth="1"/>
    <col min="4350" max="4350" width="11" style="125" customWidth="1"/>
    <col min="4351" max="4351" width="9" style="125" customWidth="1"/>
    <col min="4352" max="4352" width="11.42578125" style="125" customWidth="1"/>
    <col min="4353" max="4353" width="12" style="125" customWidth="1"/>
    <col min="4354" max="4600" width="9.42578125" style="125" customWidth="1"/>
    <col min="4601" max="4601" width="16.42578125" style="125" customWidth="1"/>
    <col min="4602" max="4602" width="10.140625" style="125" customWidth="1"/>
    <col min="4603" max="4603" width="8.42578125" style="125" customWidth="1"/>
    <col min="4604" max="4604" width="10" style="125" customWidth="1"/>
    <col min="4605" max="4605" width="8.42578125" style="125" customWidth="1"/>
    <col min="4606" max="4606" width="11" style="125" customWidth="1"/>
    <col min="4607" max="4607" width="9" style="125" customWidth="1"/>
    <col min="4608" max="4608" width="11.42578125" style="125" customWidth="1"/>
    <col min="4609" max="4609" width="12" style="125" customWidth="1"/>
    <col min="4610" max="4856" width="9.42578125" style="125" customWidth="1"/>
    <col min="4857" max="4857" width="16.42578125" style="125" customWidth="1"/>
    <col min="4858" max="4858" width="10.140625" style="125" customWidth="1"/>
    <col min="4859" max="4859" width="8.42578125" style="125" customWidth="1"/>
    <col min="4860" max="4860" width="10" style="125" customWidth="1"/>
    <col min="4861" max="4861" width="8.42578125" style="125" customWidth="1"/>
    <col min="4862" max="4862" width="11" style="125" customWidth="1"/>
    <col min="4863" max="4863" width="9" style="125" customWidth="1"/>
    <col min="4864" max="4864" width="11.42578125" style="125" customWidth="1"/>
    <col min="4865" max="4865" width="12" style="125" customWidth="1"/>
    <col min="4866" max="5112" width="9.42578125" style="125" customWidth="1"/>
    <col min="5113" max="5113" width="16.42578125" style="125" customWidth="1"/>
    <col min="5114" max="5114" width="10.140625" style="125" customWidth="1"/>
    <col min="5115" max="5115" width="8.42578125" style="125" customWidth="1"/>
    <col min="5116" max="5116" width="10" style="125" customWidth="1"/>
    <col min="5117" max="5117" width="8.42578125" style="125" customWidth="1"/>
    <col min="5118" max="5118" width="11" style="125" customWidth="1"/>
    <col min="5119" max="5119" width="9" style="125" customWidth="1"/>
    <col min="5120" max="5120" width="11.42578125" style="125" customWidth="1"/>
    <col min="5121" max="5121" width="12" style="125" customWidth="1"/>
    <col min="5122" max="5368" width="9.42578125" style="125" customWidth="1"/>
    <col min="5369" max="5369" width="16.42578125" style="125" customWidth="1"/>
    <col min="5370" max="5370" width="10.140625" style="125" customWidth="1"/>
    <col min="5371" max="5371" width="8.42578125" style="125" customWidth="1"/>
    <col min="5372" max="5372" width="10" style="125" customWidth="1"/>
    <col min="5373" max="5373" width="8.42578125" style="125" customWidth="1"/>
    <col min="5374" max="5374" width="11" style="125" customWidth="1"/>
    <col min="5375" max="5375" width="9" style="125" customWidth="1"/>
    <col min="5376" max="5376" width="11.42578125" style="125" customWidth="1"/>
    <col min="5377" max="5377" width="12" style="125" customWidth="1"/>
    <col min="5378" max="5624" width="9.42578125" style="125" customWidth="1"/>
    <col min="5625" max="5625" width="16.42578125" style="125" customWidth="1"/>
    <col min="5626" max="5626" width="10.140625" style="125" customWidth="1"/>
    <col min="5627" max="5627" width="8.42578125" style="125" customWidth="1"/>
    <col min="5628" max="5628" width="10" style="125" customWidth="1"/>
    <col min="5629" max="5629" width="8.42578125" style="125" customWidth="1"/>
    <col min="5630" max="5630" width="11" style="125" customWidth="1"/>
    <col min="5631" max="5631" width="9" style="125" customWidth="1"/>
    <col min="5632" max="5632" width="11.42578125" style="125" customWidth="1"/>
    <col min="5633" max="5633" width="12" style="125" customWidth="1"/>
    <col min="5634" max="5880" width="9.42578125" style="125" customWidth="1"/>
    <col min="5881" max="5881" width="16.42578125" style="125" customWidth="1"/>
    <col min="5882" max="5882" width="10.140625" style="125" customWidth="1"/>
    <col min="5883" max="5883" width="8.42578125" style="125" customWidth="1"/>
    <col min="5884" max="5884" width="10" style="125" customWidth="1"/>
    <col min="5885" max="5885" width="8.42578125" style="125" customWidth="1"/>
    <col min="5886" max="5886" width="11" style="125" customWidth="1"/>
    <col min="5887" max="5887" width="9" style="125" customWidth="1"/>
    <col min="5888" max="5888" width="11.42578125" style="125" customWidth="1"/>
    <col min="5889" max="5889" width="12" style="125" customWidth="1"/>
    <col min="5890" max="6136" width="9.42578125" style="125" customWidth="1"/>
    <col min="6137" max="6137" width="16.42578125" style="125" customWidth="1"/>
    <col min="6138" max="6138" width="10.140625" style="125" customWidth="1"/>
    <col min="6139" max="6139" width="8.42578125" style="125" customWidth="1"/>
    <col min="6140" max="6140" width="10" style="125" customWidth="1"/>
    <col min="6141" max="6141" width="8.42578125" style="125" customWidth="1"/>
    <col min="6142" max="6142" width="11" style="125" customWidth="1"/>
    <col min="6143" max="6143" width="9" style="125" customWidth="1"/>
    <col min="6144" max="6144" width="11.42578125" style="125" customWidth="1"/>
    <col min="6145" max="6145" width="12" style="125" customWidth="1"/>
    <col min="6146" max="6392" width="9.42578125" style="125" customWidth="1"/>
    <col min="6393" max="6393" width="16.42578125" style="125" customWidth="1"/>
    <col min="6394" max="6394" width="10.140625" style="125" customWidth="1"/>
    <col min="6395" max="6395" width="8.42578125" style="125" customWidth="1"/>
    <col min="6396" max="6396" width="10" style="125" customWidth="1"/>
    <col min="6397" max="6397" width="8.42578125" style="125" customWidth="1"/>
    <col min="6398" max="6398" width="11" style="125" customWidth="1"/>
    <col min="6399" max="6399" width="9" style="125" customWidth="1"/>
    <col min="6400" max="6400" width="11.42578125" style="125" customWidth="1"/>
    <col min="6401" max="6401" width="12" style="125" customWidth="1"/>
    <col min="6402" max="6648" width="9.42578125" style="125" customWidth="1"/>
    <col min="6649" max="6649" width="16.42578125" style="125" customWidth="1"/>
    <col min="6650" max="6650" width="10.140625" style="125" customWidth="1"/>
    <col min="6651" max="6651" width="8.42578125" style="125" customWidth="1"/>
    <col min="6652" max="6652" width="10" style="125" customWidth="1"/>
    <col min="6653" max="6653" width="8.42578125" style="125" customWidth="1"/>
    <col min="6654" max="6654" width="11" style="125" customWidth="1"/>
    <col min="6655" max="6655" width="9" style="125" customWidth="1"/>
    <col min="6656" max="6656" width="11.42578125" style="125" customWidth="1"/>
    <col min="6657" max="6657" width="12" style="125" customWidth="1"/>
    <col min="6658" max="6904" width="9.42578125" style="125" customWidth="1"/>
    <col min="6905" max="6905" width="16.42578125" style="125" customWidth="1"/>
    <col min="6906" max="6906" width="10.140625" style="125" customWidth="1"/>
    <col min="6907" max="6907" width="8.42578125" style="125" customWidth="1"/>
    <col min="6908" max="6908" width="10" style="125" customWidth="1"/>
    <col min="6909" max="6909" width="8.42578125" style="125" customWidth="1"/>
    <col min="6910" max="6910" width="11" style="125" customWidth="1"/>
    <col min="6911" max="6911" width="9" style="125" customWidth="1"/>
    <col min="6912" max="6912" width="11.42578125" style="125" customWidth="1"/>
    <col min="6913" max="6913" width="12" style="125" customWidth="1"/>
    <col min="6914" max="7160" width="9.42578125" style="125" customWidth="1"/>
    <col min="7161" max="7161" width="16.42578125" style="125" customWidth="1"/>
    <col min="7162" max="7162" width="10.140625" style="125" customWidth="1"/>
    <col min="7163" max="7163" width="8.42578125" style="125" customWidth="1"/>
    <col min="7164" max="7164" width="10" style="125" customWidth="1"/>
    <col min="7165" max="7165" width="8.42578125" style="125" customWidth="1"/>
    <col min="7166" max="7166" width="11" style="125" customWidth="1"/>
    <col min="7167" max="7167" width="9" style="125" customWidth="1"/>
    <col min="7168" max="7168" width="11.42578125" style="125" customWidth="1"/>
    <col min="7169" max="7169" width="12" style="125" customWidth="1"/>
    <col min="7170" max="7416" width="9.42578125" style="125" customWidth="1"/>
    <col min="7417" max="7417" width="16.42578125" style="125" customWidth="1"/>
    <col min="7418" max="7418" width="10.140625" style="125" customWidth="1"/>
    <col min="7419" max="7419" width="8.42578125" style="125" customWidth="1"/>
    <col min="7420" max="7420" width="10" style="125" customWidth="1"/>
    <col min="7421" max="7421" width="8.42578125" style="125" customWidth="1"/>
    <col min="7422" max="7422" width="11" style="125" customWidth="1"/>
    <col min="7423" max="7423" width="9" style="125" customWidth="1"/>
    <col min="7424" max="7424" width="11.42578125" style="125" customWidth="1"/>
    <col min="7425" max="7425" width="12" style="125" customWidth="1"/>
    <col min="7426" max="7672" width="9.42578125" style="125" customWidth="1"/>
    <col min="7673" max="7673" width="16.42578125" style="125" customWidth="1"/>
    <col min="7674" max="7674" width="10.140625" style="125" customWidth="1"/>
    <col min="7675" max="7675" width="8.42578125" style="125" customWidth="1"/>
    <col min="7676" max="7676" width="10" style="125" customWidth="1"/>
    <col min="7677" max="7677" width="8.42578125" style="125" customWidth="1"/>
    <col min="7678" max="7678" width="11" style="125" customWidth="1"/>
    <col min="7679" max="7679" width="9" style="125" customWidth="1"/>
    <col min="7680" max="7680" width="11.42578125" style="125" customWidth="1"/>
    <col min="7681" max="7681" width="12" style="125" customWidth="1"/>
    <col min="7682" max="7928" width="9.42578125" style="125" customWidth="1"/>
    <col min="7929" max="7929" width="16.42578125" style="125" customWidth="1"/>
    <col min="7930" max="7930" width="10.140625" style="125" customWidth="1"/>
    <col min="7931" max="7931" width="8.42578125" style="125" customWidth="1"/>
    <col min="7932" max="7932" width="10" style="125" customWidth="1"/>
    <col min="7933" max="7933" width="8.42578125" style="125" customWidth="1"/>
    <col min="7934" max="7934" width="11" style="125" customWidth="1"/>
    <col min="7935" max="7935" width="9" style="125" customWidth="1"/>
    <col min="7936" max="7936" width="11.42578125" style="125" customWidth="1"/>
    <col min="7937" max="7937" width="12" style="125" customWidth="1"/>
    <col min="7938" max="8184" width="9.42578125" style="125" customWidth="1"/>
    <col min="8185" max="8185" width="16.42578125" style="125" customWidth="1"/>
    <col min="8186" max="8186" width="10.140625" style="125" customWidth="1"/>
    <col min="8187" max="8187" width="8.42578125" style="125" customWidth="1"/>
    <col min="8188" max="8188" width="10" style="125" customWidth="1"/>
    <col min="8189" max="8189" width="8.42578125" style="125" customWidth="1"/>
    <col min="8190" max="8190" width="11" style="125" customWidth="1"/>
    <col min="8191" max="8191" width="9" style="125" customWidth="1"/>
    <col min="8192" max="8192" width="11.42578125" style="125" customWidth="1"/>
    <col min="8193" max="8193" width="12" style="125" customWidth="1"/>
    <col min="8194" max="8440" width="9.42578125" style="125" customWidth="1"/>
    <col min="8441" max="8441" width="16.42578125" style="125" customWidth="1"/>
    <col min="8442" max="8442" width="10.140625" style="125" customWidth="1"/>
    <col min="8443" max="8443" width="8.42578125" style="125" customWidth="1"/>
    <col min="8444" max="8444" width="10" style="125" customWidth="1"/>
    <col min="8445" max="8445" width="8.42578125" style="125" customWidth="1"/>
    <col min="8446" max="8446" width="11" style="125" customWidth="1"/>
    <col min="8447" max="8447" width="9" style="125" customWidth="1"/>
    <col min="8448" max="8448" width="11.42578125" style="125" customWidth="1"/>
    <col min="8449" max="8449" width="12" style="125" customWidth="1"/>
    <col min="8450" max="8696" width="9.42578125" style="125" customWidth="1"/>
    <col min="8697" max="8697" width="16.42578125" style="125" customWidth="1"/>
    <col min="8698" max="8698" width="10.140625" style="125" customWidth="1"/>
    <col min="8699" max="8699" width="8.42578125" style="125" customWidth="1"/>
    <col min="8700" max="8700" width="10" style="125" customWidth="1"/>
    <col min="8701" max="8701" width="8.42578125" style="125" customWidth="1"/>
    <col min="8702" max="8702" width="11" style="125" customWidth="1"/>
    <col min="8703" max="8703" width="9" style="125" customWidth="1"/>
    <col min="8704" max="8704" width="11.42578125" style="125" customWidth="1"/>
    <col min="8705" max="8705" width="12" style="125" customWidth="1"/>
    <col min="8706" max="8952" width="9.42578125" style="125" customWidth="1"/>
    <col min="8953" max="8953" width="16.42578125" style="125" customWidth="1"/>
    <col min="8954" max="8954" width="10.140625" style="125" customWidth="1"/>
    <col min="8955" max="8955" width="8.42578125" style="125" customWidth="1"/>
    <col min="8956" max="8956" width="10" style="125" customWidth="1"/>
    <col min="8957" max="8957" width="8.42578125" style="125" customWidth="1"/>
    <col min="8958" max="8958" width="11" style="125" customWidth="1"/>
    <col min="8959" max="8959" width="9" style="125" customWidth="1"/>
    <col min="8960" max="8960" width="11.42578125" style="125" customWidth="1"/>
    <col min="8961" max="8961" width="12" style="125" customWidth="1"/>
    <col min="8962" max="9208" width="9.42578125" style="125" customWidth="1"/>
    <col min="9209" max="9209" width="16.42578125" style="125" customWidth="1"/>
    <col min="9210" max="9210" width="10.140625" style="125" customWidth="1"/>
    <col min="9211" max="9211" width="8.42578125" style="125" customWidth="1"/>
    <col min="9212" max="9212" width="10" style="125" customWidth="1"/>
    <col min="9213" max="9213" width="8.42578125" style="125" customWidth="1"/>
    <col min="9214" max="9214" width="11" style="125" customWidth="1"/>
    <col min="9215" max="9215" width="9" style="125" customWidth="1"/>
    <col min="9216" max="9216" width="11.42578125" style="125" customWidth="1"/>
    <col min="9217" max="9217" width="12" style="125" customWidth="1"/>
    <col min="9218" max="9464" width="9.42578125" style="125" customWidth="1"/>
    <col min="9465" max="9465" width="16.42578125" style="125" customWidth="1"/>
    <col min="9466" max="9466" width="10.140625" style="125" customWidth="1"/>
    <col min="9467" max="9467" width="8.42578125" style="125" customWidth="1"/>
    <col min="9468" max="9468" width="10" style="125" customWidth="1"/>
    <col min="9469" max="9469" width="8.42578125" style="125" customWidth="1"/>
    <col min="9470" max="9470" width="11" style="125" customWidth="1"/>
    <col min="9471" max="9471" width="9" style="125" customWidth="1"/>
    <col min="9472" max="9472" width="11.42578125" style="125" customWidth="1"/>
    <col min="9473" max="9473" width="12" style="125" customWidth="1"/>
    <col min="9474" max="9720" width="9.42578125" style="125" customWidth="1"/>
    <col min="9721" max="9721" width="16.42578125" style="125" customWidth="1"/>
    <col min="9722" max="9722" width="10.140625" style="125" customWidth="1"/>
    <col min="9723" max="9723" width="8.42578125" style="125" customWidth="1"/>
    <col min="9724" max="9724" width="10" style="125" customWidth="1"/>
    <col min="9725" max="9725" width="8.42578125" style="125" customWidth="1"/>
    <col min="9726" max="9726" width="11" style="125" customWidth="1"/>
    <col min="9727" max="9727" width="9" style="125" customWidth="1"/>
    <col min="9728" max="9728" width="11.42578125" style="125" customWidth="1"/>
    <col min="9729" max="9729" width="12" style="125" customWidth="1"/>
    <col min="9730" max="9976" width="9.42578125" style="125" customWidth="1"/>
    <col min="9977" max="9977" width="16.42578125" style="125" customWidth="1"/>
    <col min="9978" max="9978" width="10.140625" style="125" customWidth="1"/>
    <col min="9979" max="9979" width="8.42578125" style="125" customWidth="1"/>
    <col min="9980" max="9980" width="10" style="125" customWidth="1"/>
    <col min="9981" max="9981" width="8.42578125" style="125" customWidth="1"/>
    <col min="9982" max="9982" width="11" style="125" customWidth="1"/>
    <col min="9983" max="9983" width="9" style="125" customWidth="1"/>
    <col min="9984" max="9984" width="11.42578125" style="125" customWidth="1"/>
    <col min="9985" max="9985" width="12" style="125" customWidth="1"/>
    <col min="9986" max="10232" width="9.42578125" style="125" customWidth="1"/>
    <col min="10233" max="10233" width="16.42578125" style="125" customWidth="1"/>
    <col min="10234" max="10234" width="10.140625" style="125" customWidth="1"/>
    <col min="10235" max="10235" width="8.42578125" style="125" customWidth="1"/>
    <col min="10236" max="10236" width="10" style="125" customWidth="1"/>
    <col min="10237" max="10237" width="8.42578125" style="125" customWidth="1"/>
    <col min="10238" max="10238" width="11" style="125" customWidth="1"/>
    <col min="10239" max="10239" width="9" style="125" customWidth="1"/>
    <col min="10240" max="10240" width="11.42578125" style="125" customWidth="1"/>
    <col min="10241" max="10241" width="12" style="125" customWidth="1"/>
    <col min="10242" max="10488" width="9.42578125" style="125" customWidth="1"/>
    <col min="10489" max="10489" width="16.42578125" style="125" customWidth="1"/>
    <col min="10490" max="10490" width="10.140625" style="125" customWidth="1"/>
    <col min="10491" max="10491" width="8.42578125" style="125" customWidth="1"/>
    <col min="10492" max="10492" width="10" style="125" customWidth="1"/>
    <col min="10493" max="10493" width="8.42578125" style="125" customWidth="1"/>
    <col min="10494" max="10494" width="11" style="125" customWidth="1"/>
    <col min="10495" max="10495" width="9" style="125" customWidth="1"/>
    <col min="10496" max="10496" width="11.42578125" style="125" customWidth="1"/>
    <col min="10497" max="10497" width="12" style="125" customWidth="1"/>
    <col min="10498" max="10744" width="9.42578125" style="125" customWidth="1"/>
    <col min="10745" max="10745" width="16.42578125" style="125" customWidth="1"/>
    <col min="10746" max="10746" width="10.140625" style="125" customWidth="1"/>
    <col min="10747" max="10747" width="8.42578125" style="125" customWidth="1"/>
    <col min="10748" max="10748" width="10" style="125" customWidth="1"/>
    <col min="10749" max="10749" width="8.42578125" style="125" customWidth="1"/>
    <col min="10750" max="10750" width="11" style="125" customWidth="1"/>
    <col min="10751" max="10751" width="9" style="125" customWidth="1"/>
    <col min="10752" max="10752" width="11.42578125" style="125" customWidth="1"/>
    <col min="10753" max="10753" width="12" style="125" customWidth="1"/>
    <col min="10754" max="11000" width="9.42578125" style="125" customWidth="1"/>
    <col min="11001" max="11001" width="16.42578125" style="125" customWidth="1"/>
    <col min="11002" max="11002" width="10.140625" style="125" customWidth="1"/>
    <col min="11003" max="11003" width="8.42578125" style="125" customWidth="1"/>
    <col min="11004" max="11004" width="10" style="125" customWidth="1"/>
    <col min="11005" max="11005" width="8.42578125" style="125" customWidth="1"/>
    <col min="11006" max="11006" width="11" style="125" customWidth="1"/>
    <col min="11007" max="11007" width="9" style="125" customWidth="1"/>
    <col min="11008" max="11008" width="11.42578125" style="125" customWidth="1"/>
    <col min="11009" max="11009" width="12" style="125" customWidth="1"/>
    <col min="11010" max="11256" width="9.42578125" style="125" customWidth="1"/>
    <col min="11257" max="11257" width="16.42578125" style="125" customWidth="1"/>
    <col min="11258" max="11258" width="10.140625" style="125" customWidth="1"/>
    <col min="11259" max="11259" width="8.42578125" style="125" customWidth="1"/>
    <col min="11260" max="11260" width="10" style="125" customWidth="1"/>
    <col min="11261" max="11261" width="8.42578125" style="125" customWidth="1"/>
    <col min="11262" max="11262" width="11" style="125" customWidth="1"/>
    <col min="11263" max="11263" width="9" style="125" customWidth="1"/>
    <col min="11264" max="11264" width="11.42578125" style="125" customWidth="1"/>
    <col min="11265" max="11265" width="12" style="125" customWidth="1"/>
    <col min="11266" max="11512" width="9.42578125" style="125" customWidth="1"/>
    <col min="11513" max="11513" width="16.42578125" style="125" customWidth="1"/>
    <col min="11514" max="11514" width="10.140625" style="125" customWidth="1"/>
    <col min="11515" max="11515" width="8.42578125" style="125" customWidth="1"/>
    <col min="11516" max="11516" width="10" style="125" customWidth="1"/>
    <col min="11517" max="11517" width="8.42578125" style="125" customWidth="1"/>
    <col min="11518" max="11518" width="11" style="125" customWidth="1"/>
    <col min="11519" max="11519" width="9" style="125" customWidth="1"/>
    <col min="11520" max="11520" width="11.42578125" style="125" customWidth="1"/>
    <col min="11521" max="11521" width="12" style="125" customWidth="1"/>
    <col min="11522" max="11768" width="9.42578125" style="125" customWidth="1"/>
    <col min="11769" max="11769" width="16.42578125" style="125" customWidth="1"/>
    <col min="11770" max="11770" width="10.140625" style="125" customWidth="1"/>
    <col min="11771" max="11771" width="8.42578125" style="125" customWidth="1"/>
    <col min="11772" max="11772" width="10" style="125" customWidth="1"/>
    <col min="11773" max="11773" width="8.42578125" style="125" customWidth="1"/>
    <col min="11774" max="11774" width="11" style="125" customWidth="1"/>
    <col min="11775" max="11775" width="9" style="125" customWidth="1"/>
    <col min="11776" max="11776" width="11.42578125" style="125" customWidth="1"/>
    <col min="11777" max="11777" width="12" style="125" customWidth="1"/>
    <col min="11778" max="12024" width="9.42578125" style="125" customWidth="1"/>
    <col min="12025" max="12025" width="16.42578125" style="125" customWidth="1"/>
    <col min="12026" max="12026" width="10.140625" style="125" customWidth="1"/>
    <col min="12027" max="12027" width="8.42578125" style="125" customWidth="1"/>
    <col min="12028" max="12028" width="10" style="125" customWidth="1"/>
    <col min="12029" max="12029" width="8.42578125" style="125" customWidth="1"/>
    <col min="12030" max="12030" width="11" style="125" customWidth="1"/>
    <col min="12031" max="12031" width="9" style="125" customWidth="1"/>
    <col min="12032" max="12032" width="11.42578125" style="125" customWidth="1"/>
    <col min="12033" max="12033" width="12" style="125" customWidth="1"/>
    <col min="12034" max="12280" width="9.42578125" style="125" customWidth="1"/>
    <col min="12281" max="12281" width="16.42578125" style="125" customWidth="1"/>
    <col min="12282" max="12282" width="10.140625" style="125" customWidth="1"/>
    <col min="12283" max="12283" width="8.42578125" style="125" customWidth="1"/>
    <col min="12284" max="12284" width="10" style="125" customWidth="1"/>
    <col min="12285" max="12285" width="8.42578125" style="125" customWidth="1"/>
    <col min="12286" max="12286" width="11" style="125" customWidth="1"/>
    <col min="12287" max="12287" width="9" style="125" customWidth="1"/>
    <col min="12288" max="12288" width="11.42578125" style="125" customWidth="1"/>
    <col min="12289" max="12289" width="12" style="125" customWidth="1"/>
    <col min="12290" max="12536" width="9.42578125" style="125" customWidth="1"/>
    <col min="12537" max="12537" width="16.42578125" style="125" customWidth="1"/>
    <col min="12538" max="12538" width="10.140625" style="125" customWidth="1"/>
    <col min="12539" max="12539" width="8.42578125" style="125" customWidth="1"/>
    <col min="12540" max="12540" width="10" style="125" customWidth="1"/>
    <col min="12541" max="12541" width="8.42578125" style="125" customWidth="1"/>
    <col min="12542" max="12542" width="11" style="125" customWidth="1"/>
    <col min="12543" max="12543" width="9" style="125" customWidth="1"/>
    <col min="12544" max="12544" width="11.42578125" style="125" customWidth="1"/>
    <col min="12545" max="12545" width="12" style="125" customWidth="1"/>
    <col min="12546" max="12792" width="9.42578125" style="125" customWidth="1"/>
    <col min="12793" max="12793" width="16.42578125" style="125" customWidth="1"/>
    <col min="12794" max="12794" width="10.140625" style="125" customWidth="1"/>
    <col min="12795" max="12795" width="8.42578125" style="125" customWidth="1"/>
    <col min="12796" max="12796" width="10" style="125" customWidth="1"/>
    <col min="12797" max="12797" width="8.42578125" style="125" customWidth="1"/>
    <col min="12798" max="12798" width="11" style="125" customWidth="1"/>
    <col min="12799" max="12799" width="9" style="125" customWidth="1"/>
    <col min="12800" max="12800" width="11.42578125" style="125" customWidth="1"/>
    <col min="12801" max="12801" width="12" style="125" customWidth="1"/>
    <col min="12802" max="13048" width="9.42578125" style="125" customWidth="1"/>
    <col min="13049" max="13049" width="16.42578125" style="125" customWidth="1"/>
    <col min="13050" max="13050" width="10.140625" style="125" customWidth="1"/>
    <col min="13051" max="13051" width="8.42578125" style="125" customWidth="1"/>
    <col min="13052" max="13052" width="10" style="125" customWidth="1"/>
    <col min="13053" max="13053" width="8.42578125" style="125" customWidth="1"/>
    <col min="13054" max="13054" width="11" style="125" customWidth="1"/>
    <col min="13055" max="13055" width="9" style="125" customWidth="1"/>
    <col min="13056" max="13056" width="11.42578125" style="125" customWidth="1"/>
    <col min="13057" max="13057" width="12" style="125" customWidth="1"/>
    <col min="13058" max="13304" width="9.42578125" style="125" customWidth="1"/>
    <col min="13305" max="13305" width="16.42578125" style="125" customWidth="1"/>
    <col min="13306" max="13306" width="10.140625" style="125" customWidth="1"/>
    <col min="13307" max="13307" width="8.42578125" style="125" customWidth="1"/>
    <col min="13308" max="13308" width="10" style="125" customWidth="1"/>
    <col min="13309" max="13309" width="8.42578125" style="125" customWidth="1"/>
    <col min="13310" max="13310" width="11" style="125" customWidth="1"/>
    <col min="13311" max="13311" width="9" style="125" customWidth="1"/>
    <col min="13312" max="13312" width="11.42578125" style="125" customWidth="1"/>
    <col min="13313" max="13313" width="12" style="125" customWidth="1"/>
    <col min="13314" max="13560" width="9.42578125" style="125" customWidth="1"/>
    <col min="13561" max="13561" width="16.42578125" style="125" customWidth="1"/>
    <col min="13562" max="13562" width="10.140625" style="125" customWidth="1"/>
    <col min="13563" max="13563" width="8.42578125" style="125" customWidth="1"/>
    <col min="13564" max="13564" width="10" style="125" customWidth="1"/>
    <col min="13565" max="13565" width="8.42578125" style="125" customWidth="1"/>
    <col min="13566" max="13566" width="11" style="125" customWidth="1"/>
    <col min="13567" max="13567" width="9" style="125" customWidth="1"/>
    <col min="13568" max="13568" width="11.42578125" style="125" customWidth="1"/>
    <col min="13569" max="13569" width="12" style="125" customWidth="1"/>
    <col min="13570" max="13816" width="9.42578125" style="125" customWidth="1"/>
    <col min="13817" max="13817" width="16.42578125" style="125" customWidth="1"/>
    <col min="13818" max="13818" width="10.140625" style="125" customWidth="1"/>
    <col min="13819" max="13819" width="8.42578125" style="125" customWidth="1"/>
    <col min="13820" max="13820" width="10" style="125" customWidth="1"/>
    <col min="13821" max="13821" width="8.42578125" style="125" customWidth="1"/>
    <col min="13822" max="13822" width="11" style="125" customWidth="1"/>
    <col min="13823" max="13823" width="9" style="125" customWidth="1"/>
    <col min="13824" max="13824" width="11.42578125" style="125" customWidth="1"/>
    <col min="13825" max="13825" width="12" style="125" customWidth="1"/>
    <col min="13826" max="14072" width="9.42578125" style="125" customWidth="1"/>
    <col min="14073" max="14073" width="16.42578125" style="125" customWidth="1"/>
    <col min="14074" max="14074" width="10.140625" style="125" customWidth="1"/>
    <col min="14075" max="14075" width="8.42578125" style="125" customWidth="1"/>
    <col min="14076" max="14076" width="10" style="125" customWidth="1"/>
    <col min="14077" max="14077" width="8.42578125" style="125" customWidth="1"/>
    <col min="14078" max="14078" width="11" style="125" customWidth="1"/>
    <col min="14079" max="14079" width="9" style="125" customWidth="1"/>
    <col min="14080" max="14080" width="11.42578125" style="125" customWidth="1"/>
    <col min="14081" max="14081" width="12" style="125" customWidth="1"/>
    <col min="14082" max="14328" width="9.42578125" style="125" customWidth="1"/>
    <col min="14329" max="14329" width="16.42578125" style="125" customWidth="1"/>
    <col min="14330" max="14330" width="10.140625" style="125" customWidth="1"/>
    <col min="14331" max="14331" width="8.42578125" style="125" customWidth="1"/>
    <col min="14332" max="14332" width="10" style="125" customWidth="1"/>
    <col min="14333" max="14333" width="8.42578125" style="125" customWidth="1"/>
    <col min="14334" max="14334" width="11" style="125" customWidth="1"/>
    <col min="14335" max="14335" width="9" style="125" customWidth="1"/>
    <col min="14336" max="14336" width="11.42578125" style="125" customWidth="1"/>
    <col min="14337" max="14337" width="12" style="125" customWidth="1"/>
    <col min="14338" max="14584" width="9.42578125" style="125" customWidth="1"/>
    <col min="14585" max="14585" width="16.42578125" style="125" customWidth="1"/>
    <col min="14586" max="14586" width="10.140625" style="125" customWidth="1"/>
    <col min="14587" max="14587" width="8.42578125" style="125" customWidth="1"/>
    <col min="14588" max="14588" width="10" style="125" customWidth="1"/>
    <col min="14589" max="14589" width="8.42578125" style="125" customWidth="1"/>
    <col min="14590" max="14590" width="11" style="125" customWidth="1"/>
    <col min="14591" max="14591" width="9" style="125" customWidth="1"/>
    <col min="14592" max="14592" width="11.42578125" style="125" customWidth="1"/>
    <col min="14593" max="14593" width="12" style="125" customWidth="1"/>
    <col min="14594" max="14840" width="9.42578125" style="125" customWidth="1"/>
    <col min="14841" max="14841" width="16.42578125" style="125" customWidth="1"/>
    <col min="14842" max="14842" width="10.140625" style="125" customWidth="1"/>
    <col min="14843" max="14843" width="8.42578125" style="125" customWidth="1"/>
    <col min="14844" max="14844" width="10" style="125" customWidth="1"/>
    <col min="14845" max="14845" width="8.42578125" style="125" customWidth="1"/>
    <col min="14846" max="14846" width="11" style="125" customWidth="1"/>
    <col min="14847" max="14847" width="9" style="125" customWidth="1"/>
    <col min="14848" max="14848" width="11.42578125" style="125" customWidth="1"/>
    <col min="14849" max="14849" width="12" style="125" customWidth="1"/>
    <col min="14850" max="15096" width="9.42578125" style="125" customWidth="1"/>
    <col min="15097" max="15097" width="16.42578125" style="125" customWidth="1"/>
    <col min="15098" max="15098" width="10.140625" style="125" customWidth="1"/>
    <col min="15099" max="15099" width="8.42578125" style="125" customWidth="1"/>
    <col min="15100" max="15100" width="10" style="125" customWidth="1"/>
    <col min="15101" max="15101" width="8.42578125" style="125" customWidth="1"/>
    <col min="15102" max="15102" width="11" style="125" customWidth="1"/>
    <col min="15103" max="15103" width="9" style="125" customWidth="1"/>
    <col min="15104" max="15104" width="11.42578125" style="125" customWidth="1"/>
    <col min="15105" max="15105" width="12" style="125" customWidth="1"/>
    <col min="15106" max="15352" width="9.42578125" style="125" customWidth="1"/>
    <col min="15353" max="15353" width="16.42578125" style="125" customWidth="1"/>
    <col min="15354" max="15354" width="10.140625" style="125" customWidth="1"/>
    <col min="15355" max="15355" width="8.42578125" style="125" customWidth="1"/>
    <col min="15356" max="15356" width="10" style="125" customWidth="1"/>
    <col min="15357" max="15357" width="8.42578125" style="125" customWidth="1"/>
    <col min="15358" max="15358" width="11" style="125" customWidth="1"/>
    <col min="15359" max="15359" width="9" style="125" customWidth="1"/>
    <col min="15360" max="15360" width="11.42578125" style="125" customWidth="1"/>
    <col min="15361" max="15361" width="12" style="125" customWidth="1"/>
    <col min="15362" max="15608" width="9.42578125" style="125" customWidth="1"/>
    <col min="15609" max="15609" width="16.42578125" style="125" customWidth="1"/>
    <col min="15610" max="15610" width="10.140625" style="125" customWidth="1"/>
    <col min="15611" max="15611" width="8.42578125" style="125" customWidth="1"/>
    <col min="15612" max="15612" width="10" style="125" customWidth="1"/>
    <col min="15613" max="15613" width="8.42578125" style="125" customWidth="1"/>
    <col min="15614" max="15614" width="11" style="125" customWidth="1"/>
    <col min="15615" max="15615" width="9" style="125" customWidth="1"/>
    <col min="15616" max="15616" width="11.42578125" style="125" customWidth="1"/>
    <col min="15617" max="15617" width="12" style="125" customWidth="1"/>
    <col min="15618" max="15864" width="9.42578125" style="125" customWidth="1"/>
    <col min="15865" max="15865" width="16.42578125" style="125" customWidth="1"/>
    <col min="15866" max="15866" width="10.140625" style="125" customWidth="1"/>
    <col min="15867" max="15867" width="8.42578125" style="125" customWidth="1"/>
    <col min="15868" max="15868" width="10" style="125" customWidth="1"/>
    <col min="15869" max="15869" width="8.42578125" style="125" customWidth="1"/>
    <col min="15870" max="15870" width="11" style="125" customWidth="1"/>
    <col min="15871" max="15871" width="9" style="125" customWidth="1"/>
    <col min="15872" max="15872" width="11.42578125" style="125" customWidth="1"/>
    <col min="15873" max="15873" width="12" style="125" customWidth="1"/>
    <col min="15874" max="16120" width="9.42578125" style="125" customWidth="1"/>
    <col min="16121" max="16121" width="16.42578125" style="125" customWidth="1"/>
    <col min="16122" max="16122" width="10.140625" style="125" customWidth="1"/>
    <col min="16123" max="16123" width="8.42578125" style="125" customWidth="1"/>
    <col min="16124" max="16124" width="10" style="125" customWidth="1"/>
    <col min="16125" max="16125" width="8.42578125" style="125" customWidth="1"/>
    <col min="16126" max="16126" width="11" style="125" customWidth="1"/>
    <col min="16127" max="16127" width="9" style="125" customWidth="1"/>
    <col min="16128" max="16128" width="11.42578125" style="125" customWidth="1"/>
    <col min="16129" max="16129" width="12" style="125" customWidth="1"/>
    <col min="16130" max="16384" width="9.42578125" style="125" customWidth="1"/>
  </cols>
  <sheetData>
    <row r="1" spans="1:11" customFormat="1" ht="15" x14ac:dyDescent="0.25">
      <c r="A1" s="406"/>
      <c r="B1" s="408"/>
      <c r="C1" s="408"/>
      <c r="D1" s="408"/>
      <c r="E1" s="408"/>
      <c r="F1" s="408"/>
      <c r="G1" s="408"/>
      <c r="H1" s="408"/>
      <c r="I1" s="408"/>
      <c r="J1" s="408"/>
      <c r="K1" s="407"/>
    </row>
    <row r="2" spans="1:11" customFormat="1" ht="15" x14ac:dyDescent="0.25">
      <c r="A2" s="406"/>
      <c r="B2" s="408"/>
      <c r="C2" s="408"/>
      <c r="D2" s="408"/>
      <c r="E2" s="408"/>
      <c r="F2" s="408"/>
      <c r="G2" s="408"/>
      <c r="H2" s="408"/>
      <c r="I2" s="409" t="s">
        <v>136</v>
      </c>
      <c r="J2" s="125"/>
      <c r="K2" s="407"/>
    </row>
    <row r="3" spans="1:11" customFormat="1" ht="20.25" x14ac:dyDescent="0.3">
      <c r="A3" s="406"/>
      <c r="B3" s="845" t="s">
        <v>137</v>
      </c>
      <c r="C3" s="845"/>
      <c r="D3" s="845"/>
      <c r="E3" s="845"/>
      <c r="F3" s="845"/>
      <c r="G3" s="845"/>
      <c r="H3" s="845"/>
      <c r="I3" s="845"/>
      <c r="J3" s="410"/>
      <c r="K3" s="407"/>
    </row>
    <row r="4" spans="1:11" customFormat="1" ht="15" x14ac:dyDescent="0.25">
      <c r="A4" s="406"/>
      <c r="B4" s="408"/>
      <c r="C4" s="408"/>
      <c r="D4" s="408"/>
      <c r="E4" s="408"/>
      <c r="F4" s="408"/>
      <c r="G4" s="408"/>
      <c r="H4" s="408"/>
      <c r="I4" s="408"/>
      <c r="J4" s="408"/>
      <c r="K4" s="407"/>
    </row>
    <row r="5" spans="1:11" customFormat="1" ht="15" x14ac:dyDescent="0.25">
      <c r="A5" s="406"/>
      <c r="B5" s="411" t="s">
        <v>138</v>
      </c>
      <c r="C5" s="412"/>
      <c r="D5" s="412"/>
      <c r="E5" s="408"/>
      <c r="F5" s="408"/>
      <c r="G5" s="408"/>
      <c r="H5" s="408"/>
      <c r="I5" s="408"/>
      <c r="J5" s="408"/>
      <c r="K5" s="407"/>
    </row>
    <row r="6" spans="1:11" s="397" customFormat="1" ht="15.75" thickBot="1" x14ac:dyDescent="0.3">
      <c r="A6" s="406"/>
      <c r="B6" s="408"/>
      <c r="C6" s="408"/>
      <c r="D6" s="408"/>
      <c r="E6" s="408"/>
      <c r="F6" s="408"/>
      <c r="G6" s="408"/>
      <c r="H6" s="410"/>
      <c r="I6" s="410"/>
      <c r="J6" s="409"/>
      <c r="K6" s="407"/>
    </row>
    <row r="7" spans="1:11" s="397" customFormat="1" ht="15" x14ac:dyDescent="0.25">
      <c r="A7" s="406"/>
      <c r="B7" s="846" t="s">
        <v>139</v>
      </c>
      <c r="C7" s="849" t="s">
        <v>140</v>
      </c>
      <c r="D7" s="849" t="s">
        <v>141</v>
      </c>
      <c r="E7" s="854" t="s">
        <v>53</v>
      </c>
      <c r="F7" s="855"/>
      <c r="G7" s="855"/>
      <c r="H7" s="855"/>
      <c r="I7" s="856"/>
      <c r="J7" s="663"/>
      <c r="K7" s="407"/>
    </row>
    <row r="8" spans="1:11" customFormat="1" ht="12.95" customHeight="1" x14ac:dyDescent="0.25">
      <c r="A8" s="406"/>
      <c r="B8" s="847"/>
      <c r="C8" s="850"/>
      <c r="D8" s="850"/>
      <c r="E8" s="852">
        <v>610</v>
      </c>
      <c r="F8" s="852">
        <v>620</v>
      </c>
      <c r="G8" s="852">
        <v>630</v>
      </c>
      <c r="H8" s="852">
        <v>640</v>
      </c>
      <c r="I8" s="843" t="s">
        <v>120</v>
      </c>
      <c r="J8" s="407"/>
    </row>
    <row r="9" spans="1:11" customFormat="1" ht="15.75" thickBot="1" x14ac:dyDescent="0.3">
      <c r="A9" s="406"/>
      <c r="B9" s="848"/>
      <c r="C9" s="851"/>
      <c r="D9" s="851"/>
      <c r="E9" s="853"/>
      <c r="F9" s="853"/>
      <c r="G9" s="853"/>
      <c r="H9" s="853"/>
      <c r="I9" s="844"/>
      <c r="J9" s="407"/>
    </row>
    <row r="10" spans="1:11" customFormat="1" ht="15.75" thickTop="1" x14ac:dyDescent="0.25">
      <c r="A10" s="406"/>
      <c r="B10" s="413" t="s">
        <v>142</v>
      </c>
      <c r="C10" s="414">
        <v>62</v>
      </c>
      <c r="D10" s="662">
        <v>21939</v>
      </c>
      <c r="E10" s="445">
        <v>100453</v>
      </c>
      <c r="F10" s="445">
        <v>34270</v>
      </c>
      <c r="G10" s="445">
        <v>28722</v>
      </c>
      <c r="H10" s="445">
        <v>558</v>
      </c>
      <c r="I10" s="446">
        <v>164003</v>
      </c>
      <c r="J10" s="407"/>
    </row>
    <row r="11" spans="1:11" customFormat="1" ht="15" x14ac:dyDescent="0.25">
      <c r="A11" s="406"/>
      <c r="B11" s="416" t="s">
        <v>143</v>
      </c>
      <c r="C11" s="417">
        <v>110</v>
      </c>
      <c r="D11" s="460">
        <v>36396</v>
      </c>
      <c r="E11" s="443">
        <v>191808</v>
      </c>
      <c r="F11" s="443">
        <v>64215</v>
      </c>
      <c r="G11" s="443">
        <v>39655</v>
      </c>
      <c r="H11" s="443">
        <v>2196</v>
      </c>
      <c r="I11" s="444">
        <v>297874</v>
      </c>
      <c r="J11" s="407"/>
    </row>
    <row r="12" spans="1:11" customFormat="1" ht="15" x14ac:dyDescent="0.25">
      <c r="A12" s="406"/>
      <c r="B12" s="416" t="s">
        <v>144</v>
      </c>
      <c r="C12" s="417">
        <v>66</v>
      </c>
      <c r="D12" s="460">
        <v>23790</v>
      </c>
      <c r="E12" s="443">
        <v>107249</v>
      </c>
      <c r="F12" s="443">
        <v>37427</v>
      </c>
      <c r="G12" s="443">
        <v>36806</v>
      </c>
      <c r="H12" s="443">
        <v>175</v>
      </c>
      <c r="I12" s="444">
        <v>181657</v>
      </c>
      <c r="J12" s="407"/>
    </row>
    <row r="13" spans="1:11" customFormat="1" ht="15" x14ac:dyDescent="0.25">
      <c r="A13" s="406"/>
      <c r="B13" s="416" t="s">
        <v>145</v>
      </c>
      <c r="C13" s="417">
        <v>85</v>
      </c>
      <c r="D13" s="460">
        <v>28062</v>
      </c>
      <c r="E13" s="443">
        <v>116236</v>
      </c>
      <c r="F13" s="443">
        <v>40694</v>
      </c>
      <c r="G13" s="443">
        <v>46275</v>
      </c>
      <c r="H13" s="443">
        <v>157</v>
      </c>
      <c r="I13" s="444">
        <v>203362</v>
      </c>
      <c r="J13" s="407"/>
    </row>
    <row r="14" spans="1:11" customFormat="1" ht="15" x14ac:dyDescent="0.25">
      <c r="A14" s="406"/>
      <c r="B14" s="416" t="s">
        <v>146</v>
      </c>
      <c r="C14" s="417">
        <v>71</v>
      </c>
      <c r="D14" s="460">
        <v>25241</v>
      </c>
      <c r="E14" s="443">
        <v>125649</v>
      </c>
      <c r="F14" s="443">
        <v>43745</v>
      </c>
      <c r="G14" s="443">
        <v>42957</v>
      </c>
      <c r="H14" s="443">
        <v>2864</v>
      </c>
      <c r="I14" s="444">
        <v>215215</v>
      </c>
      <c r="J14" s="407"/>
    </row>
    <row r="15" spans="1:11" customFormat="1" ht="15" x14ac:dyDescent="0.25">
      <c r="A15" s="406"/>
      <c r="B15" s="416" t="s">
        <v>147</v>
      </c>
      <c r="C15" s="417">
        <v>116</v>
      </c>
      <c r="D15" s="460">
        <v>46519</v>
      </c>
      <c r="E15" s="443">
        <v>185498</v>
      </c>
      <c r="F15" s="443">
        <v>62549</v>
      </c>
      <c r="G15" s="443">
        <v>64999</v>
      </c>
      <c r="H15" s="443">
        <v>1790</v>
      </c>
      <c r="I15" s="444">
        <v>314836</v>
      </c>
      <c r="J15" s="407"/>
    </row>
    <row r="16" spans="1:11" customFormat="1" ht="15" x14ac:dyDescent="0.25">
      <c r="A16" s="406"/>
      <c r="B16" s="416" t="s">
        <v>148</v>
      </c>
      <c r="C16" s="417">
        <v>131</v>
      </c>
      <c r="D16" s="460">
        <v>43066</v>
      </c>
      <c r="E16" s="443">
        <v>182837</v>
      </c>
      <c r="F16" s="443">
        <v>62647</v>
      </c>
      <c r="G16" s="443">
        <v>77996</v>
      </c>
      <c r="H16" s="443">
        <v>2732</v>
      </c>
      <c r="I16" s="444">
        <v>326212</v>
      </c>
      <c r="J16" s="407"/>
    </row>
    <row r="17" spans="1:11" customFormat="1" ht="15" x14ac:dyDescent="0.25">
      <c r="A17" s="406"/>
      <c r="B17" s="416" t="s">
        <v>149</v>
      </c>
      <c r="C17" s="417">
        <v>63</v>
      </c>
      <c r="D17" s="460">
        <v>26158</v>
      </c>
      <c r="E17" s="443">
        <v>128365</v>
      </c>
      <c r="F17" s="443">
        <v>44250</v>
      </c>
      <c r="G17" s="443">
        <v>34304</v>
      </c>
      <c r="H17" s="443">
        <v>2982</v>
      </c>
      <c r="I17" s="444">
        <v>209901</v>
      </c>
      <c r="J17" s="407"/>
    </row>
    <row r="18" spans="1:11" customFormat="1" ht="15" x14ac:dyDescent="0.25">
      <c r="A18" s="406"/>
      <c r="B18" s="416" t="s">
        <v>150</v>
      </c>
      <c r="C18" s="417">
        <v>109</v>
      </c>
      <c r="D18" s="460">
        <v>42805</v>
      </c>
      <c r="E18" s="443">
        <v>163657</v>
      </c>
      <c r="F18" s="443">
        <v>55488</v>
      </c>
      <c r="G18" s="443">
        <v>59946</v>
      </c>
      <c r="H18" s="443">
        <v>3043</v>
      </c>
      <c r="I18" s="444">
        <v>282134</v>
      </c>
      <c r="J18" s="420"/>
    </row>
    <row r="19" spans="1:11" customFormat="1" ht="15" x14ac:dyDescent="0.25">
      <c r="A19" s="406"/>
      <c r="B19" s="416" t="s">
        <v>151</v>
      </c>
      <c r="C19" s="417">
        <v>115</v>
      </c>
      <c r="D19" s="460">
        <v>43726</v>
      </c>
      <c r="E19" s="443">
        <v>189263</v>
      </c>
      <c r="F19" s="443">
        <v>66670</v>
      </c>
      <c r="G19" s="443">
        <v>49569</v>
      </c>
      <c r="H19" s="443">
        <v>3165</v>
      </c>
      <c r="I19" s="444">
        <v>308667</v>
      </c>
      <c r="J19" s="420"/>
    </row>
    <row r="20" spans="1:11" customFormat="1" ht="15" x14ac:dyDescent="0.25">
      <c r="A20" s="406"/>
      <c r="B20" s="416" t="s">
        <v>152</v>
      </c>
      <c r="C20" s="417">
        <v>72</v>
      </c>
      <c r="D20" s="460">
        <v>23726</v>
      </c>
      <c r="E20" s="443">
        <v>119954</v>
      </c>
      <c r="F20" s="443">
        <v>42488</v>
      </c>
      <c r="G20" s="443">
        <v>37107</v>
      </c>
      <c r="H20" s="443">
        <v>2698</v>
      </c>
      <c r="I20" s="444">
        <v>202247</v>
      </c>
      <c r="J20" s="420"/>
    </row>
    <row r="21" spans="1:11" customFormat="1" ht="15" x14ac:dyDescent="0.25">
      <c r="A21" s="406"/>
      <c r="B21" s="416" t="s">
        <v>153</v>
      </c>
      <c r="C21" s="417">
        <v>34</v>
      </c>
      <c r="D21" s="460">
        <v>10868</v>
      </c>
      <c r="E21" s="443">
        <v>63831</v>
      </c>
      <c r="F21" s="443">
        <v>20408</v>
      </c>
      <c r="G21" s="443">
        <v>15950</v>
      </c>
      <c r="H21" s="443">
        <v>247</v>
      </c>
      <c r="I21" s="444">
        <v>100436</v>
      </c>
      <c r="J21" s="420"/>
    </row>
    <row r="22" spans="1:11" customFormat="1" ht="15" x14ac:dyDescent="0.25">
      <c r="A22" s="406"/>
      <c r="B22" s="416" t="s">
        <v>154</v>
      </c>
      <c r="C22" s="417">
        <v>47</v>
      </c>
      <c r="D22" s="460">
        <v>18977</v>
      </c>
      <c r="E22" s="443">
        <v>81539</v>
      </c>
      <c r="F22" s="443">
        <v>28434</v>
      </c>
      <c r="G22" s="443">
        <v>16037</v>
      </c>
      <c r="H22" s="443">
        <v>250</v>
      </c>
      <c r="I22" s="444">
        <v>126260</v>
      </c>
      <c r="J22" s="420"/>
    </row>
    <row r="23" spans="1:11" customFormat="1" ht="15" x14ac:dyDescent="0.25">
      <c r="A23" s="406"/>
      <c r="B23" s="416" t="s">
        <v>155</v>
      </c>
      <c r="C23" s="417">
        <v>38</v>
      </c>
      <c r="D23" s="460">
        <v>4995</v>
      </c>
      <c r="E23" s="443">
        <v>72642</v>
      </c>
      <c r="F23" s="443">
        <v>24753</v>
      </c>
      <c r="G23" s="443">
        <v>22510</v>
      </c>
      <c r="H23" s="443">
        <v>0</v>
      </c>
      <c r="I23" s="444">
        <v>119905</v>
      </c>
      <c r="J23" s="420"/>
    </row>
    <row r="24" spans="1:11" customFormat="1" ht="15" x14ac:dyDescent="0.25">
      <c r="A24" s="406"/>
      <c r="B24" s="421" t="s">
        <v>156</v>
      </c>
      <c r="C24" s="422">
        <v>141</v>
      </c>
      <c r="D24" s="460">
        <v>20526</v>
      </c>
      <c r="E24" s="443">
        <v>201700</v>
      </c>
      <c r="F24" s="443">
        <v>70098</v>
      </c>
      <c r="G24" s="443">
        <v>43750</v>
      </c>
      <c r="H24" s="443">
        <v>1505</v>
      </c>
      <c r="I24" s="444">
        <v>317053</v>
      </c>
      <c r="J24" s="420"/>
    </row>
    <row r="25" spans="1:11" customFormat="1" ht="15.75" thickBot="1" x14ac:dyDescent="0.3">
      <c r="A25" s="406"/>
      <c r="B25" s="416" t="s">
        <v>606</v>
      </c>
      <c r="C25" s="417"/>
      <c r="D25" s="442">
        <v>0</v>
      </c>
      <c r="E25" s="447">
        <v>0</v>
      </c>
      <c r="F25" s="447">
        <v>0</v>
      </c>
      <c r="G25" s="447">
        <v>1668</v>
      </c>
      <c r="H25" s="447">
        <v>0</v>
      </c>
      <c r="I25" s="448">
        <v>1668</v>
      </c>
      <c r="J25" s="420"/>
    </row>
    <row r="26" spans="1:11" s="126" customFormat="1" ht="17.25" customHeight="1" thickTop="1" thickBot="1" x14ac:dyDescent="0.3">
      <c r="B26" s="424" t="s">
        <v>157</v>
      </c>
      <c r="C26" s="425">
        <v>1260</v>
      </c>
      <c r="D26" s="425">
        <v>416794</v>
      </c>
      <c r="E26" s="425">
        <v>2030681</v>
      </c>
      <c r="F26" s="425">
        <v>698136</v>
      </c>
      <c r="G26" s="425">
        <v>618251</v>
      </c>
      <c r="H26" s="425">
        <v>24362</v>
      </c>
      <c r="I26" s="426">
        <v>3371430</v>
      </c>
      <c r="J26" s="423"/>
    </row>
    <row r="27" spans="1:11" customFormat="1" ht="3.75" customHeight="1" thickBot="1" x14ac:dyDescent="0.3">
      <c r="A27" s="406"/>
      <c r="B27" s="408"/>
      <c r="C27" s="408"/>
      <c r="D27" s="408"/>
      <c r="E27" s="408"/>
      <c r="F27" s="408"/>
      <c r="G27" s="408"/>
      <c r="H27" s="408"/>
      <c r="I27" s="408"/>
      <c r="J27" s="420"/>
    </row>
    <row r="28" spans="1:11" customFormat="1" ht="19.5" customHeight="1" thickBot="1" x14ac:dyDescent="0.3">
      <c r="A28" s="406"/>
      <c r="B28" s="427" t="s">
        <v>5</v>
      </c>
      <c r="C28" s="428">
        <v>177</v>
      </c>
      <c r="D28" s="429">
        <v>52212</v>
      </c>
      <c r="E28" s="430">
        <v>333354</v>
      </c>
      <c r="F28" s="431">
        <v>115789</v>
      </c>
      <c r="G28" s="431">
        <v>90923</v>
      </c>
      <c r="H28" s="431">
        <v>1805</v>
      </c>
      <c r="I28" s="432">
        <v>541871</v>
      </c>
      <c r="J28" s="420"/>
    </row>
    <row r="29" spans="1:11" customFormat="1" ht="15" x14ac:dyDescent="0.25">
      <c r="A29" s="406"/>
      <c r="B29" s="408"/>
      <c r="C29" s="408"/>
      <c r="D29" s="408"/>
      <c r="E29" s="408"/>
      <c r="F29" s="408"/>
      <c r="G29" s="408"/>
      <c r="H29" s="408"/>
      <c r="I29" s="408"/>
      <c r="J29" s="433"/>
      <c r="K29" s="420"/>
    </row>
    <row r="30" spans="1:11" customFormat="1" ht="12.95" customHeight="1" x14ac:dyDescent="0.25">
      <c r="A30" s="406"/>
      <c r="B30" s="411" t="s">
        <v>158</v>
      </c>
      <c r="C30" s="412"/>
      <c r="D30" s="412"/>
      <c r="E30" s="408"/>
      <c r="F30" s="408"/>
      <c r="G30" s="408"/>
      <c r="H30" s="408"/>
      <c r="I30" s="408"/>
      <c r="J30" s="408"/>
      <c r="K30" s="420"/>
    </row>
    <row r="31" spans="1:11" customFormat="1" ht="15.75" thickBot="1" x14ac:dyDescent="0.3">
      <c r="A31" s="406"/>
      <c r="B31" s="408"/>
      <c r="C31" s="408"/>
      <c r="D31" s="408"/>
      <c r="E31" s="408"/>
      <c r="F31" s="408"/>
      <c r="G31" s="408"/>
      <c r="H31" s="409"/>
      <c r="I31" s="410"/>
      <c r="J31" s="408"/>
      <c r="K31" s="420"/>
    </row>
    <row r="32" spans="1:11" customFormat="1" ht="15" x14ac:dyDescent="0.25">
      <c r="A32" s="406"/>
      <c r="B32" s="837" t="s">
        <v>139</v>
      </c>
      <c r="C32" s="840" t="s">
        <v>53</v>
      </c>
      <c r="D32" s="841"/>
      <c r="E32" s="841"/>
      <c r="F32" s="841"/>
      <c r="G32" s="842"/>
      <c r="H32" s="664"/>
      <c r="I32" s="434"/>
      <c r="J32" s="434"/>
      <c r="K32" s="434"/>
    </row>
    <row r="33" spans="1:10" customFormat="1" ht="15.75" thickBot="1" x14ac:dyDescent="0.3">
      <c r="A33" s="406"/>
      <c r="B33" s="838"/>
      <c r="C33" s="435">
        <v>610</v>
      </c>
      <c r="D33" s="435">
        <v>620</v>
      </c>
      <c r="E33" s="435">
        <v>630</v>
      </c>
      <c r="F33" s="435">
        <v>640</v>
      </c>
      <c r="G33" s="436" t="s">
        <v>120</v>
      </c>
      <c r="H33" s="434"/>
      <c r="I33" s="434"/>
      <c r="J33" s="407"/>
    </row>
    <row r="34" spans="1:10" customFormat="1" ht="15.75" thickTop="1" x14ac:dyDescent="0.25">
      <c r="A34" s="406"/>
      <c r="B34" s="413" t="s">
        <v>142</v>
      </c>
      <c r="C34" s="449">
        <v>22194</v>
      </c>
      <c r="D34" s="450">
        <v>6459</v>
      </c>
      <c r="E34" s="450">
        <v>17420</v>
      </c>
      <c r="F34" s="451">
        <v>108</v>
      </c>
      <c r="G34" s="415">
        <f t="shared" ref="G34:G47" si="0">C34+D34+E34+F34</f>
        <v>46181</v>
      </c>
      <c r="H34" s="434"/>
      <c r="I34" s="434"/>
      <c r="J34" s="407"/>
    </row>
    <row r="35" spans="1:10" customFormat="1" ht="15" x14ac:dyDescent="0.25">
      <c r="A35" s="406"/>
      <c r="B35" s="416" t="s">
        <v>143</v>
      </c>
      <c r="C35" s="452">
        <v>34046</v>
      </c>
      <c r="D35" s="453">
        <v>12041</v>
      </c>
      <c r="E35" s="453">
        <v>25778</v>
      </c>
      <c r="F35" s="454">
        <v>1248</v>
      </c>
      <c r="G35" s="419">
        <f t="shared" si="0"/>
        <v>73113</v>
      </c>
      <c r="H35" s="434"/>
      <c r="I35" s="434"/>
      <c r="J35" s="407"/>
    </row>
    <row r="36" spans="1:10" customFormat="1" ht="15" x14ac:dyDescent="0.25">
      <c r="A36" s="406"/>
      <c r="B36" s="416" t="s">
        <v>144</v>
      </c>
      <c r="C36" s="452">
        <v>22613</v>
      </c>
      <c r="D36" s="453">
        <v>7754</v>
      </c>
      <c r="E36" s="453">
        <v>19853</v>
      </c>
      <c r="F36" s="454">
        <v>0</v>
      </c>
      <c r="G36" s="419">
        <f t="shared" si="0"/>
        <v>50220</v>
      </c>
      <c r="H36" s="434"/>
      <c r="I36" s="434"/>
      <c r="J36" s="407"/>
    </row>
    <row r="37" spans="1:10" customFormat="1" ht="15" x14ac:dyDescent="0.25">
      <c r="A37" s="406"/>
      <c r="B37" s="416" t="s">
        <v>145</v>
      </c>
      <c r="C37" s="452">
        <v>24886</v>
      </c>
      <c r="D37" s="453">
        <v>8365</v>
      </c>
      <c r="E37" s="453">
        <v>21837</v>
      </c>
      <c r="F37" s="454">
        <v>0</v>
      </c>
      <c r="G37" s="419">
        <f t="shared" si="0"/>
        <v>55088</v>
      </c>
      <c r="H37" s="434"/>
      <c r="I37" s="434"/>
      <c r="J37" s="407"/>
    </row>
    <row r="38" spans="1:10" customFormat="1" ht="15" x14ac:dyDescent="0.25">
      <c r="A38" s="406"/>
      <c r="B38" s="416" t="s">
        <v>146</v>
      </c>
      <c r="C38" s="452">
        <v>26518</v>
      </c>
      <c r="D38" s="453">
        <v>9068</v>
      </c>
      <c r="E38" s="453">
        <v>18789</v>
      </c>
      <c r="F38" s="454">
        <v>62</v>
      </c>
      <c r="G38" s="419">
        <f t="shared" si="0"/>
        <v>54437</v>
      </c>
      <c r="H38" s="434"/>
      <c r="I38" s="434"/>
      <c r="J38" s="407"/>
    </row>
    <row r="39" spans="1:10" customFormat="1" ht="15" x14ac:dyDescent="0.25">
      <c r="A39" s="406"/>
      <c r="B39" s="416" t="s">
        <v>147</v>
      </c>
      <c r="C39" s="452">
        <v>40412</v>
      </c>
      <c r="D39" s="453">
        <v>13251</v>
      </c>
      <c r="E39" s="453">
        <v>31608</v>
      </c>
      <c r="F39" s="454">
        <v>242</v>
      </c>
      <c r="G39" s="419">
        <f t="shared" si="0"/>
        <v>85513</v>
      </c>
      <c r="H39" s="434"/>
      <c r="I39" s="434"/>
      <c r="J39" s="407"/>
    </row>
    <row r="40" spans="1:10" customFormat="1" ht="15" x14ac:dyDescent="0.25">
      <c r="A40" s="406"/>
      <c r="B40" s="416" t="s">
        <v>5</v>
      </c>
      <c r="C40" s="452">
        <v>42144</v>
      </c>
      <c r="D40" s="453">
        <v>14390</v>
      </c>
      <c r="E40" s="453">
        <v>30358</v>
      </c>
      <c r="F40" s="454">
        <v>136</v>
      </c>
      <c r="G40" s="419">
        <f t="shared" si="0"/>
        <v>87028</v>
      </c>
      <c r="H40" s="434"/>
      <c r="I40" s="434"/>
      <c r="J40" s="407"/>
    </row>
    <row r="41" spans="1:10" customFormat="1" ht="15" x14ac:dyDescent="0.25">
      <c r="A41" s="406"/>
      <c r="B41" s="416" t="s">
        <v>148</v>
      </c>
      <c r="C41" s="452">
        <v>39866</v>
      </c>
      <c r="D41" s="453">
        <v>12972</v>
      </c>
      <c r="E41" s="453">
        <v>29844</v>
      </c>
      <c r="F41" s="454">
        <v>193</v>
      </c>
      <c r="G41" s="419">
        <f t="shared" si="0"/>
        <v>82875</v>
      </c>
      <c r="H41" s="434"/>
      <c r="I41" s="434"/>
      <c r="J41" s="407"/>
    </row>
    <row r="42" spans="1:10" customFormat="1" ht="15" x14ac:dyDescent="0.25">
      <c r="A42" s="406"/>
      <c r="B42" s="416" t="s">
        <v>149</v>
      </c>
      <c r="C42" s="452">
        <v>20940</v>
      </c>
      <c r="D42" s="453">
        <v>8688</v>
      </c>
      <c r="E42" s="453">
        <v>42191</v>
      </c>
      <c r="F42" s="454">
        <v>156</v>
      </c>
      <c r="G42" s="419">
        <f t="shared" si="0"/>
        <v>71975</v>
      </c>
      <c r="H42" s="434"/>
      <c r="I42" s="434"/>
      <c r="J42" s="407"/>
    </row>
    <row r="43" spans="1:10" customFormat="1" ht="15" x14ac:dyDescent="0.25">
      <c r="A43" s="406"/>
      <c r="B43" s="416" t="s">
        <v>150</v>
      </c>
      <c r="C43" s="452">
        <v>24854</v>
      </c>
      <c r="D43" s="453">
        <v>8747</v>
      </c>
      <c r="E43" s="453">
        <v>23049</v>
      </c>
      <c r="F43" s="454">
        <v>0</v>
      </c>
      <c r="G43" s="419">
        <f t="shared" si="0"/>
        <v>56650</v>
      </c>
      <c r="H43" s="434"/>
      <c r="I43" s="434"/>
      <c r="J43" s="407"/>
    </row>
    <row r="44" spans="1:10" customFormat="1" ht="15" x14ac:dyDescent="0.25">
      <c r="A44" s="406"/>
      <c r="B44" s="416" t="s">
        <v>151</v>
      </c>
      <c r="C44" s="452">
        <v>34080</v>
      </c>
      <c r="D44" s="453">
        <v>11906</v>
      </c>
      <c r="E44" s="453">
        <v>29712</v>
      </c>
      <c r="F44" s="454">
        <v>0</v>
      </c>
      <c r="G44" s="419">
        <f t="shared" si="0"/>
        <v>75698</v>
      </c>
      <c r="H44" s="434"/>
      <c r="I44" s="434"/>
      <c r="J44" s="407"/>
    </row>
    <row r="45" spans="1:10" customFormat="1" ht="15" x14ac:dyDescent="0.25">
      <c r="A45" s="406"/>
      <c r="B45" s="416" t="s">
        <v>152</v>
      </c>
      <c r="C45" s="452">
        <v>26016</v>
      </c>
      <c r="D45" s="453">
        <v>8772</v>
      </c>
      <c r="E45" s="453">
        <v>18078</v>
      </c>
      <c r="F45" s="454">
        <v>0</v>
      </c>
      <c r="G45" s="419">
        <f t="shared" si="0"/>
        <v>52866</v>
      </c>
      <c r="H45" s="434"/>
      <c r="I45" s="434"/>
      <c r="J45" s="407"/>
    </row>
    <row r="46" spans="1:10" customFormat="1" ht="15" x14ac:dyDescent="0.25">
      <c r="A46" s="406"/>
      <c r="B46" s="416" t="s">
        <v>153</v>
      </c>
      <c r="C46" s="452">
        <v>14435</v>
      </c>
      <c r="D46" s="453">
        <v>4501</v>
      </c>
      <c r="E46" s="453">
        <v>8969</v>
      </c>
      <c r="F46" s="454">
        <v>0</v>
      </c>
      <c r="G46" s="419">
        <f t="shared" si="0"/>
        <v>27905</v>
      </c>
      <c r="H46" s="434"/>
      <c r="I46" s="434"/>
      <c r="J46" s="407"/>
    </row>
    <row r="47" spans="1:10" customFormat="1" ht="15.75" thickBot="1" x14ac:dyDescent="0.3">
      <c r="A47" s="406"/>
      <c r="B47" s="421" t="s">
        <v>154</v>
      </c>
      <c r="C47" s="455">
        <v>20463</v>
      </c>
      <c r="D47" s="456">
        <v>6885</v>
      </c>
      <c r="E47" s="456">
        <v>18290</v>
      </c>
      <c r="F47" s="457">
        <v>0</v>
      </c>
      <c r="G47" s="458">
        <f t="shared" si="0"/>
        <v>45638</v>
      </c>
      <c r="H47" s="434"/>
      <c r="I47" s="434"/>
      <c r="J47" s="407"/>
    </row>
    <row r="48" spans="1:10" customFormat="1" ht="20.25" customHeight="1" thickTop="1" thickBot="1" x14ac:dyDescent="0.3">
      <c r="A48" s="406"/>
      <c r="B48" s="424" t="s">
        <v>157</v>
      </c>
      <c r="C48" s="437">
        <v>393465</v>
      </c>
      <c r="D48" s="437">
        <v>133799</v>
      </c>
      <c r="E48" s="437">
        <v>335775</v>
      </c>
      <c r="F48" s="437">
        <v>2145</v>
      </c>
      <c r="G48" s="437">
        <f>SUM(G34:G47)</f>
        <v>865187</v>
      </c>
      <c r="H48" s="408"/>
      <c r="I48" s="408"/>
      <c r="J48" s="407"/>
    </row>
    <row r="49" spans="1:11" customFormat="1" ht="15" x14ac:dyDescent="0.25">
      <c r="A49" s="406"/>
      <c r="B49" s="438"/>
      <c r="C49" s="439"/>
      <c r="D49" s="439"/>
      <c r="E49" s="439"/>
      <c r="F49" s="439"/>
      <c r="G49" s="439"/>
      <c r="H49" s="439"/>
      <c r="I49" s="408"/>
      <c r="J49" s="408"/>
      <c r="K49" s="407"/>
    </row>
    <row r="50" spans="1:11" s="404" customFormat="1" ht="15" x14ac:dyDescent="0.25">
      <c r="A50" s="406"/>
      <c r="B50" s="438"/>
      <c r="C50" s="439"/>
      <c r="D50" s="439"/>
      <c r="E50" s="439"/>
      <c r="F50" s="439"/>
      <c r="G50" s="439"/>
      <c r="H50" s="439"/>
      <c r="I50" s="408"/>
      <c r="J50" s="408"/>
      <c r="K50" s="407"/>
    </row>
    <row r="51" spans="1:11" customFormat="1" ht="15" x14ac:dyDescent="0.25">
      <c r="A51" s="406"/>
      <c r="B51" s="408"/>
      <c r="C51" s="408"/>
      <c r="D51" s="408"/>
      <c r="E51" s="408"/>
      <c r="F51" s="408"/>
      <c r="G51" s="408"/>
      <c r="H51" s="408"/>
      <c r="I51" s="408"/>
      <c r="J51" s="433"/>
      <c r="K51" s="407"/>
    </row>
    <row r="52" spans="1:11" customFormat="1" ht="12.95" customHeight="1" x14ac:dyDescent="0.25">
      <c r="A52" s="406"/>
      <c r="B52" s="839" t="s">
        <v>159</v>
      </c>
      <c r="C52" s="839"/>
      <c r="D52" s="839"/>
      <c r="E52" s="839"/>
      <c r="F52" s="839"/>
      <c r="G52" s="839"/>
      <c r="H52" s="839"/>
      <c r="I52" s="408"/>
      <c r="J52" s="433"/>
      <c r="K52" s="407"/>
    </row>
    <row r="53" spans="1:11" s="397" customFormat="1" ht="15.75" thickBot="1" x14ac:dyDescent="0.3">
      <c r="A53" s="406"/>
      <c r="B53" s="408"/>
      <c r="C53" s="408"/>
      <c r="D53" s="408"/>
      <c r="E53" s="408"/>
      <c r="F53" s="408"/>
      <c r="G53" s="408"/>
      <c r="H53" s="409"/>
      <c r="I53" s="408"/>
      <c r="J53" s="408"/>
      <c r="K53" s="407"/>
    </row>
    <row r="54" spans="1:11" s="397" customFormat="1" ht="15" x14ac:dyDescent="0.25">
      <c r="A54" s="406"/>
      <c r="B54" s="837" t="s">
        <v>139</v>
      </c>
      <c r="C54" s="840" t="s">
        <v>53</v>
      </c>
      <c r="D54" s="841"/>
      <c r="E54" s="841"/>
      <c r="F54" s="841"/>
      <c r="G54" s="842"/>
      <c r="H54" s="664"/>
      <c r="I54" s="408"/>
      <c r="J54" s="408"/>
      <c r="K54" s="459"/>
    </row>
    <row r="55" spans="1:11" s="397" customFormat="1" ht="15.75" thickBot="1" x14ac:dyDescent="0.3">
      <c r="A55" s="406"/>
      <c r="B55" s="838"/>
      <c r="C55" s="665">
        <v>610</v>
      </c>
      <c r="D55" s="665">
        <v>620</v>
      </c>
      <c r="E55" s="665">
        <v>630</v>
      </c>
      <c r="F55" s="665">
        <v>640</v>
      </c>
      <c r="G55" s="666" t="s">
        <v>120</v>
      </c>
      <c r="H55" s="408"/>
      <c r="I55" s="408"/>
      <c r="J55" s="407"/>
    </row>
    <row r="56" spans="1:11" customFormat="1" ht="15.75" thickTop="1" x14ac:dyDescent="0.25">
      <c r="A56" s="406"/>
      <c r="B56" s="413" t="s">
        <v>142</v>
      </c>
      <c r="C56" s="418">
        <v>122647</v>
      </c>
      <c r="D56" s="418">
        <v>40729</v>
      </c>
      <c r="E56" s="418">
        <v>46141</v>
      </c>
      <c r="F56" s="418">
        <v>666</v>
      </c>
      <c r="G56" s="419">
        <f>C56+F56+E56+D56</f>
        <v>210183</v>
      </c>
      <c r="H56" s="408"/>
      <c r="I56" s="408"/>
      <c r="J56" s="407"/>
    </row>
    <row r="57" spans="1:11" customFormat="1" ht="15" x14ac:dyDescent="0.25">
      <c r="A57" s="406"/>
      <c r="B57" s="440" t="s">
        <v>143</v>
      </c>
      <c r="C57" s="418">
        <v>225854</v>
      </c>
      <c r="D57" s="418">
        <v>76256</v>
      </c>
      <c r="E57" s="418">
        <v>65433</v>
      </c>
      <c r="F57" s="418">
        <v>3444</v>
      </c>
      <c r="G57" s="419">
        <f t="shared" ref="G57:G71" si="1">C57+F57+E57+D57</f>
        <v>370987</v>
      </c>
      <c r="H57" s="408"/>
      <c r="I57" s="408"/>
      <c r="J57" s="407"/>
    </row>
    <row r="58" spans="1:11" customFormat="1" ht="15" x14ac:dyDescent="0.25">
      <c r="A58" s="406"/>
      <c r="B58" s="440" t="s">
        <v>144</v>
      </c>
      <c r="C58" s="418">
        <v>129861</v>
      </c>
      <c r="D58" s="418">
        <v>45181</v>
      </c>
      <c r="E58" s="418">
        <v>56659</v>
      </c>
      <c r="F58" s="418">
        <v>175</v>
      </c>
      <c r="G58" s="419">
        <f t="shared" si="1"/>
        <v>231876</v>
      </c>
      <c r="H58" s="408"/>
      <c r="I58" s="408"/>
      <c r="J58" s="407"/>
    </row>
    <row r="59" spans="1:11" customFormat="1" ht="15" x14ac:dyDescent="0.25">
      <c r="A59" s="406"/>
      <c r="B59" s="440" t="s">
        <v>145</v>
      </c>
      <c r="C59" s="418">
        <v>141121</v>
      </c>
      <c r="D59" s="418">
        <v>49059</v>
      </c>
      <c r="E59" s="418">
        <v>68112</v>
      </c>
      <c r="F59" s="418">
        <v>157</v>
      </c>
      <c r="G59" s="419">
        <f t="shared" si="1"/>
        <v>258449</v>
      </c>
      <c r="H59" s="408"/>
      <c r="I59" s="408"/>
      <c r="J59" s="407"/>
    </row>
    <row r="60" spans="1:11" customFormat="1" ht="15" x14ac:dyDescent="0.25">
      <c r="A60" s="406"/>
      <c r="B60" s="440" t="s">
        <v>146</v>
      </c>
      <c r="C60" s="418">
        <v>152167</v>
      </c>
      <c r="D60" s="418">
        <v>52813</v>
      </c>
      <c r="E60" s="418">
        <v>61746</v>
      </c>
      <c r="F60" s="418">
        <v>2926</v>
      </c>
      <c r="G60" s="419">
        <f t="shared" si="1"/>
        <v>269652</v>
      </c>
      <c r="H60" s="408"/>
      <c r="I60" s="408"/>
      <c r="J60" s="407"/>
    </row>
    <row r="61" spans="1:11" customFormat="1" ht="15" x14ac:dyDescent="0.25">
      <c r="A61" s="406"/>
      <c r="B61" s="440" t="s">
        <v>147</v>
      </c>
      <c r="C61" s="418">
        <v>225910</v>
      </c>
      <c r="D61" s="418">
        <v>75800</v>
      </c>
      <c r="E61" s="418">
        <v>96607</v>
      </c>
      <c r="F61" s="418">
        <v>2032</v>
      </c>
      <c r="G61" s="419">
        <f t="shared" si="1"/>
        <v>400349</v>
      </c>
      <c r="H61" s="408"/>
      <c r="I61" s="408"/>
      <c r="J61" s="407"/>
    </row>
    <row r="62" spans="1:11" customFormat="1" ht="15" x14ac:dyDescent="0.25">
      <c r="A62" s="406"/>
      <c r="B62" s="416" t="s">
        <v>5</v>
      </c>
      <c r="C62" s="418">
        <v>375498</v>
      </c>
      <c r="D62" s="418">
        <v>130179</v>
      </c>
      <c r="E62" s="418">
        <v>121282</v>
      </c>
      <c r="F62" s="418">
        <v>1941</v>
      </c>
      <c r="G62" s="419">
        <f t="shared" si="1"/>
        <v>628900</v>
      </c>
      <c r="H62" s="408"/>
      <c r="I62" s="408"/>
      <c r="J62" s="407"/>
    </row>
    <row r="63" spans="1:11" customFormat="1" ht="15" x14ac:dyDescent="0.25">
      <c r="A63" s="406"/>
      <c r="B63" s="416" t="s">
        <v>148</v>
      </c>
      <c r="C63" s="418">
        <v>222703</v>
      </c>
      <c r="D63" s="418">
        <v>75619</v>
      </c>
      <c r="E63" s="418">
        <v>107841</v>
      </c>
      <c r="F63" s="418">
        <v>2925</v>
      </c>
      <c r="G63" s="419">
        <f t="shared" si="1"/>
        <v>409088</v>
      </c>
      <c r="H63" s="408"/>
      <c r="I63" s="408"/>
      <c r="J63" s="407"/>
    </row>
    <row r="64" spans="1:11" customFormat="1" ht="15" x14ac:dyDescent="0.25">
      <c r="A64" s="406"/>
      <c r="B64" s="416" t="s">
        <v>149</v>
      </c>
      <c r="C64" s="418">
        <v>149305</v>
      </c>
      <c r="D64" s="418">
        <v>52938</v>
      </c>
      <c r="E64" s="418">
        <v>76495</v>
      </c>
      <c r="F64" s="418">
        <v>3138</v>
      </c>
      <c r="G64" s="419">
        <f t="shared" si="1"/>
        <v>281876</v>
      </c>
      <c r="H64" s="408"/>
      <c r="I64" s="408"/>
      <c r="J64" s="407"/>
    </row>
    <row r="65" spans="1:11" customFormat="1" ht="15" x14ac:dyDescent="0.25">
      <c r="A65" s="406"/>
      <c r="B65" s="416" t="s">
        <v>150</v>
      </c>
      <c r="C65" s="418">
        <v>188511</v>
      </c>
      <c r="D65" s="418">
        <v>64235</v>
      </c>
      <c r="E65" s="418">
        <v>82995</v>
      </c>
      <c r="F65" s="418">
        <v>3043</v>
      </c>
      <c r="G65" s="419">
        <f t="shared" si="1"/>
        <v>338784</v>
      </c>
      <c r="H65" s="408"/>
      <c r="I65" s="408"/>
      <c r="J65" s="406"/>
    </row>
    <row r="66" spans="1:11" customFormat="1" ht="15" x14ac:dyDescent="0.25">
      <c r="A66" s="406"/>
      <c r="B66" s="416" t="s">
        <v>151</v>
      </c>
      <c r="C66" s="418">
        <v>223343</v>
      </c>
      <c r="D66" s="418">
        <v>78576</v>
      </c>
      <c r="E66" s="418">
        <v>79281</v>
      </c>
      <c r="F66" s="418">
        <v>3165</v>
      </c>
      <c r="G66" s="419">
        <f t="shared" si="1"/>
        <v>384365</v>
      </c>
      <c r="H66" s="408"/>
      <c r="I66" s="408"/>
      <c r="J66" s="406"/>
    </row>
    <row r="67" spans="1:11" customFormat="1" ht="15" x14ac:dyDescent="0.25">
      <c r="A67" s="406"/>
      <c r="B67" s="416" t="s">
        <v>152</v>
      </c>
      <c r="C67" s="418">
        <v>145971</v>
      </c>
      <c r="D67" s="418">
        <v>51260</v>
      </c>
      <c r="E67" s="418">
        <v>55185</v>
      </c>
      <c r="F67" s="418">
        <v>2698</v>
      </c>
      <c r="G67" s="419">
        <f t="shared" si="1"/>
        <v>255114</v>
      </c>
      <c r="H67" s="408"/>
      <c r="I67" s="408"/>
      <c r="J67" s="406"/>
    </row>
    <row r="68" spans="1:11" customFormat="1" ht="15" x14ac:dyDescent="0.25">
      <c r="A68" s="406"/>
      <c r="B68" s="416" t="s">
        <v>153</v>
      </c>
      <c r="C68" s="418">
        <v>78266</v>
      </c>
      <c r="D68" s="418">
        <v>24909</v>
      </c>
      <c r="E68" s="418">
        <v>24919</v>
      </c>
      <c r="F68" s="418">
        <v>247</v>
      </c>
      <c r="G68" s="419">
        <f t="shared" si="1"/>
        <v>128341</v>
      </c>
      <c r="H68" s="408"/>
      <c r="I68" s="408"/>
      <c r="J68" s="406"/>
    </row>
    <row r="69" spans="1:11" customFormat="1" ht="15" x14ac:dyDescent="0.25">
      <c r="A69" s="406"/>
      <c r="B69" s="416" t="s">
        <v>154</v>
      </c>
      <c r="C69" s="418">
        <v>102002</v>
      </c>
      <c r="D69" s="418">
        <v>35319</v>
      </c>
      <c r="E69" s="418">
        <v>34327</v>
      </c>
      <c r="F69" s="418">
        <v>250</v>
      </c>
      <c r="G69" s="419">
        <f t="shared" si="1"/>
        <v>171898</v>
      </c>
      <c r="H69" s="408"/>
      <c r="I69" s="408"/>
      <c r="J69" s="406"/>
    </row>
    <row r="70" spans="1:11" customFormat="1" ht="15" x14ac:dyDescent="0.25">
      <c r="A70" s="406"/>
      <c r="B70" s="416" t="s">
        <v>155</v>
      </c>
      <c r="C70" s="418">
        <v>72642</v>
      </c>
      <c r="D70" s="418">
        <v>24753</v>
      </c>
      <c r="E70" s="418">
        <v>22510</v>
      </c>
      <c r="F70" s="418">
        <v>0</v>
      </c>
      <c r="G70" s="419">
        <f t="shared" si="1"/>
        <v>119905</v>
      </c>
      <c r="H70" s="408"/>
      <c r="I70" s="408"/>
      <c r="J70" s="406"/>
    </row>
    <row r="71" spans="1:11" customFormat="1" ht="15.75" thickBot="1" x14ac:dyDescent="0.3">
      <c r="A71" s="406"/>
      <c r="B71" s="421" t="s">
        <v>156</v>
      </c>
      <c r="C71" s="667">
        <v>201700</v>
      </c>
      <c r="D71" s="667">
        <v>70098</v>
      </c>
      <c r="E71" s="667">
        <v>43750</v>
      </c>
      <c r="F71" s="667">
        <v>1505</v>
      </c>
      <c r="G71" s="458">
        <f t="shared" si="1"/>
        <v>317053</v>
      </c>
      <c r="H71" s="408"/>
      <c r="I71" s="408"/>
      <c r="J71" s="406"/>
    </row>
    <row r="72" spans="1:11" s="126" customFormat="1" ht="21.75" customHeight="1" thickTop="1" thickBot="1" x14ac:dyDescent="0.3">
      <c r="B72" s="424" t="s">
        <v>157</v>
      </c>
      <c r="C72" s="437">
        <v>2757500</v>
      </c>
      <c r="D72" s="437">
        <v>947724</v>
      </c>
      <c r="E72" s="437">
        <v>1043282</v>
      </c>
      <c r="F72" s="437">
        <v>28312</v>
      </c>
      <c r="G72" s="437">
        <f>SUM(G56:G71)</f>
        <v>4776820</v>
      </c>
      <c r="H72" s="423"/>
      <c r="I72" s="441"/>
    </row>
    <row r="73" spans="1:11" customFormat="1" ht="15" x14ac:dyDescent="0.25">
      <c r="A73" s="406"/>
      <c r="B73" s="408"/>
      <c r="C73" s="408"/>
      <c r="D73" s="408"/>
      <c r="E73" s="408"/>
      <c r="F73" s="408"/>
      <c r="G73" s="408"/>
      <c r="H73" s="408"/>
      <c r="I73" s="433"/>
      <c r="J73" s="408"/>
      <c r="K73" s="406"/>
    </row>
    <row r="74" spans="1:11" customFormat="1" ht="12" customHeight="1" x14ac:dyDescent="0.25">
      <c r="A74" s="406"/>
      <c r="B74" s="408"/>
      <c r="C74" s="433"/>
      <c r="D74" s="433"/>
      <c r="E74" s="433"/>
      <c r="F74" s="433"/>
      <c r="G74" s="433"/>
      <c r="H74" s="433"/>
      <c r="I74" s="408"/>
      <c r="J74" s="408"/>
      <c r="K74" s="406"/>
    </row>
    <row r="75" spans="1:11" customFormat="1" ht="15" x14ac:dyDescent="0.25">
      <c r="A75" s="406"/>
      <c r="B75" s="408"/>
      <c r="C75" s="408"/>
      <c r="D75" s="408"/>
      <c r="E75" s="408"/>
      <c r="F75" s="433"/>
      <c r="G75" s="433"/>
      <c r="H75" s="408"/>
      <c r="I75" s="408"/>
      <c r="J75" s="408"/>
      <c r="K75" s="406"/>
    </row>
    <row r="76" spans="1:11" customFormat="1" ht="15" x14ac:dyDescent="0.25">
      <c r="A76" s="406"/>
      <c r="B76" s="408"/>
      <c r="C76" s="408"/>
      <c r="D76" s="408"/>
      <c r="E76" s="408"/>
      <c r="F76" s="408"/>
      <c r="G76" s="433"/>
      <c r="H76" s="408"/>
      <c r="I76" s="408"/>
      <c r="J76" s="408"/>
      <c r="K76" s="406"/>
    </row>
    <row r="84" spans="4:4" x14ac:dyDescent="0.2">
      <c r="D84" s="433"/>
    </row>
  </sheetData>
  <mergeCells count="15">
    <mergeCell ref="I8:I9"/>
    <mergeCell ref="B3:I3"/>
    <mergeCell ref="B7:B9"/>
    <mergeCell ref="C7:C9"/>
    <mergeCell ref="D7:D9"/>
    <mergeCell ref="E8:E9"/>
    <mergeCell ref="F8:F9"/>
    <mergeCell ref="G8:G9"/>
    <mergeCell ref="H8:H9"/>
    <mergeCell ref="E7:I7"/>
    <mergeCell ref="B32:B33"/>
    <mergeCell ref="B52:H52"/>
    <mergeCell ref="B54:B55"/>
    <mergeCell ref="C32:G32"/>
    <mergeCell ref="C54:G54"/>
  </mergeCells>
  <pageMargins left="0.81" right="0.23" top="0.75" bottom="0.75" header="0.30000000000000004" footer="0.3000000000000000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P383"/>
  <sheetViews>
    <sheetView workbookViewId="0"/>
  </sheetViews>
  <sheetFormatPr defaultRowHeight="12.75" x14ac:dyDescent="0.2"/>
  <cols>
    <col min="1" max="1" width="5.42578125" style="27" customWidth="1"/>
    <col min="2" max="2" width="23.5703125" style="27" customWidth="1"/>
    <col min="3" max="4" width="11.28515625" style="27" customWidth="1"/>
    <col min="5" max="5" width="11" style="27" customWidth="1"/>
    <col min="6" max="6" width="12" style="385" bestFit="1" customWidth="1"/>
    <col min="7" max="7" width="9.28515625" style="27" customWidth="1"/>
    <col min="8" max="8" width="10.140625" style="27" customWidth="1"/>
    <col min="9" max="9" width="11.42578125" style="27" customWidth="1"/>
    <col min="10" max="10" width="9.5703125" style="379" customWidth="1"/>
    <col min="11" max="11" width="10.5703125" style="385" customWidth="1"/>
    <col min="12" max="12" width="10.85546875" style="27" customWidth="1"/>
    <col min="13" max="13" width="12" style="27" customWidth="1"/>
    <col min="14" max="14" width="12.5703125" style="27" customWidth="1"/>
    <col min="15" max="15" width="13.5703125" style="27" customWidth="1"/>
    <col min="16" max="16" width="9.140625" style="27" customWidth="1"/>
    <col min="17" max="16384" width="9.140625" style="27"/>
  </cols>
  <sheetData>
    <row r="2" spans="2:16" s="385" customFormat="1" x14ac:dyDescent="0.2"/>
    <row r="3" spans="2:16" s="385" customFormat="1" x14ac:dyDescent="0.2"/>
    <row r="5" spans="2:16" ht="18" x14ac:dyDescent="0.25">
      <c r="B5" s="128" t="s">
        <v>160</v>
      </c>
      <c r="L5" s="27" t="s">
        <v>161</v>
      </c>
    </row>
    <row r="6" spans="2:16" ht="14.25" customHeight="1" x14ac:dyDescent="0.2"/>
    <row r="7" spans="2:16" s="118" customFormat="1" ht="22.5" customHeight="1" thickBot="1" x14ac:dyDescent="0.3">
      <c r="B7" s="862" t="s">
        <v>124</v>
      </c>
      <c r="C7" s="862"/>
      <c r="D7" s="862"/>
      <c r="E7" s="862"/>
      <c r="F7" s="610"/>
    </row>
    <row r="8" spans="2:16" ht="13.5" thickTop="1" x14ac:dyDescent="0.2">
      <c r="B8" s="857" t="s">
        <v>162</v>
      </c>
      <c r="C8" s="857"/>
      <c r="D8" s="857"/>
      <c r="E8" s="130">
        <v>17741.04</v>
      </c>
      <c r="F8" s="611"/>
    </row>
    <row r="9" spans="2:16" x14ac:dyDescent="0.2">
      <c r="B9" s="866" t="s">
        <v>163</v>
      </c>
      <c r="C9" s="866"/>
      <c r="D9" s="866"/>
      <c r="E9" s="9">
        <v>38521.31</v>
      </c>
      <c r="F9" s="611"/>
    </row>
    <row r="10" spans="2:16" x14ac:dyDescent="0.2">
      <c r="B10" s="866" t="s">
        <v>164</v>
      </c>
      <c r="C10" s="866"/>
      <c r="D10" s="866"/>
      <c r="E10" s="9">
        <v>20573.560000000001</v>
      </c>
      <c r="F10" s="611"/>
    </row>
    <row r="11" spans="2:16" s="114" customFormat="1" x14ac:dyDescent="0.25">
      <c r="B11" s="860" t="s">
        <v>128</v>
      </c>
      <c r="C11" s="860"/>
      <c r="D11" s="860"/>
      <c r="E11" s="131">
        <v>17162.169999999998</v>
      </c>
      <c r="F11" s="612"/>
    </row>
    <row r="12" spans="2:16" s="114" customFormat="1" x14ac:dyDescent="0.25">
      <c r="B12" s="382" t="s">
        <v>50</v>
      </c>
      <c r="C12" s="383"/>
      <c r="D12" s="384"/>
      <c r="E12" s="135">
        <v>410</v>
      </c>
      <c r="F12" s="612"/>
    </row>
    <row r="13" spans="2:16" s="114" customFormat="1" ht="13.5" customHeight="1" thickBot="1" x14ac:dyDescent="0.3">
      <c r="B13" s="860" t="s">
        <v>166</v>
      </c>
      <c r="C13" s="860"/>
      <c r="D13" s="860"/>
      <c r="E13" s="135">
        <v>18308.990000000002</v>
      </c>
      <c r="F13" s="612"/>
    </row>
    <row r="14" spans="2:16" s="118" customFormat="1" ht="16.5" customHeight="1" thickTop="1" x14ac:dyDescent="0.25">
      <c r="B14" s="868" t="s">
        <v>120</v>
      </c>
      <c r="C14" s="868"/>
      <c r="D14" s="868"/>
      <c r="E14" s="668">
        <f>SUM(E8:E13)</f>
        <v>112717.07</v>
      </c>
      <c r="F14" s="615"/>
    </row>
    <row r="15" spans="2:16" customFormat="1" ht="7.5" customHeight="1" x14ac:dyDescent="0.25">
      <c r="B15" s="27"/>
      <c r="C15" s="27"/>
      <c r="D15" s="27"/>
      <c r="E15" s="27"/>
      <c r="F15" s="385"/>
      <c r="G15" s="27"/>
      <c r="H15" s="27"/>
      <c r="I15" s="27"/>
      <c r="J15" s="379"/>
      <c r="K15" s="385"/>
      <c r="L15" s="27"/>
      <c r="M15" s="27"/>
      <c r="N15" s="27"/>
      <c r="O15" s="27"/>
      <c r="P15" s="27"/>
    </row>
    <row r="16" spans="2:16" s="119" customFormat="1" ht="57" thickBot="1" x14ac:dyDescent="0.3">
      <c r="B16" s="680" t="s">
        <v>53</v>
      </c>
      <c r="C16" s="405" t="s">
        <v>595</v>
      </c>
      <c r="D16" s="405" t="s">
        <v>596</v>
      </c>
      <c r="E16" s="405" t="s">
        <v>167</v>
      </c>
      <c r="F16" s="405" t="s">
        <v>168</v>
      </c>
      <c r="G16" s="405" t="s">
        <v>169</v>
      </c>
      <c r="H16" s="405" t="s">
        <v>522</v>
      </c>
      <c r="I16" s="405" t="s">
        <v>877</v>
      </c>
      <c r="J16" s="142" t="s">
        <v>120</v>
      </c>
    </row>
    <row r="17" spans="2:16" customFormat="1" ht="15.75" thickTop="1" x14ac:dyDescent="0.25">
      <c r="B17" s="675" t="s">
        <v>59</v>
      </c>
      <c r="C17" s="144">
        <v>377856</v>
      </c>
      <c r="D17" s="144">
        <v>681892.28</v>
      </c>
      <c r="E17" s="144">
        <v>46996.01</v>
      </c>
      <c r="F17" s="144">
        <v>65451.88</v>
      </c>
      <c r="G17" s="144">
        <v>132135.73000000001</v>
      </c>
      <c r="H17" s="144"/>
      <c r="I17" s="144"/>
      <c r="J17" s="144">
        <f>C17+D17+E17+F17+G17+H17+I17</f>
        <v>1304331.8999999999</v>
      </c>
      <c r="K17" s="27"/>
      <c r="L17" s="27"/>
      <c r="M17" s="27"/>
      <c r="N17" s="27"/>
    </row>
    <row r="18" spans="2:16" customFormat="1" ht="15" x14ac:dyDescent="0.25">
      <c r="B18" s="676" t="s">
        <v>60</v>
      </c>
      <c r="C18" s="146">
        <v>125754.53</v>
      </c>
      <c r="D18" s="146">
        <v>227695.82</v>
      </c>
      <c r="E18" s="146">
        <v>15666.87</v>
      </c>
      <c r="F18" s="146">
        <v>20952.240000000002</v>
      </c>
      <c r="G18" s="146">
        <v>45808.27</v>
      </c>
      <c r="H18" s="146"/>
      <c r="I18" s="146"/>
      <c r="J18" s="146">
        <f t="shared" ref="J18:J28" si="0">C18+D18+E18+F18+G18+H18+I18</f>
        <v>435877.73</v>
      </c>
      <c r="K18" s="27"/>
      <c r="L18" s="27"/>
      <c r="M18" s="27"/>
      <c r="N18" s="27"/>
    </row>
    <row r="19" spans="2:16" customFormat="1" ht="15" x14ac:dyDescent="0.25">
      <c r="B19" s="676" t="s">
        <v>61</v>
      </c>
      <c r="C19" s="146">
        <f t="shared" ref="C19:I19" si="1">SUM(C20:C26)</f>
        <v>70523.489999999991</v>
      </c>
      <c r="D19" s="146">
        <f t="shared" si="1"/>
        <v>189511.02</v>
      </c>
      <c r="E19" s="146">
        <f t="shared" si="1"/>
        <v>18690</v>
      </c>
      <c r="F19" s="146">
        <f t="shared" si="1"/>
        <v>115105.8</v>
      </c>
      <c r="G19" s="146">
        <f t="shared" si="1"/>
        <v>14800</v>
      </c>
      <c r="H19" s="146">
        <f t="shared" si="1"/>
        <v>0</v>
      </c>
      <c r="I19" s="146">
        <f t="shared" si="1"/>
        <v>1491.84</v>
      </c>
      <c r="J19" s="146">
        <f t="shared" si="0"/>
        <v>410122.15</v>
      </c>
      <c r="K19" s="27"/>
      <c r="L19" s="27"/>
      <c r="M19" s="27"/>
      <c r="N19" s="27"/>
    </row>
    <row r="20" spans="2:16" customFormat="1" ht="15" x14ac:dyDescent="0.25">
      <c r="B20" s="677" t="s">
        <v>78</v>
      </c>
      <c r="C20" s="9">
        <v>17</v>
      </c>
      <c r="D20" s="9">
        <v>16.54</v>
      </c>
      <c r="E20" s="9">
        <v>0</v>
      </c>
      <c r="F20" s="9">
        <v>0</v>
      </c>
      <c r="G20" s="9">
        <v>0</v>
      </c>
      <c r="H20" s="9"/>
      <c r="I20" s="9"/>
      <c r="J20" s="9">
        <f t="shared" si="0"/>
        <v>33.54</v>
      </c>
      <c r="K20" s="27"/>
      <c r="L20" s="27"/>
      <c r="M20" s="27"/>
      <c r="N20" s="27"/>
    </row>
    <row r="21" spans="2:16" customFormat="1" ht="15" x14ac:dyDescent="0.25">
      <c r="B21" s="677" t="s">
        <v>62</v>
      </c>
      <c r="C21" s="9">
        <v>10364.32</v>
      </c>
      <c r="D21" s="9">
        <v>85165.18</v>
      </c>
      <c r="E21" s="9">
        <v>7325</v>
      </c>
      <c r="F21" s="9">
        <v>10981</v>
      </c>
      <c r="G21" s="9">
        <v>7320</v>
      </c>
      <c r="H21" s="9"/>
      <c r="I21" s="9"/>
      <c r="J21" s="9">
        <f t="shared" si="0"/>
        <v>121155.5</v>
      </c>
      <c r="K21" s="27"/>
      <c r="L21" s="27"/>
      <c r="M21" s="27"/>
      <c r="N21" s="27"/>
    </row>
    <row r="22" spans="2:16" customFormat="1" ht="15" x14ac:dyDescent="0.25">
      <c r="B22" s="677" t="s">
        <v>63</v>
      </c>
      <c r="C22" s="9">
        <v>31420.17</v>
      </c>
      <c r="D22" s="9">
        <v>39498.39</v>
      </c>
      <c r="E22" s="9">
        <v>7570</v>
      </c>
      <c r="F22" s="9">
        <v>91450.21</v>
      </c>
      <c r="G22" s="9">
        <v>4900</v>
      </c>
      <c r="H22" s="9"/>
      <c r="I22" s="9">
        <v>1491.84</v>
      </c>
      <c r="J22" s="9">
        <f t="shared" si="0"/>
        <v>176330.61000000002</v>
      </c>
      <c r="K22" s="27"/>
      <c r="L22" s="27"/>
      <c r="M22" s="27"/>
      <c r="N22" s="27"/>
    </row>
    <row r="23" spans="2:16" s="380" customFormat="1" ht="15" x14ac:dyDescent="0.25">
      <c r="B23" s="677" t="s">
        <v>64</v>
      </c>
      <c r="C23" s="9">
        <v>0</v>
      </c>
      <c r="D23" s="9">
        <v>1610</v>
      </c>
      <c r="E23" s="9">
        <v>0</v>
      </c>
      <c r="F23" s="9">
        <v>0</v>
      </c>
      <c r="G23" s="9">
        <v>0</v>
      </c>
      <c r="H23" s="9"/>
      <c r="I23" s="9"/>
      <c r="J23" s="9">
        <f t="shared" si="0"/>
        <v>1610</v>
      </c>
      <c r="K23" s="381"/>
      <c r="L23" s="381"/>
      <c r="M23" s="381"/>
      <c r="N23" s="381"/>
    </row>
    <row r="24" spans="2:16" customFormat="1" ht="15" x14ac:dyDescent="0.25">
      <c r="B24" s="677" t="s">
        <v>65</v>
      </c>
      <c r="C24" s="9">
        <v>8842</v>
      </c>
      <c r="D24" s="9">
        <v>16676</v>
      </c>
      <c r="E24" s="9">
        <v>820</v>
      </c>
      <c r="F24" s="9">
        <v>1230</v>
      </c>
      <c r="G24" s="9">
        <v>0</v>
      </c>
      <c r="H24" s="9"/>
      <c r="I24" s="9"/>
      <c r="J24" s="9">
        <f t="shared" si="0"/>
        <v>27568</v>
      </c>
      <c r="K24" s="27"/>
      <c r="L24" s="27"/>
      <c r="M24" s="27"/>
      <c r="N24" s="27"/>
    </row>
    <row r="25" spans="2:16" customFormat="1" ht="15" x14ac:dyDescent="0.25">
      <c r="B25" s="677" t="s">
        <v>66</v>
      </c>
      <c r="C25" s="9">
        <v>2000</v>
      </c>
      <c r="D25" s="9">
        <v>1200</v>
      </c>
      <c r="E25" s="9">
        <v>0</v>
      </c>
      <c r="F25" s="9">
        <v>0</v>
      </c>
      <c r="G25" s="9">
        <v>0</v>
      </c>
      <c r="H25" s="9"/>
      <c r="I25" s="9"/>
      <c r="J25" s="9">
        <f t="shared" si="0"/>
        <v>3200</v>
      </c>
      <c r="K25" s="27"/>
      <c r="L25" s="27"/>
      <c r="M25" s="27"/>
      <c r="N25" s="27"/>
    </row>
    <row r="26" spans="2:16" customFormat="1" ht="15" x14ac:dyDescent="0.25">
      <c r="B26" s="677" t="s">
        <v>67</v>
      </c>
      <c r="C26" s="9">
        <v>17880</v>
      </c>
      <c r="D26" s="9">
        <v>45344.91</v>
      </c>
      <c r="E26" s="9">
        <v>2975</v>
      </c>
      <c r="F26" s="9">
        <v>11444.59</v>
      </c>
      <c r="G26" s="9">
        <v>2580</v>
      </c>
      <c r="H26" s="9"/>
      <c r="I26" s="9"/>
      <c r="J26" s="9">
        <f t="shared" si="0"/>
        <v>80224.5</v>
      </c>
      <c r="K26" s="27"/>
      <c r="L26" s="27"/>
      <c r="M26" s="27"/>
      <c r="N26" s="27"/>
    </row>
    <row r="27" spans="2:16" customFormat="1" ht="15.75" thickBot="1" x14ac:dyDescent="0.3">
      <c r="B27" s="679" t="s">
        <v>68</v>
      </c>
      <c r="C27" s="149">
        <v>5047</v>
      </c>
      <c r="D27" s="149">
        <v>3865</v>
      </c>
      <c r="E27" s="149">
        <v>150</v>
      </c>
      <c r="F27" s="149">
        <v>538.79999999999995</v>
      </c>
      <c r="G27" s="149">
        <v>800</v>
      </c>
      <c r="H27" s="149">
        <v>49.8</v>
      </c>
      <c r="I27" s="149">
        <v>0</v>
      </c>
      <c r="J27" s="149">
        <f t="shared" si="0"/>
        <v>10450.599999999999</v>
      </c>
      <c r="K27" s="27"/>
      <c r="L27" s="27"/>
      <c r="M27" s="27"/>
      <c r="N27" s="27"/>
    </row>
    <row r="28" spans="2:16" customFormat="1" ht="18.75" customHeight="1" thickTop="1" x14ac:dyDescent="0.25">
      <c r="B28" s="150" t="s">
        <v>120</v>
      </c>
      <c r="C28" s="140">
        <f t="shared" ref="C28:I28" si="2">C17+C18+C19+C27</f>
        <v>579181.02</v>
      </c>
      <c r="D28" s="140">
        <f t="shared" si="2"/>
        <v>1102964.1200000001</v>
      </c>
      <c r="E28" s="140">
        <f t="shared" si="2"/>
        <v>81502.880000000005</v>
      </c>
      <c r="F28" s="140">
        <f t="shared" si="2"/>
        <v>202048.71999999997</v>
      </c>
      <c r="G28" s="140">
        <f t="shared" si="2"/>
        <v>193544</v>
      </c>
      <c r="H28" s="140">
        <f t="shared" si="2"/>
        <v>49.8</v>
      </c>
      <c r="I28" s="140">
        <f t="shared" si="2"/>
        <v>1491.84</v>
      </c>
      <c r="J28" s="140">
        <f t="shared" si="0"/>
        <v>2160782.38</v>
      </c>
      <c r="K28" s="27"/>
      <c r="L28" s="27"/>
      <c r="M28" s="27"/>
      <c r="N28" s="27"/>
    </row>
    <row r="29" spans="2:16" customFormat="1" ht="18.75" customHeight="1" x14ac:dyDescent="0.25">
      <c r="B29" s="27"/>
      <c r="C29" s="27"/>
      <c r="D29" s="27"/>
      <c r="E29" s="27"/>
      <c r="F29" s="385"/>
      <c r="G29" s="27"/>
      <c r="H29" s="151"/>
      <c r="I29" s="27"/>
      <c r="J29" s="379"/>
      <c r="K29" s="385"/>
      <c r="L29" s="27"/>
      <c r="M29" s="27"/>
      <c r="N29" s="27"/>
      <c r="O29" s="27"/>
      <c r="P29" s="27"/>
    </row>
    <row r="30" spans="2:16" s="640" customFormat="1" ht="18.75" customHeight="1" x14ac:dyDescent="0.25">
      <c r="B30" s="385"/>
      <c r="C30" s="385"/>
      <c r="D30" s="385"/>
      <c r="E30" s="385"/>
      <c r="F30" s="385"/>
      <c r="G30" s="385"/>
      <c r="H30" s="151"/>
      <c r="I30" s="385"/>
      <c r="J30" s="385"/>
      <c r="K30" s="385"/>
      <c r="L30" s="385"/>
      <c r="M30" s="385"/>
      <c r="N30" s="385"/>
      <c r="O30" s="385"/>
      <c r="P30" s="385"/>
    </row>
    <row r="31" spans="2:16" s="640" customFormat="1" ht="18.75" customHeight="1" x14ac:dyDescent="0.25">
      <c r="B31" s="385"/>
      <c r="C31" s="385"/>
      <c r="D31" s="385"/>
      <c r="E31" s="385"/>
      <c r="F31" s="385"/>
      <c r="G31" s="385"/>
      <c r="H31" s="151"/>
      <c r="I31" s="385"/>
      <c r="J31" s="385"/>
      <c r="K31" s="385"/>
      <c r="L31" s="385"/>
      <c r="M31" s="385"/>
      <c r="N31" s="385"/>
      <c r="O31" s="385"/>
      <c r="P31" s="385"/>
    </row>
    <row r="32" spans="2:16" customFormat="1" ht="18" x14ac:dyDescent="0.25">
      <c r="B32" s="128" t="s">
        <v>170</v>
      </c>
      <c r="C32" s="27"/>
      <c r="D32" s="27"/>
      <c r="E32" s="27"/>
      <c r="F32" s="385"/>
      <c r="G32" s="27"/>
      <c r="H32" s="27"/>
      <c r="I32" s="27"/>
      <c r="J32" s="379"/>
      <c r="K32" s="385"/>
      <c r="L32" s="27"/>
      <c r="M32" s="27"/>
      <c r="N32" s="27"/>
      <c r="O32" s="27"/>
      <c r="P32" s="27"/>
    </row>
    <row r="33" spans="2:16" customFormat="1" ht="7.5" customHeight="1" x14ac:dyDescent="0.25">
      <c r="B33" s="27"/>
      <c r="C33" s="27"/>
      <c r="D33" s="27"/>
      <c r="E33" s="27"/>
      <c r="F33" s="385"/>
      <c r="G33" s="27"/>
      <c r="H33" s="27"/>
      <c r="I33" s="27"/>
      <c r="J33" s="379"/>
      <c r="K33" s="385"/>
      <c r="L33" s="27"/>
      <c r="M33" s="27"/>
      <c r="N33" s="27"/>
      <c r="O33" s="27"/>
      <c r="P33" s="27"/>
    </row>
    <row r="34" spans="2:16" s="118" customFormat="1" ht="16.5" customHeight="1" thickBot="1" x14ac:dyDescent="0.3">
      <c r="B34" s="862" t="s">
        <v>124</v>
      </c>
      <c r="C34" s="862"/>
      <c r="D34" s="862"/>
      <c r="E34" s="862"/>
      <c r="F34" s="610"/>
    </row>
    <row r="35" spans="2:16" customFormat="1" ht="15.75" thickTop="1" x14ac:dyDescent="0.25">
      <c r="B35" s="857" t="s">
        <v>162</v>
      </c>
      <c r="C35" s="857"/>
      <c r="D35" s="857"/>
      <c r="E35" s="130">
        <v>1448.99</v>
      </c>
      <c r="F35" s="611"/>
      <c r="G35" s="27"/>
      <c r="H35" s="27"/>
      <c r="I35" s="27"/>
      <c r="J35" s="379"/>
      <c r="K35" s="385"/>
      <c r="L35" s="27"/>
      <c r="M35" s="27"/>
      <c r="N35" s="27"/>
      <c r="O35" s="27"/>
      <c r="P35" s="27"/>
    </row>
    <row r="36" spans="2:16" customFormat="1" ht="15" x14ac:dyDescent="0.25">
      <c r="B36" s="866" t="s">
        <v>163</v>
      </c>
      <c r="C36" s="866"/>
      <c r="D36" s="866"/>
      <c r="E36" s="9">
        <v>24694.05</v>
      </c>
      <c r="F36" s="611"/>
      <c r="G36" s="27"/>
      <c r="H36" s="27"/>
      <c r="I36" s="27"/>
      <c r="J36" s="379"/>
      <c r="K36" s="385"/>
      <c r="L36" s="27"/>
      <c r="M36" s="27"/>
      <c r="N36" s="27"/>
      <c r="O36" s="27"/>
      <c r="P36" s="27"/>
    </row>
    <row r="37" spans="2:16" customFormat="1" ht="15" x14ac:dyDescent="0.25">
      <c r="B37" s="866" t="s">
        <v>164</v>
      </c>
      <c r="C37" s="866"/>
      <c r="D37" s="866"/>
      <c r="E37" s="9">
        <v>16580.169999999998</v>
      </c>
      <c r="F37" s="611"/>
      <c r="G37" s="27"/>
      <c r="H37" s="27"/>
      <c r="I37" s="27"/>
      <c r="J37" s="379"/>
      <c r="K37" s="385"/>
      <c r="L37" s="27"/>
      <c r="M37" s="27"/>
      <c r="N37" s="27"/>
      <c r="O37" s="27"/>
      <c r="P37" s="27"/>
    </row>
    <row r="38" spans="2:16" customFormat="1" ht="15" x14ac:dyDescent="0.25">
      <c r="B38" s="866" t="s">
        <v>128</v>
      </c>
      <c r="C38" s="866"/>
      <c r="D38" s="866"/>
      <c r="E38" s="9">
        <v>15831.39</v>
      </c>
      <c r="F38" s="611"/>
      <c r="G38" s="27"/>
      <c r="H38" s="27"/>
      <c r="I38" s="27"/>
      <c r="J38" s="379"/>
      <c r="K38" s="385"/>
      <c r="L38" s="27"/>
      <c r="M38" s="27"/>
      <c r="N38" s="27"/>
      <c r="O38" s="27"/>
      <c r="P38" s="27"/>
    </row>
    <row r="39" spans="2:16" s="114" customFormat="1" x14ac:dyDescent="0.25">
      <c r="B39" s="132" t="s">
        <v>165</v>
      </c>
      <c r="C39" s="133"/>
      <c r="D39" s="134"/>
      <c r="E39" s="135">
        <v>266</v>
      </c>
      <c r="F39" s="612"/>
    </row>
    <row r="40" spans="2:16" s="114" customFormat="1" ht="12.75" customHeight="1" x14ac:dyDescent="0.25">
      <c r="B40" s="860" t="s">
        <v>166</v>
      </c>
      <c r="C40" s="860"/>
      <c r="D40" s="860"/>
      <c r="E40" s="135">
        <v>29220.1</v>
      </c>
      <c r="F40" s="612"/>
    </row>
    <row r="41" spans="2:16" s="114" customFormat="1" ht="15.75" customHeight="1" thickBot="1" x14ac:dyDescent="0.3">
      <c r="B41" s="869" t="s">
        <v>130</v>
      </c>
      <c r="C41" s="869"/>
      <c r="D41" s="869"/>
      <c r="E41" s="139">
        <v>1200</v>
      </c>
      <c r="F41" s="612"/>
    </row>
    <row r="42" spans="2:16" s="118" customFormat="1" ht="18.75" customHeight="1" thickTop="1" x14ac:dyDescent="0.25">
      <c r="B42" s="868" t="s">
        <v>120</v>
      </c>
      <c r="C42" s="868"/>
      <c r="D42" s="868"/>
      <c r="E42" s="140">
        <f>SUM(E35:E41)</f>
        <v>89240.7</v>
      </c>
      <c r="F42" s="615"/>
    </row>
    <row r="43" spans="2:16" customFormat="1" ht="7.5" customHeight="1" x14ac:dyDescent="0.25">
      <c r="B43" s="27"/>
      <c r="C43" s="27"/>
      <c r="D43" s="27"/>
      <c r="E43" s="27"/>
      <c r="F43" s="385"/>
      <c r="G43" s="27"/>
      <c r="H43" s="27"/>
      <c r="I43" s="27"/>
      <c r="J43" s="379"/>
      <c r="K43" s="385"/>
      <c r="L43" s="27"/>
      <c r="M43" s="27"/>
      <c r="N43" s="27"/>
      <c r="O43" s="27"/>
      <c r="P43" s="27"/>
    </row>
    <row r="44" spans="2:16" s="119" customFormat="1" ht="57" thickBot="1" x14ac:dyDescent="0.3">
      <c r="B44" s="403" t="s">
        <v>53</v>
      </c>
      <c r="C44" s="405" t="s">
        <v>595</v>
      </c>
      <c r="D44" s="405" t="s">
        <v>596</v>
      </c>
      <c r="E44" s="405" t="s">
        <v>167</v>
      </c>
      <c r="F44" s="405" t="s">
        <v>168</v>
      </c>
      <c r="G44" s="405" t="s">
        <v>169</v>
      </c>
      <c r="H44" s="405" t="s">
        <v>522</v>
      </c>
      <c r="I44" s="405" t="s">
        <v>877</v>
      </c>
      <c r="J44" s="142" t="s">
        <v>120</v>
      </c>
    </row>
    <row r="45" spans="2:16" customFormat="1" ht="15.75" thickTop="1" x14ac:dyDescent="0.25">
      <c r="B45" s="675" t="s">
        <v>59</v>
      </c>
      <c r="C45" s="144">
        <v>277385</v>
      </c>
      <c r="D45" s="144">
        <v>370497.28000000003</v>
      </c>
      <c r="E45" s="144">
        <v>29859.38</v>
      </c>
      <c r="F45" s="144">
        <v>29859.39</v>
      </c>
      <c r="G45" s="144">
        <v>78349</v>
      </c>
      <c r="H45" s="144"/>
      <c r="I45" s="144"/>
      <c r="J45" s="144">
        <f>C45+D45+E45+F45+G45+H45+I45</f>
        <v>785950.05</v>
      </c>
      <c r="K45" s="27"/>
      <c r="L45" s="27"/>
      <c r="M45" s="27"/>
      <c r="N45" s="27"/>
    </row>
    <row r="46" spans="2:16" customFormat="1" ht="15" x14ac:dyDescent="0.25">
      <c r="B46" s="676" t="s">
        <v>60</v>
      </c>
      <c r="C46" s="146">
        <v>102435</v>
      </c>
      <c r="D46" s="146">
        <v>133618.1</v>
      </c>
      <c r="E46" s="146">
        <v>10170.65</v>
      </c>
      <c r="F46" s="146">
        <v>10170.64</v>
      </c>
      <c r="G46" s="146">
        <v>26707.81</v>
      </c>
      <c r="H46" s="146"/>
      <c r="I46" s="146"/>
      <c r="J46" s="146">
        <f t="shared" ref="J46:J57" si="3">C46+D46+E46+F46+G46+H46+I46</f>
        <v>283102.2</v>
      </c>
      <c r="K46" s="27"/>
      <c r="L46" s="27"/>
      <c r="M46" s="27"/>
      <c r="N46" s="27"/>
    </row>
    <row r="47" spans="2:16" customFormat="1" ht="15" x14ac:dyDescent="0.25">
      <c r="B47" s="676" t="s">
        <v>61</v>
      </c>
      <c r="C47" s="146">
        <f t="shared" ref="C47:I47" si="4">SUM(C48:C54)</f>
        <v>95045.08</v>
      </c>
      <c r="D47" s="146">
        <f t="shared" si="4"/>
        <v>128384.23000000001</v>
      </c>
      <c r="E47" s="146">
        <f t="shared" si="4"/>
        <v>53092.240000000005</v>
      </c>
      <c r="F47" s="146">
        <f t="shared" si="4"/>
        <v>50997.53</v>
      </c>
      <c r="G47" s="146">
        <f t="shared" si="4"/>
        <v>17999.64</v>
      </c>
      <c r="H47" s="146">
        <f t="shared" si="4"/>
        <v>16.600000000000001</v>
      </c>
      <c r="I47" s="146">
        <f t="shared" si="4"/>
        <v>1508.21</v>
      </c>
      <c r="J47" s="146">
        <f t="shared" si="3"/>
        <v>347043.52999999997</v>
      </c>
      <c r="K47" s="27"/>
      <c r="L47" s="27"/>
      <c r="M47" s="27"/>
      <c r="N47" s="27"/>
    </row>
    <row r="48" spans="2:16" customFormat="1" ht="15" x14ac:dyDescent="0.25">
      <c r="B48" s="677" t="s">
        <v>78</v>
      </c>
      <c r="C48" s="9">
        <v>32.659999999999997</v>
      </c>
      <c r="D48" s="9">
        <v>32.67</v>
      </c>
      <c r="E48" s="9">
        <v>0</v>
      </c>
      <c r="F48" s="9">
        <v>0</v>
      </c>
      <c r="G48" s="9">
        <v>0</v>
      </c>
      <c r="H48" s="9"/>
      <c r="I48" s="9"/>
      <c r="J48" s="9">
        <f t="shared" si="3"/>
        <v>65.33</v>
      </c>
      <c r="K48" s="27"/>
      <c r="L48" s="27"/>
      <c r="M48" s="27"/>
      <c r="N48" s="27"/>
    </row>
    <row r="49" spans="2:16" customFormat="1" ht="15" x14ac:dyDescent="0.25">
      <c r="B49" s="677" t="s">
        <v>62</v>
      </c>
      <c r="C49" s="9">
        <v>17620.34</v>
      </c>
      <c r="D49" s="9">
        <v>19190.080000000002</v>
      </c>
      <c r="E49" s="9">
        <v>5240</v>
      </c>
      <c r="F49" s="9">
        <v>5240</v>
      </c>
      <c r="G49" s="9">
        <v>2036</v>
      </c>
      <c r="H49" s="9"/>
      <c r="I49" s="9"/>
      <c r="J49" s="9">
        <f t="shared" si="3"/>
        <v>49326.42</v>
      </c>
      <c r="K49" s="27"/>
      <c r="L49" s="27"/>
      <c r="M49" s="27"/>
      <c r="N49" s="27"/>
    </row>
    <row r="50" spans="2:16" customFormat="1" ht="15" x14ac:dyDescent="0.25">
      <c r="B50" s="677" t="s">
        <v>63</v>
      </c>
      <c r="C50" s="9">
        <v>44100</v>
      </c>
      <c r="D50" s="9">
        <v>41398.050000000003</v>
      </c>
      <c r="E50" s="9">
        <v>32742.240000000002</v>
      </c>
      <c r="F50" s="9">
        <v>28275.53</v>
      </c>
      <c r="G50" s="9">
        <v>1624</v>
      </c>
      <c r="H50" s="9">
        <v>16.600000000000001</v>
      </c>
      <c r="I50" s="9">
        <v>1508.21</v>
      </c>
      <c r="J50" s="9">
        <f t="shared" si="3"/>
        <v>149664.63</v>
      </c>
      <c r="K50" s="27"/>
      <c r="L50" s="27"/>
      <c r="M50" s="27"/>
      <c r="N50" s="27"/>
    </row>
    <row r="51" spans="2:16" customFormat="1" ht="15" x14ac:dyDescent="0.25">
      <c r="B51" s="677" t="s">
        <v>64</v>
      </c>
      <c r="C51" s="9">
        <v>1332.08</v>
      </c>
      <c r="D51" s="9">
        <v>0</v>
      </c>
      <c r="E51" s="9">
        <v>0</v>
      </c>
      <c r="F51" s="9">
        <v>0</v>
      </c>
      <c r="G51" s="9">
        <v>0</v>
      </c>
      <c r="H51" s="9"/>
      <c r="I51" s="9"/>
      <c r="J51" s="9">
        <f t="shared" si="3"/>
        <v>1332.08</v>
      </c>
      <c r="K51" s="27"/>
      <c r="L51" s="27"/>
      <c r="M51" s="27"/>
      <c r="N51" s="27"/>
    </row>
    <row r="52" spans="2:16" customFormat="1" ht="15" x14ac:dyDescent="0.25">
      <c r="B52" s="677" t="s">
        <v>65</v>
      </c>
      <c r="C52" s="9">
        <v>5200</v>
      </c>
      <c r="D52" s="9">
        <v>5700</v>
      </c>
      <c r="E52" s="9">
        <v>10200</v>
      </c>
      <c r="F52" s="9">
        <v>10200</v>
      </c>
      <c r="G52" s="9">
        <v>10507.64</v>
      </c>
      <c r="H52" s="9"/>
      <c r="I52" s="9"/>
      <c r="J52" s="9">
        <f t="shared" si="3"/>
        <v>41807.64</v>
      </c>
      <c r="K52" s="27"/>
      <c r="L52" s="27"/>
      <c r="M52" s="27"/>
      <c r="N52" s="27"/>
    </row>
    <row r="53" spans="2:16" customFormat="1" ht="15" x14ac:dyDescent="0.25">
      <c r="B53" s="677" t="s">
        <v>66</v>
      </c>
      <c r="C53" s="9">
        <v>240</v>
      </c>
      <c r="D53" s="9">
        <v>239.1</v>
      </c>
      <c r="E53" s="9">
        <v>0</v>
      </c>
      <c r="F53" s="9">
        <v>0</v>
      </c>
      <c r="G53" s="9">
        <v>0</v>
      </c>
      <c r="H53" s="9"/>
      <c r="I53" s="9"/>
      <c r="J53" s="9">
        <f t="shared" si="3"/>
        <v>479.1</v>
      </c>
      <c r="K53" s="27"/>
      <c r="L53" s="27"/>
      <c r="M53" s="27"/>
      <c r="N53" s="27"/>
    </row>
    <row r="54" spans="2:16" customFormat="1" ht="15" x14ac:dyDescent="0.25">
      <c r="B54" s="677" t="s">
        <v>67</v>
      </c>
      <c r="C54" s="9">
        <v>26520</v>
      </c>
      <c r="D54" s="9">
        <v>61824.33</v>
      </c>
      <c r="E54" s="9">
        <v>4910</v>
      </c>
      <c r="F54" s="9">
        <v>7282</v>
      </c>
      <c r="G54" s="9">
        <v>3832</v>
      </c>
      <c r="H54" s="9"/>
      <c r="I54" s="9"/>
      <c r="J54" s="9">
        <f t="shared" si="3"/>
        <v>104368.33</v>
      </c>
      <c r="K54" s="27"/>
      <c r="L54" s="27"/>
      <c r="M54" s="27"/>
      <c r="N54" s="27"/>
    </row>
    <row r="55" spans="2:16" customFormat="1" ht="15" x14ac:dyDescent="0.25">
      <c r="B55" s="676" t="s">
        <v>68</v>
      </c>
      <c r="C55" s="146">
        <v>3464</v>
      </c>
      <c r="D55" s="146">
        <v>3803.07</v>
      </c>
      <c r="E55" s="146">
        <v>260.47000000000003</v>
      </c>
      <c r="F55" s="146">
        <v>260.47000000000003</v>
      </c>
      <c r="G55" s="146">
        <v>0</v>
      </c>
      <c r="H55" s="146"/>
      <c r="I55" s="146"/>
      <c r="J55" s="146">
        <f t="shared" si="3"/>
        <v>7788.01</v>
      </c>
      <c r="K55" s="27"/>
      <c r="L55" s="27"/>
      <c r="M55" s="27"/>
      <c r="N55" s="27"/>
    </row>
    <row r="56" spans="2:16" s="673" customFormat="1" ht="24.75" customHeight="1" thickBot="1" x14ac:dyDescent="0.3">
      <c r="B56" s="679" t="s">
        <v>524</v>
      </c>
      <c r="C56" s="674"/>
      <c r="D56" s="674"/>
      <c r="E56" s="674"/>
      <c r="F56" s="674">
        <v>4110</v>
      </c>
      <c r="G56" s="674"/>
      <c r="H56" s="674"/>
      <c r="I56" s="674"/>
      <c r="J56" s="674">
        <f t="shared" si="3"/>
        <v>4110</v>
      </c>
      <c r="K56" s="118"/>
      <c r="L56" s="118"/>
      <c r="M56" s="118"/>
      <c r="N56" s="118"/>
    </row>
    <row r="57" spans="2:16" customFormat="1" ht="22.5" customHeight="1" thickTop="1" x14ac:dyDescent="0.25">
      <c r="B57" s="669" t="s">
        <v>120</v>
      </c>
      <c r="C57" s="668">
        <f>C45+C46+C47+C55+C56</f>
        <v>478329.08</v>
      </c>
      <c r="D57" s="668">
        <f t="shared" ref="D57:I57" si="5">D45+D46+D47+D55+D56</f>
        <v>636302.67999999993</v>
      </c>
      <c r="E57" s="668">
        <f t="shared" si="5"/>
        <v>93382.74</v>
      </c>
      <c r="F57" s="668">
        <f t="shared" si="5"/>
        <v>95398.03</v>
      </c>
      <c r="G57" s="668">
        <f t="shared" si="5"/>
        <v>123056.45</v>
      </c>
      <c r="H57" s="668">
        <f t="shared" si="5"/>
        <v>16.600000000000001</v>
      </c>
      <c r="I57" s="668">
        <f t="shared" si="5"/>
        <v>1508.21</v>
      </c>
      <c r="J57" s="668">
        <f t="shared" si="3"/>
        <v>1427993.79</v>
      </c>
      <c r="K57" s="27"/>
      <c r="L57" s="124"/>
      <c r="M57" s="27"/>
      <c r="N57" s="27"/>
    </row>
    <row r="58" spans="2:16" customFormat="1" ht="15" x14ac:dyDescent="0.25">
      <c r="B58" s="27"/>
      <c r="C58" s="27"/>
      <c r="D58" s="27"/>
      <c r="E58" s="27"/>
      <c r="F58" s="385"/>
      <c r="G58" s="27"/>
      <c r="H58" s="27"/>
      <c r="I58" s="27"/>
      <c r="J58" s="379"/>
      <c r="K58" s="385"/>
      <c r="L58" s="27"/>
      <c r="M58" s="27"/>
      <c r="N58" s="27"/>
      <c r="O58" s="27"/>
      <c r="P58" s="27"/>
    </row>
    <row r="59" spans="2:16" customFormat="1" ht="15" x14ac:dyDescent="0.25">
      <c r="B59" s="27"/>
      <c r="C59" s="27"/>
      <c r="D59" s="27"/>
      <c r="E59" s="27"/>
      <c r="F59" s="385"/>
      <c r="G59" s="27"/>
      <c r="H59" s="27"/>
      <c r="I59" s="27"/>
      <c r="J59" s="379"/>
      <c r="K59" s="385"/>
      <c r="L59" s="27"/>
      <c r="M59" s="27"/>
      <c r="N59" s="27"/>
      <c r="O59" s="27"/>
      <c r="P59" s="27"/>
    </row>
    <row r="60" spans="2:16" s="404" customFormat="1" ht="15" x14ac:dyDescent="0.25"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</row>
    <row r="61" spans="2:16" s="404" customFormat="1" ht="15" x14ac:dyDescent="0.25"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</row>
    <row r="62" spans="2:16" s="404" customFormat="1" ht="15" x14ac:dyDescent="0.25"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</row>
    <row r="63" spans="2:16" s="640" customFormat="1" ht="15" x14ac:dyDescent="0.25"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</row>
    <row r="64" spans="2:16" s="640" customFormat="1" ht="15" x14ac:dyDescent="0.25"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</row>
    <row r="65" spans="2:16" s="640" customFormat="1" ht="15" x14ac:dyDescent="0.25"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</row>
    <row r="66" spans="2:16" s="640" customFormat="1" ht="15" x14ac:dyDescent="0.25"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</row>
    <row r="67" spans="2:16" s="640" customFormat="1" ht="15" x14ac:dyDescent="0.25"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</row>
    <row r="68" spans="2:16" s="640" customFormat="1" ht="15" x14ac:dyDescent="0.25"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</row>
    <row r="69" spans="2:16" s="640" customFormat="1" ht="15" x14ac:dyDescent="0.25"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</row>
    <row r="70" spans="2:16" s="640" customFormat="1" ht="15" x14ac:dyDescent="0.25"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</row>
    <row r="71" spans="2:16" s="404" customFormat="1" ht="15" x14ac:dyDescent="0.25"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</row>
    <row r="72" spans="2:16" customFormat="1" ht="18" x14ac:dyDescent="0.25">
      <c r="B72" s="128" t="s">
        <v>172</v>
      </c>
      <c r="C72" s="27"/>
      <c r="D72" s="27"/>
      <c r="E72" s="27"/>
      <c r="F72" s="385"/>
      <c r="G72" s="27"/>
      <c r="H72" s="27"/>
      <c r="I72" s="27"/>
      <c r="J72" s="379"/>
      <c r="K72" s="385"/>
      <c r="L72" s="27"/>
      <c r="M72" s="27"/>
      <c r="N72" s="27"/>
      <c r="O72" s="27"/>
      <c r="P72" s="27"/>
    </row>
    <row r="73" spans="2:16" customFormat="1" ht="7.5" customHeight="1" x14ac:dyDescent="0.25">
      <c r="B73" s="27"/>
      <c r="C73" s="27"/>
      <c r="D73" s="27"/>
      <c r="E73" s="27"/>
      <c r="F73" s="385"/>
      <c r="G73" s="27"/>
      <c r="H73" s="27"/>
      <c r="I73" s="27"/>
      <c r="J73" s="379"/>
      <c r="K73" s="385"/>
      <c r="L73" s="27"/>
      <c r="M73" s="27"/>
      <c r="N73" s="27"/>
      <c r="O73" s="27"/>
      <c r="P73" s="27"/>
    </row>
    <row r="74" spans="2:16" s="118" customFormat="1" ht="17.25" customHeight="1" thickBot="1" x14ac:dyDescent="0.3">
      <c r="B74" s="862" t="s">
        <v>124</v>
      </c>
      <c r="C74" s="862"/>
      <c r="D74" s="862"/>
      <c r="E74" s="862"/>
      <c r="F74" s="610"/>
    </row>
    <row r="75" spans="2:16" customFormat="1" ht="15.75" thickTop="1" x14ac:dyDescent="0.25">
      <c r="B75" s="857" t="s">
        <v>162</v>
      </c>
      <c r="C75" s="857"/>
      <c r="D75" s="857"/>
      <c r="E75" s="130">
        <v>2559.4299999999998</v>
      </c>
      <c r="F75" s="611"/>
      <c r="G75" s="27"/>
      <c r="H75" s="27"/>
      <c r="I75" s="27"/>
      <c r="J75" s="379"/>
      <c r="K75" s="385"/>
      <c r="L75" s="27"/>
      <c r="M75" s="27"/>
      <c r="N75" s="27"/>
      <c r="O75" s="27"/>
      <c r="P75" s="27"/>
    </row>
    <row r="76" spans="2:16" customFormat="1" ht="15" x14ac:dyDescent="0.25">
      <c r="B76" s="866" t="s">
        <v>163</v>
      </c>
      <c r="C76" s="866"/>
      <c r="D76" s="866"/>
      <c r="E76" s="9">
        <v>33744.25</v>
      </c>
      <c r="F76" s="611"/>
      <c r="G76" s="27"/>
      <c r="H76" s="27"/>
      <c r="I76" s="27"/>
      <c r="J76" s="379"/>
      <c r="K76" s="385"/>
      <c r="L76" s="27"/>
      <c r="M76" s="27"/>
      <c r="N76" s="27"/>
      <c r="O76" s="27"/>
      <c r="P76" s="27"/>
    </row>
    <row r="77" spans="2:16" customFormat="1" ht="15" x14ac:dyDescent="0.25">
      <c r="B77" s="866" t="s">
        <v>164</v>
      </c>
      <c r="C77" s="866"/>
      <c r="D77" s="866"/>
      <c r="E77" s="9">
        <v>12330.62</v>
      </c>
      <c r="F77" s="611"/>
      <c r="G77" s="27"/>
      <c r="H77" s="27"/>
      <c r="I77" s="27"/>
      <c r="J77" s="379"/>
      <c r="K77" s="385"/>
      <c r="L77" s="27"/>
      <c r="M77" s="27"/>
      <c r="N77" s="27"/>
      <c r="O77" s="27"/>
      <c r="P77" s="27"/>
    </row>
    <row r="78" spans="2:16" s="114" customFormat="1" x14ac:dyDescent="0.25">
      <c r="B78" s="860" t="s">
        <v>128</v>
      </c>
      <c r="C78" s="860"/>
      <c r="D78" s="860"/>
      <c r="E78" s="131">
        <v>37251.589999999997</v>
      </c>
      <c r="F78" s="612"/>
    </row>
    <row r="79" spans="2:16" s="114" customFormat="1" x14ac:dyDescent="0.25">
      <c r="B79" s="568" t="s">
        <v>878</v>
      </c>
      <c r="C79" s="566"/>
      <c r="D79" s="567"/>
      <c r="E79" s="131">
        <v>1181.82</v>
      </c>
      <c r="F79" s="612"/>
    </row>
    <row r="80" spans="2:16" customFormat="1" ht="15.75" thickBot="1" x14ac:dyDescent="0.3">
      <c r="B80" s="860" t="s">
        <v>166</v>
      </c>
      <c r="C80" s="860"/>
      <c r="D80" s="860"/>
      <c r="E80" s="156">
        <v>42613.4</v>
      </c>
      <c r="F80" s="613"/>
      <c r="G80" s="27"/>
      <c r="H80" s="27"/>
      <c r="I80" s="27"/>
      <c r="J80" s="379"/>
      <c r="K80" s="385"/>
      <c r="L80" s="27"/>
      <c r="M80" s="27"/>
      <c r="N80" s="27"/>
      <c r="O80" s="27"/>
      <c r="P80" s="27"/>
    </row>
    <row r="81" spans="2:16" customFormat="1" ht="18.75" customHeight="1" thickTop="1" x14ac:dyDescent="0.25">
      <c r="B81" s="868" t="s">
        <v>120</v>
      </c>
      <c r="C81" s="868"/>
      <c r="D81" s="868"/>
      <c r="E81" s="668">
        <f>SUM(E75:E80)</f>
        <v>129681.11000000002</v>
      </c>
      <c r="F81" s="615"/>
      <c r="G81" s="27"/>
      <c r="H81" s="27"/>
      <c r="I81" s="27"/>
      <c r="J81" s="379"/>
      <c r="K81" s="385"/>
      <c r="L81" s="27"/>
      <c r="M81" s="27"/>
      <c r="N81" s="27"/>
      <c r="O81" s="27"/>
      <c r="P81" s="27"/>
    </row>
    <row r="82" spans="2:16" customFormat="1" ht="9" customHeight="1" x14ac:dyDescent="0.25">
      <c r="B82" s="27"/>
      <c r="C82" s="27"/>
      <c r="D82" s="27"/>
      <c r="E82" s="27"/>
      <c r="F82" s="385"/>
      <c r="G82" s="27"/>
      <c r="H82" s="27"/>
      <c r="I82" s="27"/>
      <c r="J82" s="379"/>
      <c r="K82" s="385"/>
      <c r="L82" s="27"/>
      <c r="M82" s="27"/>
      <c r="N82" s="27"/>
      <c r="O82" s="27"/>
      <c r="P82" s="27"/>
    </row>
    <row r="83" spans="2:16" s="119" customFormat="1" ht="57" thickBot="1" x14ac:dyDescent="0.3">
      <c r="B83" s="403" t="s">
        <v>53</v>
      </c>
      <c r="C83" s="405" t="s">
        <v>595</v>
      </c>
      <c r="D83" s="405" t="s">
        <v>596</v>
      </c>
      <c r="E83" s="405" t="s">
        <v>879</v>
      </c>
      <c r="F83" s="405" t="s">
        <v>167</v>
      </c>
      <c r="G83" s="405" t="s">
        <v>168</v>
      </c>
      <c r="H83" s="405" t="s">
        <v>169</v>
      </c>
      <c r="I83" s="405" t="s">
        <v>877</v>
      </c>
      <c r="J83" s="142" t="s">
        <v>120</v>
      </c>
    </row>
    <row r="84" spans="2:16" customFormat="1" ht="15.75" thickTop="1" x14ac:dyDescent="0.25">
      <c r="B84" s="675" t="s">
        <v>59</v>
      </c>
      <c r="C84" s="144">
        <v>240398.64</v>
      </c>
      <c r="D84" s="144">
        <v>263836.63</v>
      </c>
      <c r="E84" s="144"/>
      <c r="F84" s="144">
        <v>36234.86</v>
      </c>
      <c r="G84" s="144">
        <v>38102.720000000001</v>
      </c>
      <c r="H84" s="144">
        <v>65701.59</v>
      </c>
      <c r="I84" s="144"/>
      <c r="J84" s="144">
        <f>C84+D84+F84+G84+H84+I84+E84</f>
        <v>644274.43999999994</v>
      </c>
      <c r="K84" s="27"/>
      <c r="L84" s="27"/>
      <c r="M84" s="27"/>
      <c r="N84" s="27"/>
    </row>
    <row r="85" spans="2:16" customFormat="1" ht="15" x14ac:dyDescent="0.25">
      <c r="B85" s="676" t="s">
        <v>60</v>
      </c>
      <c r="C85" s="146">
        <v>83088.03</v>
      </c>
      <c r="D85" s="146">
        <v>92962.65</v>
      </c>
      <c r="E85" s="146"/>
      <c r="F85" s="146">
        <v>12536.14</v>
      </c>
      <c r="G85" s="146">
        <v>12619.28</v>
      </c>
      <c r="H85" s="146">
        <v>22426.87</v>
      </c>
      <c r="I85" s="146"/>
      <c r="J85" s="146">
        <f t="shared" ref="J85:J95" si="6">C85+D85+F85+G85+H85+I85+E85</f>
        <v>223632.97</v>
      </c>
      <c r="K85" s="27"/>
      <c r="L85" s="27"/>
      <c r="M85" s="27"/>
      <c r="N85" s="27"/>
    </row>
    <row r="86" spans="2:16" customFormat="1" ht="15" x14ac:dyDescent="0.25">
      <c r="B86" s="676" t="s">
        <v>61</v>
      </c>
      <c r="C86" s="146">
        <f t="shared" ref="C86:I86" si="7">SUM(C87:C93)</f>
        <v>38395</v>
      </c>
      <c r="D86" s="146">
        <f t="shared" si="7"/>
        <v>115778.3</v>
      </c>
      <c r="E86" s="146">
        <f t="shared" si="7"/>
        <v>20582.009999999998</v>
      </c>
      <c r="F86" s="146">
        <f t="shared" si="7"/>
        <v>55058.64</v>
      </c>
      <c r="G86" s="146">
        <f t="shared" si="7"/>
        <v>61317.11</v>
      </c>
      <c r="H86" s="146">
        <f t="shared" si="7"/>
        <v>13760</v>
      </c>
      <c r="I86" s="146">
        <f t="shared" si="7"/>
        <v>1323.85</v>
      </c>
      <c r="J86" s="146">
        <f t="shared" si="6"/>
        <v>306214.90999999997</v>
      </c>
      <c r="K86" s="27"/>
      <c r="L86" s="27"/>
      <c r="M86" s="27"/>
      <c r="N86" s="27"/>
    </row>
    <row r="87" spans="2:16" customFormat="1" ht="15" x14ac:dyDescent="0.25">
      <c r="B87" s="677" t="s">
        <v>78</v>
      </c>
      <c r="C87" s="9">
        <v>17</v>
      </c>
      <c r="D87" s="9">
        <v>17.670000000000002</v>
      </c>
      <c r="E87" s="9"/>
      <c r="F87" s="9">
        <v>0</v>
      </c>
      <c r="G87" s="9">
        <v>0</v>
      </c>
      <c r="H87" s="9">
        <v>0</v>
      </c>
      <c r="I87" s="9"/>
      <c r="J87" s="9">
        <f t="shared" si="6"/>
        <v>34.67</v>
      </c>
      <c r="K87" s="27"/>
      <c r="L87" s="27"/>
      <c r="M87" s="27"/>
      <c r="N87" s="27"/>
    </row>
    <row r="88" spans="2:16" customFormat="1" ht="15" x14ac:dyDescent="0.25">
      <c r="B88" s="677" t="s">
        <v>62</v>
      </c>
      <c r="C88" s="9">
        <v>12478</v>
      </c>
      <c r="D88" s="9">
        <v>70255.91</v>
      </c>
      <c r="E88" s="9"/>
      <c r="F88" s="9">
        <v>15376</v>
      </c>
      <c r="G88" s="9">
        <v>16782</v>
      </c>
      <c r="H88" s="9">
        <v>3000</v>
      </c>
      <c r="I88" s="9"/>
      <c r="J88" s="9">
        <f t="shared" si="6"/>
        <v>117891.91</v>
      </c>
      <c r="K88" s="27"/>
      <c r="L88" s="27"/>
      <c r="M88" s="27"/>
      <c r="N88" s="27"/>
    </row>
    <row r="89" spans="2:16" customFormat="1" ht="15" x14ac:dyDescent="0.25">
      <c r="B89" s="677" t="s">
        <v>63</v>
      </c>
      <c r="C89" s="9">
        <v>15181</v>
      </c>
      <c r="D89" s="9">
        <v>14465.5</v>
      </c>
      <c r="E89" s="9">
        <v>20582.009999999998</v>
      </c>
      <c r="F89" s="9">
        <v>30382.639999999999</v>
      </c>
      <c r="G89" s="9">
        <v>35150.11</v>
      </c>
      <c r="H89" s="9">
        <v>6260</v>
      </c>
      <c r="I89" s="9">
        <v>1323.85</v>
      </c>
      <c r="J89" s="9">
        <f t="shared" si="6"/>
        <v>123345.11</v>
      </c>
      <c r="K89" s="27"/>
      <c r="L89" s="27"/>
      <c r="M89" s="27"/>
      <c r="N89" s="27"/>
    </row>
    <row r="90" spans="2:16" s="569" customFormat="1" ht="15" x14ac:dyDescent="0.25">
      <c r="B90" s="677" t="s">
        <v>64</v>
      </c>
      <c r="C90" s="9">
        <v>400</v>
      </c>
      <c r="D90" s="9">
        <v>0</v>
      </c>
      <c r="E90" s="9"/>
      <c r="F90" s="9">
        <v>0</v>
      </c>
      <c r="G90" s="9">
        <v>0</v>
      </c>
      <c r="H90" s="9">
        <v>0</v>
      </c>
      <c r="I90" s="9"/>
      <c r="J90" s="9">
        <f t="shared" si="6"/>
        <v>400</v>
      </c>
      <c r="K90" s="385"/>
      <c r="L90" s="385"/>
      <c r="M90" s="385"/>
      <c r="N90" s="385"/>
    </row>
    <row r="91" spans="2:16" customFormat="1" ht="15" x14ac:dyDescent="0.25">
      <c r="B91" s="677" t="s">
        <v>65</v>
      </c>
      <c r="C91" s="9">
        <v>109</v>
      </c>
      <c r="D91" s="9">
        <v>13597.38</v>
      </c>
      <c r="E91" s="9"/>
      <c r="F91" s="9">
        <v>5809</v>
      </c>
      <c r="G91" s="9">
        <v>5809</v>
      </c>
      <c r="H91" s="9">
        <v>0</v>
      </c>
      <c r="I91" s="9"/>
      <c r="J91" s="9">
        <f t="shared" si="6"/>
        <v>25324.379999999997</v>
      </c>
      <c r="K91" s="27"/>
      <c r="L91" s="27"/>
      <c r="M91" s="27"/>
      <c r="N91" s="27"/>
    </row>
    <row r="92" spans="2:16" customFormat="1" ht="15" x14ac:dyDescent="0.25">
      <c r="B92" s="677" t="s">
        <v>66</v>
      </c>
      <c r="C92" s="9">
        <v>0</v>
      </c>
      <c r="D92" s="9">
        <v>0</v>
      </c>
      <c r="E92" s="9"/>
      <c r="F92" s="9">
        <v>192</v>
      </c>
      <c r="G92" s="9">
        <v>192</v>
      </c>
      <c r="H92" s="9">
        <v>0</v>
      </c>
      <c r="I92" s="9"/>
      <c r="J92" s="9">
        <f t="shared" si="6"/>
        <v>384</v>
      </c>
      <c r="K92" s="27"/>
      <c r="L92" s="27"/>
      <c r="M92" s="27"/>
      <c r="N92" s="27"/>
    </row>
    <row r="93" spans="2:16" customFormat="1" ht="15" x14ac:dyDescent="0.25">
      <c r="B93" s="677" t="s">
        <v>67</v>
      </c>
      <c r="C93" s="9">
        <v>10210</v>
      </c>
      <c r="D93" s="9">
        <v>17441.84</v>
      </c>
      <c r="E93" s="9"/>
      <c r="F93" s="9">
        <v>3299</v>
      </c>
      <c r="G93" s="9">
        <v>3384</v>
      </c>
      <c r="H93" s="9">
        <v>4500</v>
      </c>
      <c r="I93" s="9"/>
      <c r="J93" s="9">
        <f t="shared" si="6"/>
        <v>38834.839999999997</v>
      </c>
      <c r="K93" s="27"/>
      <c r="L93" s="27"/>
      <c r="M93" s="27"/>
      <c r="N93" s="27"/>
    </row>
    <row r="94" spans="2:16" customFormat="1" ht="15.75" thickBot="1" x14ac:dyDescent="0.3">
      <c r="B94" s="679" t="s">
        <v>68</v>
      </c>
      <c r="C94" s="149">
        <v>928.4</v>
      </c>
      <c r="D94" s="149">
        <v>523.72</v>
      </c>
      <c r="E94" s="149">
        <v>0</v>
      </c>
      <c r="F94" s="149">
        <v>1402</v>
      </c>
      <c r="G94" s="149">
        <v>0</v>
      </c>
      <c r="H94" s="149">
        <v>132.54</v>
      </c>
      <c r="I94" s="149"/>
      <c r="J94" s="149">
        <f t="shared" si="6"/>
        <v>2986.66</v>
      </c>
      <c r="K94" s="27"/>
      <c r="L94" s="27"/>
      <c r="M94" s="27"/>
      <c r="N94" s="27"/>
    </row>
    <row r="95" spans="2:16" customFormat="1" ht="22.5" customHeight="1" thickTop="1" x14ac:dyDescent="0.25">
      <c r="B95" s="394" t="s">
        <v>120</v>
      </c>
      <c r="C95" s="395">
        <f t="shared" ref="C95:I95" si="8">C84+C85+C86+C94</f>
        <v>362810.07000000007</v>
      </c>
      <c r="D95" s="395">
        <f t="shared" si="8"/>
        <v>473101.3</v>
      </c>
      <c r="E95" s="395">
        <f t="shared" si="8"/>
        <v>20582.009999999998</v>
      </c>
      <c r="F95" s="395">
        <f t="shared" si="8"/>
        <v>105231.64</v>
      </c>
      <c r="G95" s="395">
        <f t="shared" si="8"/>
        <v>112039.11</v>
      </c>
      <c r="H95" s="395">
        <f t="shared" si="8"/>
        <v>102020.99999999999</v>
      </c>
      <c r="I95" s="395">
        <f t="shared" si="8"/>
        <v>1323.85</v>
      </c>
      <c r="J95" s="395">
        <f t="shared" si="6"/>
        <v>1177108.9800000002</v>
      </c>
      <c r="K95" s="27"/>
      <c r="L95" s="27"/>
      <c r="M95" s="27"/>
      <c r="N95" s="27"/>
    </row>
    <row r="96" spans="2:16" customFormat="1" ht="15" x14ac:dyDescent="0.25">
      <c r="B96" s="27"/>
      <c r="C96" s="27"/>
      <c r="D96" s="27"/>
      <c r="E96" s="27"/>
      <c r="F96" s="385"/>
      <c r="G96" s="27"/>
      <c r="H96" s="27"/>
      <c r="I96" s="27"/>
      <c r="J96" s="379"/>
      <c r="K96" s="385"/>
      <c r="L96" s="27"/>
      <c r="M96" s="27"/>
      <c r="N96" s="27"/>
      <c r="O96" s="27"/>
      <c r="P96" s="27"/>
    </row>
    <row r="97" spans="2:16" s="640" customFormat="1" ht="15" x14ac:dyDescent="0.25"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</row>
    <row r="98" spans="2:16" s="640" customFormat="1" ht="15" x14ac:dyDescent="0.25"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</row>
    <row r="99" spans="2:16" s="640" customFormat="1" ht="15" x14ac:dyDescent="0.25"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</row>
    <row r="100" spans="2:16" customFormat="1" ht="18" x14ac:dyDescent="0.25">
      <c r="B100" s="128" t="s">
        <v>173</v>
      </c>
      <c r="C100" s="27"/>
      <c r="D100" s="27"/>
      <c r="E100" s="27"/>
      <c r="F100" s="385"/>
      <c r="G100" s="27"/>
      <c r="H100" s="27"/>
      <c r="I100" s="27"/>
      <c r="J100" s="379"/>
      <c r="K100" s="385"/>
      <c r="L100" s="27"/>
      <c r="M100" s="27"/>
      <c r="N100" s="27"/>
      <c r="O100" s="27"/>
      <c r="P100" s="27"/>
    </row>
    <row r="101" spans="2:16" customFormat="1" ht="7.5" customHeight="1" x14ac:dyDescent="0.25">
      <c r="B101" s="27"/>
      <c r="C101" s="27"/>
      <c r="D101" s="27"/>
      <c r="E101" s="27"/>
      <c r="F101" s="385"/>
      <c r="G101" s="27"/>
      <c r="H101" s="27"/>
      <c r="I101" s="27"/>
      <c r="J101" s="379"/>
      <c r="K101" s="385"/>
      <c r="L101" s="27"/>
      <c r="M101" s="27"/>
      <c r="N101" s="27"/>
      <c r="O101" s="27"/>
      <c r="P101" s="27"/>
    </row>
    <row r="102" spans="2:16" customFormat="1" ht="16.5" customHeight="1" thickBot="1" x14ac:dyDescent="0.3">
      <c r="B102" s="862" t="s">
        <v>124</v>
      </c>
      <c r="C102" s="862"/>
      <c r="D102" s="862"/>
      <c r="E102" s="862"/>
      <c r="F102" s="610"/>
      <c r="G102" s="27"/>
      <c r="H102" s="27"/>
      <c r="I102" s="27"/>
      <c r="J102" s="379"/>
      <c r="K102" s="385"/>
      <c r="L102" s="27"/>
      <c r="M102" s="27"/>
      <c r="N102" s="27"/>
      <c r="O102" s="27"/>
      <c r="P102" s="27"/>
    </row>
    <row r="103" spans="2:16" customFormat="1" ht="15.75" thickTop="1" x14ac:dyDescent="0.25">
      <c r="B103" s="857" t="s">
        <v>162</v>
      </c>
      <c r="C103" s="857"/>
      <c r="D103" s="857"/>
      <c r="E103" s="130">
        <v>1328.38</v>
      </c>
      <c r="F103" s="611"/>
      <c r="G103" s="27"/>
      <c r="H103" s="27"/>
      <c r="I103" s="27"/>
      <c r="J103" s="379"/>
      <c r="K103" s="385"/>
      <c r="L103" s="27"/>
      <c r="M103" s="27"/>
      <c r="N103" s="27"/>
      <c r="O103" s="27"/>
      <c r="P103" s="27"/>
    </row>
    <row r="104" spans="2:16" customFormat="1" ht="15" x14ac:dyDescent="0.25">
      <c r="B104" s="866" t="s">
        <v>163</v>
      </c>
      <c r="C104" s="866"/>
      <c r="D104" s="866"/>
      <c r="E104" s="9">
        <v>23622.32</v>
      </c>
      <c r="F104" s="611"/>
      <c r="G104" s="27"/>
      <c r="H104" s="27"/>
      <c r="I104" s="27"/>
      <c r="J104" s="379"/>
      <c r="K104" s="385"/>
      <c r="L104" s="27"/>
      <c r="M104" s="27"/>
      <c r="N104" s="27"/>
      <c r="O104" s="27"/>
      <c r="P104" s="27"/>
    </row>
    <row r="105" spans="2:16" customFormat="1" ht="15" x14ac:dyDescent="0.25">
      <c r="B105" s="866" t="s">
        <v>164</v>
      </c>
      <c r="C105" s="866"/>
      <c r="D105" s="866"/>
      <c r="E105" s="9">
        <v>18890.8</v>
      </c>
      <c r="F105" s="611"/>
      <c r="G105" s="27"/>
      <c r="H105" s="27"/>
      <c r="I105" s="27"/>
      <c r="J105" s="379"/>
      <c r="K105" s="385"/>
      <c r="L105" s="27"/>
      <c r="M105" s="27"/>
      <c r="N105" s="27"/>
      <c r="O105" s="27"/>
      <c r="P105" s="27"/>
    </row>
    <row r="106" spans="2:16" s="114" customFormat="1" x14ac:dyDescent="0.25">
      <c r="B106" s="860" t="s">
        <v>128</v>
      </c>
      <c r="C106" s="860"/>
      <c r="D106" s="860"/>
      <c r="E106" s="131">
        <v>15300.17</v>
      </c>
      <c r="F106" s="612"/>
    </row>
    <row r="107" spans="2:16" customFormat="1" ht="15" x14ac:dyDescent="0.25">
      <c r="B107" s="867" t="s">
        <v>50</v>
      </c>
      <c r="C107" s="867"/>
      <c r="D107" s="867"/>
      <c r="E107" s="153">
        <v>981.93</v>
      </c>
      <c r="F107" s="613"/>
      <c r="G107" s="27"/>
      <c r="H107" s="27"/>
      <c r="I107" s="27"/>
      <c r="J107" s="379"/>
      <c r="K107" s="385"/>
      <c r="L107" s="27"/>
      <c r="M107" s="27"/>
      <c r="N107" s="27"/>
      <c r="O107" s="27"/>
      <c r="P107" s="27"/>
    </row>
    <row r="108" spans="2:16" customFormat="1" ht="15.75" thickBot="1" x14ac:dyDescent="0.3">
      <c r="B108" s="859" t="s">
        <v>165</v>
      </c>
      <c r="C108" s="859"/>
      <c r="D108" s="859"/>
      <c r="E108" s="156">
        <v>210.51</v>
      </c>
      <c r="F108" s="613"/>
      <c r="G108" s="27"/>
      <c r="H108" s="27"/>
      <c r="I108" s="27"/>
      <c r="J108" s="379"/>
      <c r="K108" s="385"/>
      <c r="L108" s="27"/>
      <c r="M108" s="27"/>
      <c r="N108" s="27"/>
      <c r="O108" s="27"/>
      <c r="P108" s="27"/>
    </row>
    <row r="109" spans="2:16" customFormat="1" ht="18" customHeight="1" thickTop="1" x14ac:dyDescent="0.25">
      <c r="B109" s="868" t="s">
        <v>120</v>
      </c>
      <c r="C109" s="868"/>
      <c r="D109" s="868"/>
      <c r="E109" s="668">
        <f>SUM(E103:E108)</f>
        <v>60334.11</v>
      </c>
      <c r="F109" s="615"/>
      <c r="G109" s="27"/>
      <c r="H109" s="27"/>
      <c r="I109" s="27"/>
      <c r="J109" s="379"/>
      <c r="K109" s="385"/>
      <c r="L109" s="27"/>
      <c r="M109" s="27"/>
      <c r="N109" s="27"/>
      <c r="O109" s="27"/>
      <c r="P109" s="27"/>
    </row>
    <row r="111" spans="2:16" s="119" customFormat="1" ht="57" thickBot="1" x14ac:dyDescent="0.3">
      <c r="B111" s="403" t="s">
        <v>53</v>
      </c>
      <c r="C111" s="405" t="s">
        <v>595</v>
      </c>
      <c r="D111" s="405" t="s">
        <v>596</v>
      </c>
      <c r="E111" s="405" t="s">
        <v>167</v>
      </c>
      <c r="F111" s="405" t="s">
        <v>168</v>
      </c>
      <c r="G111" s="405" t="s">
        <v>169</v>
      </c>
      <c r="H111" s="405" t="s">
        <v>877</v>
      </c>
      <c r="I111" s="142" t="s">
        <v>120</v>
      </c>
    </row>
    <row r="112" spans="2:16" customFormat="1" ht="15.75" thickTop="1" x14ac:dyDescent="0.25">
      <c r="B112" s="675" t="s">
        <v>59</v>
      </c>
      <c r="C112" s="144">
        <v>291313.28999999998</v>
      </c>
      <c r="D112" s="144">
        <v>397000.34</v>
      </c>
      <c r="E112" s="144">
        <v>31804.93</v>
      </c>
      <c r="F112" s="144">
        <v>32808.239999999998</v>
      </c>
      <c r="G112" s="144">
        <v>96237.19</v>
      </c>
      <c r="H112" s="144">
        <v>0</v>
      </c>
      <c r="I112" s="144">
        <f>C112+D112+E112+F112+G112+H112</f>
        <v>849163.99</v>
      </c>
      <c r="J112" s="27"/>
      <c r="K112" s="27"/>
      <c r="L112" s="27"/>
      <c r="M112" s="27"/>
    </row>
    <row r="113" spans="2:16" customFormat="1" ht="15" x14ac:dyDescent="0.25">
      <c r="B113" s="676" t="s">
        <v>60</v>
      </c>
      <c r="C113" s="146">
        <v>96874.13</v>
      </c>
      <c r="D113" s="146">
        <v>121352.78</v>
      </c>
      <c r="E113" s="146">
        <v>10716.77</v>
      </c>
      <c r="F113" s="146">
        <v>11378.27</v>
      </c>
      <c r="G113" s="146">
        <v>32115</v>
      </c>
      <c r="H113" s="146">
        <v>0</v>
      </c>
      <c r="I113" s="146">
        <f t="shared" ref="I113:I123" si="9">C113+D113+E113+F113+G113+H113</f>
        <v>272436.94999999995</v>
      </c>
      <c r="J113" s="27"/>
      <c r="K113" s="27"/>
      <c r="L113" s="27"/>
      <c r="M113" s="27"/>
    </row>
    <row r="114" spans="2:16" customFormat="1" ht="15" x14ac:dyDescent="0.25">
      <c r="B114" s="676" t="s">
        <v>61</v>
      </c>
      <c r="C114" s="146">
        <f t="shared" ref="C114:H114" si="10">SUM(C115:C121)</f>
        <v>73185.739999999991</v>
      </c>
      <c r="D114" s="146">
        <f t="shared" si="10"/>
        <v>94637.099999999991</v>
      </c>
      <c r="E114" s="146">
        <f t="shared" si="10"/>
        <v>54828.909999999996</v>
      </c>
      <c r="F114" s="146">
        <f t="shared" si="10"/>
        <v>39275.4</v>
      </c>
      <c r="G114" s="146">
        <f t="shared" si="10"/>
        <v>19830</v>
      </c>
      <c r="H114" s="146">
        <f t="shared" si="10"/>
        <v>1192</v>
      </c>
      <c r="I114" s="146">
        <f t="shared" si="9"/>
        <v>282949.14999999997</v>
      </c>
      <c r="J114" s="27"/>
      <c r="K114" s="27"/>
      <c r="L114" s="27"/>
      <c r="M114" s="27"/>
    </row>
    <row r="115" spans="2:16" customFormat="1" ht="15" x14ac:dyDescent="0.25">
      <c r="B115" s="677" t="s">
        <v>78</v>
      </c>
      <c r="C115" s="9">
        <v>0</v>
      </c>
      <c r="D115" s="9">
        <v>2534.54</v>
      </c>
      <c r="E115" s="9">
        <v>0</v>
      </c>
      <c r="F115" s="9">
        <v>0</v>
      </c>
      <c r="G115" s="9">
        <v>0</v>
      </c>
      <c r="H115" s="9"/>
      <c r="I115" s="9">
        <f t="shared" si="9"/>
        <v>2534.54</v>
      </c>
      <c r="J115" s="27"/>
      <c r="K115" s="27"/>
      <c r="L115" s="27"/>
      <c r="M115" s="27"/>
    </row>
    <row r="116" spans="2:16" customFormat="1" ht="15" x14ac:dyDescent="0.25">
      <c r="B116" s="677" t="s">
        <v>62</v>
      </c>
      <c r="C116" s="9">
        <v>41002.839999999997</v>
      </c>
      <c r="D116" s="9">
        <v>30658.05</v>
      </c>
      <c r="E116" s="9">
        <v>5243</v>
      </c>
      <c r="F116" s="9">
        <v>5245</v>
      </c>
      <c r="G116" s="9">
        <v>13010</v>
      </c>
      <c r="H116" s="9"/>
      <c r="I116" s="9">
        <f t="shared" si="9"/>
        <v>95158.89</v>
      </c>
      <c r="J116" s="27"/>
      <c r="K116" s="27"/>
      <c r="L116" s="27"/>
      <c r="M116" s="27"/>
    </row>
    <row r="117" spans="2:16" customFormat="1" ht="15" x14ac:dyDescent="0.25">
      <c r="B117" s="677" t="s">
        <v>63</v>
      </c>
      <c r="C117" s="9">
        <v>24639.4</v>
      </c>
      <c r="D117" s="9">
        <v>30212.37</v>
      </c>
      <c r="E117" s="9">
        <v>44612.1</v>
      </c>
      <c r="F117" s="9">
        <v>29093.15</v>
      </c>
      <c r="G117" s="9">
        <v>3294</v>
      </c>
      <c r="H117" s="9">
        <v>1192</v>
      </c>
      <c r="I117" s="9">
        <f t="shared" si="9"/>
        <v>133043.01999999999</v>
      </c>
      <c r="J117" s="27"/>
      <c r="K117" s="27"/>
      <c r="L117" s="27"/>
      <c r="M117" s="27"/>
    </row>
    <row r="118" spans="2:16" customFormat="1" ht="15" x14ac:dyDescent="0.25">
      <c r="B118" s="677" t="s">
        <v>64</v>
      </c>
      <c r="C118" s="9">
        <v>28.73</v>
      </c>
      <c r="D118" s="9">
        <v>920</v>
      </c>
      <c r="E118" s="9">
        <v>0</v>
      </c>
      <c r="F118" s="9">
        <v>0</v>
      </c>
      <c r="G118" s="9">
        <v>0</v>
      </c>
      <c r="H118" s="9"/>
      <c r="I118" s="9">
        <f t="shared" si="9"/>
        <v>948.73</v>
      </c>
      <c r="J118" s="27"/>
      <c r="K118" s="27"/>
      <c r="L118" s="27"/>
      <c r="M118" s="27"/>
    </row>
    <row r="119" spans="2:16" customFormat="1" ht="15" x14ac:dyDescent="0.25">
      <c r="B119" s="677" t="s">
        <v>65</v>
      </c>
      <c r="C119" s="9">
        <v>197.24</v>
      </c>
      <c r="D119" s="9">
        <v>16258.96</v>
      </c>
      <c r="E119" s="9">
        <v>1137.2</v>
      </c>
      <c r="F119" s="9">
        <v>1137.2</v>
      </c>
      <c r="G119" s="9">
        <v>1233.3</v>
      </c>
      <c r="H119" s="9"/>
      <c r="I119" s="9">
        <f t="shared" si="9"/>
        <v>19963.900000000001</v>
      </c>
      <c r="J119" s="27"/>
      <c r="K119" s="27"/>
      <c r="L119" s="27"/>
      <c r="M119" s="27"/>
    </row>
    <row r="120" spans="2:16" s="569" customFormat="1" ht="15" x14ac:dyDescent="0.25">
      <c r="B120" s="677" t="s">
        <v>178</v>
      </c>
      <c r="C120" s="9">
        <v>310.2</v>
      </c>
      <c r="D120" s="9">
        <v>253.8</v>
      </c>
      <c r="E120" s="9">
        <v>0</v>
      </c>
      <c r="F120" s="9">
        <v>0</v>
      </c>
      <c r="G120" s="9">
        <v>0</v>
      </c>
      <c r="H120" s="9"/>
      <c r="I120" s="9">
        <f t="shared" si="9"/>
        <v>564</v>
      </c>
      <c r="J120" s="385"/>
      <c r="K120" s="385"/>
      <c r="L120" s="385"/>
      <c r="M120" s="385"/>
    </row>
    <row r="121" spans="2:16" customFormat="1" ht="15" x14ac:dyDescent="0.25">
      <c r="B121" s="677" t="s">
        <v>67</v>
      </c>
      <c r="C121" s="9">
        <v>7007.33</v>
      </c>
      <c r="D121" s="9">
        <v>13799.38</v>
      </c>
      <c r="E121" s="9">
        <v>3836.61</v>
      </c>
      <c r="F121" s="9">
        <v>3800.05</v>
      </c>
      <c r="G121" s="9">
        <v>2292.6999999999998</v>
      </c>
      <c r="H121" s="9"/>
      <c r="I121" s="9">
        <f t="shared" si="9"/>
        <v>30736.07</v>
      </c>
      <c r="J121" s="27"/>
      <c r="K121" s="27"/>
      <c r="L121" s="27"/>
      <c r="M121" s="27"/>
    </row>
    <row r="122" spans="2:16" customFormat="1" ht="15" x14ac:dyDescent="0.25">
      <c r="B122" s="678" t="s">
        <v>68</v>
      </c>
      <c r="C122" s="152">
        <v>1105.8900000000001</v>
      </c>
      <c r="D122" s="152">
        <v>7282.07</v>
      </c>
      <c r="E122" s="152">
        <v>108.3</v>
      </c>
      <c r="F122" s="152">
        <v>2030.89</v>
      </c>
      <c r="G122" s="152">
        <v>517.80999999999995</v>
      </c>
      <c r="H122" s="152">
        <v>0</v>
      </c>
      <c r="I122" s="152">
        <f t="shared" si="9"/>
        <v>11044.959999999997</v>
      </c>
      <c r="J122" s="27"/>
      <c r="K122" s="27"/>
      <c r="L122" s="27"/>
      <c r="M122" s="27"/>
    </row>
    <row r="123" spans="2:16" s="378" customFormat="1" ht="24.75" thickBot="1" x14ac:dyDescent="0.3">
      <c r="B123" s="679" t="s">
        <v>524</v>
      </c>
      <c r="C123" s="149"/>
      <c r="D123" s="149"/>
      <c r="E123" s="149"/>
      <c r="F123" s="670">
        <v>4551.84</v>
      </c>
      <c r="G123" s="670"/>
      <c r="H123" s="670"/>
      <c r="I123" s="670">
        <f t="shared" si="9"/>
        <v>4551.84</v>
      </c>
      <c r="J123" s="379"/>
      <c r="K123" s="379"/>
      <c r="L123" s="379"/>
      <c r="M123" s="379"/>
    </row>
    <row r="124" spans="2:16" customFormat="1" ht="21" customHeight="1" thickTop="1" x14ac:dyDescent="0.25">
      <c r="B124" s="150" t="s">
        <v>120</v>
      </c>
      <c r="C124" s="140">
        <f>C112+C113+C114+C122+C123</f>
        <v>462479.05</v>
      </c>
      <c r="D124" s="140">
        <f t="shared" ref="D124:H124" si="11">D112+D113+D114+D122+D123</f>
        <v>620272.28999999992</v>
      </c>
      <c r="E124" s="140">
        <f t="shared" si="11"/>
        <v>97458.909999999989</v>
      </c>
      <c r="F124" s="140">
        <f t="shared" si="11"/>
        <v>90044.64</v>
      </c>
      <c r="G124" s="140">
        <f t="shared" si="11"/>
        <v>148700</v>
      </c>
      <c r="H124" s="140">
        <f t="shared" si="11"/>
        <v>1192</v>
      </c>
      <c r="I124" s="140">
        <f>C124+D124+E124+F124+G124+H124</f>
        <v>1420146.8899999997</v>
      </c>
      <c r="J124" s="27"/>
      <c r="K124" s="27"/>
      <c r="L124" s="27"/>
      <c r="M124" s="27"/>
    </row>
    <row r="125" spans="2:16" customFormat="1" ht="15" x14ac:dyDescent="0.25">
      <c r="B125" s="27"/>
      <c r="C125" s="27"/>
      <c r="D125" s="27"/>
      <c r="E125" s="27"/>
      <c r="F125" s="385"/>
      <c r="G125" s="27"/>
      <c r="H125" s="27"/>
      <c r="I125" s="27"/>
      <c r="J125" s="379"/>
      <c r="K125" s="385"/>
      <c r="L125" s="27"/>
      <c r="M125" s="27"/>
      <c r="N125" s="27"/>
      <c r="O125" s="27"/>
      <c r="P125" s="27"/>
    </row>
    <row r="126" spans="2:16" customFormat="1" ht="15" x14ac:dyDescent="0.25">
      <c r="B126" s="27"/>
      <c r="C126" s="27"/>
      <c r="D126" s="27"/>
      <c r="E126" s="27"/>
      <c r="F126" s="385"/>
      <c r="G126" s="27"/>
      <c r="H126" s="27"/>
      <c r="I126" s="27"/>
      <c r="J126" s="379"/>
      <c r="K126" s="385"/>
      <c r="L126" s="27"/>
      <c r="M126" s="27"/>
      <c r="N126" s="27"/>
      <c r="O126" s="27"/>
      <c r="P126" s="27"/>
    </row>
    <row r="127" spans="2:16" customFormat="1" ht="15" x14ac:dyDescent="0.25">
      <c r="B127" s="27"/>
      <c r="C127" s="27"/>
      <c r="D127" s="27"/>
      <c r="E127" s="27"/>
      <c r="F127" s="385"/>
      <c r="G127" s="27"/>
      <c r="H127" s="27"/>
      <c r="I127" s="27"/>
      <c r="J127" s="379"/>
      <c r="K127" s="385"/>
      <c r="L127" s="27"/>
      <c r="M127" s="27"/>
      <c r="N127" s="27"/>
      <c r="O127" s="27"/>
      <c r="P127" s="27"/>
    </row>
    <row r="128" spans="2:16" s="404" customFormat="1" ht="15" x14ac:dyDescent="0.25">
      <c r="B128" s="385"/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</row>
    <row r="129" spans="2:16" s="404" customFormat="1" ht="15" x14ac:dyDescent="0.25"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</row>
    <row r="130" spans="2:16" s="404" customFormat="1" ht="15" x14ac:dyDescent="0.25"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</row>
    <row r="131" spans="2:16" s="640" customFormat="1" ht="15" x14ac:dyDescent="0.25"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</row>
    <row r="132" spans="2:16" s="640" customFormat="1" ht="15" x14ac:dyDescent="0.25">
      <c r="B132" s="385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</row>
    <row r="133" spans="2:16" s="640" customFormat="1" ht="15" x14ac:dyDescent="0.25">
      <c r="B133" s="385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</row>
    <row r="134" spans="2:16" s="640" customFormat="1" ht="15" x14ac:dyDescent="0.25">
      <c r="B134" s="385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</row>
    <row r="135" spans="2:16" s="640" customFormat="1" ht="15" x14ac:dyDescent="0.25">
      <c r="B135" s="385"/>
      <c r="C135" s="385"/>
      <c r="D135" s="385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</row>
    <row r="136" spans="2:16" s="640" customFormat="1" ht="15" x14ac:dyDescent="0.25">
      <c r="B136" s="385"/>
      <c r="C136" s="385"/>
      <c r="D136" s="385"/>
      <c r="E136" s="385"/>
      <c r="F136" s="385"/>
      <c r="G136" s="385"/>
      <c r="H136" s="385"/>
      <c r="I136" s="385"/>
      <c r="J136" s="385"/>
      <c r="K136" s="385"/>
      <c r="L136" s="385"/>
      <c r="M136" s="385"/>
      <c r="N136" s="385"/>
      <c r="O136" s="385"/>
      <c r="P136" s="385"/>
    </row>
    <row r="137" spans="2:16" s="640" customFormat="1" ht="15" x14ac:dyDescent="0.25"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</row>
    <row r="138" spans="2:16" s="640" customFormat="1" ht="15" x14ac:dyDescent="0.25">
      <c r="B138" s="385"/>
      <c r="C138" s="385"/>
      <c r="D138" s="385"/>
      <c r="E138" s="385"/>
      <c r="F138" s="385"/>
      <c r="G138" s="385"/>
      <c r="H138" s="385"/>
      <c r="I138" s="385"/>
      <c r="J138" s="385"/>
      <c r="K138" s="385"/>
      <c r="L138" s="385"/>
      <c r="M138" s="385"/>
      <c r="N138" s="385"/>
      <c r="O138" s="385"/>
      <c r="P138" s="385"/>
    </row>
    <row r="139" spans="2:16" s="404" customFormat="1" ht="15" x14ac:dyDescent="0.25"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385"/>
      <c r="P139" s="385"/>
    </row>
    <row r="140" spans="2:16" customFormat="1" ht="18" x14ac:dyDescent="0.25">
      <c r="B140" s="128" t="s">
        <v>174</v>
      </c>
      <c r="C140" s="27"/>
      <c r="D140" s="27"/>
      <c r="E140" s="27"/>
      <c r="F140" s="385"/>
      <c r="G140" s="27"/>
      <c r="H140" s="27"/>
      <c r="I140" s="27"/>
      <c r="J140" s="379"/>
      <c r="K140" s="385"/>
      <c r="L140" s="27"/>
      <c r="M140" s="27"/>
      <c r="N140" s="27"/>
      <c r="O140" s="27"/>
      <c r="P140" s="27"/>
    </row>
    <row r="141" spans="2:16" customFormat="1" ht="7.5" customHeight="1" x14ac:dyDescent="0.25">
      <c r="B141" s="27"/>
      <c r="C141" s="27"/>
      <c r="D141" s="27"/>
      <c r="E141" s="27"/>
      <c r="F141" s="385"/>
      <c r="G141" s="27"/>
      <c r="H141" s="27"/>
      <c r="I141" s="27"/>
      <c r="J141" s="379"/>
      <c r="K141" s="385"/>
      <c r="L141" s="27"/>
      <c r="M141" s="27"/>
      <c r="N141" s="27"/>
      <c r="O141" s="27"/>
      <c r="P141" s="27"/>
    </row>
    <row r="142" spans="2:16" customFormat="1" ht="22.5" customHeight="1" thickBot="1" x14ac:dyDescent="0.3">
      <c r="B142" s="862" t="s">
        <v>124</v>
      </c>
      <c r="C142" s="862"/>
      <c r="D142" s="862"/>
      <c r="E142" s="862"/>
      <c r="F142" s="610"/>
      <c r="G142" s="27"/>
      <c r="H142" s="27"/>
      <c r="I142" s="27"/>
      <c r="J142" s="379"/>
      <c r="K142" s="385"/>
      <c r="L142" s="27"/>
      <c r="M142" s="27"/>
      <c r="N142" s="27"/>
      <c r="O142" s="27"/>
      <c r="P142" s="27"/>
    </row>
    <row r="143" spans="2:16" customFormat="1" ht="15.75" thickTop="1" x14ac:dyDescent="0.25">
      <c r="B143" s="857" t="s">
        <v>162</v>
      </c>
      <c r="C143" s="857"/>
      <c r="D143" s="857"/>
      <c r="E143" s="157">
        <v>20156.43</v>
      </c>
      <c r="F143" s="613"/>
      <c r="G143" s="27"/>
      <c r="H143" s="27"/>
      <c r="I143" s="27"/>
      <c r="J143" s="379"/>
      <c r="K143" s="385"/>
      <c r="L143" s="27"/>
      <c r="M143" s="27"/>
      <c r="N143" s="27"/>
      <c r="O143" s="27"/>
      <c r="P143" s="27"/>
    </row>
    <row r="144" spans="2:16" customFormat="1" ht="15" x14ac:dyDescent="0.25">
      <c r="B144" s="866" t="s">
        <v>164</v>
      </c>
      <c r="C144" s="866"/>
      <c r="D144" s="866"/>
      <c r="E144" s="153">
        <v>29385.05</v>
      </c>
      <c r="F144" s="613"/>
      <c r="G144" s="27"/>
      <c r="H144" s="27"/>
      <c r="I144" s="27"/>
      <c r="J144" s="379"/>
      <c r="K144" s="385"/>
      <c r="L144" s="27"/>
      <c r="M144" s="27"/>
      <c r="N144" s="27"/>
      <c r="O144" s="27"/>
      <c r="P144" s="27"/>
    </row>
    <row r="145" spans="2:16" customFormat="1" ht="15.75" thickBot="1" x14ac:dyDescent="0.3">
      <c r="B145" s="154" t="s">
        <v>50</v>
      </c>
      <c r="C145" s="116"/>
      <c r="D145" s="117"/>
      <c r="E145" s="155">
        <v>1043.68</v>
      </c>
      <c r="F145" s="613"/>
      <c r="G145" s="27"/>
      <c r="H145" s="27"/>
      <c r="I145" s="27"/>
      <c r="J145" s="379"/>
      <c r="K145" s="385"/>
      <c r="L145" s="27"/>
      <c r="M145" s="27"/>
      <c r="N145" s="27"/>
      <c r="O145" s="27"/>
      <c r="P145" s="27"/>
    </row>
    <row r="146" spans="2:16" customFormat="1" ht="19.5" customHeight="1" thickTop="1" x14ac:dyDescent="0.25">
      <c r="B146" s="868" t="s">
        <v>120</v>
      </c>
      <c r="C146" s="868"/>
      <c r="D146" s="868"/>
      <c r="E146" s="158">
        <f>SUM(E143:E145)</f>
        <v>50585.159999999996</v>
      </c>
      <c r="F146" s="614"/>
      <c r="G146" s="27"/>
      <c r="H146" s="27"/>
      <c r="I146" s="27"/>
      <c r="J146" s="379"/>
      <c r="K146" s="385"/>
      <c r="L146" s="27"/>
      <c r="M146" s="27"/>
      <c r="N146" s="27"/>
      <c r="O146" s="27"/>
      <c r="P146" s="27"/>
    </row>
    <row r="147" spans="2:16" customFormat="1" ht="7.5" customHeight="1" x14ac:dyDescent="0.25">
      <c r="B147" s="27"/>
      <c r="C147" s="27"/>
      <c r="D147" s="27"/>
      <c r="E147" s="27"/>
      <c r="F147" s="385"/>
      <c r="G147" s="27"/>
      <c r="H147" s="27"/>
      <c r="I147" s="27"/>
      <c r="J147" s="379"/>
      <c r="K147" s="385"/>
      <c r="L147" s="27"/>
      <c r="M147" s="27"/>
      <c r="N147" s="27"/>
      <c r="O147" s="27"/>
      <c r="P147" s="27"/>
    </row>
    <row r="148" spans="2:16" s="119" customFormat="1" ht="68.25" thickBot="1" x14ac:dyDescent="0.3">
      <c r="B148" s="403" t="s">
        <v>53</v>
      </c>
      <c r="C148" s="405" t="s">
        <v>523</v>
      </c>
      <c r="D148" s="405" t="s">
        <v>595</v>
      </c>
      <c r="E148" s="405" t="s">
        <v>596</v>
      </c>
      <c r="F148" s="405" t="s">
        <v>167</v>
      </c>
      <c r="G148" s="405" t="s">
        <v>168</v>
      </c>
      <c r="H148" s="405" t="s">
        <v>169</v>
      </c>
      <c r="I148" s="405" t="s">
        <v>522</v>
      </c>
      <c r="J148" s="405" t="s">
        <v>877</v>
      </c>
      <c r="K148" s="142" t="s">
        <v>120</v>
      </c>
    </row>
    <row r="149" spans="2:16" customFormat="1" ht="15.75" thickTop="1" x14ac:dyDescent="0.25">
      <c r="B149" s="675" t="s">
        <v>59</v>
      </c>
      <c r="C149" s="144"/>
      <c r="D149" s="144">
        <v>456546</v>
      </c>
      <c r="E149" s="144">
        <v>784981.64</v>
      </c>
      <c r="F149" s="144"/>
      <c r="G149" s="144"/>
      <c r="H149" s="144">
        <v>197952.34</v>
      </c>
      <c r="I149" s="144"/>
      <c r="J149" s="144"/>
      <c r="K149" s="144">
        <f t="shared" ref="K149:K159" si="12">C149+D149+E149+F149+G149+H149+I149+J149</f>
        <v>1439479.9800000002</v>
      </c>
      <c r="L149" s="27"/>
      <c r="M149" s="27"/>
      <c r="N149" s="27"/>
      <c r="O149" s="27"/>
    </row>
    <row r="150" spans="2:16" customFormat="1" ht="15" x14ac:dyDescent="0.25">
      <c r="B150" s="676" t="s">
        <v>60</v>
      </c>
      <c r="C150" s="146"/>
      <c r="D150" s="146">
        <v>160254</v>
      </c>
      <c r="E150" s="146">
        <v>272196.43</v>
      </c>
      <c r="F150" s="146"/>
      <c r="G150" s="146"/>
      <c r="H150" s="146">
        <v>67123.66</v>
      </c>
      <c r="I150" s="146"/>
      <c r="J150" s="146"/>
      <c r="K150" s="146">
        <f t="shared" si="12"/>
        <v>499574.08999999997</v>
      </c>
      <c r="L150" s="27"/>
      <c r="M150" s="27"/>
      <c r="N150" s="27"/>
      <c r="O150" s="27"/>
    </row>
    <row r="151" spans="2:16" customFormat="1" ht="15" x14ac:dyDescent="0.25">
      <c r="B151" s="676" t="s">
        <v>61</v>
      </c>
      <c r="C151" s="146">
        <f t="shared" ref="C151:J151" si="13">SUM(C152:C156)</f>
        <v>40000</v>
      </c>
      <c r="D151" s="146">
        <f t="shared" si="13"/>
        <v>84223.03</v>
      </c>
      <c r="E151" s="146">
        <f t="shared" si="13"/>
        <v>180871.79</v>
      </c>
      <c r="F151" s="146">
        <f t="shared" si="13"/>
        <v>68700</v>
      </c>
      <c r="G151" s="146">
        <f t="shared" si="13"/>
        <v>189277.6</v>
      </c>
      <c r="H151" s="146">
        <f t="shared" si="13"/>
        <v>36980</v>
      </c>
      <c r="I151" s="146">
        <f t="shared" si="13"/>
        <v>0</v>
      </c>
      <c r="J151" s="146">
        <f t="shared" si="13"/>
        <v>696.78</v>
      </c>
      <c r="K151" s="146">
        <f t="shared" si="12"/>
        <v>600749.20000000007</v>
      </c>
      <c r="L151" s="27"/>
      <c r="M151" s="27"/>
      <c r="N151" s="27"/>
      <c r="O151" s="27"/>
    </row>
    <row r="152" spans="2:16" customFormat="1" ht="15" x14ac:dyDescent="0.25">
      <c r="B152" s="677" t="s">
        <v>62</v>
      </c>
      <c r="C152" s="9"/>
      <c r="D152" s="9">
        <v>32753</v>
      </c>
      <c r="E152" s="9">
        <v>82544.800000000003</v>
      </c>
      <c r="F152" s="9"/>
      <c r="G152" s="9"/>
      <c r="H152" s="9">
        <v>15600</v>
      </c>
      <c r="I152" s="9"/>
      <c r="J152" s="9"/>
      <c r="K152" s="9">
        <f t="shared" si="12"/>
        <v>130897.8</v>
      </c>
      <c r="L152" s="27"/>
      <c r="M152" s="27"/>
      <c r="N152" s="27"/>
      <c r="O152" s="27"/>
    </row>
    <row r="153" spans="2:16" customFormat="1" ht="15" x14ac:dyDescent="0.25">
      <c r="B153" s="677" t="s">
        <v>63</v>
      </c>
      <c r="C153" s="9"/>
      <c r="D153" s="9">
        <v>32083.22</v>
      </c>
      <c r="E153" s="9">
        <v>22428.2</v>
      </c>
      <c r="F153" s="9"/>
      <c r="G153" s="9"/>
      <c r="H153" s="9">
        <v>1800</v>
      </c>
      <c r="I153" s="9"/>
      <c r="J153" s="9">
        <v>696.78</v>
      </c>
      <c r="K153" s="9">
        <f t="shared" si="12"/>
        <v>57008.2</v>
      </c>
      <c r="L153" s="27"/>
      <c r="M153" s="27"/>
      <c r="N153" s="27"/>
      <c r="O153" s="27"/>
    </row>
    <row r="154" spans="2:16" customFormat="1" ht="15" x14ac:dyDescent="0.25">
      <c r="B154" s="677" t="s">
        <v>65</v>
      </c>
      <c r="C154" s="9"/>
      <c r="D154" s="9">
        <v>784.81</v>
      </c>
      <c r="E154" s="9">
        <v>19164.16</v>
      </c>
      <c r="F154" s="9"/>
      <c r="G154" s="9"/>
      <c r="H154" s="9">
        <v>14300</v>
      </c>
      <c r="I154" s="9"/>
      <c r="J154" s="9"/>
      <c r="K154" s="9">
        <f t="shared" si="12"/>
        <v>34248.97</v>
      </c>
      <c r="L154" s="27"/>
      <c r="M154" s="27"/>
      <c r="N154" s="27"/>
      <c r="O154" s="27"/>
    </row>
    <row r="155" spans="2:16" customFormat="1" ht="15" x14ac:dyDescent="0.25">
      <c r="B155" s="677" t="s">
        <v>175</v>
      </c>
      <c r="C155" s="9">
        <v>40000</v>
      </c>
      <c r="D155" s="9">
        <v>1400</v>
      </c>
      <c r="E155" s="9">
        <v>1538.03</v>
      </c>
      <c r="F155" s="9"/>
      <c r="G155" s="9"/>
      <c r="H155" s="9">
        <v>0</v>
      </c>
      <c r="I155" s="9"/>
      <c r="J155" s="9"/>
      <c r="K155" s="9">
        <f t="shared" si="12"/>
        <v>42938.03</v>
      </c>
      <c r="L155" s="27"/>
      <c r="M155" s="27"/>
      <c r="N155" s="27"/>
      <c r="O155" s="27"/>
    </row>
    <row r="156" spans="2:16" customFormat="1" ht="15" x14ac:dyDescent="0.25">
      <c r="B156" s="677" t="s">
        <v>67</v>
      </c>
      <c r="C156" s="9"/>
      <c r="D156" s="9">
        <v>17202</v>
      </c>
      <c r="E156" s="9">
        <v>55196.6</v>
      </c>
      <c r="F156" s="9">
        <v>68700</v>
      </c>
      <c r="G156" s="9">
        <v>189277.6</v>
      </c>
      <c r="H156" s="9">
        <v>5280</v>
      </c>
      <c r="I156" s="9"/>
      <c r="J156" s="9"/>
      <c r="K156" s="9">
        <f t="shared" si="12"/>
        <v>335656.2</v>
      </c>
      <c r="L156" s="27"/>
      <c r="M156" s="27"/>
      <c r="N156" s="27"/>
      <c r="O156" s="27"/>
    </row>
    <row r="157" spans="2:16" customFormat="1" ht="15" x14ac:dyDescent="0.25">
      <c r="B157" s="678" t="s">
        <v>68</v>
      </c>
      <c r="C157" s="152"/>
      <c r="D157" s="152">
        <v>5146.59</v>
      </c>
      <c r="E157" s="152">
        <v>2286.31</v>
      </c>
      <c r="F157" s="152"/>
      <c r="G157" s="152"/>
      <c r="H157" s="152">
        <v>3702</v>
      </c>
      <c r="I157" s="152">
        <v>33.200000000000003</v>
      </c>
      <c r="J157" s="152"/>
      <c r="K157" s="152">
        <f t="shared" si="12"/>
        <v>11168.1</v>
      </c>
      <c r="L157" s="27"/>
      <c r="M157" s="27"/>
      <c r="N157" s="27"/>
      <c r="O157" s="27"/>
    </row>
    <row r="158" spans="2:16" s="569" customFormat="1" ht="24.75" thickBot="1" x14ac:dyDescent="0.3">
      <c r="B158" s="679" t="s">
        <v>525</v>
      </c>
      <c r="C158" s="149"/>
      <c r="D158" s="149"/>
      <c r="E158" s="671">
        <v>66526.8</v>
      </c>
      <c r="F158" s="671"/>
      <c r="G158" s="671"/>
      <c r="H158" s="671"/>
      <c r="I158" s="671"/>
      <c r="J158" s="671"/>
      <c r="K158" s="671">
        <f t="shared" si="12"/>
        <v>66526.8</v>
      </c>
      <c r="L158" s="385"/>
      <c r="M158" s="385"/>
      <c r="N158" s="385"/>
      <c r="O158" s="385"/>
    </row>
    <row r="159" spans="2:16" customFormat="1" ht="15.75" customHeight="1" thickTop="1" x14ac:dyDescent="0.25">
      <c r="B159" s="150" t="s">
        <v>120</v>
      </c>
      <c r="C159" s="140">
        <f>C149+C150+C151+C157</f>
        <v>40000</v>
      </c>
      <c r="D159" s="140">
        <f>D149+D150+D151+D157</f>
        <v>706169.62</v>
      </c>
      <c r="E159" s="140">
        <f t="shared" ref="E159:J159" si="14">E149+E150+E151+E157</f>
        <v>1240336.1700000002</v>
      </c>
      <c r="F159" s="140">
        <f t="shared" si="14"/>
        <v>68700</v>
      </c>
      <c r="G159" s="140">
        <f t="shared" si="14"/>
        <v>189277.6</v>
      </c>
      <c r="H159" s="140">
        <f t="shared" si="14"/>
        <v>305758</v>
      </c>
      <c r="I159" s="140">
        <f t="shared" si="14"/>
        <v>33.200000000000003</v>
      </c>
      <c r="J159" s="140">
        <f t="shared" si="14"/>
        <v>696.78</v>
      </c>
      <c r="K159" s="140">
        <f t="shared" si="12"/>
        <v>2550971.37</v>
      </c>
      <c r="L159" s="27"/>
      <c r="M159" s="27"/>
      <c r="N159" s="27"/>
      <c r="O159" s="27"/>
    </row>
    <row r="160" spans="2:16" customFormat="1" ht="15" x14ac:dyDescent="0.25">
      <c r="B160" s="27"/>
      <c r="C160" s="27"/>
      <c r="D160" s="27"/>
      <c r="E160" s="27"/>
      <c r="F160" s="385"/>
      <c r="G160" s="27"/>
      <c r="H160" s="27"/>
      <c r="I160" s="27"/>
      <c r="J160" s="379"/>
      <c r="K160" s="385"/>
      <c r="L160" s="27"/>
      <c r="M160" s="27"/>
      <c r="N160" s="27"/>
      <c r="O160" s="27"/>
      <c r="P160" s="27"/>
    </row>
    <row r="161" spans="2:16" s="640" customFormat="1" ht="15" x14ac:dyDescent="0.25">
      <c r="B161" s="385"/>
      <c r="C161" s="385"/>
      <c r="D161" s="385"/>
      <c r="E161" s="385"/>
      <c r="F161" s="385"/>
      <c r="G161" s="385"/>
      <c r="H161" s="385"/>
      <c r="I161" s="385"/>
      <c r="J161" s="385"/>
      <c r="K161" s="385"/>
      <c r="L161" s="385"/>
      <c r="M161" s="385"/>
      <c r="N161" s="385"/>
      <c r="O161" s="385"/>
      <c r="P161" s="385"/>
    </row>
    <row r="162" spans="2:16" s="640" customFormat="1" ht="15" x14ac:dyDescent="0.25">
      <c r="B162" s="385"/>
      <c r="C162" s="385"/>
      <c r="D162" s="385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</row>
    <row r="163" spans="2:16" s="640" customFormat="1" ht="15" x14ac:dyDescent="0.25">
      <c r="B163" s="385"/>
      <c r="C163" s="385"/>
      <c r="D163" s="385"/>
      <c r="E163" s="385"/>
      <c r="F163" s="385"/>
      <c r="G163" s="385"/>
      <c r="H163" s="385"/>
      <c r="I163" s="385"/>
      <c r="J163" s="385"/>
      <c r="K163" s="385"/>
      <c r="L163" s="385"/>
      <c r="M163" s="385"/>
      <c r="N163" s="385"/>
      <c r="O163" s="385"/>
      <c r="P163" s="385"/>
    </row>
    <row r="164" spans="2:16" customFormat="1" ht="18" x14ac:dyDescent="0.25">
      <c r="B164" s="128" t="s">
        <v>176</v>
      </c>
      <c r="C164" s="27"/>
      <c r="D164" s="27"/>
      <c r="E164" s="27"/>
      <c r="F164" s="385"/>
      <c r="G164" s="27"/>
      <c r="H164" s="27"/>
      <c r="I164" s="27"/>
      <c r="J164" s="379"/>
      <c r="K164" s="385"/>
      <c r="L164" s="27"/>
      <c r="M164" s="27"/>
      <c r="N164" s="27"/>
      <c r="O164" s="27"/>
      <c r="P164" s="27"/>
    </row>
    <row r="165" spans="2:16" customFormat="1" ht="7.5" customHeight="1" x14ac:dyDescent="0.25">
      <c r="B165" s="27"/>
      <c r="C165" s="27"/>
      <c r="D165" s="27"/>
      <c r="E165" s="27"/>
      <c r="F165" s="385"/>
      <c r="G165" s="27"/>
      <c r="H165" s="27"/>
      <c r="I165" s="27"/>
      <c r="J165" s="379"/>
      <c r="K165" s="385"/>
      <c r="L165" s="27"/>
      <c r="M165" s="27"/>
      <c r="N165" s="27"/>
      <c r="O165" s="27"/>
      <c r="P165" s="27"/>
    </row>
    <row r="166" spans="2:16" customFormat="1" ht="19.5" customHeight="1" thickBot="1" x14ac:dyDescent="0.3">
      <c r="B166" s="862" t="s">
        <v>124</v>
      </c>
      <c r="C166" s="862"/>
      <c r="D166" s="862"/>
      <c r="E166" s="862"/>
      <c r="F166" s="610"/>
      <c r="G166" s="27"/>
      <c r="H166" s="27"/>
      <c r="I166" s="27"/>
      <c r="J166" s="379"/>
      <c r="K166" s="385"/>
      <c r="L166" s="27"/>
      <c r="M166" s="27"/>
      <c r="N166" s="27"/>
      <c r="O166" s="27"/>
      <c r="P166" s="27"/>
    </row>
    <row r="167" spans="2:16" customFormat="1" ht="15.75" thickTop="1" x14ac:dyDescent="0.25">
      <c r="B167" s="857" t="s">
        <v>162</v>
      </c>
      <c r="C167" s="857"/>
      <c r="D167" s="857"/>
      <c r="E167" s="157">
        <v>1053.1199999999999</v>
      </c>
      <c r="F167" s="613"/>
      <c r="G167" s="27"/>
      <c r="H167" s="27"/>
      <c r="I167" s="27"/>
      <c r="J167" s="379"/>
      <c r="K167" s="385"/>
      <c r="L167" s="27"/>
      <c r="M167" s="27"/>
      <c r="N167" s="27"/>
      <c r="O167" s="27"/>
      <c r="P167" s="27"/>
    </row>
    <row r="168" spans="2:16" customFormat="1" ht="15" x14ac:dyDescent="0.25">
      <c r="B168" s="866" t="s">
        <v>163</v>
      </c>
      <c r="C168" s="866"/>
      <c r="D168" s="866"/>
      <c r="E168" s="153">
        <v>19302.88</v>
      </c>
      <c r="F168" s="613"/>
      <c r="G168" s="27"/>
      <c r="H168" s="27"/>
      <c r="I168" s="27"/>
      <c r="J168" s="379"/>
      <c r="K168" s="385"/>
      <c r="L168" s="27"/>
      <c r="M168" s="27"/>
      <c r="N168" s="27"/>
      <c r="O168" s="27"/>
      <c r="P168" s="27"/>
    </row>
    <row r="169" spans="2:16" customFormat="1" ht="15" x14ac:dyDescent="0.25">
      <c r="B169" s="866" t="s">
        <v>164</v>
      </c>
      <c r="C169" s="866"/>
      <c r="D169" s="866"/>
      <c r="E169" s="153">
        <v>7825.35</v>
      </c>
      <c r="F169" s="613"/>
      <c r="G169" s="27"/>
      <c r="H169" s="27"/>
      <c r="I169" s="27"/>
      <c r="J169" s="379"/>
      <c r="K169" s="385"/>
      <c r="L169" s="27"/>
      <c r="M169" s="27"/>
      <c r="N169" s="27"/>
      <c r="O169" s="27"/>
      <c r="P169" s="27"/>
    </row>
    <row r="170" spans="2:16" s="114" customFormat="1" x14ac:dyDescent="0.25">
      <c r="B170" s="860" t="s">
        <v>128</v>
      </c>
      <c r="C170" s="860"/>
      <c r="D170" s="860"/>
      <c r="E170" s="131">
        <v>21835.19</v>
      </c>
      <c r="F170" s="612"/>
    </row>
    <row r="171" spans="2:16" s="114" customFormat="1" x14ac:dyDescent="0.25">
      <c r="B171" s="136" t="s">
        <v>177</v>
      </c>
      <c r="C171" s="137"/>
      <c r="D171" s="138"/>
      <c r="E171" s="131">
        <v>4862.3</v>
      </c>
      <c r="F171" s="612"/>
    </row>
    <row r="172" spans="2:16" s="114" customFormat="1" ht="13.5" thickBot="1" x14ac:dyDescent="0.3">
      <c r="B172" s="860" t="s">
        <v>165</v>
      </c>
      <c r="C172" s="860"/>
      <c r="D172" s="860"/>
      <c r="E172" s="135">
        <v>929.6</v>
      </c>
      <c r="F172" s="612"/>
    </row>
    <row r="173" spans="2:16" customFormat="1" ht="19.5" customHeight="1" thickTop="1" x14ac:dyDescent="0.25">
      <c r="B173" s="868" t="s">
        <v>120</v>
      </c>
      <c r="C173" s="868"/>
      <c r="D173" s="868"/>
      <c r="E173" s="158">
        <f>SUM(E167:E172)</f>
        <v>55808.439999999995</v>
      </c>
      <c r="F173" s="614"/>
      <c r="G173" s="27"/>
      <c r="H173" s="27"/>
      <c r="I173" s="27"/>
      <c r="J173" s="379"/>
      <c r="K173" s="385"/>
      <c r="L173" s="27"/>
      <c r="M173" s="27"/>
      <c r="N173" s="27"/>
      <c r="O173" s="27"/>
      <c r="P173" s="27"/>
    </row>
    <row r="174" spans="2:16" customFormat="1" ht="7.5" customHeight="1" x14ac:dyDescent="0.25">
      <c r="B174" s="27"/>
      <c r="C174" s="27"/>
      <c r="D174" s="27"/>
      <c r="E174" s="27"/>
      <c r="F174" s="385"/>
      <c r="G174" s="27"/>
      <c r="H174" s="27"/>
      <c r="I174" s="27"/>
      <c r="J174" s="379"/>
      <c r="K174" s="385"/>
      <c r="L174" s="27"/>
      <c r="M174" s="27"/>
      <c r="N174" s="27"/>
      <c r="O174" s="27"/>
      <c r="P174" s="27"/>
    </row>
    <row r="175" spans="2:16" s="119" customFormat="1" ht="57" thickBot="1" x14ac:dyDescent="0.3">
      <c r="B175" s="403" t="s">
        <v>53</v>
      </c>
      <c r="C175" s="405" t="s">
        <v>595</v>
      </c>
      <c r="D175" s="405" t="s">
        <v>596</v>
      </c>
      <c r="E175" s="405" t="s">
        <v>879</v>
      </c>
      <c r="F175" s="405" t="s">
        <v>167</v>
      </c>
      <c r="G175" s="405" t="s">
        <v>168</v>
      </c>
      <c r="H175" s="405" t="s">
        <v>169</v>
      </c>
      <c r="I175" s="405" t="s">
        <v>877</v>
      </c>
      <c r="J175" s="142" t="s">
        <v>120</v>
      </c>
    </row>
    <row r="176" spans="2:16" customFormat="1" ht="15.75" thickTop="1" x14ac:dyDescent="0.25">
      <c r="B176" s="675" t="s">
        <v>59</v>
      </c>
      <c r="C176" s="144">
        <v>249683.83</v>
      </c>
      <c r="D176" s="144">
        <v>109498.32</v>
      </c>
      <c r="E176" s="144"/>
      <c r="F176" s="144">
        <v>26072.44</v>
      </c>
      <c r="G176" s="144">
        <v>30176</v>
      </c>
      <c r="H176" s="144">
        <v>35048.21</v>
      </c>
      <c r="I176" s="144"/>
      <c r="J176" s="144">
        <f>C176+D176+F176+G176+H176+I176+E176</f>
        <v>450478.80000000005</v>
      </c>
      <c r="K176" s="27"/>
      <c r="L176" s="27"/>
      <c r="M176" s="27"/>
      <c r="N176" s="27"/>
    </row>
    <row r="177" spans="2:16" customFormat="1" ht="15" x14ac:dyDescent="0.25">
      <c r="B177" s="676" t="s">
        <v>60</v>
      </c>
      <c r="C177" s="146">
        <v>86467.58</v>
      </c>
      <c r="D177" s="146">
        <v>38245.730000000003</v>
      </c>
      <c r="E177" s="146"/>
      <c r="F177" s="146">
        <v>8632.08</v>
      </c>
      <c r="G177" s="146">
        <v>10269.39</v>
      </c>
      <c r="H177" s="146">
        <v>11402.94</v>
      </c>
      <c r="I177" s="146"/>
      <c r="J177" s="146">
        <f t="shared" ref="J177:J184" si="15">C177+D177+F177+G177+H177+I177+E177</f>
        <v>155017.71999999997</v>
      </c>
      <c r="K177" s="27"/>
      <c r="L177" s="27"/>
      <c r="M177" s="27"/>
      <c r="N177" s="27"/>
    </row>
    <row r="178" spans="2:16" customFormat="1" ht="15" x14ac:dyDescent="0.25">
      <c r="B178" s="676" t="s">
        <v>61</v>
      </c>
      <c r="C178" s="146">
        <f t="shared" ref="C178:I178" si="16">SUM(C179:C182)</f>
        <v>114515.23999999999</v>
      </c>
      <c r="D178" s="146">
        <f t="shared" si="16"/>
        <v>29580</v>
      </c>
      <c r="E178" s="146">
        <f t="shared" si="16"/>
        <v>10729.6</v>
      </c>
      <c r="F178" s="146">
        <f t="shared" si="16"/>
        <v>15000</v>
      </c>
      <c r="G178" s="146">
        <f t="shared" si="16"/>
        <v>51715.64</v>
      </c>
      <c r="H178" s="146">
        <f t="shared" si="16"/>
        <v>13100</v>
      </c>
      <c r="I178" s="146">
        <f t="shared" si="16"/>
        <v>1855</v>
      </c>
      <c r="J178" s="146">
        <f t="shared" si="15"/>
        <v>236495.48</v>
      </c>
      <c r="K178" s="27"/>
      <c r="L178" s="27"/>
      <c r="M178" s="27"/>
      <c r="N178" s="27"/>
    </row>
    <row r="179" spans="2:16" customFormat="1" ht="15" x14ac:dyDescent="0.25">
      <c r="B179" s="677" t="s">
        <v>62</v>
      </c>
      <c r="C179" s="9">
        <v>29455.17</v>
      </c>
      <c r="D179" s="9">
        <v>22142</v>
      </c>
      <c r="E179" s="9"/>
      <c r="F179" s="9">
        <v>8000</v>
      </c>
      <c r="G179" s="9">
        <v>9400</v>
      </c>
      <c r="H179" s="9">
        <v>6700</v>
      </c>
      <c r="I179" s="9"/>
      <c r="J179" s="9">
        <f t="shared" si="15"/>
        <v>75697.17</v>
      </c>
      <c r="K179" s="27"/>
      <c r="L179" s="27"/>
      <c r="M179" s="27"/>
      <c r="N179" s="27"/>
    </row>
    <row r="180" spans="2:16" customFormat="1" ht="15" x14ac:dyDescent="0.25">
      <c r="B180" s="677" t="s">
        <v>63</v>
      </c>
      <c r="C180" s="9">
        <v>14951.28</v>
      </c>
      <c r="D180" s="9">
        <v>1791</v>
      </c>
      <c r="E180" s="9">
        <v>10729.6</v>
      </c>
      <c r="F180" s="9">
        <v>3000</v>
      </c>
      <c r="G180" s="9">
        <v>30276.2</v>
      </c>
      <c r="H180" s="9">
        <v>400</v>
      </c>
      <c r="I180" s="9">
        <v>1855</v>
      </c>
      <c r="J180" s="9">
        <f t="shared" si="15"/>
        <v>63003.079999999994</v>
      </c>
      <c r="K180" s="27"/>
      <c r="L180" s="27"/>
      <c r="M180" s="27"/>
      <c r="N180" s="27"/>
    </row>
    <row r="181" spans="2:16" customFormat="1" ht="15" x14ac:dyDescent="0.25">
      <c r="B181" s="677" t="s">
        <v>65</v>
      </c>
      <c r="C181" s="9">
        <v>57800</v>
      </c>
      <c r="D181" s="9">
        <v>600</v>
      </c>
      <c r="E181" s="9"/>
      <c r="F181" s="9">
        <v>1000</v>
      </c>
      <c r="G181" s="9">
        <v>3600</v>
      </c>
      <c r="H181" s="9">
        <v>4500</v>
      </c>
      <c r="I181" s="9"/>
      <c r="J181" s="9">
        <f t="shared" si="15"/>
        <v>67500</v>
      </c>
      <c r="K181" s="27"/>
      <c r="L181" s="27"/>
      <c r="M181" s="27"/>
      <c r="N181" s="27"/>
    </row>
    <row r="182" spans="2:16" customFormat="1" ht="15" x14ac:dyDescent="0.25">
      <c r="B182" s="677" t="s">
        <v>67</v>
      </c>
      <c r="C182" s="9">
        <v>12308.79</v>
      </c>
      <c r="D182" s="9">
        <v>5047</v>
      </c>
      <c r="E182" s="9"/>
      <c r="F182" s="9">
        <v>3000</v>
      </c>
      <c r="G182" s="9">
        <v>8439.44</v>
      </c>
      <c r="H182" s="9">
        <v>1500</v>
      </c>
      <c r="I182" s="9"/>
      <c r="J182" s="9">
        <f t="shared" si="15"/>
        <v>30295.230000000003</v>
      </c>
      <c r="K182" s="27"/>
      <c r="L182" s="27"/>
      <c r="M182" s="27"/>
      <c r="N182" s="27"/>
    </row>
    <row r="183" spans="2:16" customFormat="1" ht="15.75" thickBot="1" x14ac:dyDescent="0.3">
      <c r="B183" s="679" t="s">
        <v>68</v>
      </c>
      <c r="C183" s="149">
        <v>2566</v>
      </c>
      <c r="D183" s="149">
        <v>248.43</v>
      </c>
      <c r="E183" s="149"/>
      <c r="F183" s="149">
        <v>122.09</v>
      </c>
      <c r="G183" s="149">
        <v>0</v>
      </c>
      <c r="H183" s="149">
        <v>108.85</v>
      </c>
      <c r="I183" s="149"/>
      <c r="J183" s="149">
        <f t="shared" si="15"/>
        <v>3045.37</v>
      </c>
      <c r="K183" s="27"/>
      <c r="L183" s="27"/>
      <c r="M183" s="27"/>
      <c r="N183" s="27"/>
    </row>
    <row r="184" spans="2:16" customFormat="1" ht="22.5" customHeight="1" thickTop="1" x14ac:dyDescent="0.25">
      <c r="B184" s="150" t="s">
        <v>120</v>
      </c>
      <c r="C184" s="140">
        <f t="shared" ref="C184:I184" si="17">C176+C177+C178+C183</f>
        <v>453232.64999999997</v>
      </c>
      <c r="D184" s="140">
        <f t="shared" si="17"/>
        <v>177572.48000000001</v>
      </c>
      <c r="E184" s="140">
        <f t="shared" si="17"/>
        <v>10729.6</v>
      </c>
      <c r="F184" s="140">
        <f t="shared" si="17"/>
        <v>49826.609999999993</v>
      </c>
      <c r="G184" s="140">
        <f t="shared" si="17"/>
        <v>92161.03</v>
      </c>
      <c r="H184" s="140">
        <f t="shared" si="17"/>
        <v>59660</v>
      </c>
      <c r="I184" s="140">
        <f t="shared" si="17"/>
        <v>1855</v>
      </c>
      <c r="J184" s="140">
        <f t="shared" si="15"/>
        <v>845037.37</v>
      </c>
      <c r="K184" s="27"/>
      <c r="L184" s="27"/>
      <c r="M184" s="27"/>
      <c r="N184" s="27"/>
    </row>
    <row r="185" spans="2:16" customFormat="1" ht="15" x14ac:dyDescent="0.25">
      <c r="B185" s="27"/>
      <c r="C185" s="27"/>
      <c r="D185" s="27"/>
      <c r="E185" s="27"/>
      <c r="F185" s="385"/>
      <c r="G185" s="27"/>
      <c r="H185" s="27"/>
      <c r="I185" s="27"/>
      <c r="J185" s="379"/>
      <c r="K185" s="385"/>
      <c r="L185" s="27"/>
      <c r="M185" s="27"/>
      <c r="N185" s="27"/>
      <c r="O185" s="27"/>
      <c r="P185" s="27"/>
    </row>
    <row r="186" spans="2:16" customFormat="1" ht="15" x14ac:dyDescent="0.25">
      <c r="B186" s="27"/>
      <c r="C186" s="27"/>
      <c r="D186" s="27"/>
      <c r="E186" s="27"/>
      <c r="F186" s="385"/>
      <c r="G186" s="27"/>
      <c r="H186" s="27"/>
      <c r="I186" s="27"/>
      <c r="J186" s="379"/>
      <c r="K186" s="385"/>
      <c r="L186" s="27"/>
      <c r="M186" s="27"/>
      <c r="N186" s="27"/>
      <c r="O186" s="27"/>
      <c r="P186" s="27"/>
    </row>
    <row r="187" spans="2:16" customFormat="1" ht="15" x14ac:dyDescent="0.25">
      <c r="B187" s="27"/>
      <c r="C187" s="27"/>
      <c r="D187" s="27"/>
      <c r="E187" s="27"/>
      <c r="F187" s="385"/>
      <c r="G187" s="27"/>
      <c r="H187" s="27"/>
      <c r="I187" s="27"/>
      <c r="J187" s="379"/>
      <c r="K187" s="385"/>
      <c r="L187" s="27"/>
      <c r="M187" s="27"/>
      <c r="N187" s="27"/>
      <c r="O187" s="27"/>
      <c r="P187" s="27"/>
    </row>
    <row r="188" spans="2:16" customFormat="1" ht="15.75" thickTop="1" x14ac:dyDescent="0.25">
      <c r="B188" s="27"/>
      <c r="C188" s="27"/>
      <c r="D188" s="27"/>
      <c r="E188" s="27"/>
      <c r="F188" s="385"/>
      <c r="G188" s="27"/>
      <c r="H188" s="27"/>
      <c r="I188" s="27"/>
      <c r="J188" s="379"/>
      <c r="K188" s="385"/>
      <c r="L188" s="27"/>
      <c r="M188" s="27"/>
      <c r="N188" s="27"/>
      <c r="O188" s="27"/>
      <c r="P188" s="27"/>
    </row>
    <row r="189" spans="2:16" customFormat="1" ht="15" x14ac:dyDescent="0.25">
      <c r="B189" s="27"/>
      <c r="C189" s="27"/>
      <c r="D189" s="27"/>
      <c r="E189" s="27"/>
      <c r="F189" s="385"/>
      <c r="G189" s="27"/>
      <c r="H189" s="27"/>
      <c r="I189" s="27"/>
      <c r="J189" s="379"/>
      <c r="K189" s="385"/>
      <c r="L189" s="27"/>
      <c r="M189" s="27"/>
      <c r="N189" s="27"/>
      <c r="O189" s="27"/>
      <c r="P189" s="27"/>
    </row>
    <row r="190" spans="2:16" customFormat="1" ht="15" x14ac:dyDescent="0.25">
      <c r="B190" s="27"/>
      <c r="C190" s="27"/>
      <c r="D190" s="27"/>
      <c r="E190" s="27"/>
      <c r="F190" s="385"/>
      <c r="G190" s="27"/>
      <c r="H190" s="27"/>
      <c r="I190" s="27"/>
      <c r="J190" s="379"/>
      <c r="K190" s="385"/>
      <c r="L190" s="27"/>
      <c r="M190" s="27"/>
      <c r="N190" s="27"/>
      <c r="O190" s="27"/>
      <c r="P190" s="27"/>
    </row>
    <row r="191" spans="2:16" customFormat="1" ht="15" x14ac:dyDescent="0.25">
      <c r="B191" s="27"/>
      <c r="C191" s="27"/>
      <c r="D191" s="27"/>
      <c r="E191" s="27"/>
      <c r="F191" s="385"/>
      <c r="G191" s="27"/>
      <c r="H191" s="27"/>
      <c r="I191" s="27"/>
      <c r="J191" s="379"/>
      <c r="K191" s="385"/>
      <c r="L191" s="27"/>
      <c r="M191" s="27"/>
      <c r="N191" s="27"/>
      <c r="O191" s="27"/>
      <c r="P191" s="27"/>
    </row>
    <row r="192" spans="2:16" customFormat="1" ht="15" x14ac:dyDescent="0.25">
      <c r="B192" s="27"/>
      <c r="C192" s="27"/>
      <c r="D192" s="27"/>
      <c r="E192" s="27"/>
      <c r="F192" s="385"/>
      <c r="G192" s="27"/>
      <c r="H192" s="27"/>
      <c r="I192" s="27"/>
      <c r="J192" s="379"/>
      <c r="K192" s="385"/>
      <c r="L192" s="27"/>
      <c r="M192" s="27"/>
      <c r="N192" s="27"/>
      <c r="O192" s="27"/>
      <c r="P192" s="27"/>
    </row>
    <row r="193" spans="2:16" s="404" customFormat="1" ht="15" x14ac:dyDescent="0.25">
      <c r="B193" s="385"/>
      <c r="C193" s="385"/>
      <c r="D193" s="385"/>
      <c r="E193" s="385"/>
      <c r="F193" s="385"/>
      <c r="G193" s="385"/>
      <c r="H193" s="385"/>
      <c r="I193" s="385"/>
      <c r="J193" s="385"/>
      <c r="K193" s="385"/>
      <c r="L193" s="385"/>
      <c r="M193" s="385"/>
      <c r="N193" s="385"/>
      <c r="O193" s="385"/>
      <c r="P193" s="385"/>
    </row>
    <row r="194" spans="2:16" s="404" customFormat="1" ht="15" x14ac:dyDescent="0.25">
      <c r="B194" s="385"/>
      <c r="C194" s="385"/>
      <c r="D194" s="385"/>
      <c r="E194" s="385"/>
      <c r="F194" s="385"/>
      <c r="G194" s="385"/>
      <c r="H194" s="385"/>
      <c r="I194" s="385"/>
      <c r="J194" s="385"/>
      <c r="K194" s="385"/>
      <c r="L194" s="385"/>
      <c r="M194" s="385"/>
      <c r="N194" s="385"/>
      <c r="O194" s="385"/>
      <c r="P194" s="385"/>
    </row>
    <row r="195" spans="2:16" s="404" customFormat="1" ht="15" x14ac:dyDescent="0.25">
      <c r="B195" s="385"/>
      <c r="C195" s="385"/>
      <c r="D195" s="385"/>
      <c r="E195" s="385"/>
      <c r="F195" s="385"/>
      <c r="G195" s="385"/>
      <c r="H195" s="385"/>
      <c r="I195" s="385"/>
      <c r="J195" s="385"/>
      <c r="K195" s="385"/>
      <c r="L195" s="385"/>
      <c r="M195" s="385"/>
      <c r="N195" s="385"/>
      <c r="O195" s="385"/>
      <c r="P195" s="385"/>
    </row>
    <row r="196" spans="2:16" s="404" customFormat="1" ht="15" x14ac:dyDescent="0.25">
      <c r="B196" s="385"/>
      <c r="C196" s="385"/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  <c r="N196" s="385"/>
      <c r="O196" s="385"/>
      <c r="P196" s="385"/>
    </row>
    <row r="197" spans="2:16" s="640" customFormat="1" ht="15" x14ac:dyDescent="0.25">
      <c r="B197" s="385"/>
      <c r="C197" s="385"/>
      <c r="D197" s="385"/>
      <c r="E197" s="385"/>
      <c r="F197" s="385"/>
      <c r="G197" s="385"/>
      <c r="H197" s="385"/>
      <c r="I197" s="385"/>
      <c r="J197" s="385"/>
      <c r="K197" s="385"/>
      <c r="L197" s="385"/>
      <c r="M197" s="385"/>
      <c r="N197" s="385"/>
      <c r="O197" s="385"/>
      <c r="P197" s="385"/>
    </row>
    <row r="198" spans="2:16" s="640" customFormat="1" ht="15" x14ac:dyDescent="0.25"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5"/>
    </row>
    <row r="199" spans="2:16" s="640" customFormat="1" ht="15" x14ac:dyDescent="0.25">
      <c r="B199" s="38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N199" s="385"/>
      <c r="O199" s="385"/>
      <c r="P199" s="385"/>
    </row>
    <row r="200" spans="2:16" s="640" customFormat="1" ht="15" x14ac:dyDescent="0.25"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5"/>
    </row>
    <row r="201" spans="2:16" s="640" customFormat="1" ht="15" x14ac:dyDescent="0.25"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385"/>
    </row>
    <row r="202" spans="2:16" s="640" customFormat="1" ht="15" x14ac:dyDescent="0.25"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5"/>
    </row>
    <row r="203" spans="2:16" s="640" customFormat="1" ht="15" x14ac:dyDescent="0.25">
      <c r="B203" s="385"/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</row>
    <row r="204" spans="2:16" s="640" customFormat="1" ht="15" x14ac:dyDescent="0.25"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5"/>
    </row>
    <row r="205" spans="2:16" s="640" customFormat="1" ht="15" x14ac:dyDescent="0.25">
      <c r="B205" s="385"/>
      <c r="C205" s="385"/>
      <c r="D205" s="385"/>
      <c r="E205" s="385"/>
      <c r="F205" s="385"/>
      <c r="G205" s="385"/>
      <c r="H205" s="385"/>
      <c r="I205" s="385"/>
      <c r="J205" s="385"/>
      <c r="K205" s="385"/>
      <c r="L205" s="385"/>
      <c r="M205" s="385"/>
      <c r="N205" s="385"/>
      <c r="O205" s="385"/>
      <c r="P205" s="385"/>
    </row>
    <row r="206" spans="2:16" customFormat="1" ht="15" x14ac:dyDescent="0.25">
      <c r="B206" s="27"/>
      <c r="C206" s="27"/>
      <c r="D206" s="27"/>
      <c r="E206" s="27"/>
      <c r="F206" s="385"/>
      <c r="G206" s="27"/>
      <c r="H206" s="27"/>
      <c r="I206" s="27"/>
      <c r="J206" s="379"/>
      <c r="K206" s="385"/>
      <c r="L206" s="27"/>
      <c r="M206" s="27"/>
      <c r="N206" s="27"/>
      <c r="O206" s="27"/>
      <c r="P206" s="27"/>
    </row>
    <row r="207" spans="2:16" customFormat="1" ht="15" x14ac:dyDescent="0.25">
      <c r="B207" s="27"/>
      <c r="C207" s="27"/>
      <c r="D207" s="27"/>
      <c r="E207" s="27"/>
      <c r="F207" s="385"/>
      <c r="G207" s="27"/>
      <c r="H207" s="27"/>
      <c r="I207" s="27"/>
      <c r="J207" s="379"/>
      <c r="K207" s="385"/>
      <c r="L207" s="27"/>
      <c r="M207" s="27"/>
      <c r="N207" s="27"/>
      <c r="O207" s="27"/>
      <c r="P207" s="27"/>
    </row>
    <row r="208" spans="2:16" customFormat="1" ht="18" x14ac:dyDescent="0.25">
      <c r="B208" s="128" t="s">
        <v>179</v>
      </c>
      <c r="C208" s="27"/>
      <c r="D208" s="27"/>
      <c r="E208" s="27"/>
      <c r="F208" s="385"/>
      <c r="G208" s="27"/>
      <c r="H208" s="27"/>
      <c r="I208" s="27"/>
      <c r="J208" s="379"/>
      <c r="K208" s="385"/>
      <c r="L208" s="27"/>
      <c r="M208" s="27"/>
      <c r="N208" s="27"/>
      <c r="O208" s="27"/>
      <c r="P208" s="27"/>
    </row>
    <row r="209" spans="2:16" customFormat="1" ht="7.5" customHeight="1" x14ac:dyDescent="0.25">
      <c r="B209" s="27"/>
      <c r="C209" s="27"/>
      <c r="D209" s="27"/>
      <c r="E209" s="27"/>
      <c r="F209" s="385"/>
      <c r="G209" s="27"/>
      <c r="H209" s="27"/>
      <c r="I209" s="27"/>
      <c r="J209" s="379"/>
      <c r="K209" s="385"/>
      <c r="L209" s="27"/>
      <c r="M209" s="27"/>
      <c r="N209" s="27"/>
      <c r="O209" s="27"/>
      <c r="P209" s="27"/>
    </row>
    <row r="210" spans="2:16" customFormat="1" ht="20.25" customHeight="1" thickBot="1" x14ac:dyDescent="0.3">
      <c r="B210" s="862" t="s">
        <v>124</v>
      </c>
      <c r="C210" s="862"/>
      <c r="D210" s="862"/>
      <c r="E210" s="862"/>
      <c r="F210" s="610"/>
      <c r="G210" s="27"/>
      <c r="H210" s="27"/>
      <c r="I210" s="27"/>
      <c r="J210" s="379"/>
      <c r="K210" s="385"/>
      <c r="L210" s="27"/>
      <c r="M210" s="27"/>
      <c r="N210" s="27"/>
      <c r="O210" s="27"/>
      <c r="P210" s="27"/>
    </row>
    <row r="211" spans="2:16" customFormat="1" ht="15.75" thickTop="1" x14ac:dyDescent="0.25">
      <c r="B211" s="857" t="s">
        <v>162</v>
      </c>
      <c r="C211" s="857"/>
      <c r="D211" s="857"/>
      <c r="E211" s="130">
        <v>374.76</v>
      </c>
      <c r="F211" s="611"/>
      <c r="G211" s="27"/>
      <c r="H211" s="27"/>
      <c r="I211" s="27"/>
      <c r="J211" s="379"/>
      <c r="K211" s="385"/>
      <c r="L211" s="27"/>
      <c r="M211" s="27"/>
      <c r="N211" s="27"/>
      <c r="O211" s="27"/>
      <c r="P211" s="27"/>
    </row>
    <row r="212" spans="2:16" customFormat="1" ht="15" x14ac:dyDescent="0.25">
      <c r="B212" s="866" t="s">
        <v>48</v>
      </c>
      <c r="C212" s="866"/>
      <c r="D212" s="866"/>
      <c r="E212" s="130">
        <v>8594.4500000000007</v>
      </c>
      <c r="F212" s="611"/>
      <c r="G212" s="27"/>
      <c r="H212" s="27"/>
      <c r="I212" s="27"/>
      <c r="J212" s="379"/>
      <c r="K212" s="385"/>
      <c r="L212" s="27"/>
      <c r="M212" s="27"/>
      <c r="N212" s="27"/>
      <c r="O212" s="27"/>
      <c r="P212" s="27"/>
    </row>
    <row r="213" spans="2:16" customFormat="1" ht="15" x14ac:dyDescent="0.25">
      <c r="B213" s="866" t="s">
        <v>164</v>
      </c>
      <c r="C213" s="866"/>
      <c r="D213" s="866"/>
      <c r="E213" s="9">
        <v>23113.29</v>
      </c>
      <c r="F213" s="611"/>
      <c r="G213" s="27"/>
      <c r="H213" s="27"/>
      <c r="I213" s="27"/>
      <c r="J213" s="379"/>
      <c r="K213" s="385"/>
      <c r="L213" s="27"/>
      <c r="M213" s="27"/>
      <c r="N213" s="27"/>
      <c r="O213" s="27"/>
      <c r="P213" s="27"/>
    </row>
    <row r="214" spans="2:16" customFormat="1" ht="15" x14ac:dyDescent="0.25">
      <c r="B214" s="159" t="s">
        <v>128</v>
      </c>
      <c r="C214" s="160"/>
      <c r="D214" s="161"/>
      <c r="E214" s="9">
        <v>39843.089999999997</v>
      </c>
      <c r="F214" s="611"/>
      <c r="G214" s="27"/>
      <c r="H214" s="27"/>
      <c r="I214" s="27"/>
      <c r="J214" s="379"/>
      <c r="K214" s="385"/>
      <c r="L214" s="27"/>
      <c r="M214" s="27"/>
      <c r="N214" s="27"/>
      <c r="O214" s="27"/>
      <c r="P214" s="27"/>
    </row>
    <row r="215" spans="2:16" customFormat="1" ht="15" x14ac:dyDescent="0.25">
      <c r="B215" s="867" t="s">
        <v>50</v>
      </c>
      <c r="C215" s="867"/>
      <c r="D215" s="867"/>
      <c r="E215" s="9">
        <v>646.36</v>
      </c>
      <c r="F215" s="611"/>
      <c r="G215" s="27"/>
      <c r="H215" s="27"/>
      <c r="I215" s="27"/>
      <c r="J215" s="379"/>
      <c r="K215" s="385"/>
      <c r="L215" s="27"/>
      <c r="M215" s="27"/>
      <c r="N215" s="27"/>
      <c r="O215" s="27"/>
      <c r="P215" s="27"/>
    </row>
    <row r="216" spans="2:16" customFormat="1" ht="15.75" thickBot="1" x14ac:dyDescent="0.3">
      <c r="B216" s="154" t="s">
        <v>130</v>
      </c>
      <c r="C216" s="116"/>
      <c r="D216" s="117"/>
      <c r="E216" s="162">
        <v>7922.5</v>
      </c>
      <c r="F216" s="611"/>
      <c r="G216" s="27"/>
      <c r="H216" s="27"/>
      <c r="I216" s="27"/>
      <c r="J216" s="379"/>
      <c r="K216" s="385"/>
      <c r="L216" s="27"/>
      <c r="M216" s="27"/>
      <c r="N216" s="27"/>
      <c r="O216" s="27"/>
      <c r="P216" s="27"/>
    </row>
    <row r="217" spans="2:16" customFormat="1" ht="21" customHeight="1" thickTop="1" x14ac:dyDescent="0.25">
      <c r="B217" s="868" t="s">
        <v>120</v>
      </c>
      <c r="C217" s="868"/>
      <c r="D217" s="868"/>
      <c r="E217" s="140">
        <f>SUM(E211:E216)</f>
        <v>80494.45</v>
      </c>
      <c r="F217" s="616"/>
      <c r="G217" s="27"/>
      <c r="H217" s="27"/>
      <c r="I217" s="27"/>
      <c r="J217" s="379"/>
      <c r="K217" s="385"/>
      <c r="L217" s="27"/>
      <c r="M217" s="27"/>
      <c r="N217" s="27"/>
      <c r="O217" s="27"/>
      <c r="P217" s="27"/>
    </row>
    <row r="218" spans="2:16" customFormat="1" ht="9.75" customHeight="1" x14ac:dyDescent="0.25">
      <c r="B218" s="27"/>
      <c r="C218" s="27"/>
      <c r="D218" s="27"/>
      <c r="E218" s="27"/>
      <c r="F218" s="385"/>
      <c r="G218" s="27"/>
      <c r="H218" s="27"/>
      <c r="I218" s="27"/>
      <c r="J218" s="379"/>
      <c r="K218" s="385"/>
      <c r="L218" s="27"/>
      <c r="M218" s="27"/>
      <c r="N218" s="27"/>
      <c r="O218" s="27"/>
      <c r="P218" s="27"/>
    </row>
    <row r="219" spans="2:16" s="119" customFormat="1" ht="57" thickBot="1" x14ac:dyDescent="0.3">
      <c r="B219" s="403" t="s">
        <v>53</v>
      </c>
      <c r="C219" s="405" t="s">
        <v>595</v>
      </c>
      <c r="D219" s="405" t="s">
        <v>596</v>
      </c>
      <c r="E219" s="405" t="s">
        <v>167</v>
      </c>
      <c r="F219" s="405" t="s">
        <v>168</v>
      </c>
      <c r="G219" s="405" t="s">
        <v>169</v>
      </c>
      <c r="H219" s="142" t="s">
        <v>120</v>
      </c>
    </row>
    <row r="220" spans="2:16" customFormat="1" ht="15.75" thickTop="1" x14ac:dyDescent="0.25">
      <c r="B220" s="675" t="s">
        <v>59</v>
      </c>
      <c r="C220" s="144">
        <v>311401</v>
      </c>
      <c r="D220" s="144">
        <v>638549.52</v>
      </c>
      <c r="E220" s="144">
        <v>41951.5</v>
      </c>
      <c r="F220" s="144">
        <v>66714.789999999994</v>
      </c>
      <c r="G220" s="144">
        <v>101936.92</v>
      </c>
      <c r="H220" s="144">
        <f>C220+D220+E220+F220+G220</f>
        <v>1160553.73</v>
      </c>
      <c r="I220" s="27"/>
      <c r="J220" s="27"/>
      <c r="K220" s="27"/>
      <c r="L220" s="27"/>
    </row>
    <row r="221" spans="2:16" customFormat="1" ht="15" x14ac:dyDescent="0.25">
      <c r="B221" s="676" t="s">
        <v>60</v>
      </c>
      <c r="C221" s="146">
        <v>108633.87</v>
      </c>
      <c r="D221" s="146">
        <v>224446.3</v>
      </c>
      <c r="E221" s="146">
        <v>14428.43</v>
      </c>
      <c r="F221" s="146">
        <v>23381.66</v>
      </c>
      <c r="G221" s="146">
        <v>35756.120000000003</v>
      </c>
      <c r="H221" s="146">
        <f t="shared" ref="H221:H230" si="18">C221+D221+E221+F221+G221</f>
        <v>406646.37999999995</v>
      </c>
      <c r="I221" s="27"/>
      <c r="J221" s="27"/>
      <c r="K221" s="27"/>
      <c r="L221" s="27"/>
    </row>
    <row r="222" spans="2:16" customFormat="1" ht="15" x14ac:dyDescent="0.25">
      <c r="B222" s="676" t="s">
        <v>61</v>
      </c>
      <c r="C222" s="146">
        <f t="shared" ref="C222:G222" si="19">SUM(C223:C228)</f>
        <v>78353</v>
      </c>
      <c r="D222" s="146">
        <f t="shared" si="19"/>
        <v>101088.71</v>
      </c>
      <c r="E222" s="146">
        <f t="shared" si="19"/>
        <v>85850.99</v>
      </c>
      <c r="F222" s="146">
        <f t="shared" si="19"/>
        <v>11063</v>
      </c>
      <c r="G222" s="146">
        <f t="shared" si="19"/>
        <v>9166</v>
      </c>
      <c r="H222" s="146">
        <f t="shared" si="18"/>
        <v>285521.7</v>
      </c>
      <c r="I222" s="27"/>
      <c r="J222" s="27"/>
      <c r="K222" s="27"/>
      <c r="L222" s="27"/>
    </row>
    <row r="223" spans="2:16" customFormat="1" ht="15" x14ac:dyDescent="0.25">
      <c r="B223" s="677" t="s">
        <v>78</v>
      </c>
      <c r="C223" s="9">
        <v>0</v>
      </c>
      <c r="D223" s="9">
        <v>12.44</v>
      </c>
      <c r="E223" s="9">
        <v>0</v>
      </c>
      <c r="F223" s="9">
        <v>0</v>
      </c>
      <c r="G223" s="9">
        <v>0</v>
      </c>
      <c r="H223" s="9">
        <f t="shared" si="18"/>
        <v>12.44</v>
      </c>
      <c r="I223" s="27"/>
      <c r="J223" s="27"/>
      <c r="K223" s="27"/>
      <c r="L223" s="27"/>
    </row>
    <row r="224" spans="2:16" customFormat="1" ht="15" x14ac:dyDescent="0.25">
      <c r="B224" s="677" t="s">
        <v>62</v>
      </c>
      <c r="C224" s="9">
        <v>20832</v>
      </c>
      <c r="D224" s="9">
        <v>25100</v>
      </c>
      <c r="E224" s="9">
        <v>1332</v>
      </c>
      <c r="F224" s="9">
        <v>1796.15</v>
      </c>
      <c r="G224" s="9">
        <v>4294</v>
      </c>
      <c r="H224" s="9">
        <f t="shared" si="18"/>
        <v>53354.15</v>
      </c>
      <c r="I224" s="27"/>
      <c r="J224" s="27"/>
      <c r="K224" s="27"/>
      <c r="L224" s="27"/>
    </row>
    <row r="225" spans="2:16" customFormat="1" ht="15" x14ac:dyDescent="0.25">
      <c r="B225" s="677" t="s">
        <v>63</v>
      </c>
      <c r="C225" s="9">
        <v>22520</v>
      </c>
      <c r="D225" s="9">
        <v>25775.31</v>
      </c>
      <c r="E225" s="9">
        <v>77222.990000000005</v>
      </c>
      <c r="F225" s="9">
        <v>2912</v>
      </c>
      <c r="G225" s="9">
        <v>2372</v>
      </c>
      <c r="H225" s="9">
        <f t="shared" si="18"/>
        <v>130802.3</v>
      </c>
      <c r="I225" s="27"/>
      <c r="J225" s="27"/>
      <c r="K225" s="27"/>
      <c r="L225" s="27"/>
    </row>
    <row r="226" spans="2:16" customFormat="1" ht="15" x14ac:dyDescent="0.25">
      <c r="B226" s="677" t="s">
        <v>64</v>
      </c>
      <c r="C226" s="9">
        <v>0</v>
      </c>
      <c r="D226" s="9">
        <v>1108.8</v>
      </c>
      <c r="E226" s="9">
        <v>0</v>
      </c>
      <c r="F226" s="9">
        <v>0</v>
      </c>
      <c r="G226" s="9">
        <v>0</v>
      </c>
      <c r="H226" s="9">
        <f t="shared" si="18"/>
        <v>1108.8</v>
      </c>
      <c r="I226" s="27"/>
      <c r="J226" s="27"/>
      <c r="K226" s="27"/>
      <c r="L226" s="27"/>
    </row>
    <row r="227" spans="2:16" customFormat="1" ht="15" x14ac:dyDescent="0.25">
      <c r="B227" s="677" t="s">
        <v>65</v>
      </c>
      <c r="C227" s="9">
        <v>11601</v>
      </c>
      <c r="D227" s="9">
        <v>11784</v>
      </c>
      <c r="E227" s="9">
        <v>1645.01</v>
      </c>
      <c r="F227" s="9">
        <v>1854.98</v>
      </c>
      <c r="G227" s="9">
        <v>0</v>
      </c>
      <c r="H227" s="9">
        <f t="shared" si="18"/>
        <v>26884.989999999998</v>
      </c>
      <c r="I227" s="27"/>
      <c r="J227" s="27"/>
      <c r="K227" s="27"/>
      <c r="L227" s="27"/>
    </row>
    <row r="228" spans="2:16" customFormat="1" ht="15" x14ac:dyDescent="0.25">
      <c r="B228" s="677" t="s">
        <v>67</v>
      </c>
      <c r="C228" s="9">
        <v>23400</v>
      </c>
      <c r="D228" s="9">
        <v>37308.160000000003</v>
      </c>
      <c r="E228" s="9">
        <v>5650.99</v>
      </c>
      <c r="F228" s="9">
        <v>4499.87</v>
      </c>
      <c r="G228" s="9">
        <v>2500</v>
      </c>
      <c r="H228" s="9">
        <f t="shared" si="18"/>
        <v>73359.02</v>
      </c>
      <c r="I228" s="27"/>
      <c r="J228" s="27"/>
      <c r="K228" s="27"/>
      <c r="L228" s="27"/>
    </row>
    <row r="229" spans="2:16" customFormat="1" ht="15.75" thickBot="1" x14ac:dyDescent="0.3">
      <c r="B229" s="679" t="s">
        <v>68</v>
      </c>
      <c r="C229" s="149">
        <v>3822</v>
      </c>
      <c r="D229" s="149">
        <v>1431.78</v>
      </c>
      <c r="E229" s="149">
        <v>3095</v>
      </c>
      <c r="F229" s="149">
        <v>0</v>
      </c>
      <c r="G229" s="149">
        <v>270</v>
      </c>
      <c r="H229" s="149">
        <f t="shared" si="18"/>
        <v>8618.7799999999988</v>
      </c>
      <c r="I229" s="27"/>
      <c r="J229" s="27"/>
      <c r="K229" s="27"/>
      <c r="L229" s="27"/>
    </row>
    <row r="230" spans="2:16" customFormat="1" ht="24" customHeight="1" thickTop="1" x14ac:dyDescent="0.25">
      <c r="B230" s="150" t="s">
        <v>120</v>
      </c>
      <c r="C230" s="140">
        <f>C220+C221+C222+C229</f>
        <v>502209.87</v>
      </c>
      <c r="D230" s="140">
        <f t="shared" ref="D230:F230" si="20">D220+D221+D222+D229</f>
        <v>965516.31</v>
      </c>
      <c r="E230" s="140">
        <f t="shared" si="20"/>
        <v>145325.92000000001</v>
      </c>
      <c r="F230" s="140">
        <f t="shared" si="20"/>
        <v>101159.45</v>
      </c>
      <c r="G230" s="140">
        <f>G220+G221+G222+G229</f>
        <v>147129.04</v>
      </c>
      <c r="H230" s="140">
        <f t="shared" si="18"/>
        <v>1861340.59</v>
      </c>
      <c r="I230" s="27"/>
      <c r="J230" s="27"/>
      <c r="K230" s="27"/>
      <c r="L230" s="27"/>
    </row>
    <row r="231" spans="2:16" customFormat="1" ht="15" x14ac:dyDescent="0.25">
      <c r="B231" s="27"/>
      <c r="C231" s="27"/>
      <c r="D231" s="27"/>
      <c r="E231" s="27"/>
      <c r="F231" s="385"/>
      <c r="G231" s="27"/>
      <c r="H231" s="27"/>
      <c r="I231" s="163"/>
      <c r="J231" s="163"/>
      <c r="K231" s="163"/>
      <c r="L231" s="27"/>
      <c r="M231" s="27"/>
      <c r="N231" s="27"/>
      <c r="O231" s="27"/>
      <c r="P231" s="27"/>
    </row>
    <row r="232" spans="2:16" s="640" customFormat="1" ht="15" x14ac:dyDescent="0.25">
      <c r="B232" s="385"/>
      <c r="C232" s="385"/>
      <c r="D232" s="385"/>
      <c r="E232" s="385"/>
      <c r="F232" s="385"/>
      <c r="G232" s="385"/>
      <c r="H232" s="385"/>
      <c r="I232" s="163"/>
      <c r="J232" s="163"/>
      <c r="K232" s="163"/>
      <c r="L232" s="385"/>
      <c r="M232" s="385"/>
      <c r="N232" s="385"/>
      <c r="O232" s="385"/>
      <c r="P232" s="385"/>
    </row>
    <row r="233" spans="2:16" s="640" customFormat="1" ht="15" x14ac:dyDescent="0.25">
      <c r="B233" s="385"/>
      <c r="C233" s="385"/>
      <c r="D233" s="385"/>
      <c r="E233" s="385"/>
      <c r="F233" s="385"/>
      <c r="G233" s="385"/>
      <c r="H233" s="385"/>
      <c r="I233" s="163"/>
      <c r="J233" s="163"/>
      <c r="K233" s="163"/>
      <c r="L233" s="385"/>
      <c r="M233" s="385"/>
      <c r="N233" s="385"/>
      <c r="O233" s="385"/>
      <c r="P233" s="385"/>
    </row>
    <row r="234" spans="2:16" s="640" customFormat="1" ht="15" x14ac:dyDescent="0.25">
      <c r="B234" s="385"/>
      <c r="C234" s="385"/>
      <c r="D234" s="385"/>
      <c r="E234" s="385"/>
      <c r="F234" s="385"/>
      <c r="G234" s="385"/>
      <c r="H234" s="385"/>
      <c r="I234" s="163"/>
      <c r="J234" s="163"/>
      <c r="K234" s="163"/>
      <c r="L234" s="385"/>
      <c r="M234" s="385"/>
      <c r="N234" s="385"/>
      <c r="O234" s="385"/>
      <c r="P234" s="385"/>
    </row>
    <row r="235" spans="2:16" customFormat="1" ht="18" x14ac:dyDescent="0.25">
      <c r="B235" s="128" t="s">
        <v>180</v>
      </c>
      <c r="C235" s="27"/>
      <c r="D235" s="27"/>
      <c r="E235" s="27"/>
      <c r="F235" s="385"/>
      <c r="G235" s="27"/>
      <c r="H235" s="27"/>
      <c r="I235" s="27"/>
      <c r="J235" s="379"/>
      <c r="K235" s="385"/>
      <c r="L235" s="27"/>
      <c r="M235" s="27"/>
      <c r="N235" s="27"/>
      <c r="O235" s="27"/>
      <c r="P235" s="27"/>
    </row>
    <row r="236" spans="2:16" customFormat="1" ht="7.5" customHeight="1" x14ac:dyDescent="0.25">
      <c r="B236" s="27"/>
      <c r="C236" s="27"/>
      <c r="D236" s="27"/>
      <c r="E236" s="27"/>
      <c r="F236" s="385"/>
      <c r="G236" s="27"/>
      <c r="H236" s="27"/>
      <c r="I236" s="27"/>
      <c r="J236" s="379"/>
      <c r="K236" s="385"/>
      <c r="L236" s="27"/>
      <c r="M236" s="27"/>
      <c r="N236" s="27"/>
      <c r="O236" s="27"/>
      <c r="P236" s="27"/>
    </row>
    <row r="237" spans="2:16" s="118" customFormat="1" ht="19.5" customHeight="1" thickBot="1" x14ac:dyDescent="0.3">
      <c r="B237" s="862" t="s">
        <v>124</v>
      </c>
      <c r="C237" s="862"/>
      <c r="D237" s="862"/>
      <c r="E237" s="862"/>
      <c r="F237" s="610"/>
    </row>
    <row r="238" spans="2:16" customFormat="1" ht="15.75" thickTop="1" x14ac:dyDescent="0.25">
      <c r="B238" s="857" t="s">
        <v>162</v>
      </c>
      <c r="C238" s="857"/>
      <c r="D238" s="857"/>
      <c r="E238" s="157">
        <v>4283.4799999999996</v>
      </c>
      <c r="F238" s="613"/>
      <c r="G238" s="27"/>
      <c r="H238" s="27"/>
      <c r="I238" s="27"/>
      <c r="J238" s="379"/>
      <c r="K238" s="385"/>
      <c r="L238" s="27"/>
      <c r="M238" s="27"/>
      <c r="N238" s="27"/>
      <c r="O238" s="27"/>
      <c r="P238" s="27"/>
    </row>
    <row r="239" spans="2:16" customFormat="1" ht="15" x14ac:dyDescent="0.25">
      <c r="B239" s="866" t="s">
        <v>163</v>
      </c>
      <c r="C239" s="866"/>
      <c r="D239" s="866"/>
      <c r="E239" s="153">
        <v>31164.03</v>
      </c>
      <c r="F239" s="613"/>
      <c r="G239" s="27"/>
      <c r="H239" s="27"/>
      <c r="I239" s="27"/>
      <c r="J239" s="379"/>
      <c r="K239" s="385"/>
      <c r="L239" s="27"/>
      <c r="M239" s="27"/>
      <c r="N239" s="27"/>
      <c r="O239" s="27"/>
      <c r="P239" s="27"/>
    </row>
    <row r="240" spans="2:16" customFormat="1" ht="15" x14ac:dyDescent="0.25">
      <c r="B240" s="866" t="s">
        <v>164</v>
      </c>
      <c r="C240" s="866"/>
      <c r="D240" s="866"/>
      <c r="E240" s="153">
        <v>21420.02</v>
      </c>
      <c r="F240" s="613"/>
      <c r="G240" s="27"/>
      <c r="H240" s="27"/>
      <c r="I240" s="27"/>
      <c r="J240" s="379"/>
      <c r="K240" s="385"/>
      <c r="L240" s="27"/>
      <c r="M240" s="27"/>
      <c r="N240" s="27"/>
      <c r="O240" s="27"/>
      <c r="P240" s="27"/>
    </row>
    <row r="241" spans="2:16" s="114" customFormat="1" x14ac:dyDescent="0.25">
      <c r="B241" s="860" t="s">
        <v>128</v>
      </c>
      <c r="C241" s="860"/>
      <c r="D241" s="860"/>
      <c r="E241" s="131">
        <v>44157.71</v>
      </c>
      <c r="F241" s="612"/>
    </row>
    <row r="242" spans="2:16" s="114" customFormat="1" ht="14.25" customHeight="1" thickBot="1" x14ac:dyDescent="0.3">
      <c r="B242" s="136" t="s">
        <v>165</v>
      </c>
      <c r="C242" s="137"/>
      <c r="D242" s="138"/>
      <c r="E242" s="135">
        <v>164.76</v>
      </c>
      <c r="F242" s="612"/>
    </row>
    <row r="243" spans="2:16" customFormat="1" ht="20.25" customHeight="1" thickTop="1" x14ac:dyDescent="0.25">
      <c r="B243" s="868" t="s">
        <v>120</v>
      </c>
      <c r="C243" s="868"/>
      <c r="D243" s="868"/>
      <c r="E243" s="672">
        <f>SUM(E238:E242)</f>
        <v>101189.99999999999</v>
      </c>
      <c r="F243" s="614"/>
      <c r="G243" s="27"/>
      <c r="H243" s="27"/>
      <c r="I243" s="27"/>
      <c r="J243" s="379"/>
      <c r="K243" s="385"/>
      <c r="L243" s="27"/>
      <c r="M243" s="27"/>
      <c r="N243" s="27"/>
      <c r="O243" s="27"/>
      <c r="P243" s="27"/>
    </row>
    <row r="244" spans="2:16" customFormat="1" ht="10.5" customHeight="1" x14ac:dyDescent="0.25">
      <c r="B244" s="27"/>
      <c r="C244" s="27"/>
      <c r="D244" s="27"/>
      <c r="E244" s="27"/>
      <c r="F244" s="385"/>
      <c r="G244" s="27"/>
      <c r="H244" s="27"/>
      <c r="I244" s="27"/>
      <c r="J244" s="379"/>
      <c r="K244" s="385"/>
      <c r="L244" s="27"/>
      <c r="M244" s="27"/>
      <c r="N244" s="27"/>
      <c r="O244" s="27"/>
      <c r="P244" s="27"/>
    </row>
    <row r="245" spans="2:16" s="119" customFormat="1" ht="57" thickBot="1" x14ac:dyDescent="0.3">
      <c r="B245" s="403" t="s">
        <v>53</v>
      </c>
      <c r="C245" s="405" t="s">
        <v>595</v>
      </c>
      <c r="D245" s="405" t="s">
        <v>596</v>
      </c>
      <c r="E245" s="405" t="s">
        <v>167</v>
      </c>
      <c r="F245" s="405" t="s">
        <v>168</v>
      </c>
      <c r="G245" s="405" t="s">
        <v>169</v>
      </c>
      <c r="H245" s="405" t="s">
        <v>877</v>
      </c>
      <c r="I245" s="142" t="s">
        <v>120</v>
      </c>
    </row>
    <row r="246" spans="2:16" customFormat="1" ht="15.75" thickTop="1" x14ac:dyDescent="0.25">
      <c r="B246" s="675" t="s">
        <v>59</v>
      </c>
      <c r="C246" s="144">
        <v>491930</v>
      </c>
      <c r="D246" s="144">
        <v>588744.98</v>
      </c>
      <c r="E246" s="144">
        <v>56550</v>
      </c>
      <c r="F246" s="144">
        <v>45410.02</v>
      </c>
      <c r="G246" s="144">
        <v>126181.14</v>
      </c>
      <c r="H246" s="144"/>
      <c r="I246" s="144">
        <f>C246+D246+E246+F246+G246+H246</f>
        <v>1308816.1399999999</v>
      </c>
      <c r="J246" s="27"/>
      <c r="K246" s="27"/>
      <c r="L246" s="27"/>
      <c r="M246" s="27"/>
    </row>
    <row r="247" spans="2:16" customFormat="1" ht="15" x14ac:dyDescent="0.25">
      <c r="B247" s="676" t="s">
        <v>60</v>
      </c>
      <c r="C247" s="146">
        <v>209337</v>
      </c>
      <c r="D247" s="146">
        <v>170030.11</v>
      </c>
      <c r="E247" s="146">
        <v>19218</v>
      </c>
      <c r="F247" s="146">
        <v>16694.82</v>
      </c>
      <c r="G247" s="146">
        <v>42409.32</v>
      </c>
      <c r="H247" s="146"/>
      <c r="I247" s="146">
        <f t="shared" ref="I247:I257" si="21">C247+D247+E247+F247+G247+H247</f>
        <v>457689.25</v>
      </c>
      <c r="J247" s="27"/>
      <c r="K247" s="27"/>
      <c r="L247" s="27"/>
      <c r="M247" s="27"/>
    </row>
    <row r="248" spans="2:16" customFormat="1" ht="15" x14ac:dyDescent="0.25">
      <c r="B248" s="676" t="s">
        <v>61</v>
      </c>
      <c r="C248" s="146">
        <f t="shared" ref="C248:H248" si="22">SUM(C249:C255)</f>
        <v>79043.839999999997</v>
      </c>
      <c r="D248" s="146">
        <f t="shared" si="22"/>
        <v>150223.14000000001</v>
      </c>
      <c r="E248" s="146">
        <f t="shared" si="22"/>
        <v>41599.18</v>
      </c>
      <c r="F248" s="146">
        <f t="shared" si="22"/>
        <v>108236.97</v>
      </c>
      <c r="G248" s="146">
        <f t="shared" si="22"/>
        <v>18931.310000000001</v>
      </c>
      <c r="H248" s="146">
        <f t="shared" si="22"/>
        <v>2082</v>
      </c>
      <c r="I248" s="146">
        <f t="shared" si="21"/>
        <v>400116.44</v>
      </c>
      <c r="J248" s="27"/>
      <c r="K248" s="27"/>
      <c r="L248" s="27"/>
      <c r="M248" s="27"/>
    </row>
    <row r="249" spans="2:16" customFormat="1" ht="15" x14ac:dyDescent="0.25">
      <c r="B249" s="677" t="s">
        <v>78</v>
      </c>
      <c r="C249" s="9">
        <v>42.68</v>
      </c>
      <c r="D249" s="9">
        <v>68.55</v>
      </c>
      <c r="E249" s="9">
        <v>0</v>
      </c>
      <c r="F249" s="9">
        <v>0</v>
      </c>
      <c r="G249" s="9">
        <v>0</v>
      </c>
      <c r="H249" s="9"/>
      <c r="I249" s="9">
        <f t="shared" si="21"/>
        <v>111.22999999999999</v>
      </c>
      <c r="J249" s="27"/>
      <c r="K249" s="27"/>
      <c r="L249" s="27"/>
      <c r="M249" s="27"/>
    </row>
    <row r="250" spans="2:16" customFormat="1" ht="15" x14ac:dyDescent="0.25">
      <c r="B250" s="677" t="s">
        <v>62</v>
      </c>
      <c r="C250" s="9">
        <v>28000</v>
      </c>
      <c r="D250" s="9">
        <v>33012.9</v>
      </c>
      <c r="E250" s="9">
        <v>8500</v>
      </c>
      <c r="F250" s="9">
        <v>9700</v>
      </c>
      <c r="G250" s="9">
        <v>7383.6</v>
      </c>
      <c r="H250" s="9"/>
      <c r="I250" s="9">
        <f t="shared" si="21"/>
        <v>86596.5</v>
      </c>
      <c r="J250" s="27"/>
      <c r="K250" s="27"/>
      <c r="L250" s="27"/>
      <c r="M250" s="27"/>
    </row>
    <row r="251" spans="2:16" customFormat="1" ht="15" x14ac:dyDescent="0.25">
      <c r="B251" s="677" t="s">
        <v>63</v>
      </c>
      <c r="C251" s="9">
        <v>30123.5</v>
      </c>
      <c r="D251" s="9">
        <v>29945.599999999999</v>
      </c>
      <c r="E251" s="9">
        <v>10888.27</v>
      </c>
      <c r="F251" s="9">
        <v>91210.58</v>
      </c>
      <c r="G251" s="9">
        <v>9697.7199999999993</v>
      </c>
      <c r="H251" s="9">
        <v>2082</v>
      </c>
      <c r="I251" s="9">
        <f t="shared" si="21"/>
        <v>173947.67</v>
      </c>
      <c r="J251" s="27"/>
      <c r="K251" s="27"/>
      <c r="L251" s="27"/>
      <c r="M251" s="27"/>
    </row>
    <row r="252" spans="2:16" s="380" customFormat="1" ht="15" x14ac:dyDescent="0.25">
      <c r="B252" s="677" t="s">
        <v>64</v>
      </c>
      <c r="C252" s="9">
        <v>0</v>
      </c>
      <c r="D252" s="9">
        <v>734.4</v>
      </c>
      <c r="E252" s="9">
        <v>0</v>
      </c>
      <c r="F252" s="9">
        <v>0</v>
      </c>
      <c r="G252" s="9">
        <v>0</v>
      </c>
      <c r="H252" s="9"/>
      <c r="I252" s="9">
        <f t="shared" si="21"/>
        <v>734.4</v>
      </c>
      <c r="J252" s="381"/>
      <c r="K252" s="381"/>
      <c r="L252" s="381"/>
      <c r="M252" s="381"/>
    </row>
    <row r="253" spans="2:16" customFormat="1" ht="15" x14ac:dyDescent="0.25">
      <c r="B253" s="677" t="s">
        <v>65</v>
      </c>
      <c r="C253" s="9">
        <v>5737.66</v>
      </c>
      <c r="D253" s="9">
        <v>30061.5</v>
      </c>
      <c r="E253" s="9">
        <v>2000</v>
      </c>
      <c r="F253" s="9">
        <v>4150</v>
      </c>
      <c r="G253" s="9">
        <v>0</v>
      </c>
      <c r="H253" s="9"/>
      <c r="I253" s="9">
        <f t="shared" si="21"/>
        <v>41949.16</v>
      </c>
      <c r="J253" s="27"/>
      <c r="K253" s="27"/>
      <c r="L253" s="27"/>
      <c r="M253" s="27"/>
    </row>
    <row r="254" spans="2:16" customFormat="1" ht="15" x14ac:dyDescent="0.25">
      <c r="B254" s="677" t="s">
        <v>175</v>
      </c>
      <c r="C254" s="9">
        <v>2600</v>
      </c>
      <c r="D254" s="9">
        <v>3076.42</v>
      </c>
      <c r="E254" s="9">
        <v>0</v>
      </c>
      <c r="F254" s="9">
        <v>0</v>
      </c>
      <c r="G254" s="9">
        <v>0</v>
      </c>
      <c r="H254" s="9"/>
      <c r="I254" s="9">
        <f t="shared" si="21"/>
        <v>5676.42</v>
      </c>
      <c r="J254" s="27"/>
      <c r="K254" s="27"/>
      <c r="L254" s="27"/>
      <c r="M254" s="27"/>
    </row>
    <row r="255" spans="2:16" customFormat="1" ht="15" x14ac:dyDescent="0.25">
      <c r="B255" s="677" t="s">
        <v>67</v>
      </c>
      <c r="C255" s="9">
        <v>12540</v>
      </c>
      <c r="D255" s="9">
        <v>53323.77</v>
      </c>
      <c r="E255" s="9">
        <v>20210.91</v>
      </c>
      <c r="F255" s="9">
        <v>3176.39</v>
      </c>
      <c r="G255" s="9">
        <v>1849.99</v>
      </c>
      <c r="H255" s="9"/>
      <c r="I255" s="9">
        <f t="shared" si="21"/>
        <v>91101.06</v>
      </c>
      <c r="J255" s="27"/>
      <c r="K255" s="27"/>
      <c r="L255" s="27"/>
      <c r="M255" s="27"/>
    </row>
    <row r="256" spans="2:16" customFormat="1" ht="15.75" thickBot="1" x14ac:dyDescent="0.3">
      <c r="B256" s="678" t="s">
        <v>68</v>
      </c>
      <c r="C256" s="152">
        <v>12378.48</v>
      </c>
      <c r="D256" s="152">
        <v>15029.65</v>
      </c>
      <c r="E256" s="152">
        <v>500</v>
      </c>
      <c r="F256" s="152">
        <v>2200</v>
      </c>
      <c r="G256" s="152">
        <v>3609.02</v>
      </c>
      <c r="H256" s="152"/>
      <c r="I256" s="152">
        <f t="shared" si="21"/>
        <v>33717.149999999994</v>
      </c>
      <c r="J256" s="27"/>
      <c r="K256" s="27"/>
      <c r="L256" s="27"/>
      <c r="M256" s="27"/>
    </row>
    <row r="257" spans="2:16" customFormat="1" ht="21.75" customHeight="1" thickTop="1" x14ac:dyDescent="0.25">
      <c r="B257" s="669" t="s">
        <v>120</v>
      </c>
      <c r="C257" s="668">
        <f>C246+C247+C248+C256</f>
        <v>792689.32</v>
      </c>
      <c r="D257" s="668">
        <f t="shared" ref="D257:H257" si="23">D246+D247+D248+D256</f>
        <v>924027.88</v>
      </c>
      <c r="E257" s="668">
        <f t="shared" si="23"/>
        <v>117867.18</v>
      </c>
      <c r="F257" s="668">
        <f t="shared" si="23"/>
        <v>172541.81</v>
      </c>
      <c r="G257" s="668">
        <f t="shared" si="23"/>
        <v>191130.78999999998</v>
      </c>
      <c r="H257" s="668">
        <f t="shared" si="23"/>
        <v>2082</v>
      </c>
      <c r="I257" s="668">
        <f t="shared" si="21"/>
        <v>2200338.98</v>
      </c>
      <c r="J257" s="27"/>
      <c r="K257" s="124"/>
      <c r="L257" s="27"/>
      <c r="M257" s="27"/>
    </row>
    <row r="258" spans="2:16" customFormat="1" ht="15" x14ac:dyDescent="0.25">
      <c r="B258" s="27"/>
      <c r="C258" s="27"/>
      <c r="D258" s="27"/>
      <c r="E258" s="27"/>
      <c r="F258" s="385"/>
      <c r="G258" s="27"/>
      <c r="H258" s="27"/>
      <c r="I258" s="27"/>
      <c r="J258" s="379"/>
      <c r="K258" s="385"/>
      <c r="L258" s="27"/>
      <c r="M258" s="27"/>
      <c r="N258" s="27"/>
      <c r="O258" s="27"/>
      <c r="P258" s="27"/>
    </row>
    <row r="259" spans="2:16" customFormat="1" ht="15" x14ac:dyDescent="0.25">
      <c r="B259" s="27"/>
      <c r="C259" s="27"/>
      <c r="D259" s="27"/>
      <c r="E259" s="27"/>
      <c r="F259" s="385"/>
      <c r="G259" s="27"/>
      <c r="H259" s="27"/>
      <c r="I259" s="27"/>
      <c r="J259" s="379"/>
      <c r="K259" s="385"/>
      <c r="L259" s="27"/>
      <c r="M259" s="27"/>
      <c r="N259" s="27"/>
      <c r="O259" s="27"/>
      <c r="P259" s="27"/>
    </row>
    <row r="260" spans="2:16" customFormat="1" ht="15" x14ac:dyDescent="0.25">
      <c r="B260" s="27"/>
      <c r="C260" s="27"/>
      <c r="D260" s="27"/>
      <c r="E260" s="27"/>
      <c r="F260" s="385"/>
      <c r="G260" s="27"/>
      <c r="H260" s="27"/>
      <c r="I260" s="27"/>
      <c r="J260" s="379"/>
      <c r="K260" s="385"/>
      <c r="L260" s="27"/>
      <c r="M260" s="27"/>
      <c r="N260" s="27"/>
      <c r="O260" s="27"/>
      <c r="P260" s="27"/>
    </row>
    <row r="261" spans="2:16" s="404" customFormat="1" ht="15" x14ac:dyDescent="0.25">
      <c r="B261" s="385"/>
      <c r="C261" s="385"/>
      <c r="D261" s="385"/>
      <c r="E261" s="385"/>
      <c r="F261" s="385"/>
      <c r="G261" s="385"/>
      <c r="H261" s="385"/>
      <c r="I261" s="385"/>
      <c r="J261" s="385"/>
      <c r="K261" s="385"/>
      <c r="L261" s="385"/>
      <c r="M261" s="385"/>
      <c r="N261" s="385"/>
      <c r="O261" s="385"/>
      <c r="P261" s="385"/>
    </row>
    <row r="262" spans="2:16" s="404" customFormat="1" ht="15" x14ac:dyDescent="0.25">
      <c r="B262" s="385"/>
      <c r="C262" s="385"/>
      <c r="D262" s="385"/>
      <c r="E262" s="385"/>
      <c r="F262" s="385"/>
      <c r="G262" s="385"/>
      <c r="H262" s="385"/>
      <c r="I262" s="385"/>
      <c r="J262" s="385"/>
      <c r="K262" s="385"/>
      <c r="L262" s="385"/>
      <c r="M262" s="385"/>
      <c r="N262" s="385"/>
      <c r="O262" s="385"/>
      <c r="P262" s="385"/>
    </row>
    <row r="263" spans="2:16" customFormat="1" ht="15" x14ac:dyDescent="0.25">
      <c r="B263" s="27"/>
      <c r="C263" s="27"/>
      <c r="D263" s="27"/>
      <c r="E263" s="27"/>
      <c r="F263" s="385"/>
      <c r="G263" s="27"/>
      <c r="H263" s="27"/>
      <c r="I263" s="27"/>
      <c r="J263" s="379"/>
      <c r="K263" s="385"/>
      <c r="L263" s="27"/>
      <c r="M263" s="27"/>
      <c r="N263" s="27"/>
      <c r="O263" s="27"/>
      <c r="P263" s="27"/>
    </row>
    <row r="264" spans="2:16" s="640" customFormat="1" ht="15" x14ac:dyDescent="0.25">
      <c r="B264" s="385"/>
      <c r="C264" s="385"/>
      <c r="D264" s="385"/>
      <c r="E264" s="385"/>
      <c r="F264" s="385"/>
      <c r="G264" s="385"/>
      <c r="H264" s="385"/>
      <c r="I264" s="385"/>
      <c r="J264" s="385"/>
      <c r="K264" s="385"/>
      <c r="L264" s="385"/>
      <c r="M264" s="385"/>
      <c r="N264" s="385"/>
      <c r="O264" s="385"/>
      <c r="P264" s="385"/>
    </row>
    <row r="265" spans="2:16" s="640" customFormat="1" ht="15" x14ac:dyDescent="0.25">
      <c r="B265" s="385"/>
      <c r="C265" s="385"/>
      <c r="D265" s="385"/>
      <c r="E265" s="385"/>
      <c r="F265" s="385"/>
      <c r="G265" s="385"/>
      <c r="H265" s="385"/>
      <c r="I265" s="385"/>
      <c r="J265" s="385"/>
      <c r="K265" s="385"/>
      <c r="L265" s="385"/>
      <c r="M265" s="385"/>
      <c r="N265" s="385"/>
      <c r="O265" s="385"/>
      <c r="P265" s="385"/>
    </row>
    <row r="266" spans="2:16" s="640" customFormat="1" ht="15" x14ac:dyDescent="0.25">
      <c r="B266" s="385"/>
      <c r="C266" s="385"/>
      <c r="D266" s="385"/>
      <c r="E266" s="385"/>
      <c r="F266" s="385"/>
      <c r="G266" s="385"/>
      <c r="H266" s="385"/>
      <c r="I266" s="385"/>
      <c r="J266" s="385"/>
      <c r="K266" s="385"/>
      <c r="L266" s="385"/>
      <c r="M266" s="385"/>
      <c r="N266" s="385"/>
      <c r="O266" s="385"/>
      <c r="P266" s="385"/>
    </row>
    <row r="267" spans="2:16" s="640" customFormat="1" ht="15" x14ac:dyDescent="0.25">
      <c r="B267" s="385"/>
      <c r="C267" s="385"/>
      <c r="D267" s="385"/>
      <c r="E267" s="385"/>
      <c r="F267" s="385"/>
      <c r="G267" s="385"/>
      <c r="H267" s="385"/>
      <c r="I267" s="385"/>
      <c r="J267" s="385"/>
      <c r="K267" s="385"/>
      <c r="L267" s="385"/>
      <c r="M267" s="385"/>
      <c r="N267" s="385"/>
      <c r="O267" s="385"/>
      <c r="P267" s="385"/>
    </row>
    <row r="268" spans="2:16" s="640" customFormat="1" ht="15" x14ac:dyDescent="0.25">
      <c r="B268" s="385"/>
      <c r="C268" s="385"/>
      <c r="D268" s="385"/>
      <c r="E268" s="385"/>
      <c r="F268" s="385"/>
      <c r="G268" s="385"/>
      <c r="H268" s="385"/>
      <c r="I268" s="385"/>
      <c r="J268" s="385"/>
      <c r="K268" s="385"/>
      <c r="L268" s="385"/>
      <c r="M268" s="385"/>
      <c r="N268" s="385"/>
      <c r="O268" s="385"/>
      <c r="P268" s="385"/>
    </row>
    <row r="269" spans="2:16" s="640" customFormat="1" ht="15" x14ac:dyDescent="0.25">
      <c r="B269" s="385"/>
      <c r="C269" s="385"/>
      <c r="D269" s="385"/>
      <c r="E269" s="385"/>
      <c r="F269" s="385"/>
      <c r="G269" s="385"/>
      <c r="H269" s="385"/>
      <c r="I269" s="385"/>
      <c r="J269" s="385"/>
      <c r="K269" s="385"/>
      <c r="L269" s="385"/>
      <c r="M269" s="385"/>
      <c r="N269" s="385"/>
      <c r="O269" s="385"/>
      <c r="P269" s="385"/>
    </row>
    <row r="270" spans="2:16" s="640" customFormat="1" ht="15" x14ac:dyDescent="0.25">
      <c r="B270" s="385"/>
      <c r="C270" s="385"/>
      <c r="D270" s="385"/>
      <c r="E270" s="385"/>
      <c r="F270" s="385"/>
      <c r="G270" s="385"/>
      <c r="H270" s="385"/>
      <c r="I270" s="385"/>
      <c r="J270" s="385"/>
      <c r="K270" s="385"/>
      <c r="L270" s="385"/>
      <c r="M270" s="385"/>
      <c r="N270" s="385"/>
      <c r="O270" s="385"/>
      <c r="P270" s="385"/>
    </row>
    <row r="271" spans="2:16" s="640" customFormat="1" ht="15" x14ac:dyDescent="0.25">
      <c r="B271" s="385"/>
      <c r="C271" s="385"/>
      <c r="D271" s="385"/>
      <c r="E271" s="385"/>
      <c r="F271" s="385"/>
      <c r="G271" s="385"/>
      <c r="H271" s="385"/>
      <c r="I271" s="385"/>
      <c r="J271" s="385"/>
      <c r="K271" s="385"/>
      <c r="L271" s="385"/>
      <c r="M271" s="385"/>
      <c r="N271" s="385"/>
      <c r="O271" s="385"/>
      <c r="P271" s="385"/>
    </row>
    <row r="272" spans="2:16" s="640" customFormat="1" ht="15" x14ac:dyDescent="0.25">
      <c r="B272" s="385"/>
      <c r="C272" s="385"/>
      <c r="D272" s="385"/>
      <c r="E272" s="385"/>
      <c r="F272" s="385"/>
      <c r="G272" s="385"/>
      <c r="H272" s="385"/>
      <c r="I272" s="385"/>
      <c r="J272" s="385"/>
      <c r="K272" s="385"/>
      <c r="L272" s="385"/>
      <c r="M272" s="385"/>
      <c r="N272" s="385"/>
      <c r="O272" s="385"/>
      <c r="P272" s="385"/>
    </row>
    <row r="273" spans="2:16" s="640" customFormat="1" ht="15" x14ac:dyDescent="0.25">
      <c r="B273" s="385"/>
      <c r="C273" s="385"/>
      <c r="D273" s="385"/>
      <c r="E273" s="385"/>
      <c r="F273" s="385"/>
      <c r="G273" s="385"/>
      <c r="H273" s="385"/>
      <c r="I273" s="385"/>
      <c r="J273" s="385"/>
      <c r="K273" s="385"/>
      <c r="L273" s="385"/>
      <c r="M273" s="385"/>
      <c r="N273" s="385"/>
      <c r="O273" s="385"/>
      <c r="P273" s="385"/>
    </row>
    <row r="274" spans="2:16" s="640" customFormat="1" ht="15" x14ac:dyDescent="0.25">
      <c r="B274" s="385"/>
      <c r="C274" s="385"/>
      <c r="D274" s="385"/>
      <c r="E274" s="385"/>
      <c r="F274" s="385"/>
      <c r="G274" s="385"/>
      <c r="H274" s="385"/>
      <c r="I274" s="385"/>
      <c r="J274" s="385"/>
      <c r="K274" s="385"/>
      <c r="L274" s="385"/>
      <c r="M274" s="385"/>
      <c r="N274" s="385"/>
      <c r="O274" s="385"/>
      <c r="P274" s="385"/>
    </row>
    <row r="275" spans="2:16" customFormat="1" ht="18" x14ac:dyDescent="0.25">
      <c r="B275" s="128" t="s">
        <v>181</v>
      </c>
      <c r="C275" s="27"/>
      <c r="D275" s="27"/>
      <c r="E275" s="27"/>
      <c r="F275" s="385"/>
      <c r="G275" s="27"/>
      <c r="H275" s="27"/>
      <c r="I275" s="27"/>
      <c r="J275" s="379"/>
      <c r="K275" s="385"/>
      <c r="L275" s="27"/>
      <c r="M275" s="27"/>
      <c r="N275" s="27"/>
      <c r="O275" s="27"/>
      <c r="P275" s="27"/>
    </row>
    <row r="277" spans="2:16" customFormat="1" ht="20.25" customHeight="1" thickBot="1" x14ac:dyDescent="0.3">
      <c r="B277" s="862" t="s">
        <v>124</v>
      </c>
      <c r="C277" s="862"/>
      <c r="D277" s="862"/>
      <c r="E277" s="862"/>
      <c r="F277" s="610"/>
      <c r="G277" s="27"/>
      <c r="H277" s="124"/>
      <c r="I277" s="124"/>
      <c r="J277" s="124"/>
      <c r="K277" s="124"/>
      <c r="L277" s="27"/>
      <c r="M277" s="151"/>
      <c r="N277" s="151"/>
      <c r="O277" s="151"/>
      <c r="P277" s="27"/>
    </row>
    <row r="278" spans="2:16" customFormat="1" ht="15.75" thickTop="1" x14ac:dyDescent="0.25">
      <c r="B278" s="857" t="s">
        <v>162</v>
      </c>
      <c r="C278" s="857"/>
      <c r="D278" s="857"/>
      <c r="E278" s="157">
        <f>E238+E211+E167+E143+E103+E75+E35+E8</f>
        <v>48945.630000000005</v>
      </c>
      <c r="F278" s="608"/>
      <c r="G278" s="124"/>
      <c r="H278" s="27"/>
      <c r="I278" s="124"/>
      <c r="J278" s="124"/>
      <c r="K278" s="124"/>
      <c r="L278" s="27"/>
      <c r="M278" s="151"/>
      <c r="N278" s="151"/>
      <c r="O278" s="151"/>
      <c r="P278" s="27"/>
    </row>
    <row r="279" spans="2:16" customFormat="1" ht="15" x14ac:dyDescent="0.25">
      <c r="B279" s="866" t="s">
        <v>163</v>
      </c>
      <c r="C279" s="866"/>
      <c r="D279" s="866"/>
      <c r="E279" s="153">
        <f>E239+E212+E168+E104+E76+E36+E9</f>
        <v>179643.28999999998</v>
      </c>
      <c r="F279" s="608"/>
      <c r="G279" s="124"/>
      <c r="H279" s="27"/>
      <c r="I279" s="124"/>
      <c r="J279" s="124"/>
      <c r="K279" s="124"/>
      <c r="L279" s="27"/>
      <c r="M279" s="151"/>
      <c r="N279" s="151"/>
      <c r="O279" s="151"/>
      <c r="P279" s="27"/>
    </row>
    <row r="280" spans="2:16" customFormat="1" ht="12.75" customHeight="1" x14ac:dyDescent="0.25">
      <c r="B280" s="866" t="s">
        <v>164</v>
      </c>
      <c r="C280" s="866"/>
      <c r="D280" s="866"/>
      <c r="E280" s="153">
        <f>E240+E213+E169+E144+E105+E77+E37+E10</f>
        <v>150118.85999999999</v>
      </c>
      <c r="F280" s="608"/>
      <c r="G280" s="124"/>
      <c r="H280" s="124"/>
      <c r="I280" s="124"/>
      <c r="J280" s="124"/>
      <c r="K280" s="124"/>
      <c r="L280" s="27"/>
      <c r="M280" s="151"/>
      <c r="N280" s="151"/>
      <c r="O280" s="151"/>
      <c r="P280" s="27"/>
    </row>
    <row r="281" spans="2:16" customFormat="1" ht="12.75" customHeight="1" x14ac:dyDescent="0.25">
      <c r="B281" s="866" t="s">
        <v>128</v>
      </c>
      <c r="C281" s="866"/>
      <c r="D281" s="866"/>
      <c r="E281" s="153">
        <f>E241+E214+E170+E106+E78+E38+E11</f>
        <v>191381.31</v>
      </c>
      <c r="F281" s="608"/>
      <c r="G281" s="124"/>
      <c r="H281" s="124"/>
      <c r="I281" s="124"/>
      <c r="J281" s="124"/>
      <c r="K281" s="124"/>
      <c r="L281" s="27"/>
      <c r="M281" s="151"/>
      <c r="N281" s="151"/>
      <c r="O281" s="151"/>
      <c r="P281" s="27"/>
    </row>
    <row r="282" spans="2:16" customFormat="1" ht="12.75" customHeight="1" x14ac:dyDescent="0.25">
      <c r="B282" s="860" t="s">
        <v>50</v>
      </c>
      <c r="C282" s="860"/>
      <c r="D282" s="860"/>
      <c r="E282" s="131">
        <f>E215+E171+E145+E107+E12</f>
        <v>7944.27</v>
      </c>
      <c r="F282" s="607"/>
      <c r="G282" s="165"/>
      <c r="H282" s="27"/>
      <c r="I282" s="124"/>
      <c r="J282" s="124"/>
      <c r="K282" s="124"/>
      <c r="L282" s="27"/>
      <c r="M282" s="151"/>
      <c r="N282" s="151"/>
      <c r="O282" s="151"/>
      <c r="P282" s="27"/>
    </row>
    <row r="283" spans="2:16" customFormat="1" ht="15" customHeight="1" x14ac:dyDescent="0.25">
      <c r="B283" s="860" t="s">
        <v>51</v>
      </c>
      <c r="C283" s="860"/>
      <c r="D283" s="860"/>
      <c r="E283" s="131">
        <f>E79</f>
        <v>1181.82</v>
      </c>
      <c r="F283" s="607"/>
      <c r="G283" s="165"/>
      <c r="H283" s="27"/>
      <c r="I283" s="124"/>
      <c r="J283" s="124"/>
      <c r="K283" s="124"/>
      <c r="L283" s="27"/>
      <c r="M283" s="151"/>
      <c r="N283" s="151"/>
      <c r="O283" s="151"/>
      <c r="P283" s="151"/>
    </row>
    <row r="284" spans="2:16" customFormat="1" ht="15" x14ac:dyDescent="0.25">
      <c r="B284" s="863" t="s">
        <v>165</v>
      </c>
      <c r="C284" s="864"/>
      <c r="D284" s="865"/>
      <c r="E284" s="131">
        <f>E242+E172+E108+E39</f>
        <v>1570.8700000000001</v>
      </c>
      <c r="F284" s="607"/>
      <c r="G284" s="165"/>
      <c r="H284" s="27"/>
      <c r="I284" s="124"/>
      <c r="J284" s="124"/>
      <c r="K284" s="124"/>
      <c r="L284" s="27"/>
      <c r="M284" s="151"/>
      <c r="N284" s="151"/>
      <c r="O284" s="151"/>
      <c r="P284" s="151"/>
    </row>
    <row r="285" spans="2:16" customFormat="1" ht="12.75" customHeight="1" x14ac:dyDescent="0.25">
      <c r="B285" s="860" t="s">
        <v>166</v>
      </c>
      <c r="C285" s="860"/>
      <c r="D285" s="860"/>
      <c r="E285" s="131">
        <f>E80+E40+E13</f>
        <v>90142.49</v>
      </c>
      <c r="F285" s="607"/>
      <c r="G285" s="165"/>
      <c r="H285" s="27"/>
      <c r="I285" s="27"/>
      <c r="J285" s="379"/>
      <c r="K285" s="385"/>
      <c r="L285" s="27"/>
      <c r="M285" s="27"/>
      <c r="N285" s="27"/>
      <c r="O285" s="151"/>
      <c r="P285" s="27"/>
    </row>
    <row r="286" spans="2:16" customFormat="1" ht="15.75" thickBot="1" x14ac:dyDescent="0.3">
      <c r="B286" s="869" t="s">
        <v>182</v>
      </c>
      <c r="C286" s="869"/>
      <c r="D286" s="869"/>
      <c r="E286" s="139">
        <f>E216+E41</f>
        <v>9122.5</v>
      </c>
      <c r="F286" s="607"/>
      <c r="G286" s="165"/>
      <c r="H286" s="27"/>
      <c r="I286" s="27"/>
      <c r="J286" s="379"/>
      <c r="K286" s="385"/>
      <c r="L286" s="27"/>
      <c r="M286" s="27"/>
      <c r="N286" s="27"/>
      <c r="O286" s="151"/>
      <c r="P286" s="27"/>
    </row>
    <row r="287" spans="2:16" customFormat="1" ht="21.75" customHeight="1" thickTop="1" x14ac:dyDescent="0.25">
      <c r="B287" s="861" t="s">
        <v>120</v>
      </c>
      <c r="C287" s="861"/>
      <c r="D287" s="861"/>
      <c r="E287" s="166">
        <f>SUM(E278:E286)</f>
        <v>680051.03999999992</v>
      </c>
      <c r="F287" s="617"/>
      <c r="G287" s="165"/>
      <c r="H287" s="124"/>
      <c r="I287" s="124"/>
      <c r="J287" s="124"/>
      <c r="K287" s="124"/>
      <c r="L287" s="124"/>
      <c r="M287" s="124"/>
      <c r="N287" s="124"/>
      <c r="O287" s="124"/>
      <c r="P287" s="27"/>
    </row>
    <row r="288" spans="2:16" customFormat="1" ht="15" x14ac:dyDescent="0.25">
      <c r="B288" s="27"/>
      <c r="C288" s="27"/>
      <c r="D288" s="27"/>
      <c r="E288" s="27"/>
      <c r="F288" s="385"/>
      <c r="G288" s="165"/>
      <c r="H288" s="27"/>
      <c r="I288" s="27"/>
      <c r="J288" s="379"/>
      <c r="K288" s="385"/>
      <c r="L288" s="27"/>
      <c r="M288" s="27"/>
      <c r="N288" s="27"/>
      <c r="O288" s="27"/>
      <c r="P288" s="27"/>
    </row>
    <row r="289" spans="2:16" customFormat="1" ht="68.25" thickBot="1" x14ac:dyDescent="0.3">
      <c r="B289" s="403" t="s">
        <v>53</v>
      </c>
      <c r="C289" s="405" t="s">
        <v>523</v>
      </c>
      <c r="D289" s="405" t="s">
        <v>595</v>
      </c>
      <c r="E289" s="405" t="s">
        <v>596</v>
      </c>
      <c r="F289" s="405" t="s">
        <v>879</v>
      </c>
      <c r="G289" s="405" t="s">
        <v>167</v>
      </c>
      <c r="H289" s="405" t="s">
        <v>168</v>
      </c>
      <c r="I289" s="405" t="s">
        <v>169</v>
      </c>
      <c r="J289" s="405" t="s">
        <v>522</v>
      </c>
      <c r="K289" s="405" t="s">
        <v>877</v>
      </c>
      <c r="L289" s="142" t="s">
        <v>120</v>
      </c>
      <c r="M289" s="27"/>
      <c r="N289" s="27"/>
      <c r="O289" s="27"/>
      <c r="P289" s="27"/>
    </row>
    <row r="290" spans="2:16" customFormat="1" ht="15.75" thickTop="1" x14ac:dyDescent="0.25">
      <c r="B290" s="675" t="s">
        <v>59</v>
      </c>
      <c r="C290" s="144">
        <f>C149</f>
        <v>0</v>
      </c>
      <c r="D290" s="144">
        <f>C246+C220+C176+D149+C112+C84+C45+C17</f>
        <v>2696513.7600000002</v>
      </c>
      <c r="E290" s="144">
        <f>D246+D220+D176+E149+D112+D84+D45+D17</f>
        <v>3835000.99</v>
      </c>
      <c r="F290" s="144">
        <v>0</v>
      </c>
      <c r="G290" s="144">
        <f t="shared" ref="G290:I291" si="24">E246+E220+F176+F149+E112+F84+E45+E17</f>
        <v>269469.12</v>
      </c>
      <c r="H290" s="144">
        <f t="shared" si="24"/>
        <v>308523.03999999998</v>
      </c>
      <c r="I290" s="144">
        <f t="shared" si="24"/>
        <v>833542.12</v>
      </c>
      <c r="J290" s="144">
        <f>I149+H45+H17</f>
        <v>0</v>
      </c>
      <c r="K290" s="144">
        <f>H246+I176+J149+H112+I84+I45+I17</f>
        <v>0</v>
      </c>
      <c r="L290" s="144">
        <f>C290+D290+E290+G290+H290+I290+J290+K290+F290</f>
        <v>7943049.0300000003</v>
      </c>
      <c r="M290" s="27"/>
      <c r="N290" s="27"/>
      <c r="O290" s="27"/>
      <c r="P290" s="27"/>
    </row>
    <row r="291" spans="2:16" customFormat="1" ht="15" x14ac:dyDescent="0.25">
      <c r="B291" s="676" t="s">
        <v>60</v>
      </c>
      <c r="C291" s="146">
        <f>C150</f>
        <v>0</v>
      </c>
      <c r="D291" s="146">
        <f>C247+C221+C177+D150+C113+C85+C46+C18</f>
        <v>972844.14</v>
      </c>
      <c r="E291" s="146">
        <f>D247+D221+D177+E150+D113+D85+D46+D18</f>
        <v>1280547.9200000002</v>
      </c>
      <c r="F291" s="146">
        <v>0</v>
      </c>
      <c r="G291" s="146">
        <f t="shared" si="24"/>
        <v>91368.939999999988</v>
      </c>
      <c r="H291" s="146">
        <f t="shared" si="24"/>
        <v>105466.3</v>
      </c>
      <c r="I291" s="146">
        <f t="shared" si="24"/>
        <v>283749.99</v>
      </c>
      <c r="J291" s="146">
        <f>I150+H46+H18</f>
        <v>0</v>
      </c>
      <c r="K291" s="146">
        <f>H247+I177+J150+H113+I85+I46+I18</f>
        <v>0</v>
      </c>
      <c r="L291" s="146">
        <f>C291+D291+E291+G291+H291+I291+J291+K291+F291</f>
        <v>2733977.29</v>
      </c>
      <c r="M291" s="27"/>
      <c r="N291" s="27"/>
      <c r="O291" s="27"/>
      <c r="P291" s="27"/>
    </row>
    <row r="292" spans="2:16" customFormat="1" ht="15" x14ac:dyDescent="0.25">
      <c r="B292" s="676" t="s">
        <v>61</v>
      </c>
      <c r="C292" s="146">
        <f t="shared" ref="C292:K292" si="25">SUM(C293:C299)</f>
        <v>40000</v>
      </c>
      <c r="D292" s="146">
        <f t="shared" si="25"/>
        <v>633284.42000000004</v>
      </c>
      <c r="E292" s="146">
        <f t="shared" si="25"/>
        <v>990074.28999999992</v>
      </c>
      <c r="F292" s="146">
        <f t="shared" si="25"/>
        <v>31311.61</v>
      </c>
      <c r="G292" s="146">
        <f t="shared" si="25"/>
        <v>392819.96</v>
      </c>
      <c r="H292" s="146">
        <f t="shared" si="25"/>
        <v>626989.05000000005</v>
      </c>
      <c r="I292" s="146">
        <f t="shared" si="25"/>
        <v>144566.95000000001</v>
      </c>
      <c r="J292" s="146">
        <f t="shared" si="25"/>
        <v>16.600000000000001</v>
      </c>
      <c r="K292" s="146">
        <f t="shared" si="25"/>
        <v>10149.68</v>
      </c>
      <c r="L292" s="146">
        <f>C292+D292+E292+G292+H292+I292+J292+K292+F292</f>
        <v>2869212.56</v>
      </c>
      <c r="M292" s="27"/>
      <c r="N292" s="27"/>
      <c r="O292" s="27"/>
      <c r="P292" s="27"/>
    </row>
    <row r="293" spans="2:16" customFormat="1" ht="15" x14ac:dyDescent="0.25">
      <c r="B293" s="677" t="s">
        <v>78</v>
      </c>
      <c r="C293" s="9">
        <v>0</v>
      </c>
      <c r="D293" s="9">
        <f>C249+C223+C115+C87+C48+C20</f>
        <v>109.34</v>
      </c>
      <c r="E293" s="9">
        <f>D249+D223+D115+D87+D48+D20</f>
        <v>2682.41</v>
      </c>
      <c r="F293" s="9">
        <v>0</v>
      </c>
      <c r="G293" s="9">
        <f>E249+E223+E115+F87+E48+E20</f>
        <v>0</v>
      </c>
      <c r="H293" s="9">
        <f>F249+F223+F115+G87+F48+F20</f>
        <v>0</v>
      </c>
      <c r="I293" s="9">
        <f>G249+G223+G115+H87+G48+G20</f>
        <v>0</v>
      </c>
      <c r="J293" s="9">
        <f>H48+H20</f>
        <v>0</v>
      </c>
      <c r="K293" s="9">
        <f>H249+H115+I87+I48+I20</f>
        <v>0</v>
      </c>
      <c r="L293" s="9">
        <f t="shared" ref="L293:L303" si="26">C293+D293+E293+G293+H293+I293+J293+K293+F293</f>
        <v>2791.75</v>
      </c>
      <c r="M293" s="27"/>
      <c r="N293" s="27"/>
      <c r="O293" s="27"/>
      <c r="P293" s="27"/>
    </row>
    <row r="294" spans="2:16" customFormat="1" ht="15" x14ac:dyDescent="0.25">
      <c r="B294" s="677" t="s">
        <v>62</v>
      </c>
      <c r="C294" s="9">
        <f>C152</f>
        <v>0</v>
      </c>
      <c r="D294" s="9">
        <f>C250+C224+C179+D152+C116+C88+C49+C21</f>
        <v>192505.67</v>
      </c>
      <c r="E294" s="9">
        <f>D250+D224+D179+E152+D116+D88+D49+D21</f>
        <v>368068.92000000004</v>
      </c>
      <c r="F294" s="9">
        <v>0</v>
      </c>
      <c r="G294" s="9">
        <f t="shared" ref="G294:I295" si="27">E250+E224+F179+F152+E116+F88+E49+E21</f>
        <v>51016</v>
      </c>
      <c r="H294" s="9">
        <f t="shared" si="27"/>
        <v>59144.15</v>
      </c>
      <c r="I294" s="9">
        <f t="shared" si="27"/>
        <v>59343.6</v>
      </c>
      <c r="J294" s="9">
        <f>I152+H49+H21</f>
        <v>0</v>
      </c>
      <c r="K294" s="9">
        <f>H250+I179+J152+H116+I88+I49+I21</f>
        <v>0</v>
      </c>
      <c r="L294" s="9">
        <f t="shared" si="26"/>
        <v>730078.34000000008</v>
      </c>
      <c r="M294" s="27"/>
      <c r="N294" s="27"/>
      <c r="O294" s="27"/>
      <c r="P294" s="27"/>
    </row>
    <row r="295" spans="2:16" customFormat="1" ht="15" x14ac:dyDescent="0.25">
      <c r="B295" s="677" t="s">
        <v>63</v>
      </c>
      <c r="C295" s="9">
        <f>C153</f>
        <v>0</v>
      </c>
      <c r="D295" s="9">
        <f>C251+C225+C180+D153+C117+C89+C50+C22</f>
        <v>215018.57</v>
      </c>
      <c r="E295" s="9">
        <f>D251+D225+D180+E153+D117+D89+D50+D22</f>
        <v>205514.41999999998</v>
      </c>
      <c r="F295" s="9">
        <f>E180+E89</f>
        <v>31311.61</v>
      </c>
      <c r="G295" s="9">
        <f t="shared" si="27"/>
        <v>206418.24</v>
      </c>
      <c r="H295" s="9">
        <f t="shared" si="27"/>
        <v>308367.77999999997</v>
      </c>
      <c r="I295" s="9">
        <f t="shared" si="27"/>
        <v>30347.72</v>
      </c>
      <c r="J295" s="9">
        <f>I153+H50+H22</f>
        <v>16.600000000000001</v>
      </c>
      <c r="K295" s="9">
        <f>H251+I180+J153+H117+I89+I50+I22</f>
        <v>10149.68</v>
      </c>
      <c r="L295" s="9">
        <f>C295+D295+E295+G295+H295+I295+J295+K295+F295</f>
        <v>1007144.62</v>
      </c>
      <c r="M295" s="27"/>
      <c r="N295" s="27"/>
      <c r="O295" s="27"/>
      <c r="P295" s="27"/>
    </row>
    <row r="296" spans="2:16" customFormat="1" ht="15" x14ac:dyDescent="0.25">
      <c r="B296" s="677" t="s">
        <v>64</v>
      </c>
      <c r="C296" s="9">
        <v>0</v>
      </c>
      <c r="D296" s="9">
        <f>C252+C226+C118+C51+C23+C90</f>
        <v>1760.81</v>
      </c>
      <c r="E296" s="9">
        <f>D252+D226+D118+D51+D23+D90</f>
        <v>4373.2</v>
      </c>
      <c r="F296" s="9">
        <v>0</v>
      </c>
      <c r="G296" s="9">
        <f>E252+E226+E118+E51+E23+F90</f>
        <v>0</v>
      </c>
      <c r="H296" s="9">
        <f>F252+F226+F118+F51+F23+G90</f>
        <v>0</v>
      </c>
      <c r="I296" s="9">
        <f>G252+G226+G118+G51+G23+H90</f>
        <v>0</v>
      </c>
      <c r="J296" s="9">
        <f>H51+H23</f>
        <v>0</v>
      </c>
      <c r="K296" s="9">
        <f>H252+H118+I51+I23+I90</f>
        <v>0</v>
      </c>
      <c r="L296" s="9">
        <f t="shared" si="26"/>
        <v>6134.01</v>
      </c>
      <c r="M296" s="27"/>
      <c r="N296" s="27"/>
      <c r="O296" s="27"/>
      <c r="P296" s="27"/>
    </row>
    <row r="297" spans="2:16" customFormat="1" ht="15" x14ac:dyDescent="0.25">
      <c r="B297" s="677" t="s">
        <v>65</v>
      </c>
      <c r="C297" s="9">
        <f>C154</f>
        <v>0</v>
      </c>
      <c r="D297" s="9">
        <f>C253+C227+C181+D154+C119+C91+C52+C24</f>
        <v>90271.71</v>
      </c>
      <c r="E297" s="9">
        <f>D253+D227+D181+E154+D119+D91+D52+D24</f>
        <v>113842</v>
      </c>
      <c r="F297" s="9">
        <v>0</v>
      </c>
      <c r="G297" s="9">
        <f>E253+E227+F181+F154+E119+F91+E52+E24</f>
        <v>22611.21</v>
      </c>
      <c r="H297" s="9">
        <f>F253+F227+G181+G154+F119+G91+F52+F24</f>
        <v>27981.18</v>
      </c>
      <c r="I297" s="9">
        <f>G253+G227+H181+H154+G119+H91+G52+G24</f>
        <v>30540.94</v>
      </c>
      <c r="J297" s="9">
        <f>I154+H52+H24</f>
        <v>0</v>
      </c>
      <c r="K297" s="9">
        <f>H253+I181+J154+H119+I91+I52+I24</f>
        <v>0</v>
      </c>
      <c r="L297" s="9">
        <f t="shared" si="26"/>
        <v>285247.03999999998</v>
      </c>
      <c r="M297" s="27"/>
      <c r="N297" s="27"/>
      <c r="O297" s="27"/>
      <c r="P297" s="27"/>
    </row>
    <row r="298" spans="2:16" customFormat="1" ht="15" x14ac:dyDescent="0.25">
      <c r="B298" s="677" t="s">
        <v>175</v>
      </c>
      <c r="C298" s="9">
        <f>C155</f>
        <v>40000</v>
      </c>
      <c r="D298" s="9">
        <f>C254+D155+C92+C53+C25+C120</f>
        <v>6550.2</v>
      </c>
      <c r="E298" s="9">
        <f>D254+E155+D92+D53+D25+D120</f>
        <v>6307.35</v>
      </c>
      <c r="F298" s="9">
        <v>0</v>
      </c>
      <c r="G298" s="9">
        <f>E254+F155+F92+E53+E25+E120</f>
        <v>192</v>
      </c>
      <c r="H298" s="9">
        <f>F254+G155+G92+F53+F25+F120</f>
        <v>192</v>
      </c>
      <c r="I298" s="9">
        <f>G254+H155+H92+G53+G25+G120</f>
        <v>0</v>
      </c>
      <c r="J298" s="9">
        <f>I155+H53+H25</f>
        <v>0</v>
      </c>
      <c r="K298" s="9">
        <f>H254+J155+H120+I92+I53+I25</f>
        <v>0</v>
      </c>
      <c r="L298" s="9">
        <f t="shared" si="26"/>
        <v>53241.549999999996</v>
      </c>
      <c r="M298" s="27"/>
      <c r="N298" s="27"/>
      <c r="O298" s="27"/>
      <c r="P298" s="27"/>
    </row>
    <row r="299" spans="2:16" customFormat="1" ht="15.75" thickBot="1" x14ac:dyDescent="0.3">
      <c r="B299" s="677" t="s">
        <v>67</v>
      </c>
      <c r="C299" s="9">
        <v>0</v>
      </c>
      <c r="D299" s="9">
        <f>C255+C228+C182+D156+C121+C93+C54+C26</f>
        <v>127068.12</v>
      </c>
      <c r="E299" s="9">
        <f>D255+D228+D182+E156+D121+D93+D54+D26</f>
        <v>289285.99</v>
      </c>
      <c r="F299" s="9">
        <v>0</v>
      </c>
      <c r="G299" s="9">
        <f t="shared" ref="G299:I300" si="28">E255+E228+F182+F156+E121+F93+E54+E26</f>
        <v>112582.51</v>
      </c>
      <c r="H299" s="9">
        <f t="shared" si="28"/>
        <v>231303.94</v>
      </c>
      <c r="I299" s="9">
        <f t="shared" si="28"/>
        <v>24334.69</v>
      </c>
      <c r="J299" s="9">
        <f>I156+H54+H26</f>
        <v>0</v>
      </c>
      <c r="K299" s="9">
        <f>H255+I182+J156+H121+I93+I54+I26</f>
        <v>0</v>
      </c>
      <c r="L299" s="9">
        <f t="shared" si="26"/>
        <v>784575.25</v>
      </c>
      <c r="M299" s="27"/>
      <c r="N299" s="27"/>
      <c r="O299" s="27"/>
      <c r="P299" s="27"/>
    </row>
    <row r="300" spans="2:16" customFormat="1" ht="15" x14ac:dyDescent="0.25">
      <c r="B300" s="676" t="s">
        <v>68</v>
      </c>
      <c r="C300" s="146">
        <v>0</v>
      </c>
      <c r="D300" s="146">
        <f>C256+C229+C183+D157+C122+C94+C55+C27</f>
        <v>34458.36</v>
      </c>
      <c r="E300" s="146">
        <f>D256+D229+D183+E157+D122+D94+D55+D27</f>
        <v>34470.03</v>
      </c>
      <c r="F300" s="146">
        <v>0</v>
      </c>
      <c r="G300" s="146">
        <f t="shared" si="28"/>
        <v>5637.8600000000006</v>
      </c>
      <c r="H300" s="146">
        <f t="shared" si="28"/>
        <v>5030.1600000000008</v>
      </c>
      <c r="I300" s="146">
        <f t="shared" si="28"/>
        <v>9140.2200000000012</v>
      </c>
      <c r="J300" s="146">
        <f>I157+H55+H27</f>
        <v>83</v>
      </c>
      <c r="K300" s="146">
        <f>H256+I183+J157+H122+I94+I55+I27</f>
        <v>0</v>
      </c>
      <c r="L300" s="146">
        <f t="shared" si="26"/>
        <v>88819.63</v>
      </c>
      <c r="M300" s="27"/>
      <c r="N300" s="27"/>
      <c r="O300" s="27"/>
      <c r="P300" s="27"/>
    </row>
    <row r="301" spans="2:16" s="118" customFormat="1" ht="19.5" customHeight="1" x14ac:dyDescent="0.25">
      <c r="B301" s="676" t="s">
        <v>183</v>
      </c>
      <c r="C301" s="164">
        <v>0</v>
      </c>
      <c r="D301" s="164">
        <f>C123+C56</f>
        <v>0</v>
      </c>
      <c r="E301" s="164">
        <f>D123+D56</f>
        <v>0</v>
      </c>
      <c r="F301" s="164">
        <v>0</v>
      </c>
      <c r="G301" s="164">
        <f>E123+E56</f>
        <v>0</v>
      </c>
      <c r="H301" s="164">
        <f>F123+F56</f>
        <v>8661.84</v>
      </c>
      <c r="I301" s="164">
        <f>G123+G56</f>
        <v>0</v>
      </c>
      <c r="J301" s="164">
        <f>H56</f>
        <v>0</v>
      </c>
      <c r="K301" s="164">
        <v>0</v>
      </c>
      <c r="L301" s="164">
        <f t="shared" si="26"/>
        <v>8661.84</v>
      </c>
    </row>
    <row r="302" spans="2:16" s="673" customFormat="1" ht="15.75" thickBot="1" x14ac:dyDescent="0.3">
      <c r="B302" s="678" t="s">
        <v>171</v>
      </c>
      <c r="C302" s="674">
        <v>0</v>
      </c>
      <c r="D302" s="674">
        <v>0</v>
      </c>
      <c r="E302" s="674">
        <f>E158</f>
        <v>66526.8</v>
      </c>
      <c r="F302" s="674">
        <v>0</v>
      </c>
      <c r="G302" s="674">
        <v>0</v>
      </c>
      <c r="H302" s="674">
        <v>0</v>
      </c>
      <c r="I302" s="674">
        <v>0</v>
      </c>
      <c r="J302" s="674">
        <v>0</v>
      </c>
      <c r="K302" s="674">
        <v>0</v>
      </c>
      <c r="L302" s="674">
        <f t="shared" si="26"/>
        <v>66526.8</v>
      </c>
      <c r="M302" s="118"/>
      <c r="N302" s="118"/>
      <c r="O302" s="118"/>
      <c r="P302" s="118"/>
    </row>
    <row r="303" spans="2:16" customFormat="1" ht="21" customHeight="1" thickTop="1" x14ac:dyDescent="0.25">
      <c r="B303" s="669" t="s">
        <v>120</v>
      </c>
      <c r="C303" s="668">
        <f>C290+C291+C292+C300+C302+C301</f>
        <v>40000</v>
      </c>
      <c r="D303" s="668">
        <f t="shared" ref="D303:J303" si="29">D290+D291+D292+D300+D302+D301</f>
        <v>4337100.6800000006</v>
      </c>
      <c r="E303" s="668">
        <f>E290+E291+E292+E300+E302+E301</f>
        <v>6206620.0300000003</v>
      </c>
      <c r="F303" s="668">
        <f>F290+F291+F292+F300+F302+F301</f>
        <v>31311.61</v>
      </c>
      <c r="G303" s="668">
        <f t="shared" si="29"/>
        <v>759295.88</v>
      </c>
      <c r="H303" s="668">
        <f t="shared" si="29"/>
        <v>1054670.3900000001</v>
      </c>
      <c r="I303" s="668">
        <f t="shared" si="29"/>
        <v>1270999.2799999998</v>
      </c>
      <c r="J303" s="668">
        <f t="shared" si="29"/>
        <v>99.6</v>
      </c>
      <c r="K303" s="668">
        <f>K290+K291+K292+K300+K302+K301</f>
        <v>10149.68</v>
      </c>
      <c r="L303" s="668">
        <f t="shared" si="26"/>
        <v>13710247.15</v>
      </c>
      <c r="M303" s="124"/>
      <c r="N303" s="124"/>
      <c r="O303" s="124"/>
      <c r="P303" s="27"/>
    </row>
    <row r="304" spans="2:16" customFormat="1" ht="15" x14ac:dyDescent="0.25">
      <c r="B304" s="27"/>
      <c r="C304" s="124"/>
      <c r="D304" s="124"/>
      <c r="E304" s="27"/>
      <c r="F304" s="385"/>
      <c r="G304" s="27"/>
      <c r="H304" s="124"/>
      <c r="I304" s="124"/>
      <c r="J304" s="124"/>
      <c r="K304" s="124"/>
      <c r="L304" s="27"/>
      <c r="M304" s="27"/>
      <c r="N304" s="27"/>
      <c r="O304" s="27"/>
      <c r="P304" s="27"/>
    </row>
    <row r="305" spans="2:16" customFormat="1" ht="15" x14ac:dyDescent="0.25">
      <c r="B305" s="27"/>
      <c r="C305" s="27"/>
      <c r="D305" s="27"/>
      <c r="E305" s="27"/>
      <c r="F305" s="385"/>
      <c r="G305" s="27"/>
      <c r="H305" s="27"/>
      <c r="I305" s="27"/>
      <c r="J305" s="379"/>
      <c r="K305" s="385"/>
      <c r="L305" s="27"/>
      <c r="M305" s="27"/>
      <c r="N305" s="27"/>
      <c r="O305" s="27"/>
      <c r="P305" s="27"/>
    </row>
    <row r="306" spans="2:16" s="404" customFormat="1" ht="15" x14ac:dyDescent="0.25">
      <c r="B306" s="385"/>
      <c r="C306" s="385"/>
      <c r="D306" s="385"/>
      <c r="E306" s="385"/>
      <c r="F306" s="385"/>
      <c r="G306" s="385"/>
      <c r="H306" s="385"/>
      <c r="I306" s="385"/>
      <c r="J306" s="385"/>
      <c r="K306" s="385"/>
      <c r="L306" s="385"/>
      <c r="M306" s="385"/>
      <c r="N306" s="385"/>
      <c r="O306" s="385"/>
      <c r="P306" s="385"/>
    </row>
    <row r="307" spans="2:16" s="404" customFormat="1" ht="15" x14ac:dyDescent="0.25">
      <c r="B307" s="385"/>
      <c r="C307" s="385"/>
      <c r="D307" s="385"/>
      <c r="E307" s="385"/>
      <c r="F307" s="385"/>
      <c r="G307" s="385"/>
      <c r="H307" s="385"/>
      <c r="I307" s="385"/>
      <c r="J307" s="385"/>
      <c r="K307" s="385"/>
      <c r="L307" s="385"/>
      <c r="M307" s="385"/>
      <c r="N307" s="385"/>
      <c r="O307" s="385"/>
      <c r="P307" s="385"/>
    </row>
    <row r="308" spans="2:16" s="404" customFormat="1" ht="15" x14ac:dyDescent="0.25">
      <c r="B308" s="385"/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385"/>
    </row>
    <row r="309" spans="2:16" s="404" customFormat="1" ht="15" x14ac:dyDescent="0.25"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5"/>
      <c r="M309" s="385"/>
      <c r="N309" s="385"/>
      <c r="O309" s="385"/>
      <c r="P309" s="385"/>
    </row>
    <row r="310" spans="2:16" s="404" customFormat="1" ht="15" x14ac:dyDescent="0.25">
      <c r="B310" s="385"/>
      <c r="C310" s="385"/>
      <c r="D310" s="385"/>
      <c r="E310" s="385"/>
      <c r="F310" s="385"/>
      <c r="G310" s="385"/>
      <c r="H310" s="385"/>
      <c r="I310" s="385"/>
      <c r="J310" s="385"/>
      <c r="K310" s="385"/>
      <c r="L310" s="385"/>
      <c r="M310" s="385"/>
      <c r="N310" s="385"/>
      <c r="O310" s="385"/>
      <c r="P310" s="385"/>
    </row>
    <row r="311" spans="2:16" s="404" customFormat="1" ht="15" x14ac:dyDescent="0.25">
      <c r="B311" s="385"/>
      <c r="C311" s="385"/>
      <c r="D311" s="385"/>
      <c r="E311" s="385"/>
      <c r="F311" s="385"/>
      <c r="G311" s="385"/>
      <c r="H311" s="385"/>
      <c r="I311" s="385"/>
      <c r="J311" s="385"/>
      <c r="K311" s="385"/>
      <c r="L311" s="385"/>
      <c r="M311" s="385"/>
      <c r="N311" s="385"/>
      <c r="O311" s="385"/>
      <c r="P311" s="385"/>
    </row>
    <row r="312" spans="2:16" s="404" customFormat="1" ht="15" x14ac:dyDescent="0.25"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5"/>
      <c r="M312" s="385"/>
      <c r="N312" s="385"/>
      <c r="O312" s="385"/>
      <c r="P312" s="385"/>
    </row>
    <row r="313" spans="2:16" s="404" customFormat="1" ht="15" x14ac:dyDescent="0.25"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5"/>
      <c r="M313" s="385"/>
      <c r="N313" s="385"/>
      <c r="O313" s="385"/>
      <c r="P313" s="385"/>
    </row>
    <row r="314" spans="2:16" s="404" customFormat="1" ht="15" x14ac:dyDescent="0.25">
      <c r="B314" s="385"/>
      <c r="C314" s="385"/>
      <c r="D314" s="385"/>
      <c r="E314" s="385"/>
      <c r="F314" s="385"/>
      <c r="G314" s="385"/>
      <c r="H314" s="385"/>
      <c r="I314" s="385"/>
      <c r="J314" s="385"/>
      <c r="K314" s="385"/>
      <c r="L314" s="385"/>
      <c r="M314" s="385"/>
      <c r="N314" s="385"/>
      <c r="O314" s="385"/>
      <c r="P314" s="385"/>
    </row>
    <row r="315" spans="2:16" s="404" customFormat="1" ht="15" x14ac:dyDescent="0.25">
      <c r="B315" s="385"/>
      <c r="C315" s="385"/>
      <c r="D315" s="385"/>
      <c r="E315" s="385"/>
      <c r="F315" s="385"/>
      <c r="G315" s="385"/>
      <c r="H315" s="385"/>
      <c r="I315" s="385"/>
      <c r="J315" s="385"/>
      <c r="K315" s="385"/>
      <c r="L315" s="385"/>
      <c r="M315" s="385"/>
      <c r="N315" s="385"/>
      <c r="O315" s="385"/>
      <c r="P315" s="385"/>
    </row>
    <row r="316" spans="2:16" s="404" customFormat="1" ht="15" x14ac:dyDescent="0.25"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5"/>
      <c r="M316" s="385"/>
      <c r="N316" s="385"/>
      <c r="O316" s="385"/>
      <c r="P316" s="385"/>
    </row>
    <row r="317" spans="2:16" s="404" customFormat="1" ht="15" x14ac:dyDescent="0.25">
      <c r="B317" s="385"/>
      <c r="C317" s="385"/>
      <c r="D317" s="385"/>
      <c r="E317" s="385"/>
      <c r="F317" s="385"/>
      <c r="G317" s="385"/>
      <c r="H317" s="385"/>
      <c r="I317" s="385"/>
      <c r="J317" s="385"/>
      <c r="K317" s="385"/>
      <c r="L317" s="385"/>
      <c r="M317" s="385"/>
      <c r="N317" s="385"/>
      <c r="O317" s="385"/>
      <c r="P317" s="385"/>
    </row>
    <row r="318" spans="2:16" s="404" customFormat="1" ht="15" x14ac:dyDescent="0.25">
      <c r="B318" s="385"/>
      <c r="C318" s="385"/>
      <c r="D318" s="385"/>
      <c r="E318" s="385"/>
      <c r="F318" s="385"/>
      <c r="G318" s="385"/>
      <c r="H318" s="385"/>
      <c r="I318" s="385"/>
      <c r="J318" s="385"/>
      <c r="K318" s="385"/>
      <c r="L318" s="385"/>
      <c r="M318" s="385"/>
      <c r="N318" s="385"/>
      <c r="O318" s="385"/>
      <c r="P318" s="385"/>
    </row>
    <row r="319" spans="2:16" s="404" customFormat="1" ht="15" x14ac:dyDescent="0.25">
      <c r="B319" s="385"/>
      <c r="C319" s="385"/>
      <c r="D319" s="385"/>
      <c r="E319" s="385"/>
      <c r="F319" s="385"/>
      <c r="G319" s="385"/>
      <c r="H319" s="385"/>
      <c r="I319" s="385"/>
      <c r="J319" s="385"/>
      <c r="K319" s="385"/>
      <c r="L319" s="385"/>
      <c r="M319" s="385"/>
      <c r="N319" s="385"/>
      <c r="O319" s="385"/>
      <c r="P319" s="385"/>
    </row>
    <row r="320" spans="2:16" s="404" customFormat="1" ht="15" x14ac:dyDescent="0.25">
      <c r="B320" s="385"/>
      <c r="C320" s="385"/>
      <c r="D320" s="385"/>
      <c r="E320" s="385"/>
      <c r="F320" s="385"/>
      <c r="G320" s="385"/>
      <c r="H320" s="385"/>
      <c r="I320" s="385"/>
      <c r="J320" s="385"/>
      <c r="K320" s="385"/>
      <c r="L320" s="385"/>
      <c r="M320" s="385"/>
      <c r="N320" s="385"/>
      <c r="O320" s="385"/>
      <c r="P320" s="385"/>
    </row>
    <row r="321" spans="2:16" s="404" customFormat="1" ht="15" x14ac:dyDescent="0.25">
      <c r="B321" s="385"/>
      <c r="C321" s="385"/>
      <c r="D321" s="385"/>
      <c r="E321" s="385"/>
      <c r="F321" s="385"/>
      <c r="G321" s="385"/>
      <c r="H321" s="385"/>
      <c r="I321" s="385"/>
      <c r="J321" s="385"/>
      <c r="K321" s="385"/>
      <c r="L321" s="385"/>
      <c r="M321" s="385"/>
      <c r="N321" s="385"/>
      <c r="O321" s="385"/>
      <c r="P321" s="385"/>
    </row>
    <row r="322" spans="2:16" s="404" customFormat="1" ht="15" x14ac:dyDescent="0.25">
      <c r="B322" s="385"/>
      <c r="C322" s="385"/>
      <c r="D322" s="385"/>
      <c r="E322" s="385"/>
      <c r="F322" s="385"/>
      <c r="G322" s="385"/>
      <c r="H322" s="385"/>
      <c r="I322" s="385"/>
      <c r="J322" s="385"/>
      <c r="K322" s="385"/>
      <c r="L322" s="385"/>
      <c r="M322" s="385"/>
      <c r="N322" s="385"/>
      <c r="O322" s="385"/>
      <c r="P322" s="385"/>
    </row>
    <row r="323" spans="2:16" s="404" customFormat="1" ht="15" x14ac:dyDescent="0.25">
      <c r="B323" s="385"/>
      <c r="C323" s="385"/>
      <c r="D323" s="385"/>
      <c r="E323" s="385"/>
      <c r="F323" s="385"/>
      <c r="G323" s="385"/>
      <c r="H323" s="385"/>
      <c r="I323" s="385"/>
      <c r="J323" s="385"/>
      <c r="K323" s="385"/>
      <c r="L323" s="385"/>
      <c r="M323" s="385"/>
      <c r="N323" s="385"/>
      <c r="O323" s="385"/>
      <c r="P323" s="385"/>
    </row>
    <row r="324" spans="2:16" s="404" customFormat="1" ht="15" x14ac:dyDescent="0.25">
      <c r="B324" s="385"/>
      <c r="C324" s="385"/>
      <c r="D324" s="385"/>
      <c r="E324" s="385"/>
      <c r="F324" s="385"/>
      <c r="G324" s="385"/>
      <c r="H324" s="385"/>
      <c r="I324" s="385"/>
      <c r="J324" s="385"/>
      <c r="K324" s="385"/>
      <c r="L324" s="385"/>
      <c r="M324" s="385"/>
      <c r="N324" s="385"/>
      <c r="O324" s="385"/>
      <c r="P324" s="385"/>
    </row>
    <row r="325" spans="2:16" s="404" customFormat="1" ht="15" x14ac:dyDescent="0.25">
      <c r="B325" s="385"/>
      <c r="C325" s="385"/>
      <c r="D325" s="385"/>
      <c r="E325" s="385"/>
      <c r="F325" s="385"/>
      <c r="G325" s="385"/>
      <c r="H325" s="385"/>
      <c r="I325" s="385"/>
      <c r="J325" s="385"/>
      <c r="K325" s="385"/>
      <c r="L325" s="385"/>
      <c r="M325" s="385"/>
      <c r="N325" s="385"/>
      <c r="O325" s="385"/>
      <c r="P325" s="385"/>
    </row>
    <row r="326" spans="2:16" s="404" customFormat="1" ht="15" x14ac:dyDescent="0.25">
      <c r="B326" s="385"/>
      <c r="C326" s="385"/>
      <c r="D326" s="385"/>
      <c r="E326" s="385"/>
      <c r="F326" s="385"/>
      <c r="G326" s="385"/>
      <c r="H326" s="385"/>
      <c r="I326" s="385"/>
      <c r="J326" s="385"/>
      <c r="K326" s="385"/>
      <c r="L326" s="385"/>
      <c r="M326" s="385"/>
      <c r="N326" s="385"/>
      <c r="O326" s="385"/>
      <c r="P326" s="385"/>
    </row>
    <row r="327" spans="2:16" s="404" customFormat="1" ht="15" x14ac:dyDescent="0.25">
      <c r="B327" s="385"/>
      <c r="C327" s="385"/>
      <c r="D327" s="385"/>
      <c r="E327" s="385"/>
      <c r="F327" s="385"/>
      <c r="G327" s="385"/>
      <c r="H327" s="385"/>
      <c r="I327" s="385"/>
      <c r="J327" s="385"/>
      <c r="K327" s="385"/>
      <c r="L327" s="385"/>
      <c r="M327" s="385"/>
      <c r="N327" s="385"/>
      <c r="O327" s="385"/>
      <c r="P327" s="385"/>
    </row>
    <row r="328" spans="2:16" s="404" customFormat="1" ht="15" x14ac:dyDescent="0.25">
      <c r="B328" s="385"/>
      <c r="C328" s="385"/>
      <c r="D328" s="385"/>
      <c r="E328" s="385"/>
      <c r="F328" s="385"/>
      <c r="G328" s="385"/>
      <c r="H328" s="385"/>
      <c r="I328" s="385"/>
      <c r="J328" s="385"/>
      <c r="K328" s="385"/>
      <c r="L328" s="385"/>
      <c r="M328" s="385"/>
      <c r="N328" s="385"/>
      <c r="O328" s="385"/>
      <c r="P328" s="385"/>
    </row>
    <row r="329" spans="2:16" s="404" customFormat="1" ht="15" x14ac:dyDescent="0.25">
      <c r="B329" s="385"/>
      <c r="C329" s="385"/>
      <c r="D329" s="385"/>
      <c r="E329" s="385"/>
      <c r="F329" s="385"/>
      <c r="G329" s="385"/>
      <c r="H329" s="385"/>
      <c r="I329" s="385"/>
      <c r="J329" s="385"/>
      <c r="K329" s="385"/>
      <c r="L329" s="385"/>
      <c r="M329" s="385"/>
      <c r="N329" s="385"/>
      <c r="O329" s="385"/>
      <c r="P329" s="385"/>
    </row>
    <row r="330" spans="2:16" s="404" customFormat="1" ht="15" x14ac:dyDescent="0.25">
      <c r="B330" s="385"/>
      <c r="C330" s="385"/>
      <c r="D330" s="385"/>
      <c r="E330" s="385"/>
      <c r="F330" s="385"/>
      <c r="G330" s="385"/>
      <c r="H330" s="385"/>
      <c r="I330" s="385"/>
      <c r="J330" s="385"/>
      <c r="K330" s="385"/>
      <c r="L330" s="385"/>
      <c r="M330" s="385"/>
      <c r="N330" s="385"/>
      <c r="O330" s="385"/>
      <c r="P330" s="385"/>
    </row>
    <row r="331" spans="2:16" s="404" customFormat="1" ht="15" x14ac:dyDescent="0.25">
      <c r="B331" s="385"/>
      <c r="C331" s="385"/>
      <c r="D331" s="385"/>
      <c r="E331" s="385"/>
      <c r="F331" s="385"/>
      <c r="G331" s="385"/>
      <c r="H331" s="385"/>
      <c r="I331" s="385"/>
      <c r="J331" s="385"/>
      <c r="K331" s="385"/>
      <c r="L331" s="385"/>
      <c r="M331" s="385"/>
      <c r="N331" s="385"/>
      <c r="O331" s="385"/>
      <c r="P331" s="385"/>
    </row>
    <row r="332" spans="2:16" s="404" customFormat="1" ht="15" x14ac:dyDescent="0.25">
      <c r="B332" s="385"/>
      <c r="C332" s="385"/>
      <c r="D332" s="385"/>
      <c r="E332" s="385"/>
      <c r="F332" s="385"/>
      <c r="G332" s="385"/>
      <c r="H332" s="385"/>
      <c r="I332" s="385"/>
      <c r="J332" s="385"/>
      <c r="K332" s="385"/>
      <c r="L332" s="385"/>
      <c r="M332" s="385"/>
      <c r="N332" s="385"/>
      <c r="O332" s="385"/>
      <c r="P332" s="385"/>
    </row>
    <row r="333" spans="2:16" s="404" customFormat="1" ht="15" x14ac:dyDescent="0.25">
      <c r="B333" s="385"/>
      <c r="C333" s="385"/>
      <c r="D333" s="385"/>
      <c r="E333" s="385"/>
      <c r="F333" s="385"/>
      <c r="G333" s="385"/>
      <c r="H333" s="385"/>
      <c r="I333" s="385"/>
      <c r="J333" s="385"/>
      <c r="K333" s="385"/>
      <c r="L333" s="385"/>
      <c r="M333" s="385"/>
      <c r="N333" s="385"/>
      <c r="O333" s="385"/>
      <c r="P333" s="385"/>
    </row>
    <row r="334" spans="2:16" s="404" customFormat="1" ht="15" x14ac:dyDescent="0.25">
      <c r="B334" s="385"/>
      <c r="C334" s="385"/>
      <c r="D334" s="385"/>
      <c r="E334" s="385"/>
      <c r="F334" s="385"/>
      <c r="G334" s="385"/>
      <c r="H334" s="385"/>
      <c r="I334" s="385"/>
      <c r="J334" s="385"/>
      <c r="K334" s="385"/>
      <c r="L334" s="385"/>
      <c r="M334" s="385"/>
      <c r="N334" s="385"/>
      <c r="O334" s="385"/>
      <c r="P334" s="385"/>
    </row>
    <row r="335" spans="2:16" s="404" customFormat="1" ht="15" x14ac:dyDescent="0.25">
      <c r="B335" s="385"/>
      <c r="C335" s="385"/>
      <c r="D335" s="385"/>
      <c r="E335" s="385"/>
      <c r="F335" s="385"/>
      <c r="G335" s="385"/>
      <c r="H335" s="385"/>
      <c r="I335" s="385"/>
      <c r="J335" s="385"/>
      <c r="K335" s="385"/>
      <c r="L335" s="385"/>
      <c r="M335" s="385"/>
      <c r="N335" s="385"/>
      <c r="O335" s="385"/>
      <c r="P335" s="385"/>
    </row>
    <row r="336" spans="2:16" s="404" customFormat="1" ht="15" x14ac:dyDescent="0.25">
      <c r="B336" s="385"/>
      <c r="C336" s="385"/>
      <c r="D336" s="385"/>
      <c r="E336" s="385"/>
      <c r="F336" s="385"/>
      <c r="G336" s="385"/>
      <c r="H336" s="385"/>
      <c r="I336" s="385"/>
      <c r="J336" s="385"/>
      <c r="K336" s="385"/>
      <c r="L336" s="385"/>
      <c r="M336" s="385"/>
      <c r="N336" s="385"/>
      <c r="O336" s="385"/>
      <c r="P336" s="385"/>
    </row>
    <row r="337" spans="2:16" s="404" customFormat="1" ht="15" x14ac:dyDescent="0.25">
      <c r="B337" s="385"/>
      <c r="C337" s="385"/>
      <c r="D337" s="385"/>
      <c r="E337" s="385"/>
      <c r="F337" s="385"/>
      <c r="G337" s="385"/>
      <c r="H337" s="385"/>
      <c r="I337" s="385"/>
      <c r="J337" s="385"/>
      <c r="K337" s="385"/>
      <c r="L337" s="385"/>
      <c r="M337" s="385"/>
      <c r="N337" s="385"/>
      <c r="O337" s="385"/>
      <c r="P337" s="385"/>
    </row>
    <row r="338" spans="2:16" customFormat="1" ht="18" x14ac:dyDescent="0.25">
      <c r="B338" s="128" t="s">
        <v>589</v>
      </c>
      <c r="C338" s="27"/>
      <c r="D338" s="27"/>
      <c r="E338" s="27"/>
      <c r="F338" s="385"/>
      <c r="G338" s="27"/>
      <c r="H338" s="27"/>
      <c r="I338" s="27"/>
      <c r="J338" s="379"/>
      <c r="K338" s="385"/>
      <c r="L338" s="27"/>
      <c r="M338" s="27"/>
      <c r="N338" s="27"/>
      <c r="O338" s="27"/>
      <c r="P338" s="27"/>
    </row>
    <row r="340" spans="2:16" customFormat="1" ht="21.75" customHeight="1" thickBot="1" x14ac:dyDescent="0.3">
      <c r="B340" s="862" t="s">
        <v>124</v>
      </c>
      <c r="C340" s="862"/>
      <c r="D340" s="862"/>
      <c r="E340" s="862"/>
      <c r="F340" s="610"/>
      <c r="G340" s="27"/>
      <c r="H340" s="27"/>
      <c r="I340" s="27"/>
      <c r="J340" s="379"/>
      <c r="K340" s="385"/>
      <c r="L340" s="27"/>
      <c r="M340" s="27"/>
      <c r="N340" s="27"/>
      <c r="O340" s="27"/>
      <c r="P340" s="27"/>
    </row>
    <row r="341" spans="2:16" customFormat="1" ht="15.75" thickTop="1" x14ac:dyDescent="0.25">
      <c r="B341" s="859" t="s">
        <v>185</v>
      </c>
      <c r="C341" s="859"/>
      <c r="D341" s="859"/>
      <c r="E341" s="9">
        <v>13513.5</v>
      </c>
      <c r="F341" s="611"/>
      <c r="G341" s="27"/>
      <c r="H341" s="27"/>
      <c r="I341" s="27"/>
      <c r="J341" s="379"/>
      <c r="K341" s="385"/>
      <c r="L341" s="27"/>
      <c r="M341" s="27"/>
      <c r="N341" s="27"/>
      <c r="O341" s="27"/>
      <c r="P341" s="27"/>
    </row>
    <row r="342" spans="2:16" s="393" customFormat="1" ht="15" x14ac:dyDescent="0.25">
      <c r="B342" s="860" t="s">
        <v>51</v>
      </c>
      <c r="C342" s="860"/>
      <c r="D342" s="860"/>
      <c r="E342" s="9">
        <v>0</v>
      </c>
      <c r="F342" s="611"/>
      <c r="G342" s="385"/>
      <c r="H342" s="385"/>
      <c r="I342" s="385"/>
      <c r="J342" s="385"/>
      <c r="K342" s="385"/>
      <c r="L342" s="385"/>
      <c r="M342" s="385"/>
      <c r="N342" s="385"/>
      <c r="O342" s="385"/>
      <c r="P342" s="385"/>
    </row>
    <row r="343" spans="2:16" s="393" customFormat="1" ht="15" x14ac:dyDescent="0.25">
      <c r="B343" s="863" t="s">
        <v>165</v>
      </c>
      <c r="C343" s="864"/>
      <c r="D343" s="865"/>
      <c r="E343" s="9">
        <v>0</v>
      </c>
      <c r="F343" s="611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</row>
    <row r="344" spans="2:16" customFormat="1" ht="15.75" thickBot="1" x14ac:dyDescent="0.3">
      <c r="B344" s="860" t="s">
        <v>166</v>
      </c>
      <c r="C344" s="860"/>
      <c r="D344" s="860"/>
      <c r="E344" s="131">
        <v>3300</v>
      </c>
      <c r="F344" s="612"/>
      <c r="G344" s="114"/>
      <c r="H344" s="114"/>
      <c r="I344" s="27"/>
      <c r="J344" s="379"/>
      <c r="K344" s="385"/>
      <c r="L344" s="27"/>
      <c r="M344" s="27"/>
      <c r="N344" s="27"/>
      <c r="O344" s="27"/>
      <c r="P344" s="27"/>
    </row>
    <row r="345" spans="2:16" s="114" customFormat="1" ht="21.75" customHeight="1" thickTop="1" x14ac:dyDescent="0.2">
      <c r="B345" s="861" t="s">
        <v>120</v>
      </c>
      <c r="C345" s="861"/>
      <c r="D345" s="861"/>
      <c r="E345" s="167">
        <f>SUM(E341:E344)</f>
        <v>16813.5</v>
      </c>
      <c r="F345" s="376"/>
      <c r="G345" s="27"/>
      <c r="H345" s="27"/>
    </row>
    <row r="347" spans="2:16" customFormat="1" ht="48.75" thickBot="1" x14ac:dyDescent="0.3">
      <c r="B347" s="129" t="s">
        <v>53</v>
      </c>
      <c r="C347" s="141" t="s">
        <v>186</v>
      </c>
      <c r="D347" s="168"/>
      <c r="E347" s="169"/>
      <c r="F347" s="169"/>
      <c r="G347" s="169"/>
      <c r="H347" s="119"/>
      <c r="I347" s="27"/>
      <c r="J347" s="379"/>
      <c r="K347" s="385"/>
      <c r="L347" s="27"/>
      <c r="M347" s="27"/>
      <c r="N347" s="27"/>
      <c r="O347" s="27"/>
      <c r="P347" s="27"/>
    </row>
    <row r="348" spans="2:16" customFormat="1" ht="15.75" thickTop="1" x14ac:dyDescent="0.25">
      <c r="B348" s="143" t="s">
        <v>59</v>
      </c>
      <c r="C348" s="144">
        <v>118567.87</v>
      </c>
      <c r="D348" s="170"/>
      <c r="E348" s="124"/>
      <c r="F348" s="124"/>
      <c r="G348" s="124"/>
      <c r="H348" s="27"/>
      <c r="I348" s="27"/>
      <c r="J348" s="379"/>
      <c r="K348" s="385"/>
      <c r="L348" s="27"/>
      <c r="M348" s="27"/>
      <c r="N348" s="27"/>
      <c r="O348" s="27"/>
      <c r="P348" s="27"/>
    </row>
    <row r="349" spans="2:16" s="119" customFormat="1" x14ac:dyDescent="0.2">
      <c r="B349" s="145" t="s">
        <v>60</v>
      </c>
      <c r="C349" s="146">
        <v>39925.07</v>
      </c>
      <c r="D349" s="170"/>
      <c r="E349" s="124"/>
      <c r="F349" s="124"/>
      <c r="G349" s="124"/>
      <c r="H349" s="27"/>
    </row>
    <row r="350" spans="2:16" customFormat="1" ht="15" x14ac:dyDescent="0.25">
      <c r="B350" s="145" t="s">
        <v>61</v>
      </c>
      <c r="C350" s="146">
        <f>SUM(C351:C357)</f>
        <v>47244.17</v>
      </c>
      <c r="D350" s="170"/>
      <c r="E350" s="124"/>
      <c r="F350" s="124"/>
      <c r="G350" s="124"/>
      <c r="H350" s="27"/>
      <c r="I350" s="27"/>
      <c r="J350" s="379"/>
      <c r="K350" s="385"/>
      <c r="L350" s="27"/>
      <c r="M350" s="27"/>
      <c r="N350" s="27"/>
      <c r="O350" s="27"/>
      <c r="P350" s="27"/>
    </row>
    <row r="351" spans="2:16" customFormat="1" ht="15" x14ac:dyDescent="0.25">
      <c r="B351" s="147" t="s">
        <v>78</v>
      </c>
      <c r="C351" s="9">
        <v>66.06</v>
      </c>
      <c r="D351" s="170"/>
      <c r="E351" s="124"/>
      <c r="F351" s="124"/>
      <c r="G351" s="124"/>
      <c r="H351" s="27"/>
      <c r="I351" s="27"/>
      <c r="J351" s="379"/>
      <c r="K351" s="385"/>
      <c r="L351" s="27"/>
      <c r="M351" s="27"/>
      <c r="N351" s="27"/>
      <c r="O351" s="27"/>
      <c r="P351" s="27"/>
    </row>
    <row r="352" spans="2:16" customFormat="1" ht="25.5" x14ac:dyDescent="0.25">
      <c r="B352" s="147" t="s">
        <v>62</v>
      </c>
      <c r="C352" s="9">
        <v>8375.93</v>
      </c>
      <c r="D352" s="170"/>
      <c r="E352" s="124"/>
      <c r="F352" s="124"/>
      <c r="G352" s="124"/>
      <c r="H352" s="27"/>
      <c r="I352" s="27"/>
      <c r="J352" s="379"/>
      <c r="K352" s="385"/>
      <c r="L352" s="27"/>
      <c r="M352" s="27"/>
      <c r="N352" s="27"/>
      <c r="O352" s="27"/>
      <c r="P352" s="27"/>
    </row>
    <row r="353" spans="2:16" customFormat="1" ht="15" x14ac:dyDescent="0.25">
      <c r="B353" s="147" t="s">
        <v>63</v>
      </c>
      <c r="C353" s="9">
        <v>14274.62</v>
      </c>
      <c r="D353" s="170"/>
      <c r="E353" s="124"/>
      <c r="F353" s="124"/>
      <c r="G353" s="124"/>
      <c r="H353" s="27"/>
      <c r="I353" s="27"/>
      <c r="J353" s="379"/>
      <c r="K353" s="385"/>
      <c r="L353" s="27"/>
      <c r="M353" s="27"/>
      <c r="N353" s="27"/>
      <c r="O353" s="27"/>
      <c r="P353" s="27"/>
    </row>
    <row r="354" spans="2:16" s="393" customFormat="1" ht="15" x14ac:dyDescent="0.25">
      <c r="B354" s="147" t="s">
        <v>64</v>
      </c>
      <c r="C354" s="9">
        <v>30</v>
      </c>
      <c r="D354" s="170"/>
      <c r="E354" s="124"/>
      <c r="F354" s="124"/>
      <c r="G354" s="124"/>
      <c r="H354" s="385"/>
      <c r="I354" s="385"/>
      <c r="J354" s="385"/>
      <c r="K354" s="385"/>
      <c r="L354" s="385"/>
      <c r="M354" s="385"/>
      <c r="N354" s="385"/>
      <c r="O354" s="385"/>
      <c r="P354" s="385"/>
    </row>
    <row r="355" spans="2:16" customFormat="1" ht="25.5" x14ac:dyDescent="0.25">
      <c r="B355" s="147" t="s">
        <v>65</v>
      </c>
      <c r="C355" s="9">
        <v>3033.68</v>
      </c>
      <c r="D355" s="170"/>
      <c r="E355" s="124"/>
      <c r="F355" s="124"/>
      <c r="G355" s="124"/>
      <c r="H355" s="27"/>
      <c r="I355" s="27"/>
      <c r="J355" s="379"/>
      <c r="K355" s="385"/>
      <c r="L355" s="27"/>
      <c r="M355" s="27"/>
      <c r="N355" s="27"/>
      <c r="O355" s="27"/>
      <c r="P355" s="27"/>
    </row>
    <row r="356" spans="2:16" s="565" customFormat="1" ht="15" x14ac:dyDescent="0.25">
      <c r="B356" s="147" t="s">
        <v>66</v>
      </c>
      <c r="C356" s="9">
        <v>429.11</v>
      </c>
      <c r="D356" s="170"/>
      <c r="E356" s="124"/>
      <c r="F356" s="124"/>
      <c r="G356" s="124"/>
      <c r="H356" s="385"/>
      <c r="I356" s="385"/>
      <c r="J356" s="385"/>
      <c r="K356" s="385"/>
      <c r="L356" s="385"/>
      <c r="M356" s="385"/>
      <c r="N356" s="385"/>
      <c r="O356" s="385"/>
      <c r="P356" s="385"/>
    </row>
    <row r="357" spans="2:16" customFormat="1" ht="15" x14ac:dyDescent="0.25">
      <c r="B357" s="147" t="s">
        <v>67</v>
      </c>
      <c r="C357" s="9">
        <v>21034.77</v>
      </c>
      <c r="D357" s="170"/>
      <c r="E357" s="124"/>
      <c r="F357" s="124"/>
      <c r="G357" s="124"/>
      <c r="H357" s="27"/>
      <c r="I357" s="27"/>
      <c r="J357" s="379"/>
      <c r="K357" s="385"/>
      <c r="L357" s="27"/>
      <c r="M357" s="27"/>
      <c r="N357" s="27"/>
      <c r="O357" s="27"/>
      <c r="P357" s="27"/>
    </row>
    <row r="358" spans="2:16" customFormat="1" ht="15.75" thickBot="1" x14ac:dyDescent="0.3">
      <c r="B358" s="148" t="s">
        <v>68</v>
      </c>
      <c r="C358" s="149">
        <v>255.97</v>
      </c>
      <c r="D358" s="170"/>
      <c r="E358" s="124"/>
      <c r="F358" s="124"/>
      <c r="G358" s="124"/>
      <c r="H358" s="27"/>
      <c r="I358" s="27"/>
      <c r="J358" s="379"/>
      <c r="K358" s="385"/>
      <c r="L358" s="27"/>
      <c r="M358" s="27"/>
      <c r="N358" s="27"/>
      <c r="O358" s="27"/>
      <c r="P358" s="27"/>
    </row>
    <row r="359" spans="2:16" customFormat="1" ht="19.5" customHeight="1" thickTop="1" x14ac:dyDescent="0.25">
      <c r="B359" s="171" t="s">
        <v>120</v>
      </c>
      <c r="C359" s="167">
        <f>C348+C349+C350+C358</f>
        <v>205993.08</v>
      </c>
      <c r="D359" s="172"/>
      <c r="E359" s="66"/>
      <c r="F359" s="66"/>
      <c r="G359" s="66"/>
      <c r="H359" s="151"/>
      <c r="I359" s="27"/>
      <c r="J359" s="379"/>
      <c r="K359" s="385"/>
      <c r="L359" s="27"/>
      <c r="M359" s="27"/>
      <c r="N359" s="27"/>
      <c r="O359" s="27"/>
      <c r="P359" s="27"/>
    </row>
    <row r="360" spans="2:16" customFormat="1" ht="15" x14ac:dyDescent="0.25">
      <c r="B360" s="27"/>
      <c r="C360" s="27"/>
      <c r="D360" s="27"/>
      <c r="E360" s="27"/>
      <c r="F360" s="385"/>
      <c r="G360" s="27"/>
      <c r="H360" s="27"/>
      <c r="I360" s="27"/>
      <c r="J360" s="379"/>
      <c r="K360" s="385"/>
      <c r="L360" s="27"/>
      <c r="M360" s="27"/>
      <c r="N360" s="27"/>
      <c r="O360" s="27"/>
      <c r="P360" s="27"/>
    </row>
    <row r="361" spans="2:16" customFormat="1" ht="15" x14ac:dyDescent="0.25">
      <c r="B361" s="27"/>
      <c r="C361" s="27"/>
      <c r="D361" s="27"/>
      <c r="E361" s="27"/>
      <c r="F361" s="385"/>
      <c r="G361" s="27"/>
      <c r="H361" s="27"/>
      <c r="I361" s="27"/>
      <c r="J361" s="379"/>
      <c r="K361" s="385"/>
      <c r="L361" s="27"/>
      <c r="M361" s="27"/>
      <c r="N361" s="27"/>
      <c r="O361" s="27"/>
      <c r="P361" s="27"/>
    </row>
    <row r="362" spans="2:16" customFormat="1" ht="18" x14ac:dyDescent="0.25">
      <c r="B362" s="128" t="s">
        <v>184</v>
      </c>
      <c r="C362" s="27"/>
      <c r="D362" s="27"/>
      <c r="E362" s="27"/>
      <c r="F362" s="385"/>
      <c r="G362" s="27"/>
      <c r="H362" s="27"/>
      <c r="I362" s="27"/>
      <c r="J362" s="379"/>
      <c r="K362" s="385"/>
      <c r="L362" s="27"/>
      <c r="M362" s="27"/>
      <c r="N362" s="27"/>
      <c r="O362" s="27"/>
      <c r="P362" s="27"/>
    </row>
    <row r="364" spans="2:16" customFormat="1" ht="18" customHeight="1" thickBot="1" x14ac:dyDescent="0.3">
      <c r="B364" s="862" t="s">
        <v>124</v>
      </c>
      <c r="C364" s="862"/>
      <c r="D364" s="862"/>
      <c r="E364" s="862"/>
      <c r="F364" s="605"/>
      <c r="G364" s="27"/>
      <c r="H364" s="27"/>
      <c r="I364" s="27"/>
      <c r="J364" s="379"/>
      <c r="K364" s="385"/>
      <c r="L364" s="27"/>
      <c r="M364" s="27"/>
      <c r="N364" s="27"/>
      <c r="O364" s="27"/>
      <c r="P364" s="27"/>
    </row>
    <row r="365" spans="2:16" customFormat="1" ht="15" customHeight="1" thickTop="1" x14ac:dyDescent="0.25">
      <c r="B365" s="857" t="s">
        <v>187</v>
      </c>
      <c r="C365" s="857"/>
      <c r="D365" s="857"/>
      <c r="E365" s="130">
        <v>78779.289999999994</v>
      </c>
      <c r="F365" s="606"/>
      <c r="G365" s="27"/>
      <c r="H365" s="27"/>
      <c r="I365" s="27"/>
      <c r="J365" s="379"/>
      <c r="K365" s="385"/>
      <c r="L365" s="27"/>
      <c r="M365" s="27"/>
      <c r="N365" s="27"/>
      <c r="O365" s="27"/>
      <c r="P365" s="27"/>
    </row>
    <row r="366" spans="2:16" customFormat="1" ht="15" customHeight="1" x14ac:dyDescent="0.25">
      <c r="B366" s="860" t="s">
        <v>50</v>
      </c>
      <c r="C366" s="860"/>
      <c r="D366" s="860"/>
      <c r="E366" s="9">
        <v>3001.3</v>
      </c>
      <c r="F366" s="606"/>
      <c r="G366" s="27"/>
      <c r="H366" s="27"/>
      <c r="I366" s="27"/>
      <c r="J366" s="379"/>
      <c r="K366" s="385"/>
      <c r="L366" s="27"/>
      <c r="M366" s="27"/>
      <c r="N366" s="27"/>
      <c r="O366" s="27"/>
      <c r="P366" s="27"/>
    </row>
    <row r="367" spans="2:16" s="393" customFormat="1" ht="15" customHeight="1" thickBot="1" x14ac:dyDescent="0.3">
      <c r="B367" s="860" t="s">
        <v>51</v>
      </c>
      <c r="C367" s="860"/>
      <c r="D367" s="860"/>
      <c r="E367" s="9">
        <v>0</v>
      </c>
      <c r="F367" s="606"/>
      <c r="G367" s="385"/>
      <c r="H367" s="385"/>
      <c r="I367" s="385"/>
      <c r="J367" s="385"/>
      <c r="K367" s="385"/>
      <c r="L367" s="385"/>
      <c r="M367" s="385"/>
      <c r="N367" s="385"/>
      <c r="O367" s="385"/>
      <c r="P367" s="385"/>
    </row>
    <row r="368" spans="2:16" customFormat="1" ht="16.5" thickTop="1" thickBot="1" x14ac:dyDescent="0.3">
      <c r="B368" s="857" t="s">
        <v>162</v>
      </c>
      <c r="C368" s="857"/>
      <c r="D368" s="857"/>
      <c r="E368" s="131">
        <v>183.25</v>
      </c>
      <c r="F368" s="607"/>
      <c r="G368" s="114"/>
      <c r="H368" s="114"/>
      <c r="I368" s="27"/>
      <c r="J368" s="379"/>
      <c r="K368" s="385"/>
      <c r="L368" s="27"/>
      <c r="M368" s="27"/>
      <c r="N368" s="27"/>
      <c r="O368" s="27"/>
      <c r="P368" s="27"/>
    </row>
    <row r="369" spans="2:16" s="114" customFormat="1" ht="15.75" thickTop="1" x14ac:dyDescent="0.25">
      <c r="B369" s="858" t="s">
        <v>120</v>
      </c>
      <c r="C369" s="858"/>
      <c r="D369" s="858"/>
      <c r="E369" s="173">
        <f>SUM(E365:E368)</f>
        <v>81963.839999999997</v>
      </c>
      <c r="F369" s="609"/>
      <c r="G369" s="27"/>
      <c r="H369" s="27"/>
    </row>
    <row r="371" spans="2:16" customFormat="1" ht="48.75" thickBot="1" x14ac:dyDescent="0.3">
      <c r="B371" s="129" t="s">
        <v>53</v>
      </c>
      <c r="C371" s="141" t="s">
        <v>186</v>
      </c>
      <c r="D371" s="168"/>
      <c r="E371" s="169"/>
      <c r="F371" s="169"/>
      <c r="G371" s="169"/>
      <c r="H371" s="119"/>
      <c r="I371" s="27"/>
      <c r="J371" s="379"/>
      <c r="K371" s="385"/>
      <c r="L371" s="27"/>
      <c r="M371" s="27"/>
      <c r="N371" s="27"/>
      <c r="O371" s="27"/>
      <c r="P371" s="27"/>
    </row>
    <row r="372" spans="2:16" customFormat="1" ht="15.75" thickTop="1" x14ac:dyDescent="0.25">
      <c r="B372" s="143" t="s">
        <v>59</v>
      </c>
      <c r="C372" s="144">
        <v>786454.78</v>
      </c>
      <c r="D372" s="170"/>
      <c r="E372" s="124"/>
      <c r="F372" s="124"/>
      <c r="G372" s="124"/>
      <c r="H372" s="27"/>
      <c r="I372" s="27"/>
      <c r="J372" s="379"/>
      <c r="K372" s="385"/>
      <c r="L372" s="27"/>
      <c r="M372" s="27"/>
      <c r="N372" s="27"/>
      <c r="O372" s="27"/>
      <c r="P372" s="27"/>
    </row>
    <row r="373" spans="2:16" s="119" customFormat="1" x14ac:dyDescent="0.2">
      <c r="B373" s="145" t="s">
        <v>60</v>
      </c>
      <c r="C373" s="146">
        <v>259125.27</v>
      </c>
      <c r="D373" s="170"/>
      <c r="E373" s="124"/>
      <c r="F373" s="124"/>
      <c r="G373" s="124"/>
      <c r="H373" s="27"/>
    </row>
    <row r="374" spans="2:16" customFormat="1" ht="15" x14ac:dyDescent="0.25">
      <c r="B374" s="145" t="s">
        <v>61</v>
      </c>
      <c r="C374" s="146">
        <f>SUM(C375:C381)</f>
        <v>103395.17</v>
      </c>
      <c r="D374" s="170"/>
      <c r="E374" s="124"/>
      <c r="F374" s="124"/>
      <c r="G374" s="124"/>
      <c r="H374" s="27"/>
      <c r="I374" s="27"/>
      <c r="J374" s="379"/>
      <c r="K374" s="385"/>
      <c r="L374" s="27"/>
      <c r="M374" s="27"/>
      <c r="N374" s="27"/>
      <c r="O374" s="27"/>
      <c r="P374" s="27"/>
    </row>
    <row r="375" spans="2:16" customFormat="1" ht="15" x14ac:dyDescent="0.25">
      <c r="B375" s="147" t="s">
        <v>78</v>
      </c>
      <c r="C375" s="9">
        <v>0</v>
      </c>
      <c r="D375" s="170"/>
      <c r="E375" s="124"/>
      <c r="F375" s="124"/>
      <c r="G375" s="124"/>
      <c r="H375" s="27"/>
      <c r="I375" s="27"/>
      <c r="J375" s="379"/>
      <c r="K375" s="385"/>
      <c r="L375" s="27"/>
      <c r="M375" s="27"/>
      <c r="N375" s="27"/>
      <c r="O375" s="27"/>
      <c r="P375" s="27"/>
    </row>
    <row r="376" spans="2:16" customFormat="1" ht="25.5" x14ac:dyDescent="0.25">
      <c r="B376" s="147" t="s">
        <v>62</v>
      </c>
      <c r="C376" s="9">
        <v>29008.11</v>
      </c>
      <c r="D376" s="170"/>
      <c r="E376" s="124"/>
      <c r="F376" s="124"/>
      <c r="G376" s="124"/>
      <c r="H376" s="27"/>
      <c r="I376" s="27"/>
      <c r="J376" s="379"/>
      <c r="K376" s="385"/>
      <c r="L376" s="27"/>
      <c r="M376" s="27"/>
      <c r="N376" s="27"/>
      <c r="O376" s="27"/>
      <c r="P376" s="27"/>
    </row>
    <row r="377" spans="2:16" customFormat="1" ht="15" x14ac:dyDescent="0.25">
      <c r="B377" s="147" t="s">
        <v>63</v>
      </c>
      <c r="C377" s="9">
        <v>11704.34</v>
      </c>
      <c r="D377" s="170"/>
      <c r="E377" s="124"/>
      <c r="F377" s="124"/>
      <c r="G377" s="124"/>
      <c r="H377" s="27"/>
      <c r="I377" s="27"/>
      <c r="J377" s="379"/>
      <c r="K377" s="385"/>
      <c r="L377" s="27"/>
      <c r="M377" s="27"/>
      <c r="N377" s="27"/>
      <c r="O377" s="27"/>
      <c r="P377" s="27"/>
    </row>
    <row r="378" spans="2:16" customFormat="1" ht="15" x14ac:dyDescent="0.25">
      <c r="B378" s="147" t="s">
        <v>64</v>
      </c>
      <c r="C378" s="9">
        <v>0</v>
      </c>
      <c r="D378" s="170"/>
      <c r="E378" s="124"/>
      <c r="F378" s="124"/>
      <c r="G378" s="124"/>
      <c r="H378" s="27"/>
      <c r="I378" s="27"/>
      <c r="J378" s="379"/>
      <c r="K378" s="385"/>
      <c r="L378" s="27"/>
      <c r="M378" s="27"/>
      <c r="N378" s="27"/>
      <c r="O378" s="27"/>
      <c r="P378" s="27"/>
    </row>
    <row r="379" spans="2:16" customFormat="1" ht="25.5" x14ac:dyDescent="0.25">
      <c r="B379" s="147" t="s">
        <v>65</v>
      </c>
      <c r="C379" s="9">
        <v>5141.6499999999996</v>
      </c>
      <c r="D379" s="170"/>
      <c r="E379" s="124"/>
      <c r="F379" s="124"/>
      <c r="G379" s="124"/>
      <c r="H379" s="27"/>
      <c r="I379" s="27"/>
      <c r="J379" s="379"/>
      <c r="K379" s="385"/>
      <c r="L379" s="27"/>
      <c r="M379" s="27"/>
      <c r="N379" s="27"/>
      <c r="O379" s="27"/>
      <c r="P379" s="27"/>
    </row>
    <row r="380" spans="2:16" customFormat="1" ht="15" x14ac:dyDescent="0.25">
      <c r="B380" s="147" t="s">
        <v>66</v>
      </c>
      <c r="C380" s="9">
        <v>773.79</v>
      </c>
      <c r="D380" s="170"/>
      <c r="E380" s="124"/>
      <c r="F380" s="124"/>
      <c r="G380" s="124"/>
      <c r="H380" s="27"/>
      <c r="I380" s="27"/>
      <c r="J380" s="379"/>
      <c r="K380" s="385"/>
      <c r="L380" s="27"/>
      <c r="M380" s="27"/>
      <c r="N380" s="27"/>
      <c r="O380" s="27"/>
      <c r="P380" s="27"/>
    </row>
    <row r="381" spans="2:16" customFormat="1" ht="15" x14ac:dyDescent="0.25">
      <c r="B381" s="147" t="s">
        <v>67</v>
      </c>
      <c r="C381" s="9">
        <v>56767.28</v>
      </c>
      <c r="D381" s="172"/>
      <c r="E381" s="66"/>
      <c r="F381" s="66"/>
      <c r="G381" s="66"/>
      <c r="H381" s="151"/>
      <c r="I381" s="27"/>
      <c r="J381" s="379"/>
      <c r="K381" s="385"/>
      <c r="L381" s="27"/>
      <c r="M381" s="27"/>
      <c r="N381" s="27"/>
      <c r="O381" s="27"/>
      <c r="P381" s="27"/>
    </row>
    <row r="382" spans="2:16" customFormat="1" ht="15.75" thickBot="1" x14ac:dyDescent="0.3">
      <c r="B382" s="148" t="s">
        <v>68</v>
      </c>
      <c r="C382" s="149">
        <v>7830.24</v>
      </c>
      <c r="D382" s="27"/>
      <c r="E382" s="27"/>
      <c r="F382" s="385"/>
      <c r="G382" s="27"/>
      <c r="H382" s="27"/>
      <c r="I382" s="27"/>
      <c r="J382" s="379"/>
      <c r="K382" s="385"/>
      <c r="L382" s="27"/>
      <c r="M382" s="27"/>
      <c r="N382" s="27"/>
      <c r="O382" s="27"/>
      <c r="P382" s="27"/>
    </row>
    <row r="383" spans="2:16" customFormat="1" ht="21.75" customHeight="1" thickTop="1" x14ac:dyDescent="0.25">
      <c r="B383" s="171" t="s">
        <v>120</v>
      </c>
      <c r="C383" s="167">
        <f>C372+C373+C374+C382</f>
        <v>1156805.46</v>
      </c>
      <c r="D383" s="27"/>
      <c r="E383" s="27"/>
      <c r="F383" s="385"/>
      <c r="G383" s="27"/>
      <c r="H383" s="27"/>
      <c r="I383" s="27"/>
      <c r="J383" s="379"/>
      <c r="K383" s="385"/>
      <c r="L383" s="27"/>
      <c r="M383" s="27"/>
      <c r="N383" s="27"/>
      <c r="O383" s="27"/>
      <c r="P383" s="27"/>
    </row>
  </sheetData>
  <mergeCells count="76">
    <mergeCell ref="B37:D37"/>
    <mergeCell ref="B7:E7"/>
    <mergeCell ref="B8:D8"/>
    <mergeCell ref="B9:D9"/>
    <mergeCell ref="B10:D10"/>
    <mergeCell ref="B11:D11"/>
    <mergeCell ref="B13:D13"/>
    <mergeCell ref="B14:D14"/>
    <mergeCell ref="B34:E34"/>
    <mergeCell ref="B35:D35"/>
    <mergeCell ref="B36:D36"/>
    <mergeCell ref="B81:D81"/>
    <mergeCell ref="B38:D38"/>
    <mergeCell ref="B40:D40"/>
    <mergeCell ref="B41:D41"/>
    <mergeCell ref="B42:D42"/>
    <mergeCell ref="B74:E74"/>
    <mergeCell ref="B75:D75"/>
    <mergeCell ref="B76:D76"/>
    <mergeCell ref="B77:D77"/>
    <mergeCell ref="B78:D78"/>
    <mergeCell ref="B80:D80"/>
    <mergeCell ref="B144:D144"/>
    <mergeCell ref="B102:E102"/>
    <mergeCell ref="B103:D103"/>
    <mergeCell ref="B104:D104"/>
    <mergeCell ref="B105:D105"/>
    <mergeCell ref="B106:D106"/>
    <mergeCell ref="B107:D107"/>
    <mergeCell ref="B108:D108"/>
    <mergeCell ref="B109:D109"/>
    <mergeCell ref="B142:E142"/>
    <mergeCell ref="B143:D143"/>
    <mergeCell ref="B211:D211"/>
    <mergeCell ref="B146:D146"/>
    <mergeCell ref="B166:E166"/>
    <mergeCell ref="B167:D167"/>
    <mergeCell ref="B168:D168"/>
    <mergeCell ref="B169:D169"/>
    <mergeCell ref="B170:D170"/>
    <mergeCell ref="B172:D172"/>
    <mergeCell ref="B173:D173"/>
    <mergeCell ref="B210:E210"/>
    <mergeCell ref="B340:E340"/>
    <mergeCell ref="B285:D285"/>
    <mergeCell ref="B277:E277"/>
    <mergeCell ref="B212:D212"/>
    <mergeCell ref="B213:D213"/>
    <mergeCell ref="B215:D215"/>
    <mergeCell ref="B217:D217"/>
    <mergeCell ref="B237:E237"/>
    <mergeCell ref="B238:D238"/>
    <mergeCell ref="B239:D239"/>
    <mergeCell ref="B240:D240"/>
    <mergeCell ref="B241:D241"/>
    <mergeCell ref="B243:D243"/>
    <mergeCell ref="B283:D283"/>
    <mergeCell ref="B284:D284"/>
    <mergeCell ref="B286:D286"/>
    <mergeCell ref="B287:D287"/>
    <mergeCell ref="B278:D278"/>
    <mergeCell ref="B279:D279"/>
    <mergeCell ref="B280:D280"/>
    <mergeCell ref="B281:D281"/>
    <mergeCell ref="B282:D282"/>
    <mergeCell ref="B368:D368"/>
    <mergeCell ref="B369:D369"/>
    <mergeCell ref="B341:D341"/>
    <mergeCell ref="B344:D344"/>
    <mergeCell ref="B345:D345"/>
    <mergeCell ref="B364:E364"/>
    <mergeCell ref="B365:D365"/>
    <mergeCell ref="B366:D366"/>
    <mergeCell ref="B367:D367"/>
    <mergeCell ref="B342:D342"/>
    <mergeCell ref="B343:D343"/>
  </mergeCells>
  <pageMargins left="0.19685039370078741" right="0" top="0.19685039370078741" bottom="7.874015748031496E-2" header="0.19685039370078741" footer="7.874015748031496E-2"/>
  <pageSetup paperSize="9" scale="75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63"/>
  <sheetViews>
    <sheetView workbookViewId="0">
      <selection activeCell="E36" sqref="E36"/>
    </sheetView>
  </sheetViews>
  <sheetFormatPr defaultRowHeight="14.25" x14ac:dyDescent="0.2"/>
  <cols>
    <col min="1" max="1" width="1.5703125" style="1" customWidth="1"/>
    <col min="2" max="2" width="4.28515625" style="1" customWidth="1"/>
    <col min="3" max="3" width="6.28515625" style="1" customWidth="1"/>
    <col min="4" max="4" width="47.7109375" style="1" customWidth="1"/>
    <col min="5" max="5" width="60.7109375" style="1" customWidth="1"/>
    <col min="6" max="6" width="15.5703125" style="1" customWidth="1"/>
    <col min="7" max="7" width="9.140625" style="1" customWidth="1"/>
    <col min="8" max="16384" width="9.140625" style="1"/>
  </cols>
  <sheetData>
    <row r="1" spans="1:10" customFormat="1" ht="15" x14ac:dyDescent="0.25">
      <c r="A1" s="569"/>
      <c r="B1" s="569"/>
      <c r="C1" s="571"/>
      <c r="D1" s="571"/>
      <c r="E1" s="571"/>
      <c r="F1" s="571"/>
      <c r="G1" s="569"/>
      <c r="H1" s="569"/>
      <c r="I1" s="569"/>
      <c r="J1" s="569"/>
    </row>
    <row r="2" spans="1:10" customFormat="1" ht="18" x14ac:dyDescent="0.25">
      <c r="A2" s="569"/>
      <c r="B2" s="569"/>
      <c r="C2" s="870" t="s">
        <v>599</v>
      </c>
      <c r="D2" s="870"/>
      <c r="E2" s="870"/>
      <c r="F2" s="572" t="s">
        <v>188</v>
      </c>
      <c r="G2" s="569"/>
      <c r="H2" s="569"/>
      <c r="I2" s="569"/>
      <c r="J2" s="569"/>
    </row>
    <row r="3" spans="1:10" customFormat="1" ht="6" customHeight="1" thickBot="1" x14ac:dyDescent="0.3">
      <c r="A3" s="569"/>
      <c r="B3" s="569"/>
      <c r="C3" s="573"/>
      <c r="D3" s="574"/>
      <c r="E3" s="574"/>
      <c r="F3" s="575"/>
      <c r="G3" s="569"/>
      <c r="H3" s="569"/>
      <c r="I3" s="569"/>
      <c r="J3" s="569"/>
    </row>
    <row r="4" spans="1:10" customFormat="1" ht="33" customHeight="1" x14ac:dyDescent="0.25">
      <c r="A4" s="569"/>
      <c r="B4" s="569"/>
      <c r="C4" s="576" t="s">
        <v>189</v>
      </c>
      <c r="D4" s="577" t="s">
        <v>190</v>
      </c>
      <c r="E4" s="577" t="s">
        <v>191</v>
      </c>
      <c r="F4" s="578" t="s">
        <v>192</v>
      </c>
      <c r="G4" s="569"/>
      <c r="H4" s="569"/>
      <c r="I4" s="569"/>
      <c r="J4" s="569"/>
    </row>
    <row r="5" spans="1:10" customFormat="1" ht="15.75" x14ac:dyDescent="0.25">
      <c r="A5" s="569"/>
      <c r="B5" s="569"/>
      <c r="C5" s="871" t="s">
        <v>193</v>
      </c>
      <c r="D5" s="871"/>
      <c r="E5" s="871"/>
      <c r="F5" s="600">
        <v>11119463.01</v>
      </c>
      <c r="G5" s="569"/>
      <c r="H5" s="569"/>
      <c r="I5" s="569"/>
      <c r="J5" s="569"/>
    </row>
    <row r="6" spans="1:10" customFormat="1" ht="15" x14ac:dyDescent="0.25">
      <c r="A6" s="569"/>
      <c r="B6" s="569"/>
      <c r="C6" s="579">
        <v>1</v>
      </c>
      <c r="D6" s="580" t="s">
        <v>825</v>
      </c>
      <c r="E6" s="580" t="s">
        <v>826</v>
      </c>
      <c r="F6" s="591">
        <v>11884.32</v>
      </c>
      <c r="G6" s="569"/>
      <c r="H6" s="569"/>
      <c r="I6" s="569"/>
      <c r="J6" s="569"/>
    </row>
    <row r="7" spans="1:10" customFormat="1" ht="15" x14ac:dyDescent="0.25">
      <c r="A7" s="569"/>
      <c r="B7" s="569"/>
      <c r="C7" s="579">
        <v>2</v>
      </c>
      <c r="D7" s="580" t="s">
        <v>825</v>
      </c>
      <c r="E7" s="580" t="s">
        <v>827</v>
      </c>
      <c r="F7" s="591">
        <v>139720</v>
      </c>
      <c r="G7" s="569"/>
      <c r="H7" s="569"/>
      <c r="I7" s="569"/>
      <c r="J7" s="569"/>
    </row>
    <row r="8" spans="1:10" customFormat="1" ht="15" x14ac:dyDescent="0.25">
      <c r="A8" s="569"/>
      <c r="B8" s="569"/>
      <c r="C8" s="579">
        <v>3</v>
      </c>
      <c r="D8" s="580" t="s">
        <v>825</v>
      </c>
      <c r="E8" s="580" t="s">
        <v>828</v>
      </c>
      <c r="F8" s="591">
        <v>100115</v>
      </c>
      <c r="G8" s="569"/>
      <c r="H8" s="569"/>
      <c r="I8" s="569"/>
      <c r="J8" s="569"/>
    </row>
    <row r="9" spans="1:10" customFormat="1" ht="15" x14ac:dyDescent="0.25">
      <c r="A9" s="569"/>
      <c r="B9" s="569"/>
      <c r="C9" s="579">
        <v>4</v>
      </c>
      <c r="D9" s="580" t="s">
        <v>825</v>
      </c>
      <c r="E9" s="580" t="s">
        <v>829</v>
      </c>
      <c r="F9" s="591">
        <v>39719</v>
      </c>
      <c r="G9" s="569"/>
      <c r="H9" s="569"/>
      <c r="I9" s="569"/>
      <c r="J9" s="569"/>
    </row>
    <row r="10" spans="1:10" customFormat="1" ht="15" x14ac:dyDescent="0.25">
      <c r="A10" s="569"/>
      <c r="B10" s="569"/>
      <c r="C10" s="579">
        <v>5</v>
      </c>
      <c r="D10" s="581" t="s">
        <v>825</v>
      </c>
      <c r="E10" s="582" t="s">
        <v>830</v>
      </c>
      <c r="F10" s="592">
        <v>9151148</v>
      </c>
      <c r="G10" s="569"/>
      <c r="H10" s="569"/>
      <c r="I10" s="569"/>
      <c r="J10" s="569"/>
    </row>
    <row r="11" spans="1:10" customFormat="1" ht="15" x14ac:dyDescent="0.25">
      <c r="A11" s="569"/>
      <c r="B11" s="569"/>
      <c r="C11" s="579">
        <v>6</v>
      </c>
      <c r="D11" s="581" t="s">
        <v>825</v>
      </c>
      <c r="E11" s="582" t="s">
        <v>831</v>
      </c>
      <c r="F11" s="592">
        <v>4012</v>
      </c>
      <c r="G11" s="569"/>
      <c r="H11" s="569"/>
      <c r="I11" s="569"/>
      <c r="J11" s="569"/>
    </row>
    <row r="12" spans="1:10" customFormat="1" ht="15" x14ac:dyDescent="0.25">
      <c r="A12" s="569"/>
      <c r="B12" s="569"/>
      <c r="C12" s="579">
        <v>7</v>
      </c>
      <c r="D12" s="581" t="s">
        <v>825</v>
      </c>
      <c r="E12" s="582" t="s">
        <v>832</v>
      </c>
      <c r="F12" s="592">
        <v>16482</v>
      </c>
      <c r="G12" s="569"/>
      <c r="H12" s="569"/>
      <c r="I12" s="569"/>
      <c r="J12" s="569"/>
    </row>
    <row r="13" spans="1:10" customFormat="1" ht="15" x14ac:dyDescent="0.25">
      <c r="A13" s="569"/>
      <c r="B13" s="569"/>
      <c r="C13" s="579">
        <v>8</v>
      </c>
      <c r="D13" s="580" t="s">
        <v>825</v>
      </c>
      <c r="E13" s="580" t="s">
        <v>833</v>
      </c>
      <c r="F13" s="591">
        <v>1600</v>
      </c>
      <c r="G13" s="569"/>
      <c r="H13" s="569"/>
      <c r="I13" s="569"/>
      <c r="J13" s="569"/>
    </row>
    <row r="14" spans="1:10" customFormat="1" ht="15" x14ac:dyDescent="0.25">
      <c r="A14" s="569"/>
      <c r="B14" s="569"/>
      <c r="C14" s="579">
        <v>9</v>
      </c>
      <c r="D14" s="580" t="s">
        <v>825</v>
      </c>
      <c r="E14" s="580" t="s">
        <v>834</v>
      </c>
      <c r="F14" s="591">
        <v>118416</v>
      </c>
      <c r="G14" s="569"/>
      <c r="H14" s="569"/>
      <c r="I14" s="569"/>
      <c r="J14" s="569"/>
    </row>
    <row r="15" spans="1:10" customFormat="1" ht="15" x14ac:dyDescent="0.25">
      <c r="A15" s="569"/>
      <c r="B15" s="569"/>
      <c r="C15" s="579">
        <v>10</v>
      </c>
      <c r="D15" s="580" t="s">
        <v>825</v>
      </c>
      <c r="E15" s="580" t="s">
        <v>835</v>
      </c>
      <c r="F15" s="591">
        <v>86525</v>
      </c>
      <c r="G15" s="569"/>
      <c r="H15" s="569"/>
      <c r="I15" s="569"/>
      <c r="J15" s="569"/>
    </row>
    <row r="16" spans="1:10" customFormat="1" ht="15" x14ac:dyDescent="0.25">
      <c r="A16" s="569"/>
      <c r="B16" s="569"/>
      <c r="C16" s="579">
        <v>11</v>
      </c>
      <c r="D16" s="580" t="s">
        <v>825</v>
      </c>
      <c r="E16" s="580" t="s">
        <v>836</v>
      </c>
      <c r="F16" s="591">
        <v>53202</v>
      </c>
      <c r="G16" s="569"/>
      <c r="H16" s="569"/>
      <c r="I16" s="569"/>
      <c r="J16" s="569"/>
    </row>
    <row r="17" spans="1:10" customFormat="1" ht="15" x14ac:dyDescent="0.25">
      <c r="A17" s="569"/>
      <c r="B17" s="569"/>
      <c r="C17" s="579">
        <v>12</v>
      </c>
      <c r="D17" s="580" t="s">
        <v>825</v>
      </c>
      <c r="E17" s="580" t="s">
        <v>837</v>
      </c>
      <c r="F17" s="591">
        <v>16925</v>
      </c>
      <c r="G17" s="570"/>
      <c r="H17" s="570"/>
      <c r="I17" s="570"/>
      <c r="J17" s="570"/>
    </row>
    <row r="18" spans="1:10" customFormat="1" ht="15" x14ac:dyDescent="0.25">
      <c r="A18" s="569"/>
      <c r="B18" s="569"/>
      <c r="C18" s="579">
        <v>13</v>
      </c>
      <c r="D18" s="580" t="s">
        <v>825</v>
      </c>
      <c r="E18" s="580" t="s">
        <v>838</v>
      </c>
      <c r="F18" s="591">
        <v>69300</v>
      </c>
      <c r="G18" s="570"/>
      <c r="H18" s="570"/>
      <c r="I18" s="570"/>
      <c r="J18" s="570"/>
    </row>
    <row r="19" spans="1:10" customFormat="1" ht="15" x14ac:dyDescent="0.25">
      <c r="A19" s="569"/>
      <c r="B19" s="569"/>
      <c r="C19" s="579">
        <v>14</v>
      </c>
      <c r="D19" s="580" t="s">
        <v>839</v>
      </c>
      <c r="E19" s="580" t="s">
        <v>840</v>
      </c>
      <c r="F19" s="591">
        <v>199.2</v>
      </c>
      <c r="G19" s="570"/>
      <c r="H19" s="570"/>
      <c r="I19" s="570"/>
      <c r="J19" s="570"/>
    </row>
    <row r="20" spans="1:10" s="392" customFormat="1" ht="15" x14ac:dyDescent="0.25">
      <c r="A20" s="569"/>
      <c r="B20" s="569"/>
      <c r="C20" s="579">
        <v>15</v>
      </c>
      <c r="D20" s="580" t="s">
        <v>839</v>
      </c>
      <c r="E20" s="580" t="s">
        <v>841</v>
      </c>
      <c r="F20" s="591">
        <v>717518.4</v>
      </c>
      <c r="G20" s="570"/>
      <c r="H20" s="570"/>
      <c r="I20" s="570"/>
      <c r="J20" s="570"/>
    </row>
    <row r="21" spans="1:10" customFormat="1" ht="15" x14ac:dyDescent="0.25">
      <c r="A21" s="569"/>
      <c r="B21" s="569"/>
      <c r="C21" s="579">
        <v>16</v>
      </c>
      <c r="D21" s="580" t="s">
        <v>839</v>
      </c>
      <c r="E21" s="580" t="s">
        <v>842</v>
      </c>
      <c r="F21" s="591">
        <v>584009.11</v>
      </c>
      <c r="G21" s="570"/>
      <c r="H21" s="570"/>
      <c r="I21" s="570"/>
      <c r="J21" s="570"/>
    </row>
    <row r="22" spans="1:10" customFormat="1" ht="15" x14ac:dyDescent="0.25">
      <c r="A22" s="569"/>
      <c r="B22" s="569"/>
      <c r="C22" s="579">
        <v>17</v>
      </c>
      <c r="D22" s="593" t="s">
        <v>843</v>
      </c>
      <c r="E22" s="595" t="s">
        <v>844</v>
      </c>
      <c r="F22" s="594">
        <v>8687.98</v>
      </c>
      <c r="G22" s="570"/>
      <c r="H22" s="570"/>
      <c r="I22" s="570"/>
      <c r="J22" s="570"/>
    </row>
    <row r="23" spans="1:10" customFormat="1" ht="15.75" x14ac:dyDescent="0.25">
      <c r="A23" s="569"/>
      <c r="B23" s="569"/>
      <c r="C23" s="872" t="s">
        <v>194</v>
      </c>
      <c r="D23" s="872"/>
      <c r="E23" s="872"/>
      <c r="F23" s="600">
        <v>1891749.2500000002</v>
      </c>
      <c r="G23" s="570"/>
      <c r="H23" s="570"/>
      <c r="I23" s="570"/>
      <c r="J23" s="570"/>
    </row>
    <row r="24" spans="1:10" customFormat="1" ht="15" x14ac:dyDescent="0.25">
      <c r="A24" s="569"/>
      <c r="B24" s="569"/>
      <c r="C24" s="579">
        <v>17</v>
      </c>
      <c r="D24" s="580" t="s">
        <v>825</v>
      </c>
      <c r="E24" s="580" t="s">
        <v>845</v>
      </c>
      <c r="F24" s="591">
        <v>10298.969999999999</v>
      </c>
      <c r="G24" s="570"/>
      <c r="H24" s="583"/>
      <c r="I24" s="583"/>
      <c r="J24" s="583"/>
    </row>
    <row r="25" spans="1:10" s="67" customFormat="1" ht="25.5" x14ac:dyDescent="0.25">
      <c r="C25" s="579">
        <v>18</v>
      </c>
      <c r="D25" s="582" t="s">
        <v>846</v>
      </c>
      <c r="E25" s="584" t="s">
        <v>847</v>
      </c>
      <c r="F25" s="592">
        <v>24476.46</v>
      </c>
      <c r="G25" s="570"/>
      <c r="H25" s="583"/>
      <c r="I25" s="583"/>
      <c r="J25" s="583"/>
    </row>
    <row r="26" spans="1:10" s="67" customFormat="1" ht="15" x14ac:dyDescent="0.25">
      <c r="C26" s="579">
        <v>19</v>
      </c>
      <c r="D26" s="580" t="s">
        <v>825</v>
      </c>
      <c r="E26" s="581" t="s">
        <v>848</v>
      </c>
      <c r="F26" s="592">
        <v>5256.64</v>
      </c>
      <c r="G26" s="570"/>
      <c r="H26" s="583"/>
      <c r="I26" s="583"/>
      <c r="J26" s="583"/>
    </row>
    <row r="27" spans="1:10" s="67" customFormat="1" x14ac:dyDescent="0.2">
      <c r="C27" s="579">
        <v>20</v>
      </c>
      <c r="D27" s="582" t="s">
        <v>849</v>
      </c>
      <c r="E27" s="582" t="s">
        <v>850</v>
      </c>
      <c r="F27" s="596">
        <v>2390.39</v>
      </c>
      <c r="G27" s="585"/>
      <c r="H27" s="586"/>
      <c r="I27" s="586"/>
      <c r="J27" s="586"/>
    </row>
    <row r="28" spans="1:10" customFormat="1" ht="15" x14ac:dyDescent="0.25">
      <c r="A28" s="569"/>
      <c r="B28" s="569"/>
      <c r="C28" s="579">
        <v>21</v>
      </c>
      <c r="D28" s="582" t="s">
        <v>849</v>
      </c>
      <c r="E28" s="580" t="s">
        <v>851</v>
      </c>
      <c r="F28" s="591">
        <v>80780.649999999994</v>
      </c>
      <c r="G28" s="585"/>
      <c r="H28" s="587"/>
      <c r="I28" s="586"/>
      <c r="J28" s="586"/>
    </row>
    <row r="29" spans="1:10" customFormat="1" ht="15" x14ac:dyDescent="0.25">
      <c r="A29" s="569"/>
      <c r="B29" s="569"/>
      <c r="C29" s="579">
        <v>22</v>
      </c>
      <c r="D29" s="582" t="s">
        <v>852</v>
      </c>
      <c r="E29" s="581" t="s">
        <v>853</v>
      </c>
      <c r="F29" s="592">
        <v>1035927.73</v>
      </c>
      <c r="G29" s="585"/>
      <c r="H29" s="586"/>
      <c r="I29" s="586"/>
      <c r="J29" s="586"/>
    </row>
    <row r="30" spans="1:10" customFormat="1" ht="15" x14ac:dyDescent="0.25">
      <c r="A30" s="569"/>
      <c r="B30" s="569"/>
      <c r="C30" s="579">
        <v>23</v>
      </c>
      <c r="D30" s="582" t="s">
        <v>852</v>
      </c>
      <c r="E30" s="580" t="s">
        <v>854</v>
      </c>
      <c r="F30" s="591">
        <v>119853</v>
      </c>
      <c r="G30" s="570"/>
      <c r="H30" s="583"/>
      <c r="I30" s="583"/>
      <c r="J30" s="583"/>
    </row>
    <row r="31" spans="1:10" customFormat="1" ht="15" x14ac:dyDescent="0.25">
      <c r="A31" s="569"/>
      <c r="B31" s="569"/>
      <c r="C31" s="579">
        <v>24</v>
      </c>
      <c r="D31" s="582" t="s">
        <v>852</v>
      </c>
      <c r="E31" s="580" t="s">
        <v>855</v>
      </c>
      <c r="F31" s="591">
        <v>6300</v>
      </c>
      <c r="G31" s="570"/>
      <c r="H31" s="583"/>
      <c r="I31" s="583"/>
      <c r="J31" s="583"/>
    </row>
    <row r="32" spans="1:10" customFormat="1" ht="15" x14ac:dyDescent="0.25">
      <c r="A32" s="569"/>
      <c r="B32" s="569"/>
      <c r="C32" s="579">
        <v>25</v>
      </c>
      <c r="D32" s="582" t="s">
        <v>852</v>
      </c>
      <c r="E32" s="580" t="s">
        <v>856</v>
      </c>
      <c r="F32" s="591">
        <v>19430</v>
      </c>
      <c r="G32" s="570"/>
      <c r="H32" s="583"/>
      <c r="I32" s="583"/>
      <c r="J32" s="583"/>
    </row>
    <row r="33" spans="1:10" customFormat="1" ht="15" x14ac:dyDescent="0.25">
      <c r="A33" s="569"/>
      <c r="B33" s="569"/>
      <c r="C33" s="579">
        <v>26</v>
      </c>
      <c r="D33" s="580" t="s">
        <v>825</v>
      </c>
      <c r="E33" s="580" t="s">
        <v>857</v>
      </c>
      <c r="F33" s="597">
        <v>142068.76999999999</v>
      </c>
      <c r="G33" s="570"/>
      <c r="H33" s="570"/>
      <c r="I33" s="569"/>
      <c r="J33" s="569"/>
    </row>
    <row r="34" spans="1:10" customFormat="1" ht="15" x14ac:dyDescent="0.25">
      <c r="A34" s="569"/>
      <c r="B34" s="569"/>
      <c r="C34" s="579">
        <v>27</v>
      </c>
      <c r="D34" s="580" t="s">
        <v>825</v>
      </c>
      <c r="E34" s="580" t="s">
        <v>858</v>
      </c>
      <c r="F34" s="597">
        <v>603.6</v>
      </c>
      <c r="G34" s="570"/>
      <c r="H34" s="570"/>
      <c r="I34" s="569"/>
      <c r="J34" s="569"/>
    </row>
    <row r="35" spans="1:10" customFormat="1" ht="15" x14ac:dyDescent="0.25">
      <c r="A35" s="569"/>
      <c r="B35" s="569"/>
      <c r="C35" s="579">
        <v>28</v>
      </c>
      <c r="D35" s="580" t="s">
        <v>825</v>
      </c>
      <c r="E35" s="580" t="s">
        <v>859</v>
      </c>
      <c r="F35" s="598">
        <v>18259.89</v>
      </c>
      <c r="G35" s="570"/>
      <c r="H35" s="570"/>
      <c r="I35" s="569"/>
      <c r="J35" s="569"/>
    </row>
    <row r="36" spans="1:10" customFormat="1" ht="15" x14ac:dyDescent="0.25">
      <c r="A36" s="569"/>
      <c r="B36" s="569"/>
      <c r="C36" s="579">
        <v>29</v>
      </c>
      <c r="D36" s="580" t="s">
        <v>825</v>
      </c>
      <c r="E36" s="588" t="s">
        <v>860</v>
      </c>
      <c r="F36" s="599">
        <v>44190.35</v>
      </c>
      <c r="G36" s="570"/>
      <c r="H36" s="570"/>
      <c r="I36" s="569"/>
      <c r="J36" s="569"/>
    </row>
    <row r="37" spans="1:10" s="67" customFormat="1" ht="14.25" customHeight="1" x14ac:dyDescent="0.2">
      <c r="C37" s="579">
        <v>30</v>
      </c>
      <c r="D37" s="588" t="s">
        <v>839</v>
      </c>
      <c r="E37" s="588" t="s">
        <v>861</v>
      </c>
      <c r="F37" s="599">
        <v>5659.03</v>
      </c>
      <c r="G37" s="571"/>
      <c r="H37" s="571"/>
    </row>
    <row r="38" spans="1:10" customFormat="1" ht="25.5" x14ac:dyDescent="0.25">
      <c r="A38" s="569"/>
      <c r="B38" s="569"/>
      <c r="C38" s="579">
        <v>31</v>
      </c>
      <c r="D38" s="602" t="s">
        <v>862</v>
      </c>
      <c r="E38" s="603" t="s">
        <v>863</v>
      </c>
      <c r="F38" s="604">
        <v>41327.67</v>
      </c>
      <c r="G38" s="571"/>
      <c r="H38" s="571"/>
      <c r="I38" s="569"/>
      <c r="J38" s="569"/>
    </row>
    <row r="39" spans="1:10" customFormat="1" ht="15" x14ac:dyDescent="0.25">
      <c r="A39" s="569"/>
      <c r="B39" s="569"/>
      <c r="C39" s="579">
        <v>32</v>
      </c>
      <c r="D39" s="618" t="s">
        <v>864</v>
      </c>
      <c r="E39" s="618" t="s">
        <v>865</v>
      </c>
      <c r="F39" s="599">
        <v>2220.0500000000002</v>
      </c>
      <c r="G39" s="571"/>
      <c r="H39" s="571"/>
      <c r="I39" s="569"/>
      <c r="J39" s="569"/>
    </row>
    <row r="40" spans="1:10" customFormat="1" ht="15" x14ac:dyDescent="0.25">
      <c r="A40" s="569"/>
      <c r="B40" s="569"/>
      <c r="C40" s="579">
        <v>33</v>
      </c>
      <c r="D40" s="618" t="s">
        <v>866</v>
      </c>
      <c r="E40" s="618" t="s">
        <v>867</v>
      </c>
      <c r="F40" s="599">
        <v>89823.59</v>
      </c>
      <c r="G40" s="585"/>
      <c r="H40" s="873"/>
      <c r="I40" s="569"/>
      <c r="J40" s="569"/>
    </row>
    <row r="41" spans="1:10" s="392" customFormat="1" ht="15" x14ac:dyDescent="0.25">
      <c r="A41" s="569"/>
      <c r="B41" s="569"/>
      <c r="C41" s="579">
        <v>34</v>
      </c>
      <c r="D41" s="588" t="s">
        <v>868</v>
      </c>
      <c r="E41" s="588" t="s">
        <v>869</v>
      </c>
      <c r="F41" s="599">
        <v>99348</v>
      </c>
      <c r="G41" s="571"/>
      <c r="H41" s="873"/>
      <c r="I41" s="569"/>
      <c r="J41" s="569"/>
    </row>
    <row r="42" spans="1:10" s="67" customFormat="1" ht="13.5" customHeight="1" x14ac:dyDescent="0.2">
      <c r="C42" s="579">
        <v>35</v>
      </c>
      <c r="D42" s="588" t="s">
        <v>825</v>
      </c>
      <c r="E42" s="588" t="s">
        <v>870</v>
      </c>
      <c r="F42" s="599">
        <v>130354.84</v>
      </c>
      <c r="G42" s="571"/>
      <c r="H42" s="873"/>
    </row>
    <row r="43" spans="1:10" customFormat="1" ht="14.25" customHeight="1" x14ac:dyDescent="0.25">
      <c r="A43" s="569"/>
      <c r="B43" s="569"/>
      <c r="C43" s="579">
        <v>36</v>
      </c>
      <c r="D43" s="580" t="s">
        <v>871</v>
      </c>
      <c r="E43" s="580" t="s">
        <v>872</v>
      </c>
      <c r="F43" s="591">
        <v>3000</v>
      </c>
      <c r="G43" s="571"/>
      <c r="H43" s="873"/>
      <c r="I43" s="569"/>
      <c r="J43" s="569"/>
    </row>
    <row r="44" spans="1:10" customFormat="1" ht="15" x14ac:dyDescent="0.25">
      <c r="A44" s="569"/>
      <c r="B44" s="569"/>
      <c r="C44" s="579">
        <v>37</v>
      </c>
      <c r="D44" s="580" t="s">
        <v>871</v>
      </c>
      <c r="E44" s="580" t="s">
        <v>873</v>
      </c>
      <c r="F44" s="591">
        <v>1400</v>
      </c>
      <c r="G44" s="571"/>
      <c r="H44" s="873"/>
      <c r="I44" s="569"/>
      <c r="J44" s="569"/>
    </row>
    <row r="45" spans="1:10" customFormat="1" ht="15" x14ac:dyDescent="0.25">
      <c r="A45" s="569"/>
      <c r="B45" s="569"/>
      <c r="C45" s="579">
        <v>38</v>
      </c>
      <c r="D45" s="580" t="s">
        <v>874</v>
      </c>
      <c r="E45" s="580" t="s">
        <v>875</v>
      </c>
      <c r="F45" s="591">
        <v>1161.27</v>
      </c>
      <c r="G45" s="571"/>
      <c r="H45" s="873"/>
      <c r="I45" s="569"/>
      <c r="J45" s="569"/>
    </row>
    <row r="46" spans="1:10" customFormat="1" ht="15" x14ac:dyDescent="0.25">
      <c r="A46" s="569"/>
      <c r="B46" s="569"/>
      <c r="C46" s="579">
        <v>39</v>
      </c>
      <c r="D46" s="619" t="s">
        <v>885</v>
      </c>
      <c r="E46" s="619" t="s">
        <v>876</v>
      </c>
      <c r="F46" s="620">
        <v>7618.35</v>
      </c>
      <c r="G46" s="571"/>
      <c r="H46" s="873"/>
      <c r="I46" s="569"/>
      <c r="J46" s="569"/>
    </row>
    <row r="47" spans="1:10" customFormat="1" ht="17.25" thickBot="1" x14ac:dyDescent="0.3">
      <c r="A47" s="569"/>
      <c r="B47" s="569"/>
      <c r="C47" s="874" t="s">
        <v>120</v>
      </c>
      <c r="D47" s="874"/>
      <c r="E47" s="874"/>
      <c r="F47" s="601">
        <v>13011212.26</v>
      </c>
      <c r="G47" s="585"/>
      <c r="H47" s="873"/>
      <c r="I47" s="569"/>
      <c r="J47" s="569"/>
    </row>
    <row r="48" spans="1:10" customFormat="1" ht="15" x14ac:dyDescent="0.25">
      <c r="A48" s="569"/>
      <c r="B48" s="569"/>
      <c r="C48" s="571"/>
      <c r="D48" s="571"/>
      <c r="E48" s="571"/>
      <c r="F48" s="571"/>
      <c r="G48" s="571"/>
      <c r="H48" s="571"/>
      <c r="I48" s="569"/>
      <c r="J48" s="569"/>
    </row>
    <row r="49" spans="1:10" x14ac:dyDescent="0.2">
      <c r="C49" s="571"/>
      <c r="D49" s="571"/>
      <c r="E49" s="571"/>
      <c r="F49" s="571"/>
      <c r="G49" s="571"/>
      <c r="H49" s="571"/>
    </row>
    <row r="50" spans="1:10" x14ac:dyDescent="0.2">
      <c r="C50" s="571"/>
      <c r="D50" s="571"/>
      <c r="E50" s="571"/>
      <c r="F50" s="589"/>
      <c r="G50" s="571"/>
      <c r="H50" s="571"/>
    </row>
    <row r="51" spans="1:10" x14ac:dyDescent="0.2">
      <c r="C51" s="571"/>
      <c r="D51" s="571"/>
      <c r="E51" s="571"/>
      <c r="F51" s="590"/>
      <c r="G51" s="571"/>
      <c r="H51" s="571"/>
    </row>
    <row r="52" spans="1:10" x14ac:dyDescent="0.2">
      <c r="C52" s="571"/>
      <c r="D52" s="571"/>
      <c r="E52" s="571"/>
      <c r="F52" s="590"/>
      <c r="G52" s="571"/>
      <c r="H52" s="571"/>
    </row>
    <row r="53" spans="1:10" x14ac:dyDescent="0.2">
      <c r="C53" s="571"/>
      <c r="D53" s="571"/>
      <c r="E53" s="571"/>
      <c r="F53" s="571"/>
      <c r="G53" s="571"/>
      <c r="H53" s="571"/>
    </row>
    <row r="58" spans="1:10" customFormat="1" ht="15" x14ac:dyDescent="0.25">
      <c r="A58" s="569"/>
      <c r="B58" s="569"/>
      <c r="C58" s="569"/>
      <c r="D58" s="569"/>
      <c r="E58" s="569"/>
      <c r="F58" s="51"/>
      <c r="G58" s="569"/>
      <c r="H58" s="569"/>
      <c r="I58" s="569"/>
      <c r="J58" s="569"/>
    </row>
    <row r="63" spans="1:10" ht="15" x14ac:dyDescent="0.25">
      <c r="C63" s="570"/>
      <c r="D63" s="570"/>
      <c r="E63" s="570"/>
      <c r="F63" s="590"/>
      <c r="G63" s="570"/>
      <c r="H63" s="570"/>
    </row>
  </sheetData>
  <mergeCells count="5">
    <mergeCell ref="C2:E2"/>
    <mergeCell ref="C5:E5"/>
    <mergeCell ref="C23:E23"/>
    <mergeCell ref="H40:H47"/>
    <mergeCell ref="C47:E47"/>
  </mergeCells>
  <pageMargins left="0.78740157480314965" right="1.1023622047244095" top="0.15748031496062992" bottom="0.15748031496062992" header="0.15748031496062992" footer="0.15748031496062992"/>
  <pageSetup paperSize="9" scale="8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I38"/>
  <sheetViews>
    <sheetView workbookViewId="0"/>
  </sheetViews>
  <sheetFormatPr defaultRowHeight="14.25" x14ac:dyDescent="0.2"/>
  <cols>
    <col min="1" max="1" width="9.140625" style="1" customWidth="1"/>
    <col min="2" max="2" width="6.140625" style="1" customWidth="1"/>
    <col min="3" max="3" width="43.28515625" style="1" customWidth="1"/>
    <col min="4" max="4" width="46.28515625" style="1" customWidth="1"/>
    <col min="5" max="5" width="14.5703125" style="51" customWidth="1"/>
    <col min="6" max="6" width="9.140625" style="1" customWidth="1"/>
    <col min="7" max="16384" width="9.140625" style="1"/>
  </cols>
  <sheetData>
    <row r="1" spans="1:9" x14ac:dyDescent="0.2">
      <c r="A1" s="1" t="s">
        <v>195</v>
      </c>
    </row>
    <row r="2" spans="1:9" ht="16.5" x14ac:dyDescent="0.25">
      <c r="B2" s="876" t="s">
        <v>600</v>
      </c>
      <c r="C2" s="876"/>
      <c r="D2" s="876"/>
      <c r="E2" s="111" t="s">
        <v>597</v>
      </c>
    </row>
    <row r="3" spans="1:9" ht="15" thickBot="1" x14ac:dyDescent="0.25">
      <c r="B3" s="181"/>
      <c r="C3" s="182"/>
      <c r="D3" s="42"/>
      <c r="E3" s="183"/>
    </row>
    <row r="4" spans="1:9" ht="24" x14ac:dyDescent="0.2">
      <c r="B4" s="174" t="s">
        <v>189</v>
      </c>
      <c r="C4" s="3" t="s">
        <v>190</v>
      </c>
      <c r="D4" s="3" t="s">
        <v>191</v>
      </c>
      <c r="E4" s="398" t="s">
        <v>192</v>
      </c>
      <c r="G4" s="681"/>
      <c r="H4" s="681"/>
      <c r="I4" s="681"/>
    </row>
    <row r="5" spans="1:9" s="67" customFormat="1" x14ac:dyDescent="0.2">
      <c r="B5" s="177">
        <v>1</v>
      </c>
      <c r="C5" s="682" t="s">
        <v>983</v>
      </c>
      <c r="D5" s="683" t="s">
        <v>1019</v>
      </c>
      <c r="E5" s="692">
        <v>10000</v>
      </c>
      <c r="G5" s="184"/>
      <c r="H5" s="184"/>
      <c r="I5" s="184"/>
    </row>
    <row r="6" spans="1:9" s="67" customFormat="1" ht="25.5" x14ac:dyDescent="0.2">
      <c r="B6" s="177">
        <v>2</v>
      </c>
      <c r="C6" s="682" t="s">
        <v>984</v>
      </c>
      <c r="D6" s="684" t="s">
        <v>985</v>
      </c>
      <c r="E6" s="693">
        <v>5000</v>
      </c>
      <c r="G6" s="184"/>
      <c r="H6" s="184"/>
      <c r="I6" s="184"/>
    </row>
    <row r="7" spans="1:9" s="67" customFormat="1" x14ac:dyDescent="0.25">
      <c r="B7" s="177">
        <v>3</v>
      </c>
      <c r="C7" s="685" t="s">
        <v>986</v>
      </c>
      <c r="D7" s="686" t="s">
        <v>987</v>
      </c>
      <c r="E7" s="693">
        <v>456000</v>
      </c>
      <c r="G7" s="184"/>
      <c r="H7" s="184"/>
      <c r="I7" s="184"/>
    </row>
    <row r="8" spans="1:9" s="67" customFormat="1" ht="38.25" x14ac:dyDescent="0.25">
      <c r="B8" s="177">
        <v>4</v>
      </c>
      <c r="C8" s="686" t="s">
        <v>1018</v>
      </c>
      <c r="D8" s="687" t="s">
        <v>988</v>
      </c>
      <c r="E8" s="693">
        <v>118674</v>
      </c>
      <c r="G8" s="184"/>
      <c r="H8" s="184"/>
      <c r="I8" s="184"/>
    </row>
    <row r="9" spans="1:9" s="67" customFormat="1" ht="35.25" customHeight="1" x14ac:dyDescent="0.25">
      <c r="B9" s="177">
        <v>5</v>
      </c>
      <c r="C9" s="687" t="s">
        <v>989</v>
      </c>
      <c r="D9" s="688" t="s">
        <v>1016</v>
      </c>
      <c r="E9" s="693">
        <v>5935.98</v>
      </c>
      <c r="G9" s="185"/>
      <c r="H9" s="185"/>
      <c r="I9" s="184"/>
    </row>
    <row r="10" spans="1:9" s="67" customFormat="1" ht="25.5" x14ac:dyDescent="0.25">
      <c r="B10" s="177">
        <v>6</v>
      </c>
      <c r="C10" s="686" t="s">
        <v>1018</v>
      </c>
      <c r="D10" s="689" t="s">
        <v>990</v>
      </c>
      <c r="E10" s="693">
        <v>30727.72</v>
      </c>
      <c r="G10" s="185"/>
      <c r="H10" s="185"/>
      <c r="I10" s="184"/>
    </row>
    <row r="11" spans="1:9" s="67" customFormat="1" ht="25.5" x14ac:dyDescent="0.25">
      <c r="B11" s="177">
        <v>7</v>
      </c>
      <c r="C11" s="686" t="s">
        <v>1018</v>
      </c>
      <c r="D11" s="689" t="s">
        <v>991</v>
      </c>
      <c r="E11" s="693">
        <v>24001.13</v>
      </c>
      <c r="G11" s="185"/>
      <c r="H11" s="185"/>
      <c r="I11" s="184"/>
    </row>
    <row r="12" spans="1:9" s="67" customFormat="1" ht="25.5" x14ac:dyDescent="0.25">
      <c r="B12" s="177">
        <v>8</v>
      </c>
      <c r="C12" s="686" t="s">
        <v>1018</v>
      </c>
      <c r="D12" s="689" t="s">
        <v>992</v>
      </c>
      <c r="E12" s="693">
        <v>78455.48</v>
      </c>
      <c r="G12" s="185"/>
      <c r="H12" s="185"/>
      <c r="I12" s="184"/>
    </row>
    <row r="13" spans="1:9" s="67" customFormat="1" ht="25.5" x14ac:dyDescent="0.25">
      <c r="B13" s="177">
        <v>9</v>
      </c>
      <c r="C13" s="686" t="s">
        <v>1018</v>
      </c>
      <c r="D13" s="689" t="s">
        <v>993</v>
      </c>
      <c r="E13" s="693">
        <v>21750.68</v>
      </c>
      <c r="G13" s="185"/>
      <c r="H13" s="185"/>
      <c r="I13" s="184"/>
    </row>
    <row r="14" spans="1:9" s="67" customFormat="1" ht="25.5" x14ac:dyDescent="0.25">
      <c r="B14" s="177">
        <v>10</v>
      </c>
      <c r="C14" s="686" t="s">
        <v>1018</v>
      </c>
      <c r="D14" s="689" t="s">
        <v>994</v>
      </c>
      <c r="E14" s="693">
        <v>645401.81999999995</v>
      </c>
      <c r="G14" s="185"/>
      <c r="H14" s="185"/>
      <c r="I14" s="184"/>
    </row>
    <row r="15" spans="1:9" s="67" customFormat="1" ht="25.5" x14ac:dyDescent="0.25">
      <c r="B15" s="177">
        <v>11</v>
      </c>
      <c r="C15" s="686" t="s">
        <v>1018</v>
      </c>
      <c r="D15" s="686" t="s">
        <v>995</v>
      </c>
      <c r="E15" s="693">
        <v>329686.86</v>
      </c>
      <c r="G15" s="185"/>
      <c r="H15" s="185"/>
      <c r="I15" s="184"/>
    </row>
    <row r="16" spans="1:9" s="67" customFormat="1" ht="38.25" x14ac:dyDescent="0.25">
      <c r="B16" s="177">
        <v>12</v>
      </c>
      <c r="C16" s="686" t="s">
        <v>1018</v>
      </c>
      <c r="D16" s="689" t="s">
        <v>996</v>
      </c>
      <c r="E16" s="694">
        <v>6554.9</v>
      </c>
      <c r="G16" s="185"/>
      <c r="H16" s="185"/>
      <c r="I16" s="184"/>
    </row>
    <row r="17" spans="2:9" s="67" customFormat="1" x14ac:dyDescent="0.25">
      <c r="B17" s="177">
        <v>13</v>
      </c>
      <c r="C17" s="690" t="s">
        <v>997</v>
      </c>
      <c r="D17" s="691" t="s">
        <v>865</v>
      </c>
      <c r="E17" s="692">
        <v>21981.43</v>
      </c>
      <c r="G17" s="185"/>
      <c r="H17" s="185"/>
      <c r="I17" s="184"/>
    </row>
    <row r="18" spans="2:9" s="67" customFormat="1" ht="38.25" x14ac:dyDescent="0.25">
      <c r="B18" s="177">
        <v>14</v>
      </c>
      <c r="C18" s="686" t="s">
        <v>1018</v>
      </c>
      <c r="D18" s="691" t="s">
        <v>998</v>
      </c>
      <c r="E18" s="695">
        <v>138297.15</v>
      </c>
      <c r="G18" s="185"/>
      <c r="H18" s="185"/>
      <c r="I18" s="184"/>
    </row>
    <row r="19" spans="2:9" s="67" customFormat="1" x14ac:dyDescent="0.25">
      <c r="B19" s="177">
        <v>15</v>
      </c>
      <c r="C19" s="690" t="s">
        <v>1000</v>
      </c>
      <c r="D19" s="691" t="s">
        <v>999</v>
      </c>
      <c r="E19" s="695">
        <v>71935</v>
      </c>
      <c r="G19" s="185"/>
      <c r="H19" s="185"/>
      <c r="I19" s="184"/>
    </row>
    <row r="20" spans="2:9" s="67" customFormat="1" ht="21.75" customHeight="1" thickBot="1" x14ac:dyDescent="0.3">
      <c r="B20" s="186" t="s">
        <v>120</v>
      </c>
      <c r="C20" s="187"/>
      <c r="D20" s="187"/>
      <c r="E20" s="696">
        <f>SUM(E5:E19)</f>
        <v>1964402.1499999997</v>
      </c>
      <c r="G20" s="178"/>
      <c r="H20" s="178"/>
    </row>
    <row r="23" spans="2:9" x14ac:dyDescent="0.2">
      <c r="E23" s="188"/>
    </row>
    <row r="25" spans="2:9" x14ac:dyDescent="0.2">
      <c r="C25" s="189"/>
    </row>
    <row r="36" spans="7:7" x14ac:dyDescent="0.2">
      <c r="G36" s="875"/>
    </row>
    <row r="37" spans="7:7" x14ac:dyDescent="0.2">
      <c r="G37" s="875"/>
    </row>
    <row r="38" spans="7:7" x14ac:dyDescent="0.2">
      <c r="G38" s="875"/>
    </row>
  </sheetData>
  <mergeCells count="2">
    <mergeCell ref="G36:G38"/>
    <mergeCell ref="B2:D2"/>
  </mergeCells>
  <pageMargins left="0.62992125984252012" right="0.62992125984252012" top="0.74803149606299213" bottom="0.74803149606299213" header="0.31496062992126012" footer="0.31496062992126012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E55"/>
  <sheetViews>
    <sheetView workbookViewId="0"/>
  </sheetViews>
  <sheetFormatPr defaultColWidth="17.42578125" defaultRowHeight="14.25" x14ac:dyDescent="0.2"/>
  <cols>
    <col min="1" max="2" width="6.7109375" style="1" customWidth="1"/>
    <col min="3" max="3" width="66" style="1" customWidth="1"/>
    <col min="4" max="4" width="13.5703125" style="1" customWidth="1"/>
    <col min="5" max="16384" width="17.42578125" style="1"/>
  </cols>
  <sheetData>
    <row r="1" spans="2:5" x14ac:dyDescent="0.2">
      <c r="B1" s="190"/>
      <c r="C1" s="190"/>
      <c r="D1" s="190"/>
    </row>
    <row r="2" spans="2:5" x14ac:dyDescent="0.2">
      <c r="B2" s="190"/>
      <c r="C2" s="190"/>
      <c r="D2" s="190"/>
    </row>
    <row r="3" spans="2:5" x14ac:dyDescent="0.2">
      <c r="B3" s="191"/>
      <c r="C3" s="190"/>
      <c r="D3" s="192" t="s">
        <v>196</v>
      </c>
    </row>
    <row r="4" spans="2:5" x14ac:dyDescent="0.2">
      <c r="B4" s="191"/>
      <c r="C4" s="190"/>
      <c r="D4" s="190"/>
    </row>
    <row r="5" spans="2:5" ht="32.25" customHeight="1" x14ac:dyDescent="0.2">
      <c r="B5" s="877" t="s">
        <v>812</v>
      </c>
      <c r="C5" s="877"/>
      <c r="D5" s="877"/>
    </row>
    <row r="6" spans="2:5" ht="15" thickBot="1" x14ac:dyDescent="0.25">
      <c r="B6" s="191"/>
      <c r="C6" s="190"/>
      <c r="D6" s="190"/>
    </row>
    <row r="7" spans="2:5" ht="29.25" customHeight="1" x14ac:dyDescent="0.2">
      <c r="B7" s="487" t="s">
        <v>189</v>
      </c>
      <c r="C7" s="488" t="s">
        <v>197</v>
      </c>
      <c r="D7" s="697" t="s">
        <v>811</v>
      </c>
    </row>
    <row r="8" spans="2:5" s="67" customFormat="1" x14ac:dyDescent="0.2">
      <c r="B8" s="489">
        <v>1</v>
      </c>
      <c r="C8" s="698" t="s">
        <v>715</v>
      </c>
      <c r="D8" s="699">
        <v>783</v>
      </c>
    </row>
    <row r="9" spans="2:5" s="67" customFormat="1" x14ac:dyDescent="0.2">
      <c r="B9" s="489">
        <v>2</v>
      </c>
      <c r="C9" s="698" t="s">
        <v>721</v>
      </c>
      <c r="D9" s="699">
        <v>500</v>
      </c>
    </row>
    <row r="10" spans="2:5" s="67" customFormat="1" x14ac:dyDescent="0.2">
      <c r="B10" s="489">
        <v>3</v>
      </c>
      <c r="C10" s="698" t="s">
        <v>688</v>
      </c>
      <c r="D10" s="699">
        <v>660</v>
      </c>
    </row>
    <row r="11" spans="2:5" s="67" customFormat="1" x14ac:dyDescent="0.2">
      <c r="B11" s="489">
        <v>4</v>
      </c>
      <c r="C11" s="698" t="s">
        <v>745</v>
      </c>
      <c r="D11" s="699">
        <v>335</v>
      </c>
    </row>
    <row r="12" spans="2:5" s="67" customFormat="1" x14ac:dyDescent="0.2">
      <c r="B12" s="489">
        <v>5</v>
      </c>
      <c r="C12" s="698" t="s">
        <v>710</v>
      </c>
      <c r="D12" s="699">
        <v>772</v>
      </c>
    </row>
    <row r="13" spans="2:5" s="67" customFormat="1" x14ac:dyDescent="0.2">
      <c r="B13" s="489">
        <v>6</v>
      </c>
      <c r="C13" s="698" t="s">
        <v>746</v>
      </c>
      <c r="D13" s="699">
        <v>271</v>
      </c>
    </row>
    <row r="14" spans="2:5" s="67" customFormat="1" x14ac:dyDescent="0.2">
      <c r="B14" s="489">
        <v>7</v>
      </c>
      <c r="C14" s="698" t="s">
        <v>695</v>
      </c>
      <c r="D14" s="699">
        <v>605</v>
      </c>
    </row>
    <row r="15" spans="2:5" s="67" customFormat="1" x14ac:dyDescent="0.2">
      <c r="B15" s="489">
        <v>8</v>
      </c>
      <c r="C15" s="698" t="s">
        <v>684</v>
      </c>
      <c r="D15" s="699">
        <v>1289</v>
      </c>
    </row>
    <row r="16" spans="2:5" s="67" customFormat="1" x14ac:dyDescent="0.2">
      <c r="B16" s="489">
        <v>9</v>
      </c>
      <c r="C16" s="698" t="s">
        <v>747</v>
      </c>
      <c r="D16" s="699">
        <v>346</v>
      </c>
      <c r="E16" s="178"/>
    </row>
    <row r="17" spans="2:4" s="67" customFormat="1" x14ac:dyDescent="0.2">
      <c r="B17" s="489">
        <v>10</v>
      </c>
      <c r="C17" s="698" t="s">
        <v>748</v>
      </c>
      <c r="D17" s="699">
        <v>2974</v>
      </c>
    </row>
    <row r="18" spans="2:4" s="67" customFormat="1" x14ac:dyDescent="0.2">
      <c r="B18" s="489">
        <v>11</v>
      </c>
      <c r="C18" s="698" t="s">
        <v>749</v>
      </c>
      <c r="D18" s="699">
        <v>622</v>
      </c>
    </row>
    <row r="19" spans="2:4" s="67" customFormat="1" x14ac:dyDescent="0.2">
      <c r="B19" s="489">
        <v>12</v>
      </c>
      <c r="C19" s="698" t="s">
        <v>750</v>
      </c>
      <c r="D19" s="699">
        <v>234</v>
      </c>
    </row>
    <row r="20" spans="2:4" s="67" customFormat="1" x14ac:dyDescent="0.2">
      <c r="B20" s="489">
        <v>13</v>
      </c>
      <c r="C20" s="698" t="s">
        <v>751</v>
      </c>
      <c r="D20" s="699">
        <v>864</v>
      </c>
    </row>
    <row r="21" spans="2:4" s="67" customFormat="1" x14ac:dyDescent="0.2">
      <c r="B21" s="489">
        <v>14</v>
      </c>
      <c r="C21" s="698" t="s">
        <v>752</v>
      </c>
      <c r="D21" s="699">
        <v>240</v>
      </c>
    </row>
    <row r="22" spans="2:4" s="67" customFormat="1" x14ac:dyDescent="0.2">
      <c r="B22" s="489">
        <v>15</v>
      </c>
      <c r="C22" s="698" t="s">
        <v>753</v>
      </c>
      <c r="D22" s="699">
        <v>1316</v>
      </c>
    </row>
    <row r="23" spans="2:4" s="67" customFormat="1" x14ac:dyDescent="0.2">
      <c r="B23" s="489">
        <v>16</v>
      </c>
      <c r="C23" s="698" t="s">
        <v>754</v>
      </c>
      <c r="D23" s="699">
        <v>75</v>
      </c>
    </row>
    <row r="24" spans="2:4" s="67" customFormat="1" x14ac:dyDescent="0.2">
      <c r="B24" s="489">
        <v>17</v>
      </c>
      <c r="C24" s="698" t="s">
        <v>1023</v>
      </c>
      <c r="D24" s="699">
        <f>1477-1215</f>
        <v>262</v>
      </c>
    </row>
    <row r="25" spans="2:4" s="67" customFormat="1" x14ac:dyDescent="0.2">
      <c r="B25" s="489">
        <v>18</v>
      </c>
      <c r="C25" s="698" t="s">
        <v>755</v>
      </c>
      <c r="D25" s="700">
        <v>1184</v>
      </c>
    </row>
    <row r="26" spans="2:4" s="67" customFormat="1" x14ac:dyDescent="0.2">
      <c r="B26" s="489">
        <v>19</v>
      </c>
      <c r="C26" s="698" t="s">
        <v>756</v>
      </c>
      <c r="D26" s="699">
        <v>372</v>
      </c>
    </row>
    <row r="27" spans="2:4" x14ac:dyDescent="0.2">
      <c r="B27" s="489">
        <v>20</v>
      </c>
      <c r="C27" s="698" t="s">
        <v>757</v>
      </c>
      <c r="D27" s="699">
        <v>1742</v>
      </c>
    </row>
    <row r="28" spans="2:4" x14ac:dyDescent="0.2">
      <c r="B28" s="489">
        <v>21</v>
      </c>
      <c r="C28" s="698" t="s">
        <v>758</v>
      </c>
      <c r="D28" s="699">
        <v>817</v>
      </c>
    </row>
    <row r="29" spans="2:4" ht="15" customHeight="1" x14ac:dyDescent="0.2">
      <c r="B29" s="489">
        <v>22</v>
      </c>
      <c r="C29" s="698" t="s">
        <v>759</v>
      </c>
      <c r="D29" s="699">
        <v>603</v>
      </c>
    </row>
    <row r="30" spans="2:4" ht="18" customHeight="1" x14ac:dyDescent="0.2">
      <c r="B30" s="489">
        <v>23</v>
      </c>
      <c r="C30" s="698" t="s">
        <v>760</v>
      </c>
      <c r="D30" s="699">
        <v>892</v>
      </c>
    </row>
    <row r="31" spans="2:4" x14ac:dyDescent="0.2">
      <c r="B31" s="489">
        <v>24</v>
      </c>
      <c r="C31" s="698" t="s">
        <v>676</v>
      </c>
      <c r="D31" s="699">
        <v>692</v>
      </c>
    </row>
    <row r="32" spans="2:4" x14ac:dyDescent="0.2">
      <c r="B32" s="489">
        <v>25</v>
      </c>
      <c r="C32" s="698" t="s">
        <v>707</v>
      </c>
      <c r="D32" s="699">
        <v>771</v>
      </c>
    </row>
    <row r="33" spans="2:5" x14ac:dyDescent="0.2">
      <c r="B33" s="489">
        <v>26</v>
      </c>
      <c r="C33" s="698" t="s">
        <v>761</v>
      </c>
      <c r="D33" s="699">
        <v>1146</v>
      </c>
    </row>
    <row r="34" spans="2:5" x14ac:dyDescent="0.2">
      <c r="B34" s="489">
        <v>27</v>
      </c>
      <c r="C34" s="698" t="s">
        <v>682</v>
      </c>
      <c r="D34" s="699">
        <v>850</v>
      </c>
    </row>
    <row r="35" spans="2:5" x14ac:dyDescent="0.2">
      <c r="B35" s="489">
        <v>28</v>
      </c>
      <c r="C35" s="698" t="s">
        <v>762</v>
      </c>
      <c r="D35" s="699">
        <v>270</v>
      </c>
    </row>
    <row r="36" spans="2:5" x14ac:dyDescent="0.2">
      <c r="B36" s="489">
        <v>29</v>
      </c>
      <c r="C36" s="698" t="s">
        <v>711</v>
      </c>
      <c r="D36" s="699">
        <v>60</v>
      </c>
    </row>
    <row r="37" spans="2:5" x14ac:dyDescent="0.2">
      <c r="B37" s="489">
        <v>30</v>
      </c>
      <c r="C37" s="698" t="s">
        <v>763</v>
      </c>
      <c r="D37" s="699">
        <v>1092</v>
      </c>
      <c r="E37" s="51"/>
    </row>
    <row r="38" spans="2:5" x14ac:dyDescent="0.2">
      <c r="B38" s="489">
        <v>31</v>
      </c>
      <c r="C38" s="698" t="s">
        <v>764</v>
      </c>
      <c r="D38" s="699">
        <v>271</v>
      </c>
    </row>
    <row r="39" spans="2:5" x14ac:dyDescent="0.2">
      <c r="B39" s="489">
        <v>32</v>
      </c>
      <c r="C39" s="698" t="s">
        <v>765</v>
      </c>
      <c r="D39" s="699">
        <v>245</v>
      </c>
    </row>
    <row r="40" spans="2:5" x14ac:dyDescent="0.2">
      <c r="B40" s="489">
        <v>33</v>
      </c>
      <c r="C40" s="698" t="s">
        <v>766</v>
      </c>
      <c r="D40" s="699">
        <v>1293</v>
      </c>
    </row>
    <row r="41" spans="2:5" x14ac:dyDescent="0.2">
      <c r="B41" s="489">
        <v>34</v>
      </c>
      <c r="C41" s="698" t="s">
        <v>767</v>
      </c>
      <c r="D41" s="699">
        <v>98</v>
      </c>
    </row>
    <row r="42" spans="2:5" x14ac:dyDescent="0.2">
      <c r="B42" s="489">
        <v>35</v>
      </c>
      <c r="C42" s="698" t="s">
        <v>768</v>
      </c>
      <c r="D42" s="699">
        <v>126</v>
      </c>
    </row>
    <row r="43" spans="2:5" x14ac:dyDescent="0.2">
      <c r="B43" s="489">
        <v>36</v>
      </c>
      <c r="C43" s="698" t="s">
        <v>769</v>
      </c>
      <c r="D43" s="699">
        <v>221</v>
      </c>
    </row>
    <row r="44" spans="2:5" x14ac:dyDescent="0.2">
      <c r="B44" s="489">
        <v>37</v>
      </c>
      <c r="C44" s="698" t="s">
        <v>732</v>
      </c>
      <c r="D44" s="699">
        <v>1208</v>
      </c>
    </row>
    <row r="45" spans="2:5" x14ac:dyDescent="0.2">
      <c r="B45" s="489">
        <v>38</v>
      </c>
      <c r="C45" s="698" t="s">
        <v>770</v>
      </c>
      <c r="D45" s="699">
        <v>229</v>
      </c>
    </row>
    <row r="46" spans="2:5" x14ac:dyDescent="0.2">
      <c r="B46" s="489">
        <v>39</v>
      </c>
      <c r="C46" s="698" t="s">
        <v>692</v>
      </c>
      <c r="D46" s="699">
        <v>456</v>
      </c>
    </row>
    <row r="47" spans="2:5" x14ac:dyDescent="0.2">
      <c r="B47" s="489">
        <v>40</v>
      </c>
      <c r="C47" s="698" t="s">
        <v>699</v>
      </c>
      <c r="D47" s="699">
        <v>579</v>
      </c>
    </row>
    <row r="48" spans="2:5" x14ac:dyDescent="0.2">
      <c r="B48" s="489">
        <v>41</v>
      </c>
      <c r="C48" s="698" t="s">
        <v>771</v>
      </c>
      <c r="D48" s="699">
        <v>142</v>
      </c>
    </row>
    <row r="49" spans="2:4" x14ac:dyDescent="0.2">
      <c r="B49" s="489">
        <v>42</v>
      </c>
      <c r="C49" s="698" t="s">
        <v>772</v>
      </c>
      <c r="D49" s="699">
        <v>1218</v>
      </c>
    </row>
    <row r="50" spans="2:4" x14ac:dyDescent="0.2">
      <c r="B50" s="489">
        <v>43</v>
      </c>
      <c r="C50" s="698" t="s">
        <v>773</v>
      </c>
      <c r="D50" s="699">
        <v>3067</v>
      </c>
    </row>
    <row r="51" spans="2:4" x14ac:dyDescent="0.2">
      <c r="B51" s="489">
        <v>44</v>
      </c>
      <c r="C51" s="698" t="s">
        <v>774</v>
      </c>
      <c r="D51" s="699">
        <v>959</v>
      </c>
    </row>
    <row r="52" spans="2:4" x14ac:dyDescent="0.2">
      <c r="B52" s="489">
        <v>45</v>
      </c>
      <c r="C52" s="698" t="s">
        <v>730</v>
      </c>
      <c r="D52" s="699">
        <v>871</v>
      </c>
    </row>
    <row r="53" spans="2:4" x14ac:dyDescent="0.2">
      <c r="B53" s="489">
        <v>46</v>
      </c>
      <c r="C53" s="698" t="s">
        <v>775</v>
      </c>
      <c r="D53" s="699">
        <v>147</v>
      </c>
    </row>
    <row r="54" spans="2:4" ht="15" thickBot="1" x14ac:dyDescent="0.25">
      <c r="B54" s="701">
        <v>47</v>
      </c>
      <c r="C54" s="702" t="s">
        <v>776</v>
      </c>
      <c r="D54" s="703">
        <v>223</v>
      </c>
    </row>
    <row r="55" spans="2:4" ht="17.25" thickTop="1" thickBot="1" x14ac:dyDescent="0.25">
      <c r="B55" s="704"/>
      <c r="C55" s="705" t="s">
        <v>9</v>
      </c>
      <c r="D55" s="706">
        <f>SUM(D8:D54)</f>
        <v>33992</v>
      </c>
    </row>
  </sheetData>
  <mergeCells count="1">
    <mergeCell ref="B5:D5"/>
  </mergeCells>
  <pageMargins left="0.70866141732283472" right="0.62992125984251968" top="0.35433070866141736" bottom="0.15748031496062992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25</vt:i4>
      </vt:variant>
    </vt:vector>
  </HeadingPairs>
  <TitlesOfParts>
    <vt:vector size="50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Počet_zamest_ZŠ</vt:lpstr>
      <vt:lpstr>Počet_žiakov_a_tried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ESA!Oblasť_tlače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Prnová Andrea, Ing.</cp:lastModifiedBy>
  <cp:lastPrinted>2021-04-09T05:59:19Z</cp:lastPrinted>
  <dcterms:created xsi:type="dcterms:W3CDTF">2012-02-23T12:08:44Z</dcterms:created>
  <dcterms:modified xsi:type="dcterms:W3CDTF">2021-04-30T06:16:45Z</dcterms:modified>
</cp:coreProperties>
</file>